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銀保建議書\靜怡\壽險\AIJ-SWXA-十在好漾-1061031\"/>
    </mc:Choice>
  </mc:AlternateContent>
  <bookViews>
    <workbookView xWindow="-15" yWindow="6090" windowWidth="19230" windowHeight="5700" firstSheet="11" activeTab="11"/>
  </bookViews>
  <sheets>
    <sheet name="工作表1" sheetId="34" state="veryHidden" r:id="rId1"/>
    <sheet name="PDATA1" sheetId="29" state="veryHidden" r:id="rId2"/>
    <sheet name="PDATA" sheetId="30" state="veryHidden" r:id="rId3"/>
    <sheet name="揭露AOR" sheetId="33" state="veryHidden" r:id="rId4"/>
    <sheet name="揭露1" sheetId="31" state="veryHidden" r:id="rId5"/>
    <sheet name="揭露" sheetId="28" state="veryHidden" r:id="rId6"/>
    <sheet name="RDATA" sheetId="26" state="veryHidden" r:id="rId7"/>
    <sheet name="Total" sheetId="32" state="veryHidden" r:id="rId8"/>
    <sheet name="ROP" sheetId="25" state="veryHidden" r:id="rId9"/>
    <sheet name="OP1" sheetId="27" state="veryHidden" r:id="rId10"/>
    <sheet name="OP" sheetId="22" state="veryHidden" r:id="rId11"/>
    <sheet name="輸入頁" sheetId="9" r:id="rId12"/>
    <sheet name="列印頁" sheetId="15" r:id="rId13"/>
  </sheets>
  <definedNames>
    <definedName name="_BGP1">'OP1'!$C$30</definedName>
    <definedName name="_DIE1">PDATA1!$ED$2:$IK$96</definedName>
    <definedName name="_INS1">輸入頁!$J$34</definedName>
    <definedName name="_MGP1">'OP1'!$C$35</definedName>
    <definedName name="_PM1">輸入頁!$D$30</definedName>
    <definedName name="AORCV">RDATA!$BJ$2:$FQ$117</definedName>
    <definedName name="AORGP">RDATA!$I$2:$J$117</definedName>
    <definedName name="BD">輸入頁!$E$7</definedName>
    <definedName name="BGP">OP!$C$30</definedName>
    <definedName name="CLRGP">RDATA!$BB$2:$BC$117</definedName>
    <definedName name="CV">PDATA!$P$2:$DW$97</definedName>
    <definedName name="CV_1">PDATA1!$Q$2:$DX$96</definedName>
    <definedName name="DIE">PDATA!$EC$2:$IJ$97</definedName>
    <definedName name="DIE_A">PDATA!$P$100:$DW$195</definedName>
    <definedName name="DINS">Total!$Q$20:$AG$121</definedName>
    <definedName name="GP">PDATA!$I$2:$J$116</definedName>
    <definedName name="GP_1">PDATA1!$J:$K</definedName>
    <definedName name="HL">PDATA1!$Q$100:$DX$194</definedName>
    <definedName name="HL_1">PDATA1!$ED$100:$IK$194</definedName>
    <definedName name="HNRGP">RDATA!$AE$2:$AF$117</definedName>
    <definedName name="HORGP">RDATA!$AQ$2:$AR$117</definedName>
    <definedName name="HSGGP">RDATA!$T$2:$U$573</definedName>
    <definedName name="IN">輸入頁!$E$5</definedName>
    <definedName name="INS">輸入頁!$J$21</definedName>
    <definedName name="List">Total!$B$7:$Q$8</definedName>
    <definedName name="MGP">OP!$C$35</definedName>
    <definedName name="PA">PDATA!$EC$100:$HI$195</definedName>
    <definedName name="PAY">Total!$B$20:$M$121</definedName>
    <definedName name="PAYAll">Total!$C$20:$M$121</definedName>
    <definedName name="PI">OP!$AK$4:$AL$90</definedName>
    <definedName name="PM">輸入頁!$D$17</definedName>
    <definedName name="_xlnm.Print_Area" localSheetId="12">列印頁!$A$1:$V$466</definedName>
    <definedName name="_xlnm.Print_Area" localSheetId="11">輸入頁!$A$1:$T$104</definedName>
    <definedName name="RDOC">ROP!$S$2:$U$137</definedName>
    <definedName name="RList">ROP!$A$16:$H$20</definedName>
    <definedName name="RTEX">ROP!$AL$52:$AL$76</definedName>
    <definedName name="SEX">輸入頁!$K$5</definedName>
    <definedName name="SM">Total!$B$11:$B$13</definedName>
    <definedName name="SUMP">OP!$AJ$3:$AS$14</definedName>
    <definedName name="SUMY">OP!$AJ$3:$AK$14</definedName>
    <definedName name="WORDING">OP!$N$2:$O$20</definedName>
    <definedName name="WORDING1">'OP1'!$N$2:$O$20</definedName>
    <definedName name="WORDINGP">OP!$S$3:$T$41</definedName>
    <definedName name="WORDINGP1">'OP1'!$S$2:$T$41</definedName>
    <definedName name="YPN">輸入頁!$D$21</definedName>
    <definedName name="YPN1">輸入頁!$D$34</definedName>
    <definedName name="主約1">OP!$H$43:$H$45</definedName>
    <definedName name="保額倍數">'OP1'!$B$72:$C$182</definedName>
    <definedName name="繳">OP!$H$17:$H$21</definedName>
    <definedName name="繳1">'OP1'!$H$17:$H$21</definedName>
    <definedName name="繳別首">OP!$K$31:$K$35</definedName>
    <definedName name="繳別首1">'OP1'!$K$31:$K$35</definedName>
    <definedName name="繳別續">OP!$L$31:$L$34</definedName>
    <definedName name="繳別續1">'OP1'!$L$31:$L$34</definedName>
  </definedNames>
  <calcPr calcId="162913" fullPrecision="0"/>
  <webPublishObjects count="1">
    <webPublishObject id="30313" divId="e-test0804_30313" destinationFile="D:\Documents and Settings\Administrator.NONE-7C44F5C952\桌面\自製試算表\e-test0804.htm"/>
  </webPublishObjects>
</workbook>
</file>

<file path=xl/calcChain.xml><?xml version="1.0" encoding="utf-8"?>
<calcChain xmlns="http://schemas.openxmlformats.org/spreadsheetml/2006/main">
  <c r="C3" i="22" l="1"/>
  <c r="P125" i="15" l="1"/>
  <c r="P61" i="15"/>
  <c r="P332" i="15"/>
  <c r="P257" i="15"/>
  <c r="ED100" i="29"/>
  <c r="ED101" i="29"/>
  <c r="ED102" i="29"/>
  <c r="ED103" i="29"/>
  <c r="ED104" i="29"/>
  <c r="ED105" i="29"/>
  <c r="ED106" i="29"/>
  <c r="ED107" i="29"/>
  <c r="ED108" i="29"/>
  <c r="ED109" i="29"/>
  <c r="ED110" i="29"/>
  <c r="ED111" i="29"/>
  <c r="ED112" i="29"/>
  <c r="ED113" i="29"/>
  <c r="ED114" i="29"/>
  <c r="ED115" i="29"/>
  <c r="ED116" i="29"/>
  <c r="ED117" i="29"/>
  <c r="ED118" i="29"/>
  <c r="ED119" i="29"/>
  <c r="ED120" i="29"/>
  <c r="ED121" i="29"/>
  <c r="ED122" i="29"/>
  <c r="ED123" i="29"/>
  <c r="ED124" i="29"/>
  <c r="ED125" i="29"/>
  <c r="ED126" i="29"/>
  <c r="ED127" i="29"/>
  <c r="ED128" i="29"/>
  <c r="ED129" i="29"/>
  <c r="ED130" i="29"/>
  <c r="ED131" i="29"/>
  <c r="ED132" i="29"/>
  <c r="ED133" i="29"/>
  <c r="ED134" i="29"/>
  <c r="ED135" i="29"/>
  <c r="ED136" i="29"/>
  <c r="ED137" i="29"/>
  <c r="ED138" i="29"/>
  <c r="ED139" i="29"/>
  <c r="ED140" i="29"/>
  <c r="ED141" i="29"/>
  <c r="ED142" i="29"/>
  <c r="ED143" i="29"/>
  <c r="ED144" i="29"/>
  <c r="ED145" i="29"/>
  <c r="ED146" i="29"/>
  <c r="ED147" i="29"/>
  <c r="ED148" i="29"/>
  <c r="ED149" i="29"/>
  <c r="ED150" i="29"/>
  <c r="ED151" i="29"/>
  <c r="ED152" i="29"/>
  <c r="ED153" i="29"/>
  <c r="ED154" i="29"/>
  <c r="ED155" i="29"/>
  <c r="ED156" i="29"/>
  <c r="ED157" i="29"/>
  <c r="ED158" i="29"/>
  <c r="ED159" i="29"/>
  <c r="ED160" i="29"/>
  <c r="ED161" i="29"/>
  <c r="ED162" i="29"/>
  <c r="ED163" i="29"/>
  <c r="ED164" i="29"/>
  <c r="ED165" i="29"/>
  <c r="ED166" i="29"/>
  <c r="ED167" i="29"/>
  <c r="ED168" i="29"/>
  <c r="ED169" i="29"/>
  <c r="ED170" i="29"/>
  <c r="ED171" i="29"/>
  <c r="ED172" i="29"/>
  <c r="ED173" i="29"/>
  <c r="ED174" i="29"/>
  <c r="ED175" i="29"/>
  <c r="ED176" i="29"/>
  <c r="ED177" i="29"/>
  <c r="ED178" i="29"/>
  <c r="ED179" i="29"/>
  <c r="ED180" i="29"/>
  <c r="ED181" i="29"/>
  <c r="ED182" i="29"/>
  <c r="ED183" i="29"/>
  <c r="ED184" i="29"/>
  <c r="ED185" i="29"/>
  <c r="ED186" i="29"/>
  <c r="ED187" i="29"/>
  <c r="ED188" i="29"/>
  <c r="ED189" i="29"/>
  <c r="ED190" i="29"/>
  <c r="ED191" i="29"/>
  <c r="ED192" i="29"/>
  <c r="ED193" i="29"/>
  <c r="ED194" i="29"/>
  <c r="Q100" i="29"/>
  <c r="Q101" i="29"/>
  <c r="Q102" i="29"/>
  <c r="Q103" i="29"/>
  <c r="Q104" i="29"/>
  <c r="Q105" i="29"/>
  <c r="Q106" i="29"/>
  <c r="Q107" i="29"/>
  <c r="Q108" i="29"/>
  <c r="Q109" i="29"/>
  <c r="Q110" i="29"/>
  <c r="Q111" i="29"/>
  <c r="Q112" i="29"/>
  <c r="Q113" i="29"/>
  <c r="Q114" i="29"/>
  <c r="Q115" i="29"/>
  <c r="Q116" i="29"/>
  <c r="Q117" i="29"/>
  <c r="Q118" i="29"/>
  <c r="Q119" i="29"/>
  <c r="Q120" i="29"/>
  <c r="Q121" i="29"/>
  <c r="Q122" i="29"/>
  <c r="Q123" i="29"/>
  <c r="Q124" i="29"/>
  <c r="Q125" i="29"/>
  <c r="Q126" i="29"/>
  <c r="Q127" i="29"/>
  <c r="Q128" i="29"/>
  <c r="Q129" i="29"/>
  <c r="Q130" i="29"/>
  <c r="Q131" i="29"/>
  <c r="Q132" i="29"/>
  <c r="Q133" i="29"/>
  <c r="Q134" i="29"/>
  <c r="Q135" i="29"/>
  <c r="Q136" i="29"/>
  <c r="Q137" i="29"/>
  <c r="Q138" i="29"/>
  <c r="Q139" i="29"/>
  <c r="Q140" i="29"/>
  <c r="Q141" i="29"/>
  <c r="Q142" i="29"/>
  <c r="Q143" i="29"/>
  <c r="Q144" i="29"/>
  <c r="Q145" i="29"/>
  <c r="Q146" i="29"/>
  <c r="Q147" i="29"/>
  <c r="Q148" i="29"/>
  <c r="Q149" i="29"/>
  <c r="Q150" i="29"/>
  <c r="Q151" i="29"/>
  <c r="Q152" i="29"/>
  <c r="Q153" i="29"/>
  <c r="Q154" i="29"/>
  <c r="Q155" i="29"/>
  <c r="Q156" i="29"/>
  <c r="Q157" i="29"/>
  <c r="Q158" i="29"/>
  <c r="Q159" i="29"/>
  <c r="Q160" i="29"/>
  <c r="Q161" i="29"/>
  <c r="Q162" i="29"/>
  <c r="Q163" i="29"/>
  <c r="Q164" i="29"/>
  <c r="Q165" i="29"/>
  <c r="Q166" i="29"/>
  <c r="Q167" i="29"/>
  <c r="Q168" i="29"/>
  <c r="Q169" i="29"/>
  <c r="Q170" i="29"/>
  <c r="Q171" i="29"/>
  <c r="Q172" i="29"/>
  <c r="Q173" i="29"/>
  <c r="Q174" i="29"/>
  <c r="Q175" i="29"/>
  <c r="Q176" i="29"/>
  <c r="Q177" i="29"/>
  <c r="Q178" i="29"/>
  <c r="Q179" i="29"/>
  <c r="Q180" i="29"/>
  <c r="Q181" i="29"/>
  <c r="Q182" i="29"/>
  <c r="Q183" i="29"/>
  <c r="Q184" i="29"/>
  <c r="Q185" i="29"/>
  <c r="Q186" i="29"/>
  <c r="Q187" i="29"/>
  <c r="Q188" i="29"/>
  <c r="Q189" i="29"/>
  <c r="Q190" i="29"/>
  <c r="Q191" i="29"/>
  <c r="Q192" i="29"/>
  <c r="Q193" i="29"/>
  <c r="Q194" i="29"/>
  <c r="J2" i="29"/>
  <c r="J3" i="29"/>
  <c r="J4" i="29"/>
  <c r="J5" i="29"/>
  <c r="J6" i="29"/>
  <c r="J7" i="29"/>
  <c r="J8" i="29"/>
  <c r="J9" i="29"/>
  <c r="J10" i="29"/>
  <c r="J11" i="29"/>
  <c r="J12" i="29"/>
  <c r="J13" i="29"/>
  <c r="J14" i="29"/>
  <c r="J15" i="29"/>
  <c r="J16" i="29"/>
  <c r="J17" i="29"/>
  <c r="J18" i="29"/>
  <c r="J19" i="29"/>
  <c r="J20" i="29"/>
  <c r="J21" i="29"/>
  <c r="J22" i="29"/>
  <c r="J23" i="29"/>
  <c r="J24" i="29"/>
  <c r="J25" i="29"/>
  <c r="J26" i="29"/>
  <c r="J27" i="29"/>
  <c r="J28" i="29"/>
  <c r="J29" i="29"/>
  <c r="J30" i="29"/>
  <c r="J31" i="29"/>
  <c r="J32" i="29"/>
  <c r="J33" i="29"/>
  <c r="J34" i="29"/>
  <c r="J35" i="29"/>
  <c r="J36" i="29"/>
  <c r="J37" i="29"/>
  <c r="J38" i="29"/>
  <c r="J39" i="29"/>
  <c r="J40" i="29"/>
  <c r="J41" i="29"/>
  <c r="J42" i="29"/>
  <c r="J43" i="29"/>
  <c r="J44" i="29"/>
  <c r="J45" i="29"/>
  <c r="J46" i="29"/>
  <c r="J47" i="29"/>
  <c r="J48" i="29"/>
  <c r="J49" i="29"/>
  <c r="J50" i="29"/>
  <c r="J51" i="29"/>
  <c r="J52" i="29"/>
  <c r="J53" i="29"/>
  <c r="J54" i="29"/>
  <c r="J55" i="29"/>
  <c r="J56" i="29"/>
  <c r="J57" i="29"/>
  <c r="J58" i="29"/>
  <c r="J59" i="29"/>
  <c r="J60" i="29"/>
  <c r="J61" i="29"/>
  <c r="J62" i="29"/>
  <c r="J63" i="29"/>
  <c r="J64" i="29"/>
  <c r="J65" i="29"/>
  <c r="J66" i="29"/>
  <c r="J67" i="29"/>
  <c r="J68" i="29"/>
  <c r="J69" i="29"/>
  <c r="J70" i="29"/>
  <c r="J71" i="29"/>
  <c r="J72" i="29"/>
  <c r="J73" i="29"/>
  <c r="J74" i="29"/>
  <c r="J75" i="29"/>
  <c r="J76" i="29"/>
  <c r="J77" i="29"/>
  <c r="J78" i="29"/>
  <c r="J79" i="29"/>
  <c r="J80" i="29"/>
  <c r="J81" i="29"/>
  <c r="J82" i="29"/>
  <c r="J83" i="29"/>
  <c r="J84" i="29"/>
  <c r="J85" i="29"/>
  <c r="J86" i="29"/>
  <c r="J87" i="29"/>
  <c r="J88" i="29"/>
  <c r="J89" i="29"/>
  <c r="J90" i="29"/>
  <c r="J91" i="29"/>
  <c r="J92" i="29"/>
  <c r="J93" i="29"/>
  <c r="J94" i="29"/>
  <c r="J95" i="29"/>
  <c r="J96" i="29"/>
  <c r="Q2" i="29"/>
  <c r="Q3" i="29"/>
  <c r="Q4" i="29"/>
  <c r="Q5" i="29"/>
  <c r="Q6" i="29"/>
  <c r="Q7" i="29"/>
  <c r="Q8" i="29"/>
  <c r="Q9" i="29"/>
  <c r="Q10" i="29"/>
  <c r="Q11" i="29"/>
  <c r="Q12" i="29"/>
  <c r="Q13"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93" i="29"/>
  <c r="Q94" i="29"/>
  <c r="Q95" i="29"/>
  <c r="Q96" i="29"/>
  <c r="ED2" i="29"/>
  <c r="ED3" i="29"/>
  <c r="ED4" i="29"/>
  <c r="ED5" i="29"/>
  <c r="ED6" i="29"/>
  <c r="ED7" i="29"/>
  <c r="ED8" i="29"/>
  <c r="ED9" i="29"/>
  <c r="ED10" i="29"/>
  <c r="ED11" i="29"/>
  <c r="ED12" i="29"/>
  <c r="ED13" i="29"/>
  <c r="ED14" i="29"/>
  <c r="ED15" i="29"/>
  <c r="ED16" i="29"/>
  <c r="ED17" i="29"/>
  <c r="ED18" i="29"/>
  <c r="ED19" i="29"/>
  <c r="ED20" i="29"/>
  <c r="ED21" i="29"/>
  <c r="ED22" i="29"/>
  <c r="ED23" i="29"/>
  <c r="ED24" i="29"/>
  <c r="ED25" i="29"/>
  <c r="ED26" i="29"/>
  <c r="ED27" i="29"/>
  <c r="ED28" i="29"/>
  <c r="ED29" i="29"/>
  <c r="ED30" i="29"/>
  <c r="ED31" i="29"/>
  <c r="ED32" i="29"/>
  <c r="ED33" i="29"/>
  <c r="ED34" i="29"/>
  <c r="ED35" i="29"/>
  <c r="ED36" i="29"/>
  <c r="ED37" i="29"/>
  <c r="ED38" i="29"/>
  <c r="ED39" i="29"/>
  <c r="ED40" i="29"/>
  <c r="ED41" i="29"/>
  <c r="ED42" i="29"/>
  <c r="ED43" i="29"/>
  <c r="ED44" i="29"/>
  <c r="ED45" i="29"/>
  <c r="ED46" i="29"/>
  <c r="ED47" i="29"/>
  <c r="ED48" i="29"/>
  <c r="ED49" i="29"/>
  <c r="ED50" i="29"/>
  <c r="ED51" i="29"/>
  <c r="ED52" i="29"/>
  <c r="ED53" i="29"/>
  <c r="ED54" i="29"/>
  <c r="ED55" i="29"/>
  <c r="ED56" i="29"/>
  <c r="ED57" i="29"/>
  <c r="ED58" i="29"/>
  <c r="ED59" i="29"/>
  <c r="ED60" i="29"/>
  <c r="ED61" i="29"/>
  <c r="ED62" i="29"/>
  <c r="ED63" i="29"/>
  <c r="ED64" i="29"/>
  <c r="ED65" i="29"/>
  <c r="ED66" i="29"/>
  <c r="ED67" i="29"/>
  <c r="ED68" i="29"/>
  <c r="ED69" i="29"/>
  <c r="ED70" i="29"/>
  <c r="ED71" i="29"/>
  <c r="ED72" i="29"/>
  <c r="ED73" i="29"/>
  <c r="ED74" i="29"/>
  <c r="ED75" i="29"/>
  <c r="ED76" i="29"/>
  <c r="ED77" i="29"/>
  <c r="ED78" i="29"/>
  <c r="ED79" i="29"/>
  <c r="ED80" i="29"/>
  <c r="ED81" i="29"/>
  <c r="ED82" i="29"/>
  <c r="ED83" i="29"/>
  <c r="ED84" i="29"/>
  <c r="ED85" i="29"/>
  <c r="ED86" i="29"/>
  <c r="ED87" i="29"/>
  <c r="ED88" i="29"/>
  <c r="ED89" i="29"/>
  <c r="ED90" i="29"/>
  <c r="ED91" i="29"/>
  <c r="ED92" i="29"/>
  <c r="ED93" i="29"/>
  <c r="ED94" i="29"/>
  <c r="ED95" i="29"/>
  <c r="ED96" i="29"/>
  <c r="C22" i="27"/>
  <c r="C24" i="27" s="1"/>
  <c r="F22" i="25"/>
  <c r="F24" i="25" s="1"/>
  <c r="F30" i="25" s="1"/>
  <c r="E22" i="25"/>
  <c r="E24" i="25" s="1"/>
  <c r="E30" i="25" s="1"/>
  <c r="H24" i="25"/>
  <c r="H33" i="25" s="1"/>
  <c r="H52" i="25" s="1"/>
  <c r="D51" i="27"/>
  <c r="S122" i="25"/>
  <c r="V97" i="25"/>
  <c r="AC5" i="32"/>
  <c r="AQ2" i="26"/>
  <c r="AQ3" i="26"/>
  <c r="AQ4" i="26"/>
  <c r="AQ5" i="26"/>
  <c r="AQ6" i="26"/>
  <c r="AQ7" i="26"/>
  <c r="AQ8" i="26"/>
  <c r="AQ9" i="26"/>
  <c r="AQ10" i="26"/>
  <c r="AQ11" i="26"/>
  <c r="AQ12" i="26"/>
  <c r="AQ13" i="26"/>
  <c r="AQ14" i="26"/>
  <c r="AQ15" i="26"/>
  <c r="AQ16" i="26"/>
  <c r="AQ17" i="26"/>
  <c r="AQ18" i="26"/>
  <c r="AQ19" i="26"/>
  <c r="AQ20" i="26"/>
  <c r="AQ21" i="26"/>
  <c r="AQ22" i="26"/>
  <c r="AQ23" i="26"/>
  <c r="AQ24" i="26"/>
  <c r="AQ25" i="26"/>
  <c r="AQ26" i="26"/>
  <c r="AQ27" i="26"/>
  <c r="AQ28" i="26"/>
  <c r="AQ29" i="26"/>
  <c r="AQ30" i="26"/>
  <c r="AQ31" i="26"/>
  <c r="AQ32" i="26"/>
  <c r="AQ33" i="26"/>
  <c r="AQ34" i="26"/>
  <c r="AQ35" i="26"/>
  <c r="AQ36" i="26"/>
  <c r="AQ37" i="26"/>
  <c r="AQ38" i="26"/>
  <c r="AQ39" i="26"/>
  <c r="AQ40" i="26"/>
  <c r="AQ41" i="26"/>
  <c r="AQ42" i="26"/>
  <c r="AQ43" i="26"/>
  <c r="AQ44" i="26"/>
  <c r="AQ45" i="26"/>
  <c r="AQ46" i="26"/>
  <c r="AQ47" i="26"/>
  <c r="AQ48" i="26"/>
  <c r="AQ49" i="26"/>
  <c r="AQ50" i="26"/>
  <c r="AQ51" i="26"/>
  <c r="AQ52" i="26"/>
  <c r="AQ53" i="26"/>
  <c r="AQ54" i="26"/>
  <c r="AQ55" i="26"/>
  <c r="AQ56" i="26"/>
  <c r="AQ57" i="26"/>
  <c r="AQ58" i="26"/>
  <c r="AQ59" i="26"/>
  <c r="AQ60" i="26"/>
  <c r="AQ61" i="26"/>
  <c r="AQ62" i="26"/>
  <c r="AQ63" i="26"/>
  <c r="AQ64" i="26"/>
  <c r="AQ65" i="26"/>
  <c r="AQ66" i="26"/>
  <c r="AQ67" i="26"/>
  <c r="AQ68" i="26"/>
  <c r="AQ69" i="26"/>
  <c r="AQ70" i="26"/>
  <c r="AQ71" i="26"/>
  <c r="AQ72" i="26"/>
  <c r="AQ73" i="26"/>
  <c r="AQ74" i="26"/>
  <c r="AQ75" i="26"/>
  <c r="AQ76" i="26"/>
  <c r="AQ77" i="26"/>
  <c r="AQ78" i="26"/>
  <c r="AQ79" i="26"/>
  <c r="AQ80" i="26"/>
  <c r="AQ81" i="26"/>
  <c r="AQ82" i="26"/>
  <c r="AQ83" i="26"/>
  <c r="AQ84" i="26"/>
  <c r="AQ85" i="26"/>
  <c r="AQ86" i="26"/>
  <c r="AQ87" i="26"/>
  <c r="AQ88" i="26"/>
  <c r="AQ89" i="26"/>
  <c r="AQ90" i="26"/>
  <c r="AQ91" i="26"/>
  <c r="AQ92" i="26"/>
  <c r="AQ93" i="26"/>
  <c r="AQ94" i="26"/>
  <c r="AQ95" i="26"/>
  <c r="AQ96" i="26"/>
  <c r="AQ97" i="26"/>
  <c r="AQ98" i="26"/>
  <c r="AQ99" i="26"/>
  <c r="AQ100" i="26"/>
  <c r="AQ101" i="26"/>
  <c r="AQ102" i="26"/>
  <c r="AQ103" i="26"/>
  <c r="AQ104" i="26"/>
  <c r="AQ105" i="26"/>
  <c r="AQ106" i="26"/>
  <c r="AQ107" i="26"/>
  <c r="AQ108" i="26"/>
  <c r="AQ109" i="26"/>
  <c r="AQ110" i="26"/>
  <c r="AQ111" i="26"/>
  <c r="AQ112" i="26"/>
  <c r="AQ113" i="26"/>
  <c r="AQ114" i="26"/>
  <c r="AQ115" i="26"/>
  <c r="AQ116" i="26"/>
  <c r="AQ117" i="26"/>
  <c r="V125" i="25"/>
  <c r="D1" i="28"/>
  <c r="K4" i="28" s="1"/>
  <c r="ED99" i="29"/>
  <c r="Q99" i="29"/>
  <c r="ED1" i="29"/>
  <c r="Q1" i="29"/>
  <c r="J1" i="29"/>
  <c r="I28" i="27"/>
  <c r="C54" i="27"/>
  <c r="D4" i="15"/>
  <c r="C159" i="27"/>
  <c r="D158" i="27"/>
  <c r="B156" i="27" s="1"/>
  <c r="E156" i="27"/>
  <c r="E150" i="27"/>
  <c r="C150" i="27" s="1"/>
  <c r="D158" i="22"/>
  <c r="B156" i="22" s="1"/>
  <c r="E156" i="22"/>
  <c r="C159" i="22"/>
  <c r="E150" i="22"/>
  <c r="C150" i="22" s="1"/>
  <c r="O13" i="9"/>
  <c r="D13" i="9"/>
  <c r="F10" i="9"/>
  <c r="E10" i="9"/>
  <c r="B103" i="9"/>
  <c r="V46" i="25"/>
  <c r="C18" i="25"/>
  <c r="BB2" i="26"/>
  <c r="BB3" i="26"/>
  <c r="BB4" i="26"/>
  <c r="BB5" i="26"/>
  <c r="BB6" i="26"/>
  <c r="BB7" i="26"/>
  <c r="BB8" i="26"/>
  <c r="BB9" i="26"/>
  <c r="BB10" i="26"/>
  <c r="BB11" i="26"/>
  <c r="BB12" i="26"/>
  <c r="BB13" i="26"/>
  <c r="BB14" i="26"/>
  <c r="BB15" i="26"/>
  <c r="BB16" i="26"/>
  <c r="BB17" i="26"/>
  <c r="BB18" i="26"/>
  <c r="BB19" i="26"/>
  <c r="BB20" i="26"/>
  <c r="BB21" i="26"/>
  <c r="BB22" i="26"/>
  <c r="BB23" i="26"/>
  <c r="BB24" i="26"/>
  <c r="BB25" i="26"/>
  <c r="BB26" i="26"/>
  <c r="BB27" i="26"/>
  <c r="BB28" i="26"/>
  <c r="BB29" i="26"/>
  <c r="BB30" i="26"/>
  <c r="BB31" i="26"/>
  <c r="BB32" i="26"/>
  <c r="BB33" i="26"/>
  <c r="BB34" i="26"/>
  <c r="BB35" i="26"/>
  <c r="BB36" i="26"/>
  <c r="BB37" i="26"/>
  <c r="BB38" i="26"/>
  <c r="BB39" i="26"/>
  <c r="BB40" i="26"/>
  <c r="BB41" i="26"/>
  <c r="BB42" i="26"/>
  <c r="BB43" i="26"/>
  <c r="BB44" i="26"/>
  <c r="BB45" i="26"/>
  <c r="BB46" i="26"/>
  <c r="BB47" i="26"/>
  <c r="BB48" i="26"/>
  <c r="BB49" i="26"/>
  <c r="BB50" i="26"/>
  <c r="BB51" i="26"/>
  <c r="BB52" i="26"/>
  <c r="BB53" i="26"/>
  <c r="BB54" i="26"/>
  <c r="BB55" i="26"/>
  <c r="BB56" i="26"/>
  <c r="BB57" i="26"/>
  <c r="BB58" i="26"/>
  <c r="BB59" i="26"/>
  <c r="BB60" i="26"/>
  <c r="BB61" i="26"/>
  <c r="BB62" i="26"/>
  <c r="BB63" i="26"/>
  <c r="BB64" i="26"/>
  <c r="BB65" i="26"/>
  <c r="BB66" i="26"/>
  <c r="BB67" i="26"/>
  <c r="BB68" i="26"/>
  <c r="BB69" i="26"/>
  <c r="BB70" i="26"/>
  <c r="BB71" i="26"/>
  <c r="BB72" i="26"/>
  <c r="BB73" i="26"/>
  <c r="BB74" i="26"/>
  <c r="BB75" i="26"/>
  <c r="BB76" i="26"/>
  <c r="BB77" i="26"/>
  <c r="BB78" i="26"/>
  <c r="BB79" i="26"/>
  <c r="BB80" i="26"/>
  <c r="BB81" i="26"/>
  <c r="BB82" i="26"/>
  <c r="BB83" i="26"/>
  <c r="BB84" i="26"/>
  <c r="BB85" i="26"/>
  <c r="BB86" i="26"/>
  <c r="BB87" i="26"/>
  <c r="BB88" i="26"/>
  <c r="BB89" i="26"/>
  <c r="BB90" i="26"/>
  <c r="BB91" i="26"/>
  <c r="BB92" i="26"/>
  <c r="BB93" i="26"/>
  <c r="BB94" i="26"/>
  <c r="BB95" i="26"/>
  <c r="BB96" i="26"/>
  <c r="BB97" i="26"/>
  <c r="BB98" i="26"/>
  <c r="BB99" i="26"/>
  <c r="BB100" i="26"/>
  <c r="BB101" i="26"/>
  <c r="BB102" i="26"/>
  <c r="BB103" i="26"/>
  <c r="BB104" i="26"/>
  <c r="BB105" i="26"/>
  <c r="BB106" i="26"/>
  <c r="BB107" i="26"/>
  <c r="BB108" i="26"/>
  <c r="BB109" i="26"/>
  <c r="BB110" i="26"/>
  <c r="BB111" i="26"/>
  <c r="BB112" i="26"/>
  <c r="BB113" i="26"/>
  <c r="BB114" i="26"/>
  <c r="BB115" i="26"/>
  <c r="BB116" i="26"/>
  <c r="BB117" i="26"/>
  <c r="AE2" i="26"/>
  <c r="AE3" i="26"/>
  <c r="AE4" i="26"/>
  <c r="AE5" i="26"/>
  <c r="AE6" i="26"/>
  <c r="AE7" i="26"/>
  <c r="AE8" i="26"/>
  <c r="AE9" i="26"/>
  <c r="AE10" i="26"/>
  <c r="AE11" i="26"/>
  <c r="AE12" i="26"/>
  <c r="AE13" i="26"/>
  <c r="AE14" i="26"/>
  <c r="AE15" i="26"/>
  <c r="AE16" i="26"/>
  <c r="AE17" i="26"/>
  <c r="AE18" i="26"/>
  <c r="AE19" i="26"/>
  <c r="AE20" i="26"/>
  <c r="AE21" i="26"/>
  <c r="AE22" i="26"/>
  <c r="AE23" i="26"/>
  <c r="AE24" i="26"/>
  <c r="AE25" i="26"/>
  <c r="AE26" i="26"/>
  <c r="AE27" i="26"/>
  <c r="AE28" i="26"/>
  <c r="AE29" i="26"/>
  <c r="AE30" i="26"/>
  <c r="AE31" i="26"/>
  <c r="AE32" i="26"/>
  <c r="AE33" i="26"/>
  <c r="AE34" i="26"/>
  <c r="AE35" i="26"/>
  <c r="AE36" i="26"/>
  <c r="AE37" i="26"/>
  <c r="AE38" i="26"/>
  <c r="AE39" i="26"/>
  <c r="AE40" i="26"/>
  <c r="AE41" i="26"/>
  <c r="AE42" i="26"/>
  <c r="AE43" i="26"/>
  <c r="AE44" i="26"/>
  <c r="AE45" i="26"/>
  <c r="AE46" i="26"/>
  <c r="AE47" i="26"/>
  <c r="AE48" i="26"/>
  <c r="AE49" i="26"/>
  <c r="AE50" i="26"/>
  <c r="AE51" i="26"/>
  <c r="AE52" i="26"/>
  <c r="AE53" i="26"/>
  <c r="AE54" i="26"/>
  <c r="AE55" i="26"/>
  <c r="AE56" i="26"/>
  <c r="AE57" i="26"/>
  <c r="AE58" i="26"/>
  <c r="AE59" i="26"/>
  <c r="AE60" i="26"/>
  <c r="AE61" i="26"/>
  <c r="AE62" i="26"/>
  <c r="AE63" i="26"/>
  <c r="AE64" i="26"/>
  <c r="AE65" i="26"/>
  <c r="AE66" i="26"/>
  <c r="AE67" i="26"/>
  <c r="AE68" i="26"/>
  <c r="AE69" i="26"/>
  <c r="AE70" i="26"/>
  <c r="AE71" i="26"/>
  <c r="AE72" i="26"/>
  <c r="AE73" i="26"/>
  <c r="AE74" i="26"/>
  <c r="AE75" i="26"/>
  <c r="AE76" i="26"/>
  <c r="AE77" i="26"/>
  <c r="AE78" i="26"/>
  <c r="AE79" i="26"/>
  <c r="AE80" i="26"/>
  <c r="AE81" i="26"/>
  <c r="AE82" i="26"/>
  <c r="AE83" i="26"/>
  <c r="AE84" i="26"/>
  <c r="AE85" i="26"/>
  <c r="AE86" i="26"/>
  <c r="AE87" i="26"/>
  <c r="AE88" i="26"/>
  <c r="AE89" i="26"/>
  <c r="AE90" i="26"/>
  <c r="AE91" i="26"/>
  <c r="AE92" i="26"/>
  <c r="AE93" i="26"/>
  <c r="AE94" i="26"/>
  <c r="AE95" i="26"/>
  <c r="AE96" i="26"/>
  <c r="AE97" i="26"/>
  <c r="AE98" i="26"/>
  <c r="AE99" i="26"/>
  <c r="AE100" i="26"/>
  <c r="AE101" i="26"/>
  <c r="AE102" i="26"/>
  <c r="AE103" i="26"/>
  <c r="AE104" i="26"/>
  <c r="AE105" i="26"/>
  <c r="AE106" i="26"/>
  <c r="AE107" i="26"/>
  <c r="AE108" i="26"/>
  <c r="AE109" i="26"/>
  <c r="AE110" i="26"/>
  <c r="AE111" i="26"/>
  <c r="AE112" i="26"/>
  <c r="AE113" i="26"/>
  <c r="AE114" i="26"/>
  <c r="AE115" i="26"/>
  <c r="AE116" i="26"/>
  <c r="AE117" i="26"/>
  <c r="T2" i="26"/>
  <c r="T3" i="26"/>
  <c r="T4" i="26"/>
  <c r="T5" i="26"/>
  <c r="T6" i="26"/>
  <c r="T7" i="26"/>
  <c r="T8" i="26"/>
  <c r="T9" i="26"/>
  <c r="T10" i="26"/>
  <c r="T11" i="26"/>
  <c r="T12" i="26"/>
  <c r="T13" i="26"/>
  <c r="T14" i="26"/>
  <c r="T15" i="26"/>
  <c r="T16" i="26"/>
  <c r="T17" i="26"/>
  <c r="T18" i="26"/>
  <c r="T19" i="26"/>
  <c r="T20" i="26"/>
  <c r="T21" i="26"/>
  <c r="T22" i="26"/>
  <c r="T23" i="26"/>
  <c r="T24" i="26"/>
  <c r="T25" i="26"/>
  <c r="T26" i="26"/>
  <c r="T27" i="26"/>
  <c r="T28" i="26"/>
  <c r="T29" i="26"/>
  <c r="T30" i="26"/>
  <c r="T31" i="26"/>
  <c r="T32" i="26"/>
  <c r="T33" i="26"/>
  <c r="T34" i="26"/>
  <c r="T35" i="26"/>
  <c r="T36" i="26"/>
  <c r="T37" i="26"/>
  <c r="T38" i="26"/>
  <c r="T39" i="26"/>
  <c r="T40" i="26"/>
  <c r="T41" i="26"/>
  <c r="T42" i="26"/>
  <c r="T43" i="26"/>
  <c r="T44" i="26"/>
  <c r="T45" i="26"/>
  <c r="T46" i="26"/>
  <c r="T47" i="26"/>
  <c r="T48" i="26"/>
  <c r="T49" i="26"/>
  <c r="T50" i="26"/>
  <c r="T51" i="26"/>
  <c r="T52" i="26"/>
  <c r="T53" i="26"/>
  <c r="T54" i="26"/>
  <c r="T55" i="26"/>
  <c r="T56" i="26"/>
  <c r="T57" i="26"/>
  <c r="T58" i="26"/>
  <c r="T59" i="26"/>
  <c r="T60" i="26"/>
  <c r="T61" i="26"/>
  <c r="T62" i="26"/>
  <c r="T63" i="26"/>
  <c r="T64" i="26"/>
  <c r="T65" i="26"/>
  <c r="T66" i="26"/>
  <c r="T67" i="26"/>
  <c r="T68" i="26"/>
  <c r="T69" i="26"/>
  <c r="T70" i="26"/>
  <c r="T71" i="26"/>
  <c r="T72" i="26"/>
  <c r="T73" i="26"/>
  <c r="T74" i="26"/>
  <c r="T75" i="26"/>
  <c r="T76" i="26"/>
  <c r="T77" i="26"/>
  <c r="T78" i="26"/>
  <c r="T79" i="26"/>
  <c r="T80" i="26"/>
  <c r="T81" i="26"/>
  <c r="T82" i="26"/>
  <c r="T83" i="26"/>
  <c r="T84" i="26"/>
  <c r="T85" i="26"/>
  <c r="T86" i="26"/>
  <c r="T87" i="26"/>
  <c r="T88" i="26"/>
  <c r="T89" i="26"/>
  <c r="T90" i="26"/>
  <c r="T91" i="26"/>
  <c r="T92" i="26"/>
  <c r="T93" i="26"/>
  <c r="T94" i="26"/>
  <c r="T95" i="26"/>
  <c r="T96" i="26"/>
  <c r="T97" i="26"/>
  <c r="T98" i="26"/>
  <c r="T99" i="26"/>
  <c r="T100" i="26"/>
  <c r="T101" i="26"/>
  <c r="T102" i="26"/>
  <c r="T103" i="26"/>
  <c r="T104" i="26"/>
  <c r="T105" i="26"/>
  <c r="T106" i="26"/>
  <c r="T107" i="26"/>
  <c r="T108" i="26"/>
  <c r="T109" i="26"/>
  <c r="T110" i="26"/>
  <c r="T111" i="26"/>
  <c r="T112" i="26"/>
  <c r="T113" i="26"/>
  <c r="T114" i="26"/>
  <c r="T115" i="26"/>
  <c r="T116" i="26"/>
  <c r="T117" i="26"/>
  <c r="T118" i="26"/>
  <c r="T119" i="26"/>
  <c r="T120" i="26"/>
  <c r="T121" i="26"/>
  <c r="T122" i="26"/>
  <c r="T123" i="26"/>
  <c r="T124" i="26"/>
  <c r="T125" i="26"/>
  <c r="T126" i="26"/>
  <c r="T127" i="26"/>
  <c r="T128" i="26"/>
  <c r="T129" i="26"/>
  <c r="T130" i="26"/>
  <c r="T131" i="26"/>
  <c r="T132" i="26"/>
  <c r="T133" i="26"/>
  <c r="T134" i="26"/>
  <c r="T135" i="26"/>
  <c r="T136" i="26"/>
  <c r="T137" i="26"/>
  <c r="T138" i="26"/>
  <c r="T139" i="26"/>
  <c r="T140" i="26"/>
  <c r="T141" i="26"/>
  <c r="T142" i="26"/>
  <c r="T143" i="26"/>
  <c r="T144" i="26"/>
  <c r="T145" i="26"/>
  <c r="T146" i="26"/>
  <c r="T147" i="26"/>
  <c r="T148" i="26"/>
  <c r="T149" i="26"/>
  <c r="T150" i="26"/>
  <c r="T151" i="26"/>
  <c r="T152" i="26"/>
  <c r="T153" i="26"/>
  <c r="T154" i="26"/>
  <c r="T155" i="26"/>
  <c r="T156" i="26"/>
  <c r="T157" i="26"/>
  <c r="T158" i="26"/>
  <c r="T159" i="26"/>
  <c r="T160" i="26"/>
  <c r="T161" i="26"/>
  <c r="T162" i="26"/>
  <c r="T163" i="26"/>
  <c r="T164" i="26"/>
  <c r="T165" i="26"/>
  <c r="T166" i="26"/>
  <c r="T167" i="26"/>
  <c r="T168" i="26"/>
  <c r="T169" i="26"/>
  <c r="T170" i="26"/>
  <c r="T171" i="26"/>
  <c r="T172" i="26"/>
  <c r="T173" i="26"/>
  <c r="T174" i="26"/>
  <c r="T175" i="26"/>
  <c r="T176" i="26"/>
  <c r="T177" i="26"/>
  <c r="T178" i="26"/>
  <c r="T179" i="26"/>
  <c r="T180" i="26"/>
  <c r="T181" i="26"/>
  <c r="T182" i="26"/>
  <c r="T183" i="26"/>
  <c r="T184" i="26"/>
  <c r="T185" i="26"/>
  <c r="T186" i="26"/>
  <c r="T187" i="26"/>
  <c r="T188" i="26"/>
  <c r="T189" i="26"/>
  <c r="T190" i="26"/>
  <c r="T191" i="26"/>
  <c r="T192" i="26"/>
  <c r="T193" i="26"/>
  <c r="T194" i="26"/>
  <c r="T195" i="26"/>
  <c r="T196" i="26"/>
  <c r="T197" i="26"/>
  <c r="T198" i="26"/>
  <c r="T199" i="26"/>
  <c r="T200" i="26"/>
  <c r="T201" i="26"/>
  <c r="T202" i="26"/>
  <c r="T203" i="26"/>
  <c r="T204" i="26"/>
  <c r="T205" i="26"/>
  <c r="T206" i="26"/>
  <c r="T207" i="26"/>
  <c r="T208" i="26"/>
  <c r="T209" i="26"/>
  <c r="T210" i="26"/>
  <c r="T211" i="26"/>
  <c r="T212" i="26"/>
  <c r="T213" i="26"/>
  <c r="T214" i="26"/>
  <c r="T215" i="26"/>
  <c r="T216" i="26"/>
  <c r="T217" i="26"/>
  <c r="T218" i="26"/>
  <c r="T219" i="26"/>
  <c r="T220" i="26"/>
  <c r="T221" i="26"/>
  <c r="T222" i="26"/>
  <c r="T223" i="26"/>
  <c r="T224" i="26"/>
  <c r="T225" i="26"/>
  <c r="T226" i="26"/>
  <c r="T227" i="26"/>
  <c r="T228" i="26"/>
  <c r="T229" i="26"/>
  <c r="T230" i="26"/>
  <c r="T231" i="26"/>
  <c r="T232" i="26"/>
  <c r="T233" i="26"/>
  <c r="T234" i="26"/>
  <c r="T235" i="26"/>
  <c r="T236" i="26"/>
  <c r="T237" i="26"/>
  <c r="T238" i="26"/>
  <c r="T239" i="26"/>
  <c r="T240" i="26"/>
  <c r="T241" i="26"/>
  <c r="T242" i="26"/>
  <c r="T243" i="26"/>
  <c r="T244" i="26"/>
  <c r="T245" i="26"/>
  <c r="T246" i="26"/>
  <c r="T247" i="26"/>
  <c r="T248" i="26"/>
  <c r="T249" i="26"/>
  <c r="T250" i="26"/>
  <c r="T251" i="26"/>
  <c r="T252" i="26"/>
  <c r="T253" i="26"/>
  <c r="T254" i="26"/>
  <c r="T255" i="26"/>
  <c r="T256" i="26"/>
  <c r="T257" i="26"/>
  <c r="T258" i="26"/>
  <c r="T259" i="26"/>
  <c r="T260" i="26"/>
  <c r="T261" i="26"/>
  <c r="T262" i="26"/>
  <c r="T263" i="26"/>
  <c r="T264" i="26"/>
  <c r="T265" i="26"/>
  <c r="T266" i="26"/>
  <c r="T267" i="26"/>
  <c r="T268" i="26"/>
  <c r="T269" i="26"/>
  <c r="T270" i="26"/>
  <c r="T271" i="26"/>
  <c r="T272" i="26"/>
  <c r="T273" i="26"/>
  <c r="T274" i="26"/>
  <c r="T275" i="26"/>
  <c r="T276" i="26"/>
  <c r="T277" i="26"/>
  <c r="T278" i="26"/>
  <c r="T279" i="26"/>
  <c r="T280" i="26"/>
  <c r="T281" i="26"/>
  <c r="T282" i="26"/>
  <c r="T283" i="26"/>
  <c r="T284" i="26"/>
  <c r="T285" i="26"/>
  <c r="T286" i="26"/>
  <c r="T287" i="26"/>
  <c r="T288" i="26"/>
  <c r="T289" i="26"/>
  <c r="T290" i="26"/>
  <c r="T291" i="26"/>
  <c r="T292" i="26"/>
  <c r="T293" i="26"/>
  <c r="T294" i="26"/>
  <c r="T295" i="26"/>
  <c r="T296" i="26"/>
  <c r="T297" i="26"/>
  <c r="T298" i="26"/>
  <c r="T299" i="26"/>
  <c r="T300" i="26"/>
  <c r="T301" i="26"/>
  <c r="T302" i="26"/>
  <c r="T303" i="26"/>
  <c r="T304" i="26"/>
  <c r="T305" i="26"/>
  <c r="T306" i="26"/>
  <c r="T307" i="26"/>
  <c r="T308" i="26"/>
  <c r="T309" i="26"/>
  <c r="T310" i="26"/>
  <c r="T311" i="26"/>
  <c r="T312" i="26"/>
  <c r="T313" i="26"/>
  <c r="T314" i="26"/>
  <c r="T315" i="26"/>
  <c r="T316" i="26"/>
  <c r="T317" i="26"/>
  <c r="T318" i="26"/>
  <c r="T319" i="26"/>
  <c r="T320" i="26"/>
  <c r="T321" i="26"/>
  <c r="T322" i="26"/>
  <c r="T323" i="26"/>
  <c r="T324" i="26"/>
  <c r="T325" i="26"/>
  <c r="T326" i="26"/>
  <c r="T327" i="26"/>
  <c r="T328" i="26"/>
  <c r="T329" i="26"/>
  <c r="T330" i="26"/>
  <c r="T331" i="26"/>
  <c r="T332" i="26"/>
  <c r="T333" i="26"/>
  <c r="T334" i="26"/>
  <c r="T335" i="26"/>
  <c r="T336" i="26"/>
  <c r="T337" i="26"/>
  <c r="T338" i="26"/>
  <c r="T339" i="26"/>
  <c r="T340" i="26"/>
  <c r="T341" i="26"/>
  <c r="T342" i="26"/>
  <c r="T343" i="26"/>
  <c r="T344" i="26"/>
  <c r="T345" i="26"/>
  <c r="T346" i="26"/>
  <c r="T347" i="26"/>
  <c r="T348" i="26"/>
  <c r="T349" i="26"/>
  <c r="T350" i="26"/>
  <c r="T351" i="26"/>
  <c r="T352" i="26"/>
  <c r="T353" i="26"/>
  <c r="T354" i="26"/>
  <c r="T355" i="26"/>
  <c r="T356" i="26"/>
  <c r="T357" i="26"/>
  <c r="T358" i="26"/>
  <c r="T359" i="26"/>
  <c r="T360" i="26"/>
  <c r="T361" i="26"/>
  <c r="T362" i="26"/>
  <c r="T363" i="26"/>
  <c r="T364" i="26"/>
  <c r="T365" i="26"/>
  <c r="T366" i="26"/>
  <c r="T367" i="26"/>
  <c r="T368" i="26"/>
  <c r="T369" i="26"/>
  <c r="T370" i="26"/>
  <c r="T371" i="26"/>
  <c r="T372" i="26"/>
  <c r="T373" i="26"/>
  <c r="T374" i="26"/>
  <c r="T375" i="26"/>
  <c r="T376" i="26"/>
  <c r="T377" i="26"/>
  <c r="T378" i="26"/>
  <c r="T379" i="26"/>
  <c r="T380" i="26"/>
  <c r="T381" i="26"/>
  <c r="T382" i="26"/>
  <c r="T383" i="26"/>
  <c r="T384" i="26"/>
  <c r="T385" i="26"/>
  <c r="T386" i="26"/>
  <c r="T387" i="26"/>
  <c r="T388" i="26"/>
  <c r="T389" i="26"/>
  <c r="T390" i="26"/>
  <c r="T391" i="26"/>
  <c r="T392" i="26"/>
  <c r="T393" i="26"/>
  <c r="T394" i="26"/>
  <c r="T395" i="26"/>
  <c r="T396" i="26"/>
  <c r="T397" i="26"/>
  <c r="T398" i="26"/>
  <c r="T399" i="26"/>
  <c r="T400" i="26"/>
  <c r="T401" i="26"/>
  <c r="T402" i="26"/>
  <c r="T403" i="26"/>
  <c r="T404" i="26"/>
  <c r="T405" i="26"/>
  <c r="T406" i="26"/>
  <c r="T407" i="26"/>
  <c r="T408" i="26"/>
  <c r="T409" i="26"/>
  <c r="T410" i="26"/>
  <c r="T411" i="26"/>
  <c r="T412" i="26"/>
  <c r="T413" i="26"/>
  <c r="T414" i="26"/>
  <c r="T415" i="26"/>
  <c r="T416" i="26"/>
  <c r="T417" i="26"/>
  <c r="T418" i="26"/>
  <c r="T419" i="26"/>
  <c r="T420" i="26"/>
  <c r="T421" i="26"/>
  <c r="T422" i="26"/>
  <c r="T423" i="26"/>
  <c r="T424" i="26"/>
  <c r="T425" i="26"/>
  <c r="T426" i="26"/>
  <c r="T427" i="26"/>
  <c r="T428" i="26"/>
  <c r="T429" i="26"/>
  <c r="T430" i="26"/>
  <c r="T431" i="26"/>
  <c r="T432" i="26"/>
  <c r="T433" i="26"/>
  <c r="T434" i="26"/>
  <c r="T435" i="26"/>
  <c r="T436" i="26"/>
  <c r="T437" i="26"/>
  <c r="T438" i="26"/>
  <c r="T439" i="26"/>
  <c r="T440" i="26"/>
  <c r="T441" i="26"/>
  <c r="T442" i="26"/>
  <c r="T443" i="26"/>
  <c r="T444" i="26"/>
  <c r="T445" i="26"/>
  <c r="T446" i="26"/>
  <c r="T447" i="26"/>
  <c r="T448" i="26"/>
  <c r="T449" i="26"/>
  <c r="T450" i="26"/>
  <c r="T451" i="26"/>
  <c r="T452" i="26"/>
  <c r="T453" i="26"/>
  <c r="T454" i="26"/>
  <c r="T455" i="26"/>
  <c r="T456" i="26"/>
  <c r="T457" i="26"/>
  <c r="T458" i="26"/>
  <c r="T459" i="26"/>
  <c r="T460" i="26"/>
  <c r="T461" i="26"/>
  <c r="T462" i="26"/>
  <c r="T463" i="26"/>
  <c r="T464" i="26"/>
  <c r="T465" i="26"/>
  <c r="T466" i="26"/>
  <c r="T467" i="26"/>
  <c r="T468" i="26"/>
  <c r="T469" i="26"/>
  <c r="T470" i="26"/>
  <c r="T471" i="26"/>
  <c r="T472" i="26"/>
  <c r="T473" i="26"/>
  <c r="T474" i="26"/>
  <c r="T475" i="26"/>
  <c r="T476" i="26"/>
  <c r="T477" i="26"/>
  <c r="T478" i="26"/>
  <c r="T479" i="26"/>
  <c r="T480" i="26"/>
  <c r="T481" i="26"/>
  <c r="T482" i="26"/>
  <c r="T483" i="26"/>
  <c r="T484" i="26"/>
  <c r="T485" i="26"/>
  <c r="T486" i="26"/>
  <c r="T487" i="26"/>
  <c r="T488" i="26"/>
  <c r="T489" i="26"/>
  <c r="T490" i="26"/>
  <c r="T491" i="26"/>
  <c r="T492" i="26"/>
  <c r="T493" i="26"/>
  <c r="T494" i="26"/>
  <c r="T495" i="26"/>
  <c r="T496" i="26"/>
  <c r="T497" i="26"/>
  <c r="T498" i="26"/>
  <c r="T499" i="26"/>
  <c r="T500" i="26"/>
  <c r="T501" i="26"/>
  <c r="T502" i="26"/>
  <c r="T503" i="26"/>
  <c r="T504" i="26"/>
  <c r="T505" i="26"/>
  <c r="T506" i="26"/>
  <c r="T507" i="26"/>
  <c r="T508" i="26"/>
  <c r="T509" i="26"/>
  <c r="T510" i="26"/>
  <c r="T511" i="26"/>
  <c r="T512" i="26"/>
  <c r="T513" i="26"/>
  <c r="T514" i="26"/>
  <c r="T515" i="26"/>
  <c r="T516" i="26"/>
  <c r="T517" i="26"/>
  <c r="T518" i="26"/>
  <c r="T519" i="26"/>
  <c r="T520" i="26"/>
  <c r="T521" i="26"/>
  <c r="T522" i="26"/>
  <c r="T523" i="26"/>
  <c r="T524" i="26"/>
  <c r="T525" i="26"/>
  <c r="T526" i="26"/>
  <c r="T527" i="26"/>
  <c r="T528" i="26"/>
  <c r="T529" i="26"/>
  <c r="T530" i="26"/>
  <c r="T531" i="26"/>
  <c r="T532" i="26"/>
  <c r="T533" i="26"/>
  <c r="T534" i="26"/>
  <c r="T535" i="26"/>
  <c r="T536" i="26"/>
  <c r="T537" i="26"/>
  <c r="T538" i="26"/>
  <c r="T539" i="26"/>
  <c r="T540" i="26"/>
  <c r="T541" i="26"/>
  <c r="T542" i="26"/>
  <c r="T543" i="26"/>
  <c r="T544" i="26"/>
  <c r="T545" i="26"/>
  <c r="T546" i="26"/>
  <c r="T547" i="26"/>
  <c r="T548" i="26"/>
  <c r="T549" i="26"/>
  <c r="T550" i="26"/>
  <c r="T551" i="26"/>
  <c r="T552" i="26"/>
  <c r="T553" i="26"/>
  <c r="T554" i="26"/>
  <c r="T555" i="26"/>
  <c r="T556" i="26"/>
  <c r="T557" i="26"/>
  <c r="T558" i="26"/>
  <c r="T559" i="26"/>
  <c r="T560" i="26"/>
  <c r="T561" i="26"/>
  <c r="T562" i="26"/>
  <c r="T563" i="26"/>
  <c r="T564" i="26"/>
  <c r="T565" i="26"/>
  <c r="T566" i="26"/>
  <c r="T567" i="26"/>
  <c r="T568" i="26"/>
  <c r="T569" i="26"/>
  <c r="T570" i="26"/>
  <c r="T571" i="26"/>
  <c r="T572" i="26"/>
  <c r="T573" i="26"/>
  <c r="BJ2" i="26"/>
  <c r="BJ3" i="26"/>
  <c r="BJ4" i="26"/>
  <c r="BJ5" i="26"/>
  <c r="BJ6" i="26"/>
  <c r="BJ7" i="26"/>
  <c r="BJ8" i="26"/>
  <c r="BJ9" i="26"/>
  <c r="BJ10" i="26"/>
  <c r="BJ11" i="26"/>
  <c r="BJ12" i="26"/>
  <c r="BJ13" i="26"/>
  <c r="BJ14" i="26"/>
  <c r="BJ15" i="26"/>
  <c r="BJ16" i="26"/>
  <c r="BJ17" i="26"/>
  <c r="BJ18" i="26"/>
  <c r="BJ19" i="26"/>
  <c r="BJ20" i="26"/>
  <c r="BJ21" i="26"/>
  <c r="BJ22" i="26"/>
  <c r="BJ23" i="26"/>
  <c r="BJ24" i="26"/>
  <c r="BJ25" i="26"/>
  <c r="BJ26" i="26"/>
  <c r="BJ27" i="26"/>
  <c r="BJ28" i="26"/>
  <c r="BJ29" i="26"/>
  <c r="BJ30" i="26"/>
  <c r="BJ31" i="26"/>
  <c r="BJ32" i="26"/>
  <c r="BJ33" i="26"/>
  <c r="BJ34" i="26"/>
  <c r="BJ35" i="26"/>
  <c r="BJ36" i="26"/>
  <c r="BJ37" i="26"/>
  <c r="BJ38" i="26"/>
  <c r="BJ39" i="26"/>
  <c r="BJ40" i="26"/>
  <c r="BJ41" i="26"/>
  <c r="BJ42" i="26"/>
  <c r="BJ43" i="26"/>
  <c r="BJ44" i="26"/>
  <c r="BJ45" i="26"/>
  <c r="BJ46" i="26"/>
  <c r="BJ47" i="26"/>
  <c r="BJ48" i="26"/>
  <c r="BJ49" i="26"/>
  <c r="BJ50" i="26"/>
  <c r="BJ51" i="26"/>
  <c r="BJ52" i="26"/>
  <c r="BJ53" i="26"/>
  <c r="BJ54" i="26"/>
  <c r="BJ55" i="26"/>
  <c r="BJ56" i="26"/>
  <c r="BJ57" i="26"/>
  <c r="BJ58" i="26"/>
  <c r="BJ59" i="26"/>
  <c r="BJ60" i="26"/>
  <c r="BJ61" i="26"/>
  <c r="BJ62" i="26"/>
  <c r="BJ63" i="26"/>
  <c r="BJ64" i="26"/>
  <c r="BJ65" i="26"/>
  <c r="BJ66" i="26"/>
  <c r="BJ67" i="26"/>
  <c r="BJ68" i="26"/>
  <c r="BJ69" i="26"/>
  <c r="BJ70" i="26"/>
  <c r="BJ71" i="26"/>
  <c r="BJ72" i="26"/>
  <c r="BJ73" i="26"/>
  <c r="BJ74" i="26"/>
  <c r="BJ75" i="26"/>
  <c r="BJ76" i="26"/>
  <c r="BJ77" i="26"/>
  <c r="BJ78" i="26"/>
  <c r="BJ79" i="26"/>
  <c r="BJ80" i="26"/>
  <c r="BJ81" i="26"/>
  <c r="BJ82" i="26"/>
  <c r="BJ83" i="26"/>
  <c r="BJ84" i="26"/>
  <c r="BJ85" i="26"/>
  <c r="BJ86" i="26"/>
  <c r="BJ87" i="26"/>
  <c r="BJ88" i="26"/>
  <c r="BJ89" i="26"/>
  <c r="BJ90" i="26"/>
  <c r="BJ91" i="26"/>
  <c r="BJ92" i="26"/>
  <c r="BJ93" i="26"/>
  <c r="BJ94" i="26"/>
  <c r="BJ95" i="26"/>
  <c r="BJ96" i="26"/>
  <c r="BJ97" i="26"/>
  <c r="BJ98" i="26"/>
  <c r="BJ99" i="26"/>
  <c r="BJ100" i="26"/>
  <c r="BJ101" i="26"/>
  <c r="BJ102" i="26"/>
  <c r="BJ103" i="26"/>
  <c r="BJ104" i="26"/>
  <c r="BJ105" i="26"/>
  <c r="BJ106" i="26"/>
  <c r="BJ107" i="26"/>
  <c r="BJ108" i="26"/>
  <c r="BJ109" i="26"/>
  <c r="BJ110" i="26"/>
  <c r="BJ111" i="26"/>
  <c r="BJ112" i="26"/>
  <c r="BJ113" i="26"/>
  <c r="BJ114" i="26"/>
  <c r="BJ115" i="26"/>
  <c r="BJ116" i="26"/>
  <c r="BJ117" i="26"/>
  <c r="I2" i="26"/>
  <c r="I3" i="26"/>
  <c r="I4" i="26"/>
  <c r="I5" i="26"/>
  <c r="I6" i="26"/>
  <c r="I7" i="26"/>
  <c r="I8" i="26"/>
  <c r="I9" i="26"/>
  <c r="I10" i="26"/>
  <c r="I11" i="26"/>
  <c r="I12" i="26"/>
  <c r="I13" i="26"/>
  <c r="I14" i="26"/>
  <c r="I15" i="26"/>
  <c r="I16" i="26"/>
  <c r="I17" i="26"/>
  <c r="I18" i="26"/>
  <c r="I19" i="26"/>
  <c r="I20" i="26"/>
  <c r="I21" i="26"/>
  <c r="I22" i="26"/>
  <c r="I23" i="26"/>
  <c r="I24" i="26"/>
  <c r="I25" i="26"/>
  <c r="I26" i="26"/>
  <c r="I27" i="26"/>
  <c r="I28" i="26"/>
  <c r="I29" i="26"/>
  <c r="I30" i="26"/>
  <c r="I31" i="26"/>
  <c r="I32" i="26"/>
  <c r="I33" i="26"/>
  <c r="I34" i="26"/>
  <c r="I35" i="26"/>
  <c r="I36" i="26"/>
  <c r="I37" i="26"/>
  <c r="I38" i="26"/>
  <c r="I39" i="26"/>
  <c r="I40" i="26"/>
  <c r="I41" i="26"/>
  <c r="I42" i="26"/>
  <c r="I43" i="26"/>
  <c r="I44" i="26"/>
  <c r="I45" i="26"/>
  <c r="I46" i="26"/>
  <c r="I47" i="26"/>
  <c r="I48" i="26"/>
  <c r="I49" i="26"/>
  <c r="I50" i="26"/>
  <c r="I51" i="26"/>
  <c r="I52" i="26"/>
  <c r="I53" i="26"/>
  <c r="I54" i="26"/>
  <c r="I55" i="26"/>
  <c r="I56" i="26"/>
  <c r="I57" i="26"/>
  <c r="I58" i="26"/>
  <c r="I59" i="26"/>
  <c r="I60" i="26"/>
  <c r="I61" i="26"/>
  <c r="I62" i="26"/>
  <c r="I63" i="26"/>
  <c r="I64" i="26"/>
  <c r="I65" i="26"/>
  <c r="I66" i="26"/>
  <c r="I67" i="26"/>
  <c r="I68" i="26"/>
  <c r="I69" i="26"/>
  <c r="I70" i="26"/>
  <c r="I71" i="26"/>
  <c r="I72" i="26"/>
  <c r="I73" i="26"/>
  <c r="I74" i="26"/>
  <c r="I75" i="26"/>
  <c r="I76" i="26"/>
  <c r="I77" i="26"/>
  <c r="I78" i="26"/>
  <c r="I79" i="26"/>
  <c r="I80" i="26"/>
  <c r="I81" i="26"/>
  <c r="I82" i="26"/>
  <c r="I83" i="26"/>
  <c r="I84" i="26"/>
  <c r="I85" i="26"/>
  <c r="I86" i="26"/>
  <c r="I87" i="26"/>
  <c r="I88" i="26"/>
  <c r="I89" i="26"/>
  <c r="I90" i="26"/>
  <c r="I91" i="26"/>
  <c r="I92" i="26"/>
  <c r="I93" i="26"/>
  <c r="I94" i="26"/>
  <c r="I95" i="26"/>
  <c r="I96" i="26"/>
  <c r="I97" i="26"/>
  <c r="I98" i="26"/>
  <c r="I99" i="26"/>
  <c r="I100" i="26"/>
  <c r="I101" i="26"/>
  <c r="I102" i="26"/>
  <c r="I103" i="26"/>
  <c r="I104" i="26"/>
  <c r="I105" i="26"/>
  <c r="I106" i="26"/>
  <c r="I107" i="26"/>
  <c r="I108" i="26"/>
  <c r="I109" i="26"/>
  <c r="I110" i="26"/>
  <c r="I111" i="26"/>
  <c r="I112" i="26"/>
  <c r="I113" i="26"/>
  <c r="I114" i="26"/>
  <c r="I115" i="26"/>
  <c r="I116" i="26"/>
  <c r="I117" i="26"/>
  <c r="EC100" i="30"/>
  <c r="EC101" i="30"/>
  <c r="EC102" i="30"/>
  <c r="EC103" i="30"/>
  <c r="EC104" i="30"/>
  <c r="EC105" i="30"/>
  <c r="EC106" i="30"/>
  <c r="EC107" i="30"/>
  <c r="EC108" i="30"/>
  <c r="EC109" i="30"/>
  <c r="EC110" i="30"/>
  <c r="EC111" i="30"/>
  <c r="EC112" i="30"/>
  <c r="EC113" i="30"/>
  <c r="EC114" i="30"/>
  <c r="EC115" i="30"/>
  <c r="EC116" i="30"/>
  <c r="EC117" i="30"/>
  <c r="EC118" i="30"/>
  <c r="EC119" i="30"/>
  <c r="EC120" i="30"/>
  <c r="EC121" i="30"/>
  <c r="EC122" i="30"/>
  <c r="EC123" i="30"/>
  <c r="EC124" i="30"/>
  <c r="EC125" i="30"/>
  <c r="EC126" i="30"/>
  <c r="EC127" i="30"/>
  <c r="EC128" i="30"/>
  <c r="EC129" i="30"/>
  <c r="EC130" i="30"/>
  <c r="EC131" i="30"/>
  <c r="EC132" i="30"/>
  <c r="EC133" i="30"/>
  <c r="EC134" i="30"/>
  <c r="EC135" i="30"/>
  <c r="EC136" i="30"/>
  <c r="EC137" i="30"/>
  <c r="EC138" i="30"/>
  <c r="EC139" i="30"/>
  <c r="EC140" i="30"/>
  <c r="EC141" i="30"/>
  <c r="EC142" i="30"/>
  <c r="EC143" i="30"/>
  <c r="EC144" i="30"/>
  <c r="EC145" i="30"/>
  <c r="EC146" i="30"/>
  <c r="EC147" i="30"/>
  <c r="EC148" i="30"/>
  <c r="EC149" i="30"/>
  <c r="EC150" i="30"/>
  <c r="EC151" i="30"/>
  <c r="EC152" i="30"/>
  <c r="EC153" i="30"/>
  <c r="EC154" i="30"/>
  <c r="EC155" i="30"/>
  <c r="EC156" i="30"/>
  <c r="EC157" i="30"/>
  <c r="EC158" i="30"/>
  <c r="EC159" i="30"/>
  <c r="EC160" i="30"/>
  <c r="EC161" i="30"/>
  <c r="EC162" i="30"/>
  <c r="EC163" i="30"/>
  <c r="EC164" i="30"/>
  <c r="EC165" i="30"/>
  <c r="EC166" i="30"/>
  <c r="EC167" i="30"/>
  <c r="EC168" i="30"/>
  <c r="EC169" i="30"/>
  <c r="EC170" i="30"/>
  <c r="EC171" i="30"/>
  <c r="EC172" i="30"/>
  <c r="EC173" i="30"/>
  <c r="EC174" i="30"/>
  <c r="EC175" i="30"/>
  <c r="EC176" i="30"/>
  <c r="EC177" i="30"/>
  <c r="EC178" i="30"/>
  <c r="EC179" i="30"/>
  <c r="EC180" i="30"/>
  <c r="EC181" i="30"/>
  <c r="EC182" i="30"/>
  <c r="EC183" i="30"/>
  <c r="EC184" i="30"/>
  <c r="EC185" i="30"/>
  <c r="EC186" i="30"/>
  <c r="EC187" i="30"/>
  <c r="EC188" i="30"/>
  <c r="EC189" i="30"/>
  <c r="EC190" i="30"/>
  <c r="EC191" i="30"/>
  <c r="EC192" i="30"/>
  <c r="EC193" i="30"/>
  <c r="EC194" i="30"/>
  <c r="EC195" i="30"/>
  <c r="P100" i="30"/>
  <c r="P101" i="30"/>
  <c r="P102" i="30"/>
  <c r="P103" i="30"/>
  <c r="P104" i="30"/>
  <c r="P105" i="30"/>
  <c r="P106" i="30"/>
  <c r="P107" i="30"/>
  <c r="P108" i="30"/>
  <c r="P109" i="30"/>
  <c r="P110" i="30"/>
  <c r="P111" i="30"/>
  <c r="P112" i="30"/>
  <c r="P113" i="30"/>
  <c r="P114" i="30"/>
  <c r="P115" i="30"/>
  <c r="P116" i="30"/>
  <c r="P117" i="30"/>
  <c r="P118" i="30"/>
  <c r="P119" i="30"/>
  <c r="P120" i="30"/>
  <c r="P121" i="30"/>
  <c r="P122" i="30"/>
  <c r="P123" i="30"/>
  <c r="P124" i="30"/>
  <c r="P125" i="30"/>
  <c r="P126" i="30"/>
  <c r="P127" i="30"/>
  <c r="P128" i="30"/>
  <c r="P129" i="30"/>
  <c r="P130" i="30"/>
  <c r="P131" i="30"/>
  <c r="P132" i="30"/>
  <c r="P133" i="30"/>
  <c r="P134" i="30"/>
  <c r="P135" i="30"/>
  <c r="P136" i="30"/>
  <c r="P137" i="30"/>
  <c r="P138" i="30"/>
  <c r="P139" i="30"/>
  <c r="P140" i="30"/>
  <c r="P141" i="30"/>
  <c r="P142" i="30"/>
  <c r="P143" i="30"/>
  <c r="P144" i="30"/>
  <c r="P145" i="30"/>
  <c r="P146" i="30"/>
  <c r="P147" i="30"/>
  <c r="P148" i="30"/>
  <c r="P149" i="30"/>
  <c r="P150" i="30"/>
  <c r="P151" i="30"/>
  <c r="P152" i="30"/>
  <c r="P153" i="30"/>
  <c r="P154" i="30"/>
  <c r="P155" i="30"/>
  <c r="P156" i="30"/>
  <c r="P157" i="30"/>
  <c r="P158" i="30"/>
  <c r="P159" i="30"/>
  <c r="P160" i="30"/>
  <c r="P161" i="30"/>
  <c r="P162" i="30"/>
  <c r="P163" i="30"/>
  <c r="P164" i="30"/>
  <c r="P165" i="30"/>
  <c r="P166" i="30"/>
  <c r="P167" i="30"/>
  <c r="P168" i="30"/>
  <c r="P169" i="30"/>
  <c r="P170" i="30"/>
  <c r="P171" i="30"/>
  <c r="P172" i="30"/>
  <c r="P173" i="30"/>
  <c r="P174" i="30"/>
  <c r="P175" i="30"/>
  <c r="P176" i="30"/>
  <c r="P177" i="30"/>
  <c r="P178" i="30"/>
  <c r="P179" i="30"/>
  <c r="P180" i="30"/>
  <c r="P181" i="30"/>
  <c r="P182" i="30"/>
  <c r="P183" i="30"/>
  <c r="P184" i="30"/>
  <c r="P185" i="30"/>
  <c r="P186" i="30"/>
  <c r="P187" i="30"/>
  <c r="P188" i="30"/>
  <c r="P189" i="30"/>
  <c r="P190" i="30"/>
  <c r="P191" i="30"/>
  <c r="P192" i="30"/>
  <c r="P193" i="30"/>
  <c r="P194" i="30"/>
  <c r="P195" i="30"/>
  <c r="EC2" i="30"/>
  <c r="EC3" i="30"/>
  <c r="EC4" i="30"/>
  <c r="EC5" i="30"/>
  <c r="EC6" i="30"/>
  <c r="EC7" i="30"/>
  <c r="EC8" i="30"/>
  <c r="EC9" i="30"/>
  <c r="EC10" i="30"/>
  <c r="EC11" i="30"/>
  <c r="EC12" i="30"/>
  <c r="EC13" i="30"/>
  <c r="EC14" i="30"/>
  <c r="EC15" i="30"/>
  <c r="EC16" i="30"/>
  <c r="EC17" i="30"/>
  <c r="EC18" i="30"/>
  <c r="EC19" i="30"/>
  <c r="EC20" i="30"/>
  <c r="EC21" i="30"/>
  <c r="EC22" i="30"/>
  <c r="EC23" i="30"/>
  <c r="EC24" i="30"/>
  <c r="EC25" i="30"/>
  <c r="EC26" i="30"/>
  <c r="EC27" i="30"/>
  <c r="EC28" i="30"/>
  <c r="EC29" i="30"/>
  <c r="EC30" i="30"/>
  <c r="EC31" i="30"/>
  <c r="EC32" i="30"/>
  <c r="EC33" i="30"/>
  <c r="EC34" i="30"/>
  <c r="EC35" i="30"/>
  <c r="EC36" i="30"/>
  <c r="EC37" i="30"/>
  <c r="EC38" i="30"/>
  <c r="EC39" i="30"/>
  <c r="EC40" i="30"/>
  <c r="EC41" i="30"/>
  <c r="EC42" i="30"/>
  <c r="EC43" i="30"/>
  <c r="EC44" i="30"/>
  <c r="EC45" i="30"/>
  <c r="EC46" i="30"/>
  <c r="EC47" i="30"/>
  <c r="EC48" i="30"/>
  <c r="EC49" i="30"/>
  <c r="EC50" i="30"/>
  <c r="EC51" i="30"/>
  <c r="EC52" i="30"/>
  <c r="EC53" i="30"/>
  <c r="EC54" i="30"/>
  <c r="EC55" i="30"/>
  <c r="EC56" i="30"/>
  <c r="EC57" i="30"/>
  <c r="EC58" i="30"/>
  <c r="EC59" i="30"/>
  <c r="EC60" i="30"/>
  <c r="EC61" i="30"/>
  <c r="EC62" i="30"/>
  <c r="EC63" i="30"/>
  <c r="EC64" i="30"/>
  <c r="EC65" i="30"/>
  <c r="EC66" i="30"/>
  <c r="EC67" i="30"/>
  <c r="EC68" i="30"/>
  <c r="EC69" i="30"/>
  <c r="EC70" i="30"/>
  <c r="EC71" i="30"/>
  <c r="EC72" i="30"/>
  <c r="EC73" i="30"/>
  <c r="EC74" i="30"/>
  <c r="EC75" i="30"/>
  <c r="EC76" i="30"/>
  <c r="EC77" i="30"/>
  <c r="EC78" i="30"/>
  <c r="EC79" i="30"/>
  <c r="EC80" i="30"/>
  <c r="EC81" i="30"/>
  <c r="EC82" i="30"/>
  <c r="EC83" i="30"/>
  <c r="EC84" i="30"/>
  <c r="EC85" i="30"/>
  <c r="EC86" i="30"/>
  <c r="EC87" i="30"/>
  <c r="EC88" i="30"/>
  <c r="EC89" i="30"/>
  <c r="EC90" i="30"/>
  <c r="EC91" i="30"/>
  <c r="EC92" i="30"/>
  <c r="EC93" i="30"/>
  <c r="EC94" i="30"/>
  <c r="EC95" i="30"/>
  <c r="EC96" i="30"/>
  <c r="EC97" i="30"/>
  <c r="P2" i="30"/>
  <c r="P3" i="30"/>
  <c r="P4" i="30"/>
  <c r="P5" i="30"/>
  <c r="P6" i="30"/>
  <c r="P7"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P35" i="30"/>
  <c r="P36" i="30"/>
  <c r="P37" i="30"/>
  <c r="P38" i="30"/>
  <c r="P39" i="30"/>
  <c r="P40" i="30"/>
  <c r="P41" i="30"/>
  <c r="P42" i="30"/>
  <c r="P43" i="30"/>
  <c r="P44" i="30"/>
  <c r="P45" i="30"/>
  <c r="P46" i="30"/>
  <c r="P47" i="30"/>
  <c r="P48" i="30"/>
  <c r="P49" i="30"/>
  <c r="P50" i="30"/>
  <c r="P51" i="30"/>
  <c r="P52" i="30"/>
  <c r="P53" i="30"/>
  <c r="P54" i="30"/>
  <c r="P55" i="30"/>
  <c r="P56" i="30"/>
  <c r="P57" i="30"/>
  <c r="P58" i="30"/>
  <c r="P59" i="30"/>
  <c r="P60" i="30"/>
  <c r="P61" i="30"/>
  <c r="P62" i="30"/>
  <c r="P63" i="30"/>
  <c r="P64" i="30"/>
  <c r="P65" i="30"/>
  <c r="P66" i="30"/>
  <c r="P67" i="30"/>
  <c r="P68" i="30"/>
  <c r="P69" i="30"/>
  <c r="P70" i="30"/>
  <c r="P71" i="30"/>
  <c r="P72" i="30"/>
  <c r="P73" i="30"/>
  <c r="P74" i="30"/>
  <c r="P75" i="30"/>
  <c r="P76" i="30"/>
  <c r="P77" i="30"/>
  <c r="P78" i="30"/>
  <c r="P79" i="30"/>
  <c r="P80" i="30"/>
  <c r="P81" i="30"/>
  <c r="P82" i="30"/>
  <c r="P83" i="30"/>
  <c r="P84" i="30"/>
  <c r="P85" i="30"/>
  <c r="P86" i="30"/>
  <c r="P87" i="30"/>
  <c r="P88" i="30"/>
  <c r="P89" i="30"/>
  <c r="P90" i="30"/>
  <c r="P91" i="30"/>
  <c r="P92" i="30"/>
  <c r="P93" i="30"/>
  <c r="P94" i="30"/>
  <c r="P95" i="30"/>
  <c r="P96" i="30"/>
  <c r="P97" i="30"/>
  <c r="P99" i="30"/>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2" i="30"/>
  <c r="I63" i="30"/>
  <c r="I64" i="30"/>
  <c r="I65" i="30"/>
  <c r="I66" i="30"/>
  <c r="I67" i="30"/>
  <c r="I68" i="30"/>
  <c r="I69" i="30"/>
  <c r="I70" i="30"/>
  <c r="I71" i="30"/>
  <c r="I72" i="30"/>
  <c r="I73" i="30"/>
  <c r="I74" i="30"/>
  <c r="I75" i="30"/>
  <c r="I76" i="30"/>
  <c r="I77" i="30"/>
  <c r="I78" i="30"/>
  <c r="I79" i="30"/>
  <c r="I80" i="30"/>
  <c r="I81" i="30"/>
  <c r="I82" i="30"/>
  <c r="I83" i="30"/>
  <c r="I84" i="30"/>
  <c r="I85" i="30"/>
  <c r="I86" i="30"/>
  <c r="I87" i="30"/>
  <c r="I88" i="30"/>
  <c r="I89" i="30"/>
  <c r="I90" i="30"/>
  <c r="I91" i="30"/>
  <c r="I92" i="30"/>
  <c r="I93" i="30"/>
  <c r="I94" i="30"/>
  <c r="I95" i="30"/>
  <c r="I96" i="30"/>
  <c r="I97" i="30"/>
  <c r="I98" i="30"/>
  <c r="I99" i="30"/>
  <c r="I100" i="30"/>
  <c r="I101" i="30"/>
  <c r="I102" i="30"/>
  <c r="I103" i="30"/>
  <c r="I104" i="30"/>
  <c r="I105" i="30"/>
  <c r="I106" i="30"/>
  <c r="I107" i="30"/>
  <c r="I108" i="30"/>
  <c r="I109" i="30"/>
  <c r="I110" i="30"/>
  <c r="I111" i="30"/>
  <c r="I112" i="30"/>
  <c r="I113" i="30"/>
  <c r="I114" i="30"/>
  <c r="I115" i="30"/>
  <c r="I116" i="30"/>
  <c r="S29" i="15"/>
  <c r="M111" i="32"/>
  <c r="M112" i="32" s="1"/>
  <c r="M113" i="32" s="1"/>
  <c r="M114" i="32" s="1"/>
  <c r="M115" i="32" s="1"/>
  <c r="M116" i="32" s="1"/>
  <c r="M117" i="32" s="1"/>
  <c r="M118" i="32" s="1"/>
  <c r="M119" i="32" s="1"/>
  <c r="M120" i="32" s="1"/>
  <c r="M121" i="32" s="1"/>
  <c r="M101" i="32"/>
  <c r="M102" i="32" s="1"/>
  <c r="M103" i="32" s="1"/>
  <c r="M104" i="32" s="1"/>
  <c r="M105" i="32" s="1"/>
  <c r="M106" i="32" s="1"/>
  <c r="M107" i="32" s="1"/>
  <c r="M108" i="32" s="1"/>
  <c r="M109" i="32" s="1"/>
  <c r="M110" i="32" s="1"/>
  <c r="M91" i="32"/>
  <c r="M92" i="32" s="1"/>
  <c r="M93" i="32" s="1"/>
  <c r="M94" i="32" s="1"/>
  <c r="M95" i="32" s="1"/>
  <c r="M96" i="32" s="1"/>
  <c r="M97" i="32" s="1"/>
  <c r="M98" i="32" s="1"/>
  <c r="M99" i="32" s="1"/>
  <c r="M100" i="32" s="1"/>
  <c r="Q9" i="9"/>
  <c r="M4" i="15"/>
  <c r="B13" i="15"/>
  <c r="W1" i="32"/>
  <c r="AB6" i="32"/>
  <c r="AB5" i="32"/>
  <c r="BB1" i="26"/>
  <c r="T1" i="26"/>
  <c r="D1" i="33"/>
  <c r="K4" i="33" s="1"/>
  <c r="B1" i="33"/>
  <c r="L39" i="33" s="1"/>
  <c r="BJ1" i="26"/>
  <c r="I1" i="26"/>
  <c r="I1" i="30"/>
  <c r="AE1" i="26"/>
  <c r="E63" i="25"/>
  <c r="F63" i="25"/>
  <c r="G63" i="25"/>
  <c r="H63" i="25"/>
  <c r="D63" i="25"/>
  <c r="D57" i="25"/>
  <c r="E57" i="25"/>
  <c r="F57" i="25"/>
  <c r="G57" i="25"/>
  <c r="H57" i="25"/>
  <c r="AQ1" i="26"/>
  <c r="V75" i="25"/>
  <c r="A236" i="15"/>
  <c r="A237" i="15"/>
  <c r="A238" i="15"/>
  <c r="A239" i="15"/>
  <c r="A240" i="15"/>
  <c r="A241" i="15"/>
  <c r="A242" i="15"/>
  <c r="A243" i="15"/>
  <c r="A244" i="15"/>
  <c r="A245" i="15"/>
  <c r="A246" i="15"/>
  <c r="A247" i="15"/>
  <c r="A248" i="15"/>
  <c r="A249" i="15"/>
  <c r="A250" i="15"/>
  <c r="A251" i="15"/>
  <c r="A252" i="15"/>
  <c r="A253" i="15"/>
  <c r="A254" i="15"/>
  <c r="A259" i="15"/>
  <c r="A260" i="15"/>
  <c r="A261" i="15"/>
  <c r="A262" i="15"/>
  <c r="A263" i="15"/>
  <c r="A264" i="15"/>
  <c r="A265" i="15"/>
  <c r="A266" i="15"/>
  <c r="A267" i="15"/>
  <c r="A268" i="15"/>
  <c r="A269" i="15"/>
  <c r="A270" i="15"/>
  <c r="A271" i="15"/>
  <c r="A272" i="15"/>
  <c r="A273" i="15"/>
  <c r="A274" i="15"/>
  <c r="A275" i="15"/>
  <c r="A276" i="15"/>
  <c r="A277" i="15"/>
  <c r="A278" i="15"/>
  <c r="A279" i="15"/>
  <c r="A280" i="15"/>
  <c r="A281" i="15"/>
  <c r="A282" i="15"/>
  <c r="A283" i="15"/>
  <c r="A284" i="15"/>
  <c r="A285" i="15"/>
  <c r="A286" i="15"/>
  <c r="A287" i="15"/>
  <c r="A288" i="15"/>
  <c r="A289" i="15"/>
  <c r="A290" i="15"/>
  <c r="A291" i="15"/>
  <c r="A292" i="15"/>
  <c r="A293" i="15"/>
  <c r="A294" i="15"/>
  <c r="A295" i="15"/>
  <c r="A296" i="15"/>
  <c r="A297" i="15"/>
  <c r="A298" i="15"/>
  <c r="A299" i="15"/>
  <c r="A300" i="15"/>
  <c r="A301" i="15"/>
  <c r="B20" i="25"/>
  <c r="B19" i="25"/>
  <c r="B18" i="25"/>
  <c r="B17" i="25"/>
  <c r="B16" i="25"/>
  <c r="N11" i="32"/>
  <c r="M11" i="32"/>
  <c r="L11" i="32"/>
  <c r="J11" i="32"/>
  <c r="Q21" i="32"/>
  <c r="C20" i="25"/>
  <c r="M59" i="25"/>
  <c r="K88" i="9"/>
  <c r="J88" i="9"/>
  <c r="M58" i="25"/>
  <c r="J78" i="9"/>
  <c r="C19" i="25"/>
  <c r="K48" i="9"/>
  <c r="J48" i="9"/>
  <c r="C59" i="22"/>
  <c r="D59" i="22"/>
  <c r="A23" i="9" s="1"/>
  <c r="C16" i="25"/>
  <c r="M57" i="25"/>
  <c r="M55" i="25"/>
  <c r="J68" i="9"/>
  <c r="E66" i="25"/>
  <c r="F66" i="25"/>
  <c r="G66" i="25"/>
  <c r="H66" i="25"/>
  <c r="D66" i="25"/>
  <c r="E65" i="25"/>
  <c r="F65" i="25"/>
  <c r="G65" i="25"/>
  <c r="H65" i="25"/>
  <c r="D65" i="25"/>
  <c r="D20" i="25"/>
  <c r="D19" i="25"/>
  <c r="D1" i="31"/>
  <c r="K4" i="31" s="1"/>
  <c r="EC99" i="30"/>
  <c r="EC1" i="30"/>
  <c r="P1" i="30"/>
  <c r="C64" i="27"/>
  <c r="D64" i="27"/>
  <c r="E64" i="27" s="1"/>
  <c r="C64" i="22"/>
  <c r="D64" i="22"/>
  <c r="E64" i="22" s="1"/>
  <c r="C43" i="27"/>
  <c r="C44" i="27"/>
  <c r="J25" i="27" s="1"/>
  <c r="C41" i="27"/>
  <c r="C38" i="27"/>
  <c r="I12" i="27" s="1"/>
  <c r="C32" i="27"/>
  <c r="P36" i="9"/>
  <c r="C28" i="27"/>
  <c r="C28" i="22"/>
  <c r="I61" i="27"/>
  <c r="D45" i="27"/>
  <c r="D33" i="27"/>
  <c r="N22" i="27"/>
  <c r="D21" i="27"/>
  <c r="C18" i="27"/>
  <c r="D18" i="27"/>
  <c r="D19" i="27" s="1"/>
  <c r="B16" i="27"/>
  <c r="J13" i="27"/>
  <c r="I13" i="27"/>
  <c r="D12" i="27"/>
  <c r="J11" i="27"/>
  <c r="I11" i="27"/>
  <c r="D11" i="27"/>
  <c r="C10" i="27"/>
  <c r="C153" i="27"/>
  <c r="D152" i="27" s="1"/>
  <c r="L9" i="27"/>
  <c r="AL2" i="22"/>
  <c r="AK81" i="22" s="1"/>
  <c r="H9" i="9"/>
  <c r="O33" i="25"/>
  <c r="P31" i="25"/>
  <c r="D18" i="25"/>
  <c r="C6" i="25"/>
  <c r="L21" i="25"/>
  <c r="O57" i="9"/>
  <c r="C18" i="22"/>
  <c r="D18" i="22"/>
  <c r="D19" i="22" s="1"/>
  <c r="C32" i="22"/>
  <c r="C41" i="22"/>
  <c r="C38" i="22"/>
  <c r="I12" i="22" s="1"/>
  <c r="J13" i="22"/>
  <c r="I13" i="22"/>
  <c r="J11" i="22"/>
  <c r="K11" i="22" s="1"/>
  <c r="I11" i="22"/>
  <c r="L9" i="22"/>
  <c r="C43" i="22"/>
  <c r="U466" i="15"/>
  <c r="O103" i="9"/>
  <c r="I61" i="22"/>
  <c r="C10" i="22"/>
  <c r="C22" i="22"/>
  <c r="D22" i="22" s="1"/>
  <c r="D45" i="22"/>
  <c r="N22" i="22"/>
  <c r="D11" i="22"/>
  <c r="D12" i="22"/>
  <c r="D33" i="22"/>
  <c r="B2" i="15"/>
  <c r="B16" i="22"/>
  <c r="D21" i="22"/>
  <c r="Q4" i="15"/>
  <c r="C17" i="25"/>
  <c r="D16" i="25"/>
  <c r="V388" i="15"/>
  <c r="S55" i="25"/>
  <c r="S56" i="25"/>
  <c r="S57" i="25"/>
  <c r="S58" i="25"/>
  <c r="S54" i="25"/>
  <c r="R122" i="32"/>
  <c r="C42" i="22"/>
  <c r="I10" i="22" s="1"/>
  <c r="AK79" i="22"/>
  <c r="A302" i="15"/>
  <c r="A303" i="15"/>
  <c r="A304" i="15"/>
  <c r="A305" i="15"/>
  <c r="A306" i="15"/>
  <c r="A307" i="15"/>
  <c r="A308" i="15"/>
  <c r="A309" i="15"/>
  <c r="A310" i="15"/>
  <c r="A311" i="15"/>
  <c r="A312" i="15"/>
  <c r="A313" i="15"/>
  <c r="A314" i="15"/>
  <c r="A315" i="15"/>
  <c r="A316" i="15"/>
  <c r="A317" i="15"/>
  <c r="A318" i="15"/>
  <c r="A319" i="15"/>
  <c r="A320" i="15"/>
  <c r="A321" i="15"/>
  <c r="A322" i="15"/>
  <c r="A323" i="15"/>
  <c r="A324" i="15"/>
  <c r="A325" i="15"/>
  <c r="A326" i="15"/>
  <c r="A327" i="15"/>
  <c r="A328" i="15"/>
  <c r="A329" i="15"/>
  <c r="A334" i="15"/>
  <c r="A335" i="15"/>
  <c r="A336" i="15"/>
  <c r="A337" i="15"/>
  <c r="A338" i="15"/>
  <c r="A339" i="15"/>
  <c r="A340" i="15"/>
  <c r="A341" i="15"/>
  <c r="L22" i="25"/>
  <c r="E28" i="25"/>
  <c r="K68" i="9" s="1"/>
  <c r="D28" i="25"/>
  <c r="P23" i="9"/>
  <c r="C39" i="27"/>
  <c r="J12" i="27" s="1"/>
  <c r="C4" i="25"/>
  <c r="C32" i="25"/>
  <c r="A45" i="9" s="1"/>
  <c r="L45" i="9" s="1"/>
  <c r="L19" i="25"/>
  <c r="D32" i="22"/>
  <c r="C34" i="22" s="1"/>
  <c r="L20" i="25"/>
  <c r="F28" i="25"/>
  <c r="K78" i="9" s="1"/>
  <c r="C42" i="27"/>
  <c r="D42" i="27" s="1"/>
  <c r="C4" i="27"/>
  <c r="E3" i="27" s="1"/>
  <c r="D10" i="22"/>
  <c r="C153" i="22"/>
  <c r="B152" i="22" s="1"/>
  <c r="E153" i="22" s="1"/>
  <c r="C4" i="22"/>
  <c r="B3" i="22" s="1"/>
  <c r="E4" i="22" s="1"/>
  <c r="D10" i="27"/>
  <c r="H8" i="32"/>
  <c r="D9" i="25"/>
  <c r="D11" i="25" s="1"/>
  <c r="C9" i="25"/>
  <c r="C11" i="25" s="1"/>
  <c r="D22" i="27"/>
  <c r="AK88" i="22"/>
  <c r="AK86" i="22"/>
  <c r="AK40" i="22"/>
  <c r="C39" i="22"/>
  <c r="J12" i="22" s="1"/>
  <c r="C44" i="22"/>
  <c r="D44" i="22" s="1"/>
  <c r="H7" i="32"/>
  <c r="D32" i="27"/>
  <c r="C34" i="27" s="1"/>
  <c r="AK80" i="22"/>
  <c r="AK43" i="22"/>
  <c r="AK90" i="22"/>
  <c r="AK82" i="22"/>
  <c r="AK83" i="22"/>
  <c r="AK39" i="22"/>
  <c r="AK85" i="22"/>
  <c r="M55" i="9"/>
  <c r="AK47" i="22"/>
  <c r="AK48" i="22"/>
  <c r="AK49" i="22"/>
  <c r="AK50" i="22"/>
  <c r="AK51" i="22"/>
  <c r="AK53" i="22"/>
  <c r="AK56" i="22"/>
  <c r="AK59" i="22"/>
  <c r="AK60" i="22"/>
  <c r="AK61" i="22"/>
  <c r="AK62" i="22"/>
  <c r="AK63" i="22"/>
  <c r="AK65" i="22"/>
  <c r="AK68" i="22"/>
  <c r="AK71" i="22"/>
  <c r="AK72" i="22"/>
  <c r="AK73" i="22"/>
  <c r="AK74" i="22"/>
  <c r="AK75" i="22"/>
  <c r="AK77" i="22"/>
  <c r="S96" i="25"/>
  <c r="S99" i="25"/>
  <c r="S121" i="25"/>
  <c r="S123" i="25"/>
  <c r="S124" i="25"/>
  <c r="L11" i="22" l="1"/>
  <c r="E59" i="22"/>
  <c r="C23" i="9" s="1"/>
  <c r="D44" i="27"/>
  <c r="L11" i="27"/>
  <c r="M11" i="27" s="1"/>
  <c r="C47" i="22"/>
  <c r="O27" i="9" s="1"/>
  <c r="J10" i="22"/>
  <c r="E32" i="22"/>
  <c r="C46" i="22"/>
  <c r="C50" i="22"/>
  <c r="D49" i="22" s="1"/>
  <c r="C50" i="27"/>
  <c r="D49" i="27" s="1"/>
  <c r="N11" i="22"/>
  <c r="M11" i="22"/>
  <c r="D3" i="22"/>
  <c r="AK70" i="22"/>
  <c r="N57" i="25"/>
  <c r="O57" i="25" s="1"/>
  <c r="E69" i="9" s="1"/>
  <c r="E3" i="22"/>
  <c r="J10" i="9" s="1"/>
  <c r="AK42" i="22"/>
  <c r="AK69" i="22"/>
  <c r="AK57" i="22"/>
  <c r="AK38" i="22"/>
  <c r="AK84" i="22"/>
  <c r="J23" i="9"/>
  <c r="AK67" i="22"/>
  <c r="AK55" i="22"/>
  <c r="AK89" i="22"/>
  <c r="AK45" i="22"/>
  <c r="AK78" i="22"/>
  <c r="AK66" i="22"/>
  <c r="AK54" i="22"/>
  <c r="AK37" i="22"/>
  <c r="AK41" i="22"/>
  <c r="AK76" i="22"/>
  <c r="AK64" i="22"/>
  <c r="AK52" i="22"/>
  <c r="AK87" i="22"/>
  <c r="AK4" i="22"/>
  <c r="K13" i="22"/>
  <c r="AK44" i="22"/>
  <c r="AK58" i="22"/>
  <c r="H20" i="27"/>
  <c r="B3" i="27"/>
  <c r="E4" i="27" s="1"/>
  <c r="E32" i="27"/>
  <c r="L13" i="27"/>
  <c r="M13" i="27" s="1"/>
  <c r="H55" i="27"/>
  <c r="C26" i="27" s="1"/>
  <c r="K11" i="27"/>
  <c r="C46" i="27"/>
  <c r="D3" i="27"/>
  <c r="I11" i="32"/>
  <c r="L12" i="27"/>
  <c r="D7" i="25"/>
  <c r="C47" i="27"/>
  <c r="J10" i="27"/>
  <c r="I10" i="27"/>
  <c r="D159" i="27"/>
  <c r="L19" i="33"/>
  <c r="L72" i="33"/>
  <c r="L34" i="33"/>
  <c r="L42" i="33"/>
  <c r="L54" i="33"/>
  <c r="L45" i="33"/>
  <c r="L23" i="33"/>
  <c r="L55" i="33"/>
  <c r="L89" i="33"/>
  <c r="L90" i="33"/>
  <c r="L17" i="33"/>
  <c r="L83" i="33"/>
  <c r="L70" i="33"/>
  <c r="L86" i="33"/>
  <c r="L67" i="33"/>
  <c r="L27" i="33"/>
  <c r="L57" i="33"/>
  <c r="L16" i="33"/>
  <c r="L51" i="33"/>
  <c r="L18" i="33"/>
  <c r="L36" i="33"/>
  <c r="L28" i="33"/>
  <c r="L15" i="33"/>
  <c r="L81" i="33"/>
  <c r="L9" i="33"/>
  <c r="L92" i="33"/>
  <c r="L74" i="33"/>
  <c r="L41" i="33"/>
  <c r="L60" i="33"/>
  <c r="L88" i="33"/>
  <c r="L87" i="33"/>
  <c r="L40" i="33"/>
  <c r="L75" i="33"/>
  <c r="L68" i="33"/>
  <c r="L30" i="33"/>
  <c r="L47" i="33"/>
  <c r="L22" i="33"/>
  <c r="L46" i="33"/>
  <c r="L99" i="33"/>
  <c r="L37" i="33"/>
  <c r="L71" i="33"/>
  <c r="L7" i="33"/>
  <c r="L94" i="33"/>
  <c r="L20" i="33"/>
  <c r="L97" i="33"/>
  <c r="L63" i="33"/>
  <c r="L73" i="33"/>
  <c r="L33" i="33"/>
  <c r="L102" i="33"/>
  <c r="L31" i="33"/>
  <c r="L64" i="33"/>
  <c r="L43" i="33"/>
  <c r="L14" i="33"/>
  <c r="L66" i="33"/>
  <c r="L4" i="33"/>
  <c r="N4" i="33" s="1"/>
  <c r="L29" i="33"/>
  <c r="L12" i="33"/>
  <c r="L53" i="33"/>
  <c r="L59" i="33"/>
  <c r="L69" i="33"/>
  <c r="L76" i="33"/>
  <c r="L56" i="33"/>
  <c r="L25" i="33"/>
  <c r="L82" i="33"/>
  <c r="L5" i="33"/>
  <c r="L21" i="33"/>
  <c r="L77" i="33"/>
  <c r="L49" i="33"/>
  <c r="L91" i="33"/>
  <c r="L50" i="33"/>
  <c r="L13" i="33"/>
  <c r="L84" i="33"/>
  <c r="L24" i="33"/>
  <c r="L79" i="33"/>
  <c r="L58" i="33"/>
  <c r="L48" i="33"/>
  <c r="L62" i="33"/>
  <c r="L98" i="33"/>
  <c r="L11" i="33"/>
  <c r="L26" i="33"/>
  <c r="L101" i="33"/>
  <c r="L52" i="33"/>
  <c r="L85" i="33"/>
  <c r="L61" i="33"/>
  <c r="L8" i="33"/>
  <c r="L10" i="33"/>
  <c r="L100" i="33"/>
  <c r="L65" i="33"/>
  <c r="L93" i="33"/>
  <c r="L32" i="33"/>
  <c r="L78" i="33"/>
  <c r="L95" i="33"/>
  <c r="L35" i="33"/>
  <c r="L80" i="33"/>
  <c r="L38" i="33"/>
  <c r="L44" i="33"/>
  <c r="L6" i="33"/>
  <c r="L96" i="33"/>
  <c r="H18" i="25"/>
  <c r="K12" i="22"/>
  <c r="L12" i="22"/>
  <c r="K10" i="22"/>
  <c r="L10" i="22"/>
  <c r="C7" i="25"/>
  <c r="H55" i="22"/>
  <c r="L13" i="22"/>
  <c r="D42" i="22"/>
  <c r="C24" i="22"/>
  <c r="H44" i="25"/>
  <c r="H19" i="25"/>
  <c r="N58" i="25"/>
  <c r="O58" i="25" s="1"/>
  <c r="E79" i="9" s="1"/>
  <c r="H11" i="32"/>
  <c r="N12" i="27"/>
  <c r="M12" i="27"/>
  <c r="E41" i="25"/>
  <c r="U129" i="15"/>
  <c r="C16" i="27"/>
  <c r="D8" i="25"/>
  <c r="K13" i="27"/>
  <c r="C15" i="27"/>
  <c r="D24" i="27"/>
  <c r="D25" i="27" s="1"/>
  <c r="H19" i="27"/>
  <c r="K12" i="27"/>
  <c r="C56" i="27"/>
  <c r="B1" i="31" s="1"/>
  <c r="J36" i="9"/>
  <c r="H17" i="27"/>
  <c r="H21" i="27"/>
  <c r="H18" i="27"/>
  <c r="F41" i="25"/>
  <c r="F31" i="25"/>
  <c r="O77" i="9" s="1"/>
  <c r="E19" i="25"/>
  <c r="E18" i="25"/>
  <c r="K21" i="32"/>
  <c r="H53" i="25"/>
  <c r="D159" i="22"/>
  <c r="O15" i="9" s="1"/>
  <c r="D152" i="22"/>
  <c r="D13" i="27"/>
  <c r="E5" i="27"/>
  <c r="E5" i="22"/>
  <c r="E6" i="22" s="1"/>
  <c r="D13" i="22"/>
  <c r="E152" i="22"/>
  <c r="E154" i="22" s="1"/>
  <c r="E155" i="22" s="1"/>
  <c r="B152" i="27"/>
  <c r="E153" i="27" s="1"/>
  <c r="Q103" i="9"/>
  <c r="C156" i="22"/>
  <c r="C152" i="22"/>
  <c r="D156" i="22"/>
  <c r="E157" i="22"/>
  <c r="P411" i="15"/>
  <c r="Q232" i="15"/>
  <c r="M75" i="9"/>
  <c r="C3" i="27"/>
  <c r="L8" i="32" l="1"/>
  <c r="M8" i="27"/>
  <c r="N11" i="27"/>
  <c r="J8" i="32"/>
  <c r="O25" i="9"/>
  <c r="J35" i="9"/>
  <c r="A34" i="9" s="1"/>
  <c r="C27" i="27"/>
  <c r="K35" i="9" s="1"/>
  <c r="E6" i="27"/>
  <c r="N5" i="33"/>
  <c r="N6" i="33" s="1"/>
  <c r="N7" i="33" s="1"/>
  <c r="N8" i="33" s="1"/>
  <c r="M4" i="33"/>
  <c r="M5" i="33" s="1"/>
  <c r="M6" i="33" s="1"/>
  <c r="B414" i="15"/>
  <c r="AK5" i="22"/>
  <c r="K10" i="27"/>
  <c r="L10" i="27"/>
  <c r="N10" i="27" s="1"/>
  <c r="L7" i="32"/>
  <c r="O40" i="9"/>
  <c r="N13" i="27"/>
  <c r="J7" i="32"/>
  <c r="O38" i="9"/>
  <c r="N10" i="22"/>
  <c r="C56" i="22"/>
  <c r="B1" i="28" s="1"/>
  <c r="C8" i="25"/>
  <c r="H19" i="22"/>
  <c r="C15" i="22"/>
  <c r="D4" i="22" s="1"/>
  <c r="F6" i="22" s="1"/>
  <c r="H20" i="22"/>
  <c r="D24" i="22"/>
  <c r="D25" i="22" s="1"/>
  <c r="C26" i="22"/>
  <c r="J22" i="9" s="1"/>
  <c r="C16" i="22"/>
  <c r="H18" i="22"/>
  <c r="H17" i="22"/>
  <c r="H21" i="22"/>
  <c r="M13" i="22"/>
  <c r="N13" i="22"/>
  <c r="N12" i="22"/>
  <c r="M12" i="22"/>
  <c r="M8" i="22"/>
  <c r="L32" i="31"/>
  <c r="L70" i="31"/>
  <c r="L74" i="31"/>
  <c r="L15" i="31"/>
  <c r="L71" i="31"/>
  <c r="L39" i="31"/>
  <c r="L99" i="31"/>
  <c r="L81" i="31"/>
  <c r="L100" i="31"/>
  <c r="L87" i="31"/>
  <c r="L4" i="31"/>
  <c r="L38" i="31"/>
  <c r="L64" i="31"/>
  <c r="L72" i="31"/>
  <c r="L57" i="31"/>
  <c r="L84" i="31"/>
  <c r="L77" i="31"/>
  <c r="L93" i="31"/>
  <c r="L7" i="31"/>
  <c r="L22" i="31"/>
  <c r="L28" i="31"/>
  <c r="L62" i="31"/>
  <c r="L97" i="31"/>
  <c r="L27" i="31"/>
  <c r="L10" i="31"/>
  <c r="L26" i="31"/>
  <c r="L68" i="31"/>
  <c r="L54" i="31"/>
  <c r="L43" i="31"/>
  <c r="L61" i="31"/>
  <c r="L66" i="31"/>
  <c r="L98" i="31"/>
  <c r="L29" i="31"/>
  <c r="L69" i="31"/>
  <c r="L37" i="31"/>
  <c r="L30" i="31"/>
  <c r="L55" i="31"/>
  <c r="L53" i="31"/>
  <c r="L9" i="31"/>
  <c r="L49" i="31"/>
  <c r="L40" i="31"/>
  <c r="L16" i="31"/>
  <c r="L89" i="31"/>
  <c r="L58" i="31"/>
  <c r="L5" i="31"/>
  <c r="L21" i="31"/>
  <c r="L85" i="31"/>
  <c r="L13" i="31"/>
  <c r="L91" i="31"/>
  <c r="L41" i="31"/>
  <c r="L6" i="31"/>
  <c r="L31" i="31"/>
  <c r="L18" i="31"/>
  <c r="L63" i="31"/>
  <c r="L19" i="31"/>
  <c r="L48" i="31"/>
  <c r="L83" i="31"/>
  <c r="L59" i="31"/>
  <c r="L23" i="31"/>
  <c r="L51" i="31"/>
  <c r="L76" i="31"/>
  <c r="L78" i="31"/>
  <c r="L73" i="31"/>
  <c r="L60" i="31"/>
  <c r="L102" i="31"/>
  <c r="L80" i="31"/>
  <c r="L67" i="31"/>
  <c r="L46" i="31"/>
  <c r="L44" i="31"/>
  <c r="L56" i="31"/>
  <c r="L33" i="31"/>
  <c r="L90" i="31"/>
  <c r="L45" i="31"/>
  <c r="L92" i="31"/>
  <c r="L17" i="31"/>
  <c r="L96" i="31"/>
  <c r="L14" i="31"/>
  <c r="L20" i="31"/>
  <c r="L8" i="31"/>
  <c r="L79" i="31"/>
  <c r="L101" i="31"/>
  <c r="L95" i="31"/>
  <c r="L35" i="31"/>
  <c r="L65" i="31"/>
  <c r="L75" i="31"/>
  <c r="L50" i="31"/>
  <c r="L34" i="31"/>
  <c r="L42" i="31"/>
  <c r="L86" i="31"/>
  <c r="L52" i="31"/>
  <c r="L47" i="31"/>
  <c r="L36" i="31"/>
  <c r="L88" i="31"/>
  <c r="L11" i="31"/>
  <c r="L94" i="31"/>
  <c r="L25" i="31"/>
  <c r="L12" i="31"/>
  <c r="L24" i="31"/>
  <c r="L82" i="31"/>
  <c r="A7" i="9"/>
  <c r="D14" i="22"/>
  <c r="D20" i="22"/>
  <c r="D6" i="22"/>
  <c r="C3" i="25" s="1"/>
  <c r="D5" i="22"/>
  <c r="D14" i="27"/>
  <c r="D20" i="27"/>
  <c r="D154" i="22"/>
  <c r="I14" i="9" s="1"/>
  <c r="E152" i="27"/>
  <c r="E154" i="27" s="1"/>
  <c r="E155" i="27" s="1"/>
  <c r="D155" i="22"/>
  <c r="B157" i="22"/>
  <c r="B158" i="22"/>
  <c r="D5" i="27"/>
  <c r="D156" i="27"/>
  <c r="C152" i="27"/>
  <c r="D6" i="27"/>
  <c r="D16" i="27" s="1"/>
  <c r="D4" i="27"/>
  <c r="C156" i="27"/>
  <c r="E157" i="27"/>
  <c r="M34" i="9" l="1"/>
  <c r="M10" i="22"/>
  <c r="M9" i="22" s="1"/>
  <c r="AK6" i="22"/>
  <c r="M10" i="27"/>
  <c r="D28" i="27"/>
  <c r="D29" i="27" s="1"/>
  <c r="M7" i="33"/>
  <c r="M8" i="33" s="1"/>
  <c r="M9" i="33" s="1"/>
  <c r="M10" i="33" s="1"/>
  <c r="C415" i="15"/>
  <c r="F4" i="22"/>
  <c r="K9" i="22"/>
  <c r="F5" i="22"/>
  <c r="L56" i="28"/>
  <c r="L32" i="28"/>
  <c r="L86" i="28"/>
  <c r="L43" i="28"/>
  <c r="L72" i="28"/>
  <c r="L79" i="28"/>
  <c r="L30" i="28"/>
  <c r="L7" i="28"/>
  <c r="L100" i="28"/>
  <c r="L71" i="28"/>
  <c r="L22" i="28"/>
  <c r="L88" i="28"/>
  <c r="L101" i="28"/>
  <c r="L26" i="28"/>
  <c r="L12" i="28"/>
  <c r="L4" i="28"/>
  <c r="L13" i="28"/>
  <c r="L39" i="28"/>
  <c r="L102" i="28"/>
  <c r="L91" i="28"/>
  <c r="L38" i="28"/>
  <c r="L97" i="28"/>
  <c r="L25" i="28"/>
  <c r="L63" i="28"/>
  <c r="L27" i="28"/>
  <c r="L87" i="28"/>
  <c r="L98" i="28"/>
  <c r="L85" i="28"/>
  <c r="L50" i="28"/>
  <c r="L47" i="28"/>
  <c r="L93" i="28"/>
  <c r="L40" i="28"/>
  <c r="L64" i="28"/>
  <c r="L18" i="28"/>
  <c r="L53" i="28"/>
  <c r="L31" i="28"/>
  <c r="L66" i="28"/>
  <c r="L81" i="28"/>
  <c r="L34" i="28"/>
  <c r="L11" i="28"/>
  <c r="L67" i="28"/>
  <c r="L24" i="28"/>
  <c r="L36" i="28"/>
  <c r="L70" i="28"/>
  <c r="L35" i="28"/>
  <c r="L76" i="28"/>
  <c r="L48" i="28"/>
  <c r="L73" i="28"/>
  <c r="L60" i="28"/>
  <c r="L49" i="28"/>
  <c r="L59" i="28"/>
  <c r="L54" i="28"/>
  <c r="L65" i="28"/>
  <c r="L8" i="28"/>
  <c r="L52" i="28"/>
  <c r="L15" i="28"/>
  <c r="L16" i="28"/>
  <c r="L82" i="28"/>
  <c r="L62" i="28"/>
  <c r="L5" i="28"/>
  <c r="L77" i="28"/>
  <c r="L80" i="28"/>
  <c r="L78" i="28"/>
  <c r="L84" i="28"/>
  <c r="L92" i="28"/>
  <c r="L33" i="28"/>
  <c r="L14" i="28"/>
  <c r="L6" i="28"/>
  <c r="L45" i="28"/>
  <c r="L28" i="28"/>
  <c r="L19" i="28"/>
  <c r="L94" i="28"/>
  <c r="L37" i="28"/>
  <c r="L17" i="28"/>
  <c r="L58" i="28"/>
  <c r="L74" i="28"/>
  <c r="L75" i="28"/>
  <c r="L99" i="28"/>
  <c r="L29" i="28"/>
  <c r="L10" i="28"/>
  <c r="L68" i="28"/>
  <c r="L9" i="28"/>
  <c r="L41" i="28"/>
  <c r="L21" i="28"/>
  <c r="L95" i="28"/>
  <c r="L51" i="28"/>
  <c r="L23" i="28"/>
  <c r="L20" i="28"/>
  <c r="L44" i="28"/>
  <c r="L42" i="28"/>
  <c r="L90" i="28"/>
  <c r="L46" i="28"/>
  <c r="L96" i="28"/>
  <c r="L89" i="28"/>
  <c r="L83" i="28"/>
  <c r="L55" i="28"/>
  <c r="L69" i="28"/>
  <c r="L57" i="28"/>
  <c r="L61" i="28"/>
  <c r="M4" i="31"/>
  <c r="M5" i="31" s="1"/>
  <c r="N4" i="31"/>
  <c r="N5" i="31" s="1"/>
  <c r="B101" i="9"/>
  <c r="R7" i="9"/>
  <c r="D16" i="22"/>
  <c r="R5" i="22"/>
  <c r="C55" i="22"/>
  <c r="O7" i="9"/>
  <c r="I4" i="15" s="1"/>
  <c r="R4" i="22"/>
  <c r="K66" i="22"/>
  <c r="C21" i="32"/>
  <c r="R21" i="32" s="1"/>
  <c r="R6" i="22"/>
  <c r="D15" i="22"/>
  <c r="C2" i="25"/>
  <c r="K68" i="22"/>
  <c r="R7" i="22"/>
  <c r="R8" i="22"/>
  <c r="K65" i="22"/>
  <c r="R3" i="22"/>
  <c r="K67" i="22"/>
  <c r="N9" i="33"/>
  <c r="B155" i="22"/>
  <c r="B157" i="27"/>
  <c r="B158" i="27"/>
  <c r="F5" i="27"/>
  <c r="F6" i="27"/>
  <c r="F4" i="27"/>
  <c r="D154" i="27"/>
  <c r="D155" i="27"/>
  <c r="K65" i="27"/>
  <c r="R8" i="27"/>
  <c r="R5" i="27"/>
  <c r="K68" i="27"/>
  <c r="R6" i="27"/>
  <c r="K67" i="27"/>
  <c r="R3" i="27"/>
  <c r="K66" i="27"/>
  <c r="R4" i="27"/>
  <c r="C55" i="27"/>
  <c r="C30" i="27" s="1"/>
  <c r="C31" i="27" s="1"/>
  <c r="R7" i="27"/>
  <c r="D15" i="27"/>
  <c r="AK7" i="22" l="1"/>
  <c r="AK8" i="22" s="1"/>
  <c r="C416" i="15"/>
  <c r="D53" i="27"/>
  <c r="K9" i="27"/>
  <c r="M9" i="27"/>
  <c r="N6" i="31"/>
  <c r="N7" i="31" s="1"/>
  <c r="F7" i="22"/>
  <c r="O5" i="9" s="1"/>
  <c r="D38" i="9" s="1"/>
  <c r="M4" i="28"/>
  <c r="M5" i="28" s="1"/>
  <c r="N4" i="28"/>
  <c r="M6" i="31"/>
  <c r="M7" i="31" s="1"/>
  <c r="M11" i="33"/>
  <c r="M12" i="33" s="1"/>
  <c r="M13" i="33" s="1"/>
  <c r="D17" i="22"/>
  <c r="I7" i="9" s="1"/>
  <c r="S7" i="22"/>
  <c r="Q7" i="22"/>
  <c r="C127" i="25"/>
  <c r="C164" i="25"/>
  <c r="C160" i="25"/>
  <c r="C132" i="25"/>
  <c r="C128" i="25"/>
  <c r="E39" i="25"/>
  <c r="E27" i="25"/>
  <c r="M67" i="9" s="1"/>
  <c r="C140" i="25"/>
  <c r="B140" i="25" s="1"/>
  <c r="C176" i="25"/>
  <c r="F27" i="25"/>
  <c r="C165" i="25"/>
  <c r="C163" i="25"/>
  <c r="G39" i="25"/>
  <c r="C152" i="25"/>
  <c r="C143" i="25"/>
  <c r="B143" i="25" s="1"/>
  <c r="C174" i="25"/>
  <c r="C171" i="25"/>
  <c r="C172" i="25"/>
  <c r="G27" i="25"/>
  <c r="C175" i="25"/>
  <c r="C129" i="25"/>
  <c r="C131" i="25"/>
  <c r="D27" i="25"/>
  <c r="C27" i="25"/>
  <c r="C142" i="25"/>
  <c r="B142" i="25" s="1"/>
  <c r="C162" i="25"/>
  <c r="C150" i="25"/>
  <c r="C161" i="25"/>
  <c r="C139" i="25"/>
  <c r="B139" i="25" s="1"/>
  <c r="C149" i="25"/>
  <c r="C154" i="25"/>
  <c r="C138" i="25"/>
  <c r="B138" i="25" s="1"/>
  <c r="C173" i="25"/>
  <c r="C151" i="25"/>
  <c r="C39" i="25"/>
  <c r="C130" i="25"/>
  <c r="C141" i="25"/>
  <c r="B141" i="25" s="1"/>
  <c r="C153" i="25"/>
  <c r="F39" i="25"/>
  <c r="Q6" i="22"/>
  <c r="S6" i="22"/>
  <c r="J57" i="22"/>
  <c r="C27" i="22" s="1"/>
  <c r="K22" i="9" s="1"/>
  <c r="M21" i="9" s="1"/>
  <c r="Q4" i="22"/>
  <c r="S4" i="22"/>
  <c r="Q3" i="22"/>
  <c r="S3" i="22"/>
  <c r="Q5" i="22"/>
  <c r="S5" i="22"/>
  <c r="S8" i="22"/>
  <c r="Q8" i="22"/>
  <c r="N10" i="33"/>
  <c r="E15" i="9"/>
  <c r="B155" i="27"/>
  <c r="F7" i="27"/>
  <c r="Q6" i="27"/>
  <c r="S6" i="27"/>
  <c r="T6" i="27" s="1"/>
  <c r="U6" i="27" s="1"/>
  <c r="V6" i="27" s="1"/>
  <c r="W6" i="27" s="1"/>
  <c r="X6" i="27" s="1"/>
  <c r="S8" i="27"/>
  <c r="T8" i="27" s="1"/>
  <c r="U8" i="27" s="1"/>
  <c r="V8" i="27" s="1"/>
  <c r="W8" i="27" s="1"/>
  <c r="X8" i="27" s="1"/>
  <c r="Q8" i="27"/>
  <c r="Q5" i="27"/>
  <c r="S5" i="27"/>
  <c r="T5" i="27" s="1"/>
  <c r="U5" i="27" s="1"/>
  <c r="V5" i="27" s="1"/>
  <c r="W5" i="27" s="1"/>
  <c r="X5" i="27" s="1"/>
  <c r="D17" i="27"/>
  <c r="S7" i="27"/>
  <c r="T7" i="27" s="1"/>
  <c r="U7" i="27" s="1"/>
  <c r="V7" i="27" s="1"/>
  <c r="W7" i="27" s="1"/>
  <c r="X7" i="27" s="1"/>
  <c r="Q7" i="27"/>
  <c r="C35" i="27"/>
  <c r="I12" i="32"/>
  <c r="S4" i="27"/>
  <c r="T4" i="27" s="1"/>
  <c r="U4" i="27" s="1"/>
  <c r="V4" i="27" s="1"/>
  <c r="W4" i="27" s="1"/>
  <c r="X4" i="27" s="1"/>
  <c r="Q4" i="27"/>
  <c r="Q3" i="27"/>
  <c r="S3" i="27"/>
  <c r="T3" i="27" s="1"/>
  <c r="U3" i="27" s="1"/>
  <c r="V3" i="27" s="1"/>
  <c r="W3" i="27" s="1"/>
  <c r="X3" i="27" s="1"/>
  <c r="AK9" i="22" l="1"/>
  <c r="C419" i="15" s="1"/>
  <c r="AK10" i="22"/>
  <c r="C417" i="15"/>
  <c r="C418" i="15"/>
  <c r="N8" i="31"/>
  <c r="N9" i="31" s="1"/>
  <c r="C69" i="9"/>
  <c r="C38" i="9"/>
  <c r="N5" i="28"/>
  <c r="M6" i="28"/>
  <c r="M7" i="28" s="1"/>
  <c r="M8" i="31"/>
  <c r="M9" i="31" s="1"/>
  <c r="A21" i="9"/>
  <c r="D28" i="22"/>
  <c r="D29" i="22" s="1"/>
  <c r="B151" i="25"/>
  <c r="D151" i="25"/>
  <c r="B131" i="25"/>
  <c r="D131" i="25"/>
  <c r="F33" i="25"/>
  <c r="M77" i="9"/>
  <c r="C79" i="9" s="1"/>
  <c r="C57" i="22"/>
  <c r="B22" i="32" s="1"/>
  <c r="C22" i="32" s="1"/>
  <c r="R22" i="32" s="1"/>
  <c r="D173" i="25"/>
  <c r="B173" i="25"/>
  <c r="D129" i="25"/>
  <c r="B129" i="25"/>
  <c r="B176" i="25"/>
  <c r="D176" i="25"/>
  <c r="D165" i="25"/>
  <c r="B165" i="25"/>
  <c r="D37" i="25"/>
  <c r="B175" i="25"/>
  <c r="D175" i="25"/>
  <c r="D154" i="25"/>
  <c r="B154" i="25"/>
  <c r="B149" i="25"/>
  <c r="D149" i="25"/>
  <c r="D172" i="25"/>
  <c r="B172" i="25"/>
  <c r="B161" i="25"/>
  <c r="D161" i="25"/>
  <c r="D174" i="25"/>
  <c r="B174" i="25"/>
  <c r="D132" i="25"/>
  <c r="B132" i="25"/>
  <c r="D150" i="25"/>
  <c r="B150" i="25"/>
  <c r="D160" i="25"/>
  <c r="B160" i="25"/>
  <c r="B153" i="25"/>
  <c r="D153" i="25"/>
  <c r="B162" i="25"/>
  <c r="D162" i="25"/>
  <c r="D152" i="25"/>
  <c r="B152" i="25"/>
  <c r="D164" i="25"/>
  <c r="B164" i="25"/>
  <c r="D128" i="25"/>
  <c r="B128" i="25"/>
  <c r="D127" i="25"/>
  <c r="B127" i="25"/>
  <c r="D171" i="25"/>
  <c r="B171" i="25"/>
  <c r="D130" i="25"/>
  <c r="B130" i="25"/>
  <c r="B163" i="25"/>
  <c r="D163" i="25"/>
  <c r="U28" i="25"/>
  <c r="U31" i="25"/>
  <c r="U29" i="25"/>
  <c r="U30" i="25"/>
  <c r="U32" i="25"/>
  <c r="N11" i="33"/>
  <c r="N12" i="33" s="1"/>
  <c r="M14" i="33"/>
  <c r="U9" i="25"/>
  <c r="U21" i="25"/>
  <c r="U10" i="25"/>
  <c r="U22" i="25"/>
  <c r="U11" i="25"/>
  <c r="U23" i="25"/>
  <c r="U12" i="25"/>
  <c r="U24" i="25"/>
  <c r="U13" i="25"/>
  <c r="U25" i="25"/>
  <c r="U26" i="25"/>
  <c r="U15" i="25"/>
  <c r="U27" i="25"/>
  <c r="U4" i="25"/>
  <c r="U16" i="25"/>
  <c r="U5" i="25"/>
  <c r="U17" i="25"/>
  <c r="U14" i="25"/>
  <c r="U6" i="25"/>
  <c r="U18" i="25"/>
  <c r="U7" i="25"/>
  <c r="U19" i="25"/>
  <c r="U8" i="25"/>
  <c r="U20" i="25"/>
  <c r="J27" i="27"/>
  <c r="C49" i="27"/>
  <c r="J28" i="27"/>
  <c r="D12" i="25"/>
  <c r="C48" i="27"/>
  <c r="J26" i="27"/>
  <c r="D345" i="15"/>
  <c r="AG122" i="32"/>
  <c r="U2" i="25"/>
  <c r="S2" i="25" s="1"/>
  <c r="C3" i="32"/>
  <c r="AF21" i="32"/>
  <c r="O34" i="9"/>
  <c r="W21" i="32"/>
  <c r="A48" i="15"/>
  <c r="C22" i="25"/>
  <c r="R36" i="9"/>
  <c r="AF122" i="32"/>
  <c r="U3" i="25"/>
  <c r="U21" i="32"/>
  <c r="V21" i="32" s="1"/>
  <c r="D353" i="15"/>
  <c r="T344" i="15"/>
  <c r="D348" i="15"/>
  <c r="D346" i="15"/>
  <c r="B344" i="15"/>
  <c r="A344" i="15"/>
  <c r="AG21" i="32"/>
  <c r="C57" i="27"/>
  <c r="G22" i="25"/>
  <c r="D22" i="25"/>
  <c r="C25" i="9"/>
  <c r="D25" i="9"/>
  <c r="AK11" i="22" l="1"/>
  <c r="AK12" i="22" s="1"/>
  <c r="C422" i="15" s="1"/>
  <c r="C420" i="15"/>
  <c r="M8" i="28"/>
  <c r="M9" i="28" s="1"/>
  <c r="M10" i="28" s="1"/>
  <c r="N6" i="28"/>
  <c r="N7" i="28" s="1"/>
  <c r="N8" i="28" s="1"/>
  <c r="M10" i="31"/>
  <c r="M11" i="31" s="1"/>
  <c r="N10" i="31"/>
  <c r="K22" i="32"/>
  <c r="B23" i="32"/>
  <c r="Q23" i="32" s="1"/>
  <c r="Q22" i="32"/>
  <c r="AF22" i="32" s="1"/>
  <c r="F37" i="25"/>
  <c r="T6" i="22"/>
  <c r="U6" i="22" s="1"/>
  <c r="V6" i="22" s="1"/>
  <c r="W6" i="22" s="1"/>
  <c r="X6" i="22" s="1"/>
  <c r="T3" i="22"/>
  <c r="U3" i="22" s="1"/>
  <c r="V3" i="22" s="1"/>
  <c r="W3" i="22" s="1"/>
  <c r="X3" i="22" s="1"/>
  <c r="T8" i="22"/>
  <c r="U8" i="22" s="1"/>
  <c r="V8" i="22" s="1"/>
  <c r="W8" i="22" s="1"/>
  <c r="X8" i="22" s="1"/>
  <c r="T5" i="22"/>
  <c r="U5" i="22" s="1"/>
  <c r="V5" i="22" s="1"/>
  <c r="W5" i="22" s="1"/>
  <c r="X5" i="22" s="1"/>
  <c r="T7" i="22"/>
  <c r="U7" i="22" s="1"/>
  <c r="V7" i="22" s="1"/>
  <c r="W7" i="22" s="1"/>
  <c r="X7" i="22" s="1"/>
  <c r="C30" i="22"/>
  <c r="C31" i="22" s="1"/>
  <c r="H12" i="32" s="1"/>
  <c r="T4" i="22"/>
  <c r="U4" i="22" s="1"/>
  <c r="V4" i="22" s="1"/>
  <c r="W4" i="22" s="1"/>
  <c r="X4" i="22" s="1"/>
  <c r="D53" i="22"/>
  <c r="G37" i="25"/>
  <c r="C37" i="25"/>
  <c r="E37" i="25"/>
  <c r="U118" i="25"/>
  <c r="S118" i="25" s="1"/>
  <c r="E165" i="25"/>
  <c r="F44" i="25"/>
  <c r="U97" i="25"/>
  <c r="S97" i="25" s="1"/>
  <c r="H163" i="25"/>
  <c r="F51" i="25"/>
  <c r="U112" i="25"/>
  <c r="S112" i="25" s="1"/>
  <c r="F46" i="25"/>
  <c r="F47" i="25"/>
  <c r="U115" i="25"/>
  <c r="S115" i="25" s="1"/>
  <c r="F164" i="25"/>
  <c r="I21" i="32"/>
  <c r="U119" i="25"/>
  <c r="S119" i="25" s="1"/>
  <c r="U111" i="25"/>
  <c r="S111" i="25" s="1"/>
  <c r="U117" i="25"/>
  <c r="S117" i="25" s="1"/>
  <c r="F40" i="25"/>
  <c r="M12" i="32" s="1"/>
  <c r="U102" i="25"/>
  <c r="S102" i="25" s="1"/>
  <c r="I122" i="32"/>
  <c r="R225" i="15" s="1"/>
  <c r="U104" i="25"/>
  <c r="S104" i="25" s="1"/>
  <c r="H164" i="25"/>
  <c r="H165" i="25"/>
  <c r="H161" i="25"/>
  <c r="U106" i="25"/>
  <c r="S106" i="25" s="1"/>
  <c r="E163" i="25"/>
  <c r="F160" i="25"/>
  <c r="E162" i="25"/>
  <c r="F45" i="25"/>
  <c r="U113" i="25"/>
  <c r="S113" i="25" s="1"/>
  <c r="E161" i="25"/>
  <c r="H160" i="25"/>
  <c r="U109" i="25"/>
  <c r="S109" i="25" s="1"/>
  <c r="F52" i="25"/>
  <c r="U101" i="25"/>
  <c r="S101" i="25" s="1"/>
  <c r="A19" i="25"/>
  <c r="U120" i="25"/>
  <c r="S120" i="25" s="1"/>
  <c r="E164" i="25"/>
  <c r="U100" i="25"/>
  <c r="S100" i="25" s="1"/>
  <c r="I22" i="32"/>
  <c r="H162" i="25"/>
  <c r="U108" i="25"/>
  <c r="S108" i="25" s="1"/>
  <c r="F42" i="25"/>
  <c r="F53" i="25"/>
  <c r="F163" i="25"/>
  <c r="D79" i="25"/>
  <c r="E160" i="25"/>
  <c r="F162" i="25"/>
  <c r="U103" i="25"/>
  <c r="S103" i="25" s="1"/>
  <c r="U105" i="25"/>
  <c r="S105" i="25" s="1"/>
  <c r="U116" i="25"/>
  <c r="S116" i="25" s="1"/>
  <c r="U114" i="25"/>
  <c r="S114" i="25" s="1"/>
  <c r="F165" i="25"/>
  <c r="F161" i="25"/>
  <c r="A73" i="9"/>
  <c r="U110" i="25"/>
  <c r="S110" i="25" s="1"/>
  <c r="F48" i="25"/>
  <c r="A129" i="15"/>
  <c r="U98" i="25"/>
  <c r="U107" i="25"/>
  <c r="S107" i="25" s="1"/>
  <c r="F43" i="25"/>
  <c r="M15" i="33"/>
  <c r="M16" i="33" s="1"/>
  <c r="M17" i="33" s="1"/>
  <c r="M18" i="33" s="1"/>
  <c r="M19" i="33" s="1"/>
  <c r="M20" i="33" s="1"/>
  <c r="M21" i="33" s="1"/>
  <c r="N13" i="33"/>
  <c r="S3" i="25"/>
  <c r="S4" i="25" s="1"/>
  <c r="C24" i="25"/>
  <c r="N55" i="25"/>
  <c r="O55" i="25" s="1"/>
  <c r="E49" i="9" s="1"/>
  <c r="H16" i="25"/>
  <c r="B235" i="15"/>
  <c r="V235" i="15"/>
  <c r="R38" i="9"/>
  <c r="C51" i="27"/>
  <c r="E21" i="32" s="1"/>
  <c r="G7" i="32"/>
  <c r="C7" i="32"/>
  <c r="B7" i="32" s="1"/>
  <c r="D7" i="32"/>
  <c r="F7" i="32"/>
  <c r="E7" i="32"/>
  <c r="C52" i="27"/>
  <c r="E22" i="32" s="1"/>
  <c r="R40" i="9"/>
  <c r="H17" i="25"/>
  <c r="D24" i="25"/>
  <c r="G24" i="25"/>
  <c r="N59" i="25"/>
  <c r="O59" i="25" s="1"/>
  <c r="E89" i="9" s="1"/>
  <c r="H20" i="25"/>
  <c r="C125" i="15" l="1"/>
  <c r="C61" i="15"/>
  <c r="C332" i="15"/>
  <c r="C257" i="15"/>
  <c r="AB96" i="32"/>
  <c r="C411" i="15"/>
  <c r="C421" i="15"/>
  <c r="AK13" i="22"/>
  <c r="C423" i="15" s="1"/>
  <c r="N9" i="28"/>
  <c r="N10" i="28" s="1"/>
  <c r="M12" i="31"/>
  <c r="M13" i="31" s="1"/>
  <c r="M14" i="31" s="1"/>
  <c r="M11" i="28"/>
  <c r="M12" i="28" s="1"/>
  <c r="N11" i="31"/>
  <c r="C23" i="32"/>
  <c r="B24" i="32" s="1"/>
  <c r="C24" i="32" s="1"/>
  <c r="R24" i="32" s="1"/>
  <c r="I23" i="32"/>
  <c r="AG22" i="32"/>
  <c r="AB34" i="32"/>
  <c r="K23" i="32"/>
  <c r="AB22" i="32"/>
  <c r="D357" i="15"/>
  <c r="AB46" i="32"/>
  <c r="AB78" i="32"/>
  <c r="AB120" i="32"/>
  <c r="U41" i="25"/>
  <c r="AB82" i="32"/>
  <c r="U38" i="25"/>
  <c r="U22" i="32"/>
  <c r="V22" i="32" s="1"/>
  <c r="AB35" i="32"/>
  <c r="AB51" i="32"/>
  <c r="AB24" i="32"/>
  <c r="AB40" i="32"/>
  <c r="AB47" i="32"/>
  <c r="AB44" i="32"/>
  <c r="AB98" i="32"/>
  <c r="AB43" i="32"/>
  <c r="AA22" i="32"/>
  <c r="AA2" i="32"/>
  <c r="U45" i="25"/>
  <c r="AB105" i="32"/>
  <c r="AB65" i="32"/>
  <c r="U42" i="25"/>
  <c r="B355" i="15"/>
  <c r="AB59" i="32"/>
  <c r="AB80" i="32"/>
  <c r="AB77" i="32"/>
  <c r="AB89" i="32"/>
  <c r="AB30" i="32"/>
  <c r="AC22" i="32"/>
  <c r="AB111" i="32"/>
  <c r="D232" i="15"/>
  <c r="AB49" i="32"/>
  <c r="AB58" i="32"/>
  <c r="S22" i="32"/>
  <c r="U33" i="25"/>
  <c r="AB93" i="32"/>
  <c r="AB101" i="32"/>
  <c r="AB55" i="32"/>
  <c r="U34" i="25"/>
  <c r="AB118" i="32"/>
  <c r="Y22" i="32"/>
  <c r="AB28" i="32"/>
  <c r="AB57" i="32"/>
  <c r="U37" i="25"/>
  <c r="AB68" i="32"/>
  <c r="AB84" i="32"/>
  <c r="AB41" i="32"/>
  <c r="AB76" i="32"/>
  <c r="AB110" i="32"/>
  <c r="R4" i="15"/>
  <c r="AB66" i="32"/>
  <c r="AB109" i="32"/>
  <c r="AB86" i="32"/>
  <c r="AB31" i="32"/>
  <c r="AB33" i="32"/>
  <c r="AB107" i="32"/>
  <c r="AB88" i="32"/>
  <c r="AB116" i="32"/>
  <c r="U39" i="25"/>
  <c r="AB54" i="32"/>
  <c r="Y21" i="32"/>
  <c r="AB75" i="32"/>
  <c r="AB97" i="32"/>
  <c r="AB90" i="32"/>
  <c r="AB62" i="32"/>
  <c r="AB64" i="32"/>
  <c r="AB119" i="32"/>
  <c r="AB91" i="32"/>
  <c r="AB103" i="32"/>
  <c r="AB99" i="32"/>
  <c r="H1" i="32"/>
  <c r="AB37" i="32"/>
  <c r="AA21" i="32"/>
  <c r="AB92" i="32"/>
  <c r="AB48" i="32"/>
  <c r="AB102" i="32"/>
  <c r="AB112" i="32"/>
  <c r="AB36" i="32"/>
  <c r="AB56" i="32"/>
  <c r="AB52" i="32"/>
  <c r="AB71" i="32"/>
  <c r="U35" i="25"/>
  <c r="O21" i="9"/>
  <c r="AB72" i="32"/>
  <c r="AB100" i="32"/>
  <c r="T355" i="15"/>
  <c r="AB27" i="32"/>
  <c r="AB53" i="32"/>
  <c r="AB32" i="32"/>
  <c r="AB69" i="32"/>
  <c r="AB104" i="32"/>
  <c r="D364" i="15"/>
  <c r="D114" i="25"/>
  <c r="A355" i="15"/>
  <c r="AB83" i="32"/>
  <c r="U36" i="25"/>
  <c r="AB85" i="32"/>
  <c r="S21" i="32"/>
  <c r="X21" i="32" s="1"/>
  <c r="AB87" i="32"/>
  <c r="A53" i="15"/>
  <c r="AB95" i="32"/>
  <c r="T21" i="32"/>
  <c r="U40" i="25"/>
  <c r="D356" i="15"/>
  <c r="Z22" i="32"/>
  <c r="AB108" i="32"/>
  <c r="AB23" i="32"/>
  <c r="T22" i="32"/>
  <c r="W22" i="32"/>
  <c r="AC21" i="32"/>
  <c r="AB121" i="32"/>
  <c r="AB70" i="32"/>
  <c r="AB114" i="32"/>
  <c r="AB81" i="32"/>
  <c r="AB38" i="32"/>
  <c r="Z21" i="32"/>
  <c r="AB113" i="32"/>
  <c r="AB117" i="32"/>
  <c r="AB94" i="32"/>
  <c r="AB60" i="32"/>
  <c r="AB63" i="32"/>
  <c r="C4" i="32"/>
  <c r="D4" i="32" s="1"/>
  <c r="A2" i="9" s="1"/>
  <c r="D359" i="15"/>
  <c r="U43" i="25"/>
  <c r="M100" i="9"/>
  <c r="AB42" i="32"/>
  <c r="AB73" i="32"/>
  <c r="U44" i="25"/>
  <c r="AB61" i="32"/>
  <c r="AB79" i="32"/>
  <c r="AB106" i="32"/>
  <c r="AB115" i="32"/>
  <c r="C35" i="22"/>
  <c r="R23" i="9" s="1"/>
  <c r="AB45" i="32"/>
  <c r="AB39" i="32"/>
  <c r="AB25" i="32"/>
  <c r="AB29" i="32"/>
  <c r="AB67" i="32"/>
  <c r="AB74" i="32"/>
  <c r="AB26" i="32"/>
  <c r="AB50" i="32"/>
  <c r="O79" i="9"/>
  <c r="C80" i="25"/>
  <c r="C91" i="25"/>
  <c r="C79" i="25"/>
  <c r="C90" i="25"/>
  <c r="C89" i="25"/>
  <c r="AC6" i="32"/>
  <c r="C87" i="25"/>
  <c r="C86" i="25"/>
  <c r="C84" i="25"/>
  <c r="C83" i="25"/>
  <c r="C81" i="25"/>
  <c r="C85" i="25"/>
  <c r="C82" i="25"/>
  <c r="C88" i="25"/>
  <c r="O81" i="9"/>
  <c r="G19" i="25"/>
  <c r="P75" i="9"/>
  <c r="F50" i="25"/>
  <c r="F19" i="25"/>
  <c r="F49" i="25"/>
  <c r="M22" i="33"/>
  <c r="M23" i="33" s="1"/>
  <c r="M24" i="33" s="1"/>
  <c r="M25" i="33" s="1"/>
  <c r="N14" i="33"/>
  <c r="N15" i="33" s="1"/>
  <c r="N16" i="33" s="1"/>
  <c r="N17" i="33" s="1"/>
  <c r="N18" i="33" s="1"/>
  <c r="N19" i="33" s="1"/>
  <c r="N20" i="33" s="1"/>
  <c r="N21" i="33" s="1"/>
  <c r="N22" i="33" s="1"/>
  <c r="N23" i="33" s="1"/>
  <c r="S5" i="25"/>
  <c r="E23" i="32"/>
  <c r="B12" i="32"/>
  <c r="B236" i="15"/>
  <c r="V237" i="15"/>
  <c r="C30" i="25"/>
  <c r="M47" i="9"/>
  <c r="C49" i="9" s="1"/>
  <c r="V236" i="15"/>
  <c r="B237" i="15"/>
  <c r="D30" i="25"/>
  <c r="AG23" i="32"/>
  <c r="W23" i="32"/>
  <c r="AF23" i="32"/>
  <c r="U23" i="32"/>
  <c r="V23" i="32" s="1"/>
  <c r="T23" i="32"/>
  <c r="AC23" i="32"/>
  <c r="Z23" i="32"/>
  <c r="Y23" i="32"/>
  <c r="AA23" i="32"/>
  <c r="S23" i="32"/>
  <c r="G30" i="25"/>
  <c r="M87" i="9"/>
  <c r="C89" i="9" s="1"/>
  <c r="AK14" i="22" l="1"/>
  <c r="N11" i="28"/>
  <c r="M15" i="31"/>
  <c r="M16" i="31" s="1"/>
  <c r="R23" i="32"/>
  <c r="M13" i="28"/>
  <c r="M14" i="28" s="1"/>
  <c r="M15" i="28" s="1"/>
  <c r="M16" i="28" s="1"/>
  <c r="M17" i="28" s="1"/>
  <c r="M18" i="28" s="1"/>
  <c r="M19" i="28" s="1"/>
  <c r="M20" i="28" s="1"/>
  <c r="M21" i="28" s="1"/>
  <c r="M22" i="28" s="1"/>
  <c r="M23" i="28" s="1"/>
  <c r="M24" i="28" s="1"/>
  <c r="M25" i="28" s="1"/>
  <c r="M26" i="28" s="1"/>
  <c r="M27" i="28" s="1"/>
  <c r="M28" i="28" s="1"/>
  <c r="M29" i="28" s="1"/>
  <c r="M30" i="28" s="1"/>
  <c r="M31" i="28" s="1"/>
  <c r="N12" i="31"/>
  <c r="X22" i="32"/>
  <c r="D8" i="32"/>
  <c r="G8" i="32"/>
  <c r="C12" i="25"/>
  <c r="C48" i="22"/>
  <c r="R25" i="9" s="1"/>
  <c r="C8" i="32"/>
  <c r="B8" i="32" s="1"/>
  <c r="E95" i="9" s="1"/>
  <c r="E8" i="32"/>
  <c r="Z5" i="32" s="1"/>
  <c r="F8" i="32"/>
  <c r="C49" i="22"/>
  <c r="M26" i="33"/>
  <c r="M27" i="33" s="1"/>
  <c r="M28" i="33" s="1"/>
  <c r="M29" i="33" s="1"/>
  <c r="M30" i="33" s="1"/>
  <c r="M31" i="33" s="1"/>
  <c r="M32" i="33" s="1"/>
  <c r="M33" i="33" s="1"/>
  <c r="M34" i="33" s="1"/>
  <c r="M35" i="33" s="1"/>
  <c r="M36" i="33" s="1"/>
  <c r="M37" i="33" s="1"/>
  <c r="M38" i="33" s="1"/>
  <c r="M39" i="33" s="1"/>
  <c r="M40" i="33" s="1"/>
  <c r="M41" i="33" s="1"/>
  <c r="M42" i="33" s="1"/>
  <c r="M43" i="33" s="1"/>
  <c r="M44" i="33" s="1"/>
  <c r="M45" i="33" s="1"/>
  <c r="M46" i="33" s="1"/>
  <c r="M47" i="33" s="1"/>
  <c r="M48" i="33" s="1"/>
  <c r="M49" i="33" s="1"/>
  <c r="M50" i="33" s="1"/>
  <c r="M51" i="33" s="1"/>
  <c r="M52" i="33" s="1"/>
  <c r="M53" i="33" s="1"/>
  <c r="M54" i="33" s="1"/>
  <c r="M55" i="33" s="1"/>
  <c r="M56" i="33" s="1"/>
  <c r="M57" i="33" s="1"/>
  <c r="M58" i="33" s="1"/>
  <c r="M59" i="33" s="1"/>
  <c r="M60" i="33" s="1"/>
  <c r="M61" i="33" s="1"/>
  <c r="M62" i="33" s="1"/>
  <c r="M63" i="33" s="1"/>
  <c r="M64" i="33" s="1"/>
  <c r="M65" i="33" s="1"/>
  <c r="M66" i="33" s="1"/>
  <c r="M67" i="33" s="1"/>
  <c r="M68" i="33" s="1"/>
  <c r="M69" i="33" s="1"/>
  <c r="M70" i="33" s="1"/>
  <c r="M71" i="33" s="1"/>
  <c r="M72" i="33" s="1"/>
  <c r="M73" i="33" s="1"/>
  <c r="M74" i="33" s="1"/>
  <c r="M75" i="33" s="1"/>
  <c r="M76" i="33" s="1"/>
  <c r="M77" i="33" s="1"/>
  <c r="M78" i="33" s="1"/>
  <c r="M79" i="33" s="1"/>
  <c r="M80" i="33" s="1"/>
  <c r="M81" i="33" s="1"/>
  <c r="M82" i="33" s="1"/>
  <c r="M83" i="33" s="1"/>
  <c r="M84" i="33" s="1"/>
  <c r="M85" i="33" s="1"/>
  <c r="M86" i="33" s="1"/>
  <c r="M87" i="33" s="1"/>
  <c r="M88" i="33" s="1"/>
  <c r="M89" i="33" s="1"/>
  <c r="M90" i="33" s="1"/>
  <c r="M91" i="33" s="1"/>
  <c r="M92" i="33" s="1"/>
  <c r="M93" i="33" s="1"/>
  <c r="M94" i="33" s="1"/>
  <c r="M95" i="33" s="1"/>
  <c r="M96" i="33" s="1"/>
  <c r="M97" i="33" s="1"/>
  <c r="M98" i="33" s="1"/>
  <c r="M99" i="33" s="1"/>
  <c r="M100" i="33" s="1"/>
  <c r="M101" i="33" s="1"/>
  <c r="M102" i="33" s="1"/>
  <c r="N24" i="33"/>
  <c r="N25" i="33" s="1"/>
  <c r="N26" i="33" s="1"/>
  <c r="N27" i="33" s="1"/>
  <c r="N28" i="33" s="1"/>
  <c r="N29" i="33" s="1"/>
  <c r="N30" i="33" s="1"/>
  <c r="N31" i="33" s="1"/>
  <c r="N32" i="33" s="1"/>
  <c r="N33" i="33" s="1"/>
  <c r="N34" i="33" s="1"/>
  <c r="N35" i="33" s="1"/>
  <c r="N36" i="33" s="1"/>
  <c r="N37" i="33" s="1"/>
  <c r="N38" i="33" s="1"/>
  <c r="N39" i="33" s="1"/>
  <c r="N40" i="33" s="1"/>
  <c r="N41" i="33" s="1"/>
  <c r="N42" i="33" s="1"/>
  <c r="N43" i="33" s="1"/>
  <c r="N44" i="33" s="1"/>
  <c r="N45" i="33" s="1"/>
  <c r="N46" i="33" s="1"/>
  <c r="N47" i="33" s="1"/>
  <c r="N48" i="33" s="1"/>
  <c r="N49" i="33" s="1"/>
  <c r="N50" i="33" s="1"/>
  <c r="N51" i="33" s="1"/>
  <c r="N52" i="33" s="1"/>
  <c r="N53" i="33" s="1"/>
  <c r="N54" i="33" s="1"/>
  <c r="N55" i="33" s="1"/>
  <c r="N56" i="33" s="1"/>
  <c r="N57" i="33" s="1"/>
  <c r="N58" i="33" s="1"/>
  <c r="N59" i="33" s="1"/>
  <c r="N60" i="33" s="1"/>
  <c r="N61" i="33" s="1"/>
  <c r="N62" i="33" s="1"/>
  <c r="N63" i="33" s="1"/>
  <c r="N64" i="33" s="1"/>
  <c r="N65" i="33" s="1"/>
  <c r="N66" i="33" s="1"/>
  <c r="N67" i="33" s="1"/>
  <c r="N68" i="33" s="1"/>
  <c r="N69" i="33" s="1"/>
  <c r="N70" i="33" s="1"/>
  <c r="N71" i="33" s="1"/>
  <c r="N72" i="33" s="1"/>
  <c r="N73" i="33" s="1"/>
  <c r="N74" i="33" s="1"/>
  <c r="N75" i="33" s="1"/>
  <c r="N76" i="33" s="1"/>
  <c r="N77" i="33" s="1"/>
  <c r="N78" i="33" s="1"/>
  <c r="N79" i="33" s="1"/>
  <c r="N80" i="33" s="1"/>
  <c r="N81" i="33" s="1"/>
  <c r="N82" i="33" s="1"/>
  <c r="N83" i="33" s="1"/>
  <c r="N84" i="33" s="1"/>
  <c r="N85" i="33" s="1"/>
  <c r="N86" i="33" s="1"/>
  <c r="N87" i="33" s="1"/>
  <c r="N88" i="33" s="1"/>
  <c r="N89" i="33" s="1"/>
  <c r="N90" i="33" s="1"/>
  <c r="N91" i="33" s="1"/>
  <c r="N92" i="33" s="1"/>
  <c r="N93" i="33" s="1"/>
  <c r="N94" i="33" s="1"/>
  <c r="N95" i="33" s="1"/>
  <c r="N96" i="33" s="1"/>
  <c r="N97" i="33" s="1"/>
  <c r="N98" i="33" s="1"/>
  <c r="N99" i="33" s="1"/>
  <c r="N100" i="33" s="1"/>
  <c r="N101" i="33" s="1"/>
  <c r="N102" i="33" s="1"/>
  <c r="B238" i="15"/>
  <c r="S6" i="25"/>
  <c r="V239" i="15" s="1"/>
  <c r="V238" i="15"/>
  <c r="X23" i="32"/>
  <c r="C41" i="25"/>
  <c r="C31" i="25"/>
  <c r="U65" i="15"/>
  <c r="E16" i="25"/>
  <c r="K24" i="32"/>
  <c r="Q24" i="32"/>
  <c r="B25" i="32"/>
  <c r="E24" i="32"/>
  <c r="I24" i="32"/>
  <c r="G31" i="25"/>
  <c r="E20" i="25"/>
  <c r="G41" i="25"/>
  <c r="B104" i="9"/>
  <c r="Q93" i="9"/>
  <c r="E93" i="9"/>
  <c r="R75" i="9"/>
  <c r="R81" i="9"/>
  <c r="I32" i="9"/>
  <c r="M93" i="9"/>
  <c r="R79" i="9"/>
  <c r="I19" i="9"/>
  <c r="D23" i="25"/>
  <c r="C58" i="25"/>
  <c r="C56" i="25"/>
  <c r="AA6" i="32" s="1"/>
  <c r="AD6" i="32" s="1"/>
  <c r="C66" i="25"/>
  <c r="C65" i="25"/>
  <c r="C62" i="25"/>
  <c r="C63" i="25"/>
  <c r="C61" i="25"/>
  <c r="C59" i="25"/>
  <c r="C60" i="25"/>
  <c r="C57" i="25"/>
  <c r="C64" i="25"/>
  <c r="AK15" i="22" l="1"/>
  <c r="AK16" i="22" s="1"/>
  <c r="AK17" i="22" s="1"/>
  <c r="C424" i="15"/>
  <c r="N12" i="28"/>
  <c r="M17" i="31"/>
  <c r="M18" i="31" s="1"/>
  <c r="M19" i="31" s="1"/>
  <c r="M20" i="31" s="1"/>
  <c r="M21" i="31" s="1"/>
  <c r="M22" i="31" s="1"/>
  <c r="M23" i="31" s="1"/>
  <c r="M24" i="31" s="1"/>
  <c r="M25" i="31" s="1"/>
  <c r="M26" i="31" s="1"/>
  <c r="M27" i="31" s="1"/>
  <c r="M28" i="31" s="1"/>
  <c r="M29" i="31" s="1"/>
  <c r="M30" i="31" s="1"/>
  <c r="M31" i="31" s="1"/>
  <c r="M32" i="31" s="1"/>
  <c r="M33" i="31" s="1"/>
  <c r="M34" i="31" s="1"/>
  <c r="M35" i="31" s="1"/>
  <c r="M36" i="31" s="1"/>
  <c r="M37" i="31" s="1"/>
  <c r="M38" i="31" s="1"/>
  <c r="M32" i="28"/>
  <c r="M33" i="28" s="1"/>
  <c r="M34" i="28" s="1"/>
  <c r="M35" i="28" s="1"/>
  <c r="M36" i="28" s="1"/>
  <c r="M37" i="28" s="1"/>
  <c r="M38" i="28" s="1"/>
  <c r="M39" i="28" s="1"/>
  <c r="M40" i="28" s="1"/>
  <c r="M41" i="28" s="1"/>
  <c r="M42" i="28" s="1"/>
  <c r="M43" i="28" s="1"/>
  <c r="M44" i="28" s="1"/>
  <c r="M45" i="28" s="1"/>
  <c r="M46" i="28" s="1"/>
  <c r="M47" i="28" s="1"/>
  <c r="M48" i="28" s="1"/>
  <c r="M49" i="28" s="1"/>
  <c r="M50" i="28" s="1"/>
  <c r="M51" i="28" s="1"/>
  <c r="M52" i="28" s="1"/>
  <c r="M53" i="28" s="1"/>
  <c r="M54" i="28" s="1"/>
  <c r="M55" i="28" s="1"/>
  <c r="M56" i="28" s="1"/>
  <c r="M57" i="28" s="1"/>
  <c r="M58" i="28" s="1"/>
  <c r="M59" i="28" s="1"/>
  <c r="M60" i="28" s="1"/>
  <c r="M61" i="28" s="1"/>
  <c r="M62" i="28" s="1"/>
  <c r="M63" i="28" s="1"/>
  <c r="M64" i="28" s="1"/>
  <c r="M65" i="28" s="1"/>
  <c r="M66" i="28" s="1"/>
  <c r="M67" i="28" s="1"/>
  <c r="M68" i="28" s="1"/>
  <c r="M69" i="28" s="1"/>
  <c r="M70" i="28" s="1"/>
  <c r="M71" i="28" s="1"/>
  <c r="M72" i="28" s="1"/>
  <c r="M73" i="28" s="1"/>
  <c r="M74" i="28" s="1"/>
  <c r="M75" i="28" s="1"/>
  <c r="M76" i="28" s="1"/>
  <c r="M77" i="28" s="1"/>
  <c r="M78" i="28" s="1"/>
  <c r="M79" i="28" s="1"/>
  <c r="M80" i="28" s="1"/>
  <c r="M81" i="28" s="1"/>
  <c r="M82" i="28" s="1"/>
  <c r="M83" i="28" s="1"/>
  <c r="M84" i="28" s="1"/>
  <c r="M85" i="28" s="1"/>
  <c r="M86" i="28" s="1"/>
  <c r="M87" i="28" s="1"/>
  <c r="M88" i="28" s="1"/>
  <c r="M89" i="28" s="1"/>
  <c r="M90" i="28" s="1"/>
  <c r="M91" i="28" s="1"/>
  <c r="M92" i="28" s="1"/>
  <c r="M93" i="28" s="1"/>
  <c r="M94" i="28" s="1"/>
  <c r="M95" i="28" s="1"/>
  <c r="M96" i="28" s="1"/>
  <c r="M97" i="28" s="1"/>
  <c r="M98" i="28" s="1"/>
  <c r="M99" i="28" s="1"/>
  <c r="M100" i="28" s="1"/>
  <c r="M101" i="28" s="1"/>
  <c r="M102" i="28" s="1"/>
  <c r="N13" i="31"/>
  <c r="N14" i="31" s="1"/>
  <c r="N15" i="31" s="1"/>
  <c r="N16" i="31" s="1"/>
  <c r="N17" i="31" s="1"/>
  <c r="N18" i="31" s="1"/>
  <c r="N19" i="31" s="1"/>
  <c r="N20" i="31" s="1"/>
  <c r="N21" i="31" s="1"/>
  <c r="N22" i="31" s="1"/>
  <c r="N23" i="31" s="1"/>
  <c r="N24" i="31" s="1"/>
  <c r="N25" i="31" s="1"/>
  <c r="N26" i="31" s="1"/>
  <c r="N27" i="31" s="1"/>
  <c r="N28" i="31" s="1"/>
  <c r="N29" i="31" s="1"/>
  <c r="N30" i="31" s="1"/>
  <c r="N31" i="31" s="1"/>
  <c r="N32" i="31" s="1"/>
  <c r="N33" i="31" s="1"/>
  <c r="N34" i="31" s="1"/>
  <c r="N35" i="31" s="1"/>
  <c r="N36" i="31" s="1"/>
  <c r="N37" i="31" s="1"/>
  <c r="N38" i="31" s="1"/>
  <c r="N39" i="31" s="1"/>
  <c r="N40" i="31" s="1"/>
  <c r="N41" i="31" s="1"/>
  <c r="N42" i="31" s="1"/>
  <c r="N43" i="31" s="1"/>
  <c r="N44" i="31" s="1"/>
  <c r="N45" i="31" s="1"/>
  <c r="N46" i="31" s="1"/>
  <c r="N47" i="31" s="1"/>
  <c r="N48" i="31" s="1"/>
  <c r="N49" i="31" s="1"/>
  <c r="N50" i="31" s="1"/>
  <c r="N51" i="31" s="1"/>
  <c r="N52" i="31" s="1"/>
  <c r="N53" i="31" s="1"/>
  <c r="N54" i="31" s="1"/>
  <c r="N55" i="31" s="1"/>
  <c r="N56" i="31" s="1"/>
  <c r="N57" i="31" s="1"/>
  <c r="N58" i="31" s="1"/>
  <c r="N59" i="31" s="1"/>
  <c r="N60" i="31" s="1"/>
  <c r="N61" i="31" s="1"/>
  <c r="N62" i="31" s="1"/>
  <c r="N63" i="31" s="1"/>
  <c r="N64" i="31" s="1"/>
  <c r="N65" i="31" s="1"/>
  <c r="N66" i="31" s="1"/>
  <c r="N67" i="31" s="1"/>
  <c r="N68" i="31" s="1"/>
  <c r="N69" i="31" s="1"/>
  <c r="N70" i="31" s="1"/>
  <c r="N71" i="31" s="1"/>
  <c r="N72" i="31" s="1"/>
  <c r="N73" i="31" s="1"/>
  <c r="N74" i="31" s="1"/>
  <c r="N75" i="31" s="1"/>
  <c r="N76" i="31" s="1"/>
  <c r="N77" i="31" s="1"/>
  <c r="N78" i="31" s="1"/>
  <c r="N79" i="31" s="1"/>
  <c r="N80" i="31" s="1"/>
  <c r="N81" i="31" s="1"/>
  <c r="N82" i="31" s="1"/>
  <c r="N83" i="31" s="1"/>
  <c r="N84" i="31" s="1"/>
  <c r="N85" i="31" s="1"/>
  <c r="N86" i="31" s="1"/>
  <c r="N87" i="31" s="1"/>
  <c r="N88" i="31" s="1"/>
  <c r="N89" i="31" s="1"/>
  <c r="N90" i="31" s="1"/>
  <c r="N91" i="31" s="1"/>
  <c r="N92" i="31" s="1"/>
  <c r="N93" i="31" s="1"/>
  <c r="N94" i="31" s="1"/>
  <c r="N95" i="31" s="1"/>
  <c r="N96" i="31" s="1"/>
  <c r="N97" i="31" s="1"/>
  <c r="N98" i="31" s="1"/>
  <c r="N99" i="31" s="1"/>
  <c r="N100" i="31" s="1"/>
  <c r="N101" i="31" s="1"/>
  <c r="N102" i="31" s="1"/>
  <c r="M95" i="9"/>
  <c r="Q95" i="9"/>
  <c r="B13" i="32"/>
  <c r="C51" i="22"/>
  <c r="D21" i="32" s="1"/>
  <c r="C52" i="22"/>
  <c r="D25" i="32" s="1"/>
  <c r="R27" i="9"/>
  <c r="C14" i="33"/>
  <c r="C10" i="33"/>
  <c r="C12" i="33"/>
  <c r="C9" i="33"/>
  <c r="C13" i="33"/>
  <c r="C7" i="33"/>
  <c r="C8" i="33"/>
  <c r="C11" i="33"/>
  <c r="D5" i="33"/>
  <c r="F5" i="33"/>
  <c r="E5" i="33"/>
  <c r="I5" i="33"/>
  <c r="G5" i="33"/>
  <c r="H5" i="33"/>
  <c r="S7" i="25"/>
  <c r="B239" i="15"/>
  <c r="O47" i="9"/>
  <c r="C33" i="25"/>
  <c r="O87" i="9"/>
  <c r="G33" i="25"/>
  <c r="AA8" i="32"/>
  <c r="AB8" i="32" s="1"/>
  <c r="AA7" i="32"/>
  <c r="D139" i="25"/>
  <c r="D143" i="25"/>
  <c r="AA5" i="32"/>
  <c r="AD5" i="32" s="1"/>
  <c r="D17" i="25"/>
  <c r="D140" i="25"/>
  <c r="D142" i="25"/>
  <c r="D39" i="25"/>
  <c r="D141" i="25"/>
  <c r="K11" i="32"/>
  <c r="V59" i="25"/>
  <c r="D138" i="25"/>
  <c r="C25" i="32"/>
  <c r="B26" i="32" s="1"/>
  <c r="AF24" i="32"/>
  <c r="AG24" i="32"/>
  <c r="W24" i="32"/>
  <c r="U24" i="32"/>
  <c r="V24" i="32" s="1"/>
  <c r="Z24" i="32"/>
  <c r="S24" i="32"/>
  <c r="Y24" i="32"/>
  <c r="T24" i="32"/>
  <c r="AC24" i="32"/>
  <c r="AA24" i="32"/>
  <c r="K25" i="32"/>
  <c r="Q25" i="32"/>
  <c r="E25" i="32"/>
  <c r="I25" i="32"/>
  <c r="C426" i="15" l="1"/>
  <c r="C425" i="15"/>
  <c r="AK18" i="22"/>
  <c r="AK19" i="22" s="1"/>
  <c r="C427" i="15"/>
  <c r="N13" i="28"/>
  <c r="M39" i="31"/>
  <c r="M40" i="31" s="1"/>
  <c r="M41" i="31" s="1"/>
  <c r="M42" i="31" s="1"/>
  <c r="M43" i="31" s="1"/>
  <c r="M44" i="31" s="1"/>
  <c r="M45" i="31" s="1"/>
  <c r="M46" i="31" s="1"/>
  <c r="M47" i="31" s="1"/>
  <c r="M48" i="31" s="1"/>
  <c r="M49" i="31" s="1"/>
  <c r="M50" i="31" s="1"/>
  <c r="M51" i="31" s="1"/>
  <c r="M52" i="31" s="1"/>
  <c r="M53" i="31" s="1"/>
  <c r="M54" i="31" s="1"/>
  <c r="M55" i="31" s="1"/>
  <c r="M56" i="31" s="1"/>
  <c r="M57" i="31" s="1"/>
  <c r="M58" i="31" s="1"/>
  <c r="M59" i="31" s="1"/>
  <c r="M60" i="31" s="1"/>
  <c r="M61" i="31" s="1"/>
  <c r="M62" i="31" s="1"/>
  <c r="M63" i="31" s="1"/>
  <c r="M64" i="31" s="1"/>
  <c r="M65" i="31" s="1"/>
  <c r="M66" i="31" s="1"/>
  <c r="M67" i="31" s="1"/>
  <c r="M68" i="31" s="1"/>
  <c r="M69" i="31" s="1"/>
  <c r="M70" i="31" s="1"/>
  <c r="M71" i="31" s="1"/>
  <c r="M72" i="31" s="1"/>
  <c r="M73" i="31" s="1"/>
  <c r="M74" i="31" s="1"/>
  <c r="M75" i="31" s="1"/>
  <c r="M76" i="31" s="1"/>
  <c r="M77" i="31" s="1"/>
  <c r="M78" i="31" s="1"/>
  <c r="M79" i="31" s="1"/>
  <c r="M80" i="31" s="1"/>
  <c r="M81" i="31" s="1"/>
  <c r="M82" i="31" s="1"/>
  <c r="M83" i="31" s="1"/>
  <c r="M84" i="31" s="1"/>
  <c r="M85" i="31" s="1"/>
  <c r="M86" i="31" s="1"/>
  <c r="M87" i="31" s="1"/>
  <c r="M88" i="31" s="1"/>
  <c r="M89" i="31" s="1"/>
  <c r="M90" i="31" s="1"/>
  <c r="M91" i="31" s="1"/>
  <c r="M92" i="31" s="1"/>
  <c r="M93" i="31" s="1"/>
  <c r="M94" i="31" s="1"/>
  <c r="M95" i="31" s="1"/>
  <c r="M96" i="31" s="1"/>
  <c r="M97" i="31" s="1"/>
  <c r="M98" i="31" s="1"/>
  <c r="M99" i="31" s="1"/>
  <c r="M100" i="31" s="1"/>
  <c r="M101" i="31" s="1"/>
  <c r="M102" i="31" s="1"/>
  <c r="I5" i="28"/>
  <c r="D5" i="28"/>
  <c r="E5" i="28"/>
  <c r="F5" i="28"/>
  <c r="G5" i="28"/>
  <c r="H5" i="28"/>
  <c r="C14" i="31"/>
  <c r="C9" i="31"/>
  <c r="D362" i="15" s="1"/>
  <c r="C11" i="31"/>
  <c r="C13" i="31"/>
  <c r="C7" i="31"/>
  <c r="D349" i="15" s="1"/>
  <c r="C10" i="31"/>
  <c r="D363" i="15" s="1"/>
  <c r="C8" i="31"/>
  <c r="D350" i="15" s="1"/>
  <c r="C12" i="31"/>
  <c r="D22" i="32"/>
  <c r="D23" i="32"/>
  <c r="D24" i="32"/>
  <c r="I14" i="33"/>
  <c r="I11" i="33"/>
  <c r="I13" i="33"/>
  <c r="I10" i="33"/>
  <c r="I12" i="33"/>
  <c r="I7" i="33"/>
  <c r="I9" i="33"/>
  <c r="I8" i="33"/>
  <c r="R372" i="15" s="1"/>
  <c r="E10" i="33"/>
  <c r="E12" i="33"/>
  <c r="E11" i="33"/>
  <c r="E7" i="33"/>
  <c r="E14" i="33"/>
  <c r="E8" i="33"/>
  <c r="E9" i="33"/>
  <c r="E13" i="33"/>
  <c r="F11" i="33"/>
  <c r="F9" i="33"/>
  <c r="F14" i="33"/>
  <c r="F10" i="33"/>
  <c r="F12" i="33"/>
  <c r="F7" i="33"/>
  <c r="F8" i="33"/>
  <c r="F13" i="33"/>
  <c r="H13" i="33"/>
  <c r="H14" i="33"/>
  <c r="H10" i="33"/>
  <c r="H9" i="33"/>
  <c r="H11" i="33"/>
  <c r="H7" i="33"/>
  <c r="H12" i="33"/>
  <c r="H8" i="33"/>
  <c r="H6" i="33"/>
  <c r="D13" i="33"/>
  <c r="D7" i="33"/>
  <c r="E6" i="33"/>
  <c r="F6" i="33"/>
  <c r="D6" i="33"/>
  <c r="H370" i="15" s="1"/>
  <c r="G6" i="33"/>
  <c r="D14" i="33"/>
  <c r="D8" i="33"/>
  <c r="D9" i="33"/>
  <c r="I6" i="33"/>
  <c r="D12" i="33"/>
  <c r="D10" i="33"/>
  <c r="D11" i="33"/>
  <c r="G10" i="33"/>
  <c r="G14" i="33"/>
  <c r="G11" i="33"/>
  <c r="G9" i="33"/>
  <c r="G12" i="33"/>
  <c r="G7" i="33"/>
  <c r="N371" i="15" s="1"/>
  <c r="G13" i="33"/>
  <c r="G8" i="33"/>
  <c r="S8" i="25"/>
  <c r="X24" i="32"/>
  <c r="B240" i="15"/>
  <c r="V240" i="15"/>
  <c r="AD21" i="32"/>
  <c r="AE21" i="32" s="1"/>
  <c r="E131" i="25"/>
  <c r="L372" i="15"/>
  <c r="J370" i="15"/>
  <c r="E128" i="25"/>
  <c r="C40" i="25"/>
  <c r="C42" i="25"/>
  <c r="D373" i="15"/>
  <c r="R371" i="15"/>
  <c r="U51" i="25"/>
  <c r="U50" i="25"/>
  <c r="D93" i="25"/>
  <c r="A65" i="15"/>
  <c r="P371" i="15"/>
  <c r="C51" i="25"/>
  <c r="P372" i="15"/>
  <c r="E127" i="25"/>
  <c r="F127" i="25" s="1"/>
  <c r="B366" i="15"/>
  <c r="D367" i="15"/>
  <c r="U47" i="25"/>
  <c r="L370" i="15"/>
  <c r="R370" i="15"/>
  <c r="L371" i="15"/>
  <c r="J372" i="15"/>
  <c r="U49" i="25"/>
  <c r="U46" i="25"/>
  <c r="A366" i="15"/>
  <c r="H372" i="15"/>
  <c r="AD22" i="32"/>
  <c r="AE22" i="32" s="1"/>
  <c r="D368" i="15"/>
  <c r="N372" i="15"/>
  <c r="C43" i="25"/>
  <c r="A43" i="9"/>
  <c r="J371" i="15"/>
  <c r="AB2" i="32"/>
  <c r="N370" i="15"/>
  <c r="A16" i="25"/>
  <c r="E130" i="25"/>
  <c r="F130" i="25" s="1"/>
  <c r="U52" i="25"/>
  <c r="C45" i="25"/>
  <c r="C47" i="25" s="1"/>
  <c r="T366" i="15"/>
  <c r="C46" i="25"/>
  <c r="C48" i="25" s="1"/>
  <c r="P370" i="15"/>
  <c r="D372" i="15"/>
  <c r="E129" i="25"/>
  <c r="F129" i="25" s="1"/>
  <c r="D371" i="15"/>
  <c r="U48" i="25"/>
  <c r="H371" i="15"/>
  <c r="AD23" i="32"/>
  <c r="AE23" i="32" s="1"/>
  <c r="AD24" i="32"/>
  <c r="AE24" i="32" s="1"/>
  <c r="D370" i="15"/>
  <c r="U53" i="25"/>
  <c r="E132" i="25"/>
  <c r="C26" i="32"/>
  <c r="R26" i="32" s="1"/>
  <c r="K26" i="32"/>
  <c r="Q26" i="32"/>
  <c r="E26" i="32"/>
  <c r="I26" i="32"/>
  <c r="D26" i="32"/>
  <c r="U25" i="32"/>
  <c r="V25" i="32" s="1"/>
  <c r="W25" i="32"/>
  <c r="AF25" i="32"/>
  <c r="AG25" i="32"/>
  <c r="AC25" i="32"/>
  <c r="AA25" i="32"/>
  <c r="Z25" i="32"/>
  <c r="Y25" i="32"/>
  <c r="S25" i="32"/>
  <c r="T25" i="32"/>
  <c r="AD25" i="32"/>
  <c r="U129" i="25"/>
  <c r="G42" i="25"/>
  <c r="G43" i="25"/>
  <c r="U131" i="25"/>
  <c r="U132" i="25"/>
  <c r="G45" i="25"/>
  <c r="G47" i="25" s="1"/>
  <c r="U128" i="25"/>
  <c r="E175" i="25"/>
  <c r="U133" i="25"/>
  <c r="E173" i="25"/>
  <c r="U125" i="25"/>
  <c r="E174" i="25"/>
  <c r="G46" i="25"/>
  <c r="G48" i="25" s="1"/>
  <c r="U134" i="25"/>
  <c r="G51" i="25"/>
  <c r="G40" i="25"/>
  <c r="N12" i="32" s="1"/>
  <c r="E171" i="25"/>
  <c r="F171" i="25" s="1"/>
  <c r="A104" i="15"/>
  <c r="D100" i="25"/>
  <c r="U135" i="25"/>
  <c r="E176" i="25"/>
  <c r="U137" i="25"/>
  <c r="E172" i="25"/>
  <c r="F172" i="25" s="1"/>
  <c r="U127" i="25"/>
  <c r="U136" i="25"/>
  <c r="U130" i="25"/>
  <c r="U126" i="25"/>
  <c r="A83" i="9"/>
  <c r="R25" i="32"/>
  <c r="AA9" i="32"/>
  <c r="AB9" i="32"/>
  <c r="B41" i="9" s="1"/>
  <c r="AB7" i="32"/>
  <c r="C428" i="15" l="1"/>
  <c r="C429" i="15"/>
  <c r="AK20" i="22"/>
  <c r="N14" i="28"/>
  <c r="N15" i="28" s="1"/>
  <c r="N16" i="28" s="1"/>
  <c r="N17" i="28" s="1"/>
  <c r="N18" i="28" s="1"/>
  <c r="N19" i="28" s="1"/>
  <c r="N20" i="28" s="1"/>
  <c r="N21" i="28" s="1"/>
  <c r="N22" i="28" s="1"/>
  <c r="N23" i="28" s="1"/>
  <c r="N24" i="28" s="1"/>
  <c r="N25" i="28" s="1"/>
  <c r="N26" i="28" s="1"/>
  <c r="N27" i="28" s="1"/>
  <c r="N28" i="28" s="1"/>
  <c r="N29" i="28" s="1"/>
  <c r="N30" i="28" s="1"/>
  <c r="N31" i="28" s="1"/>
  <c r="N32" i="28" s="1"/>
  <c r="N33" i="28" s="1"/>
  <c r="N34" i="28" s="1"/>
  <c r="N35" i="28" s="1"/>
  <c r="N36" i="28" s="1"/>
  <c r="N37" i="28" s="1"/>
  <c r="N38" i="28" s="1"/>
  <c r="N39" i="28" s="1"/>
  <c r="N40" i="28" s="1"/>
  <c r="N41" i="28" s="1"/>
  <c r="N42" i="28" s="1"/>
  <c r="N43" i="28" s="1"/>
  <c r="N44" i="28" s="1"/>
  <c r="N45" i="28" s="1"/>
  <c r="N46" i="28" s="1"/>
  <c r="N47" i="28" s="1"/>
  <c r="N48" i="28" s="1"/>
  <c r="N49" i="28" s="1"/>
  <c r="N50" i="28" s="1"/>
  <c r="N51" i="28" s="1"/>
  <c r="N52" i="28" s="1"/>
  <c r="N53" i="28" s="1"/>
  <c r="N54" i="28" s="1"/>
  <c r="N55" i="28" s="1"/>
  <c r="N56" i="28" s="1"/>
  <c r="N57" i="28" s="1"/>
  <c r="N58" i="28" s="1"/>
  <c r="N59" i="28" s="1"/>
  <c r="N60" i="28" s="1"/>
  <c r="N61" i="28" s="1"/>
  <c r="N62" i="28" s="1"/>
  <c r="N63" i="28" s="1"/>
  <c r="N64" i="28" s="1"/>
  <c r="N65" i="28" s="1"/>
  <c r="N66" i="28" s="1"/>
  <c r="N67" i="28" s="1"/>
  <c r="N68" i="28" s="1"/>
  <c r="N69" i="28" s="1"/>
  <c r="N70" i="28" s="1"/>
  <c r="N71" i="28" s="1"/>
  <c r="N72" i="28" s="1"/>
  <c r="N73" i="28" s="1"/>
  <c r="N74" i="28" s="1"/>
  <c r="N75" i="28" s="1"/>
  <c r="N76" i="28" s="1"/>
  <c r="N77" i="28" s="1"/>
  <c r="N78" i="28" s="1"/>
  <c r="N79" i="28" s="1"/>
  <c r="N80" i="28" s="1"/>
  <c r="N81" i="28" s="1"/>
  <c r="N82" i="28" s="1"/>
  <c r="N83" i="28" s="1"/>
  <c r="N84" i="28" s="1"/>
  <c r="N85" i="28" s="1"/>
  <c r="N86" i="28" s="1"/>
  <c r="N87" i="28" s="1"/>
  <c r="N88" i="28" s="1"/>
  <c r="N89" i="28" s="1"/>
  <c r="N90" i="28" s="1"/>
  <c r="N91" i="28" s="1"/>
  <c r="N92" i="28" s="1"/>
  <c r="N93" i="28" s="1"/>
  <c r="N94" i="28" s="1"/>
  <c r="N95" i="28" s="1"/>
  <c r="N96" i="28" s="1"/>
  <c r="N97" i="28" s="1"/>
  <c r="N98" i="28" s="1"/>
  <c r="N99" i="28" s="1"/>
  <c r="N100" i="28" s="1"/>
  <c r="N101" i="28" s="1"/>
  <c r="N102" i="28" s="1"/>
  <c r="I5" i="31"/>
  <c r="I7" i="31" s="1"/>
  <c r="R349" i="15" s="1"/>
  <c r="D5" i="31"/>
  <c r="D9" i="31" s="1"/>
  <c r="F5" i="31"/>
  <c r="F10" i="31" s="1"/>
  <c r="H5" i="31"/>
  <c r="H14" i="31" s="1"/>
  <c r="E5" i="31"/>
  <c r="E13" i="31" s="1"/>
  <c r="G5" i="31"/>
  <c r="G13" i="31" s="1"/>
  <c r="E6" i="28"/>
  <c r="J359" i="15" s="1"/>
  <c r="F6" i="28"/>
  <c r="L359" i="15" s="1"/>
  <c r="G6" i="28"/>
  <c r="N359" i="15" s="1"/>
  <c r="D6" i="28"/>
  <c r="H359" i="15" s="1"/>
  <c r="H6" i="28"/>
  <c r="P359" i="15" s="1"/>
  <c r="I6" i="28"/>
  <c r="R359" i="15" s="1"/>
  <c r="O49" i="9"/>
  <c r="G127" i="25"/>
  <c r="H127" i="25" s="1"/>
  <c r="S9" i="25"/>
  <c r="V242" i="15" s="1"/>
  <c r="B241" i="15"/>
  <c r="F174" i="25"/>
  <c r="G174" i="25" s="1"/>
  <c r="H174" i="25" s="1"/>
  <c r="F173" i="25"/>
  <c r="G173" i="25" s="1"/>
  <c r="H173" i="25" s="1"/>
  <c r="F132" i="25"/>
  <c r="G132" i="25" s="1"/>
  <c r="H132" i="25" s="1"/>
  <c r="F128" i="25"/>
  <c r="G128" i="25" s="1"/>
  <c r="H128" i="25" s="1"/>
  <c r="F131" i="25"/>
  <c r="G131" i="25" s="1"/>
  <c r="H131" i="25" s="1"/>
  <c r="G130" i="25"/>
  <c r="H130" i="25" s="1"/>
  <c r="O51" i="9"/>
  <c r="F175" i="25"/>
  <c r="G175" i="25" s="1"/>
  <c r="H175" i="25" s="1"/>
  <c r="B27" i="32"/>
  <c r="C27" i="32" s="1"/>
  <c r="R27" i="32" s="1"/>
  <c r="X25" i="32"/>
  <c r="V241" i="15"/>
  <c r="P45" i="9"/>
  <c r="G16" i="25"/>
  <c r="C44" i="25"/>
  <c r="R45" i="9" s="1"/>
  <c r="J12" i="32"/>
  <c r="G129" i="25"/>
  <c r="H129" i="25" s="1"/>
  <c r="F176" i="25"/>
  <c r="G176" i="25" s="1"/>
  <c r="H176" i="25" s="1"/>
  <c r="O91" i="9"/>
  <c r="C94" i="25"/>
  <c r="C93" i="25"/>
  <c r="C95" i="25"/>
  <c r="O89" i="9"/>
  <c r="AE25" i="32"/>
  <c r="G172" i="25"/>
  <c r="H172" i="25" s="1"/>
  <c r="G171" i="25"/>
  <c r="H171" i="25" s="1"/>
  <c r="G20" i="25"/>
  <c r="P85" i="9"/>
  <c r="G44" i="25"/>
  <c r="R85" i="9" s="1"/>
  <c r="U26" i="32"/>
  <c r="V26" i="32" s="1"/>
  <c r="AG26" i="32"/>
  <c r="AF26" i="32"/>
  <c r="W26" i="32"/>
  <c r="S26" i="32"/>
  <c r="Z26" i="32"/>
  <c r="Y26" i="32"/>
  <c r="AA26" i="32"/>
  <c r="T26" i="32"/>
  <c r="AC26" i="32"/>
  <c r="AD26" i="32"/>
  <c r="C104" i="25"/>
  <c r="C102" i="25"/>
  <c r="C101" i="25"/>
  <c r="F112" i="25" s="1"/>
  <c r="C103" i="25"/>
  <c r="C105" i="25"/>
  <c r="C100" i="25"/>
  <c r="D31" i="25"/>
  <c r="L38" i="25"/>
  <c r="E31" i="25"/>
  <c r="A41" i="9"/>
  <c r="E4" i="32"/>
  <c r="A2" i="15" s="1"/>
  <c r="F8" i="31" l="1"/>
  <c r="L350" i="15" s="1"/>
  <c r="H10" i="31"/>
  <c r="P363" i="15" s="1"/>
  <c r="G9" i="31"/>
  <c r="E10" i="31"/>
  <c r="J363" i="15" s="1"/>
  <c r="C430" i="15"/>
  <c r="AK21" i="22"/>
  <c r="AK22" i="22" s="1"/>
  <c r="AK23" i="22" s="1"/>
  <c r="AK24" i="22" s="1"/>
  <c r="AK25" i="22" s="1"/>
  <c r="AK26" i="22" s="1"/>
  <c r="AK27" i="22" s="1"/>
  <c r="AK28" i="22" s="1"/>
  <c r="AK29" i="22" s="1"/>
  <c r="AK30" i="22" s="1"/>
  <c r="AK31" i="22" s="1"/>
  <c r="AK32" i="22" s="1"/>
  <c r="AK33" i="22" s="1"/>
  <c r="AK34" i="22" s="1"/>
  <c r="AK35" i="22" s="1"/>
  <c r="AK36" i="22" s="1"/>
  <c r="G7" i="31"/>
  <c r="N349" i="15" s="1"/>
  <c r="H8" i="31"/>
  <c r="P350" i="15" s="1"/>
  <c r="C13" i="28"/>
  <c r="E13" i="28" s="1"/>
  <c r="I10" i="31"/>
  <c r="R363" i="15" s="1"/>
  <c r="C12" i="28"/>
  <c r="C9" i="28"/>
  <c r="C8" i="28"/>
  <c r="C10" i="28"/>
  <c r="C11" i="28"/>
  <c r="C7" i="28"/>
  <c r="C14" i="28"/>
  <c r="G14" i="31"/>
  <c r="G12" i="31"/>
  <c r="E14" i="31"/>
  <c r="E9" i="31"/>
  <c r="J362" i="15" s="1"/>
  <c r="E7" i="31"/>
  <c r="J349" i="15" s="1"/>
  <c r="E11" i="31"/>
  <c r="E8" i="31"/>
  <c r="J350" i="15" s="1"/>
  <c r="H7" i="31"/>
  <c r="P349" i="15" s="1"/>
  <c r="H11" i="31"/>
  <c r="H9" i="31"/>
  <c r="P362" i="15" s="1"/>
  <c r="H12" i="31"/>
  <c r="F14" i="31"/>
  <c r="F12" i="31"/>
  <c r="F11" i="31"/>
  <c r="F7" i="31"/>
  <c r="L349" i="15" s="1"/>
  <c r="F9" i="31"/>
  <c r="G11" i="31"/>
  <c r="G10" i="31"/>
  <c r="I6" i="31"/>
  <c r="R348" i="15" s="1"/>
  <c r="E6" i="31"/>
  <c r="J348" i="15" s="1"/>
  <c r="F6" i="31"/>
  <c r="L348" i="15" s="1"/>
  <c r="G6" i="31"/>
  <c r="N348" i="15" s="1"/>
  <c r="D12" i="31"/>
  <c r="D7" i="31"/>
  <c r="H349" i="15" s="1"/>
  <c r="D11" i="31"/>
  <c r="D6" i="31"/>
  <c r="H348" i="15" s="1"/>
  <c r="D14" i="31"/>
  <c r="D10" i="31"/>
  <c r="D8" i="31"/>
  <c r="H350" i="15" s="1"/>
  <c r="H6" i="31"/>
  <c r="P348" i="15" s="1"/>
  <c r="G8" i="31"/>
  <c r="N350" i="15" s="1"/>
  <c r="F13" i="31"/>
  <c r="D13" i="31"/>
  <c r="I13" i="31"/>
  <c r="I12" i="31"/>
  <c r="I14" i="31"/>
  <c r="I11" i="31"/>
  <c r="I8" i="31"/>
  <c r="R350" i="15" s="1"/>
  <c r="I9" i="31"/>
  <c r="R362" i="15" s="1"/>
  <c r="H13" i="31"/>
  <c r="E12" i="31"/>
  <c r="H351" i="15"/>
  <c r="H362" i="15"/>
  <c r="S10" i="25"/>
  <c r="S11" i="25" s="1"/>
  <c r="S12" i="25" s="1"/>
  <c r="S13" i="25" s="1"/>
  <c r="S14" i="25" s="1"/>
  <c r="S15" i="25" s="1"/>
  <c r="S16" i="25" s="1"/>
  <c r="S17" i="25" s="1"/>
  <c r="S18" i="25" s="1"/>
  <c r="S19" i="25" s="1"/>
  <c r="S20" i="25" s="1"/>
  <c r="S21" i="25" s="1"/>
  <c r="S22" i="25" s="1"/>
  <c r="S23" i="25" s="1"/>
  <c r="S24" i="25" s="1"/>
  <c r="S25" i="25" s="1"/>
  <c r="S26" i="25" s="1"/>
  <c r="S27" i="25" s="1"/>
  <c r="S28" i="25" s="1"/>
  <c r="D27" i="32"/>
  <c r="B242" i="15"/>
  <c r="B28" i="32"/>
  <c r="Q28" i="32" s="1"/>
  <c r="E27" i="32"/>
  <c r="I27" i="32"/>
  <c r="K27" i="32"/>
  <c r="Q27" i="32"/>
  <c r="W27" i="32" s="1"/>
  <c r="D33" i="25"/>
  <c r="K85" i="15" s="1"/>
  <c r="AE26" i="32"/>
  <c r="T37" i="15" s="1"/>
  <c r="X26" i="32"/>
  <c r="F37" i="15" s="1"/>
  <c r="C49" i="25"/>
  <c r="C50" i="25"/>
  <c r="F16" i="25"/>
  <c r="N30" i="15"/>
  <c r="B19" i="15"/>
  <c r="B230" i="15"/>
  <c r="H224" i="15"/>
  <c r="H157" i="15"/>
  <c r="K50" i="15"/>
  <c r="R31" i="15"/>
  <c r="B50" i="15"/>
  <c r="P31" i="15"/>
  <c r="P30" i="15"/>
  <c r="K143" i="15"/>
  <c r="M24" i="15"/>
  <c r="B44" i="15"/>
  <c r="L33" i="15"/>
  <c r="T224" i="15"/>
  <c r="K135" i="15"/>
  <c r="B134" i="15"/>
  <c r="K142" i="15"/>
  <c r="M22" i="15"/>
  <c r="P32" i="15"/>
  <c r="L35" i="15"/>
  <c r="R157" i="15"/>
  <c r="K134" i="15"/>
  <c r="B142" i="15"/>
  <c r="B56" i="15"/>
  <c r="F32" i="15"/>
  <c r="L157" i="15"/>
  <c r="B112" i="15"/>
  <c r="B133" i="15"/>
  <c r="T33" i="15"/>
  <c r="F35" i="15"/>
  <c r="B228" i="15"/>
  <c r="G137" i="15"/>
  <c r="G23" i="15"/>
  <c r="G144" i="15"/>
  <c r="P36" i="15"/>
  <c r="L37" i="15"/>
  <c r="G142" i="15"/>
  <c r="K132" i="15"/>
  <c r="G21" i="15"/>
  <c r="B144" i="15"/>
  <c r="R35" i="15"/>
  <c r="M21" i="15"/>
  <c r="B226" i="15"/>
  <c r="R36" i="15"/>
  <c r="B45" i="15"/>
  <c r="B23" i="15"/>
  <c r="R32" i="15"/>
  <c r="R34" i="15"/>
  <c r="K144" i="15"/>
  <c r="B46" i="15"/>
  <c r="B24" i="15"/>
  <c r="R37" i="15"/>
  <c r="N35" i="15"/>
  <c r="K139" i="15"/>
  <c r="B139" i="15"/>
  <c r="J35" i="15"/>
  <c r="H34" i="15"/>
  <c r="E7" i="15"/>
  <c r="B131" i="15"/>
  <c r="K56" i="15"/>
  <c r="E70" i="15"/>
  <c r="N36" i="15"/>
  <c r="G143" i="15"/>
  <c r="B136" i="15"/>
  <c r="H71" i="15"/>
  <c r="B104" i="15"/>
  <c r="B129" i="15"/>
  <c r="B107" i="15"/>
  <c r="H107" i="15"/>
  <c r="R150" i="15"/>
  <c r="H30" i="15"/>
  <c r="K57" i="15"/>
  <c r="B227" i="15"/>
  <c r="P35" i="15"/>
  <c r="N37" i="15"/>
  <c r="G141" i="15"/>
  <c r="B140" i="15"/>
  <c r="H110" i="15"/>
  <c r="B106" i="15"/>
  <c r="K106" i="15"/>
  <c r="H111" i="15"/>
  <c r="K111" i="15"/>
  <c r="T34" i="15"/>
  <c r="B109" i="15"/>
  <c r="D224" i="15"/>
  <c r="P37" i="15"/>
  <c r="N32" i="15"/>
  <c r="K141" i="15"/>
  <c r="B143" i="15"/>
  <c r="R149" i="15"/>
  <c r="K110" i="15"/>
  <c r="B111" i="15"/>
  <c r="J157" i="15"/>
  <c r="R7" i="15"/>
  <c r="T7" i="15"/>
  <c r="H37" i="15"/>
  <c r="C158" i="15"/>
  <c r="H158" i="15" s="1"/>
  <c r="B229" i="15"/>
  <c r="L34" i="15"/>
  <c r="G140" i="15"/>
  <c r="B141" i="15"/>
  <c r="G145" i="15"/>
  <c r="T6" i="15"/>
  <c r="C32" i="15"/>
  <c r="C33" i="15" s="1"/>
  <c r="N7" i="15"/>
  <c r="P7" i="15"/>
  <c r="H32" i="15"/>
  <c r="F30" i="15"/>
  <c r="H57" i="15"/>
  <c r="K108" i="15"/>
  <c r="N6" i="15"/>
  <c r="J224" i="15"/>
  <c r="L36" i="15"/>
  <c r="G139" i="15"/>
  <c r="B135" i="15"/>
  <c r="B110" i="15"/>
  <c r="T30" i="15"/>
  <c r="F33" i="15"/>
  <c r="H33" i="15"/>
  <c r="J33" i="15"/>
  <c r="T35" i="15"/>
  <c r="J32" i="15"/>
  <c r="H69" i="15"/>
  <c r="T157" i="15"/>
  <c r="J36" i="15"/>
  <c r="L224" i="15"/>
  <c r="M23" i="15"/>
  <c r="P33" i="15"/>
  <c r="G136" i="15"/>
  <c r="B137" i="15"/>
  <c r="R6" i="15"/>
  <c r="J34" i="15"/>
  <c r="T36" i="15"/>
  <c r="E6" i="15"/>
  <c r="K137" i="15"/>
  <c r="G24" i="15"/>
  <c r="P34" i="15"/>
  <c r="K136" i="15"/>
  <c r="P6" i="15"/>
  <c r="F34" i="15"/>
  <c r="E56" i="15"/>
  <c r="E57" i="15"/>
  <c r="H36" i="15"/>
  <c r="H58" i="15"/>
  <c r="K140" i="15"/>
  <c r="G22" i="15"/>
  <c r="L30" i="15"/>
  <c r="G135" i="15"/>
  <c r="T32" i="15"/>
  <c r="K55" i="15"/>
  <c r="E68" i="15"/>
  <c r="H56" i="15"/>
  <c r="K68" i="15"/>
  <c r="E69" i="15"/>
  <c r="B71" i="15"/>
  <c r="K138" i="15"/>
  <c r="B21" i="15"/>
  <c r="L32" i="15"/>
  <c r="G134" i="15"/>
  <c r="H35" i="15"/>
  <c r="K67" i="15"/>
  <c r="B68" i="15"/>
  <c r="H68" i="15"/>
  <c r="H108" i="15"/>
  <c r="B51" i="15"/>
  <c r="R224" i="15"/>
  <c r="K107" i="15"/>
  <c r="H109" i="15"/>
  <c r="G133" i="15"/>
  <c r="G132" i="15"/>
  <c r="B108" i="15"/>
  <c r="B138" i="15"/>
  <c r="H112" i="15"/>
  <c r="G138" i="15"/>
  <c r="F36" i="15"/>
  <c r="R33" i="15"/>
  <c r="B53" i="15"/>
  <c r="J37" i="15"/>
  <c r="B65" i="15"/>
  <c r="K131" i="15"/>
  <c r="B48" i="15"/>
  <c r="B22" i="15"/>
  <c r="B55" i="15"/>
  <c r="B58" i="15"/>
  <c r="H51" i="15"/>
  <c r="N33" i="15"/>
  <c r="B67" i="15"/>
  <c r="H70" i="15"/>
  <c r="H50" i="15"/>
  <c r="B132" i="15"/>
  <c r="N34" i="15"/>
  <c r="J30" i="15"/>
  <c r="B145" i="15"/>
  <c r="G49" i="25"/>
  <c r="F20" i="25"/>
  <c r="G50" i="25"/>
  <c r="O67" i="9"/>
  <c r="E33" i="25"/>
  <c r="K100" i="15" s="1"/>
  <c r="G13" i="28" l="1"/>
  <c r="D13" i="28"/>
  <c r="I13" i="28"/>
  <c r="C433" i="15"/>
  <c r="C443" i="15"/>
  <c r="C431" i="15"/>
  <c r="C446" i="15"/>
  <c r="C452" i="15"/>
  <c r="C445" i="15"/>
  <c r="C439" i="15"/>
  <c r="H13" i="28"/>
  <c r="C453" i="15"/>
  <c r="C449" i="15"/>
  <c r="C450" i="15"/>
  <c r="C451" i="15"/>
  <c r="C444" i="15"/>
  <c r="C441" i="15"/>
  <c r="C440" i="15"/>
  <c r="C438" i="15"/>
  <c r="C434" i="15"/>
  <c r="C437" i="15"/>
  <c r="C442" i="15"/>
  <c r="C447" i="15"/>
  <c r="C432" i="15"/>
  <c r="C435" i="15"/>
  <c r="C436" i="15"/>
  <c r="C448" i="15"/>
  <c r="F13" i="28"/>
  <c r="D360" i="15"/>
  <c r="I7" i="28"/>
  <c r="R360" i="15" s="1"/>
  <c r="F7" i="28"/>
  <c r="L360" i="15" s="1"/>
  <c r="D7" i="28"/>
  <c r="H360" i="15" s="1"/>
  <c r="E7" i="28"/>
  <c r="J360" i="15" s="1"/>
  <c r="G7" i="28"/>
  <c r="N360" i="15" s="1"/>
  <c r="H7" i="28"/>
  <c r="P360" i="15" s="1"/>
  <c r="H11" i="28"/>
  <c r="E11" i="28"/>
  <c r="I11" i="28"/>
  <c r="F11" i="28"/>
  <c r="D11" i="28"/>
  <c r="G11" i="28"/>
  <c r="D352" i="15"/>
  <c r="D10" i="28"/>
  <c r="E10" i="28"/>
  <c r="J352" i="15" s="1"/>
  <c r="I10" i="28"/>
  <c r="R352" i="15" s="1"/>
  <c r="F10" i="28"/>
  <c r="H10" i="28"/>
  <c r="P352" i="15" s="1"/>
  <c r="G10" i="28"/>
  <c r="D361" i="15"/>
  <c r="E8" i="28"/>
  <c r="J361" i="15" s="1"/>
  <c r="H8" i="28"/>
  <c r="P361" i="15" s="1"/>
  <c r="D8" i="28"/>
  <c r="H361" i="15" s="1"/>
  <c r="I8" i="28"/>
  <c r="R361" i="15" s="1"/>
  <c r="G8" i="28"/>
  <c r="N361" i="15" s="1"/>
  <c r="F8" i="28"/>
  <c r="L361" i="15" s="1"/>
  <c r="D351" i="15"/>
  <c r="F9" i="28"/>
  <c r="I9" i="28"/>
  <c r="R351" i="15" s="1"/>
  <c r="H9" i="28"/>
  <c r="P351" i="15" s="1"/>
  <c r="E9" i="28"/>
  <c r="J351" i="15" s="1"/>
  <c r="D9" i="28"/>
  <c r="G9" i="28"/>
  <c r="D12" i="28"/>
  <c r="G12" i="28"/>
  <c r="H12" i="28"/>
  <c r="E12" i="28"/>
  <c r="F12" i="28"/>
  <c r="I12" i="28"/>
  <c r="G14" i="28"/>
  <c r="H14" i="28"/>
  <c r="F14" i="28"/>
  <c r="I14" i="28"/>
  <c r="D14" i="28"/>
  <c r="E14" i="28"/>
  <c r="H352" i="15"/>
  <c r="H363" i="15"/>
  <c r="U66" i="25"/>
  <c r="E139" i="25"/>
  <c r="U74" i="25"/>
  <c r="E143" i="25"/>
  <c r="U67" i="25"/>
  <c r="K82" i="15"/>
  <c r="K76" i="15"/>
  <c r="A53" i="9"/>
  <c r="D46" i="25"/>
  <c r="D48" i="25" s="1"/>
  <c r="U60" i="25"/>
  <c r="B88" i="15"/>
  <c r="D45" i="25"/>
  <c r="D47" i="25" s="1"/>
  <c r="H81" i="15"/>
  <c r="U68" i="25"/>
  <c r="H80" i="15"/>
  <c r="B81" i="15"/>
  <c r="A73" i="15"/>
  <c r="C82" i="15"/>
  <c r="U72" i="25"/>
  <c r="H77" i="15"/>
  <c r="C28" i="32"/>
  <c r="R28" i="32" s="1"/>
  <c r="V243" i="15"/>
  <c r="AD27" i="32"/>
  <c r="U61" i="25"/>
  <c r="K75" i="15"/>
  <c r="H86" i="15"/>
  <c r="K79" i="15"/>
  <c r="D43" i="25"/>
  <c r="U63" i="25"/>
  <c r="E141" i="25"/>
  <c r="F141" i="25" s="1"/>
  <c r="B92" i="15"/>
  <c r="E140" i="25"/>
  <c r="F140" i="25" s="1"/>
  <c r="G140" i="25" s="1"/>
  <c r="H140" i="25" s="1"/>
  <c r="U70" i="25"/>
  <c r="B82" i="15"/>
  <c r="C80" i="15"/>
  <c r="D51" i="25"/>
  <c r="E138" i="25"/>
  <c r="F138" i="25" s="1"/>
  <c r="H85" i="15"/>
  <c r="H83" i="15"/>
  <c r="C78" i="15"/>
  <c r="N224" i="15"/>
  <c r="H82" i="15"/>
  <c r="U65" i="25"/>
  <c r="C83" i="15"/>
  <c r="H79" i="15"/>
  <c r="C76" i="15"/>
  <c r="Z27" i="32"/>
  <c r="J38" i="15" s="1"/>
  <c r="U27" i="32"/>
  <c r="V27" i="32" s="1"/>
  <c r="N38" i="15" s="1"/>
  <c r="U62" i="25"/>
  <c r="D40" i="25"/>
  <c r="D44" i="25" s="1"/>
  <c r="I7" i="32" s="1"/>
  <c r="F93" i="9" s="1"/>
  <c r="U71" i="25"/>
  <c r="B85" i="15"/>
  <c r="B84" i="15"/>
  <c r="H76" i="15"/>
  <c r="B86" i="15"/>
  <c r="E142" i="25"/>
  <c r="F142" i="25" s="1"/>
  <c r="A17" i="25"/>
  <c r="U64" i="25"/>
  <c r="H87" i="15"/>
  <c r="B75" i="15"/>
  <c r="B91" i="15"/>
  <c r="C79" i="15"/>
  <c r="U59" i="25"/>
  <c r="U73" i="25"/>
  <c r="B90" i="15"/>
  <c r="AA27" i="32"/>
  <c r="D42" i="25"/>
  <c r="P55" i="9" s="1"/>
  <c r="U69" i="25"/>
  <c r="B73" i="15"/>
  <c r="C77" i="15"/>
  <c r="T27" i="32"/>
  <c r="AE27" i="32" s="1"/>
  <c r="T38" i="15" s="1"/>
  <c r="D28" i="32"/>
  <c r="S27" i="32"/>
  <c r="AC27" i="32"/>
  <c r="L38" i="15" s="1"/>
  <c r="Y27" i="32"/>
  <c r="H38" i="15" s="1"/>
  <c r="AF27" i="32"/>
  <c r="P38" i="15" s="1"/>
  <c r="AG27" i="32"/>
  <c r="R38" i="15" s="1"/>
  <c r="N157" i="15"/>
  <c r="B87" i="15"/>
  <c r="K78" i="15"/>
  <c r="K28" i="32"/>
  <c r="I28" i="32"/>
  <c r="B89" i="15"/>
  <c r="B243" i="15"/>
  <c r="E28" i="32"/>
  <c r="H78" i="15"/>
  <c r="B76" i="15"/>
  <c r="K81" i="15"/>
  <c r="P7" i="32"/>
  <c r="B93" i="9" s="1"/>
  <c r="F143" i="25"/>
  <c r="R158" i="15"/>
  <c r="J158" i="15"/>
  <c r="B29" i="32"/>
  <c r="K29" i="32" s="1"/>
  <c r="B97" i="15"/>
  <c r="R51" i="9"/>
  <c r="C53" i="25"/>
  <c r="C110" i="25"/>
  <c r="F149" i="15" s="1"/>
  <c r="C52" i="25"/>
  <c r="F21" i="32" s="1"/>
  <c r="L158" i="15" s="1"/>
  <c r="R49" i="9"/>
  <c r="P8" i="32"/>
  <c r="B95" i="9" s="1"/>
  <c r="H98" i="15"/>
  <c r="I8" i="32"/>
  <c r="F95" i="9" s="1"/>
  <c r="H101" i="15"/>
  <c r="B94" i="15"/>
  <c r="C34" i="15"/>
  <c r="C35" i="15" s="1"/>
  <c r="K96" i="15"/>
  <c r="H102" i="15"/>
  <c r="B100" i="15"/>
  <c r="H100" i="15"/>
  <c r="G53" i="25"/>
  <c r="R91" i="9"/>
  <c r="K97" i="15"/>
  <c r="B99" i="15"/>
  <c r="P157" i="15"/>
  <c r="P224" i="15"/>
  <c r="M57" i="9"/>
  <c r="C59" i="9" s="1"/>
  <c r="G52" i="25"/>
  <c r="J21" i="32" s="1"/>
  <c r="R89" i="9"/>
  <c r="B98" i="15"/>
  <c r="H99" i="15"/>
  <c r="B96" i="15"/>
  <c r="B101" i="15"/>
  <c r="B102" i="15"/>
  <c r="AC2" i="32"/>
  <c r="K101" i="15"/>
  <c r="E48" i="25"/>
  <c r="E47" i="25"/>
  <c r="U86" i="25"/>
  <c r="S86" i="25" s="1"/>
  <c r="U94" i="25"/>
  <c r="S94" i="25" s="1"/>
  <c r="U90" i="25"/>
  <c r="S90" i="25" s="1"/>
  <c r="U87" i="25"/>
  <c r="S87" i="25" s="1"/>
  <c r="F153" i="25"/>
  <c r="H150" i="25"/>
  <c r="E44" i="25"/>
  <c r="E51" i="25"/>
  <c r="D69" i="25"/>
  <c r="H151" i="25"/>
  <c r="H24" i="32"/>
  <c r="U77" i="25"/>
  <c r="U78" i="25"/>
  <c r="S78" i="25" s="1"/>
  <c r="F150" i="25"/>
  <c r="E45" i="25"/>
  <c r="U83" i="25"/>
  <c r="S83" i="25" s="1"/>
  <c r="U84" i="25"/>
  <c r="S84" i="25" s="1"/>
  <c r="U89" i="25"/>
  <c r="S89" i="25" s="1"/>
  <c r="E42" i="25"/>
  <c r="F149" i="25"/>
  <c r="U76" i="25"/>
  <c r="U95" i="25"/>
  <c r="S95" i="25" s="1"/>
  <c r="E150" i="25"/>
  <c r="U82" i="25"/>
  <c r="S82" i="25" s="1"/>
  <c r="E153" i="25"/>
  <c r="U80" i="25"/>
  <c r="S80" i="25" s="1"/>
  <c r="A63" i="9"/>
  <c r="F152" i="25"/>
  <c r="H149" i="25"/>
  <c r="U88" i="25"/>
  <c r="S88" i="25" s="1"/>
  <c r="A94" i="15"/>
  <c r="U92" i="25"/>
  <c r="S92" i="25" s="1"/>
  <c r="H153" i="25"/>
  <c r="E149" i="25"/>
  <c r="A18" i="25"/>
  <c r="E151" i="25"/>
  <c r="H152" i="25"/>
  <c r="E152" i="25"/>
  <c r="U79" i="25"/>
  <c r="S79" i="25" s="1"/>
  <c r="E154" i="25"/>
  <c r="F154" i="25"/>
  <c r="U91" i="25"/>
  <c r="S91" i="25" s="1"/>
  <c r="F151" i="25"/>
  <c r="H122" i="32"/>
  <c r="P225" i="15" s="1"/>
  <c r="E43" i="25"/>
  <c r="H28" i="32"/>
  <c r="U75" i="25"/>
  <c r="S75" i="25" s="1"/>
  <c r="U81" i="25"/>
  <c r="S81" i="25" s="1"/>
  <c r="H23" i="32"/>
  <c r="U93" i="25"/>
  <c r="S93" i="25" s="1"/>
  <c r="E40" i="25"/>
  <c r="L12" i="32" s="1"/>
  <c r="H25" i="32"/>
  <c r="H22" i="32"/>
  <c r="E52" i="25"/>
  <c r="H21" i="32"/>
  <c r="P158" i="15" s="1"/>
  <c r="E46" i="25"/>
  <c r="E53" i="25"/>
  <c r="H154" i="25"/>
  <c r="H27" i="32"/>
  <c r="U85" i="25"/>
  <c r="S85" i="25" s="1"/>
  <c r="H26" i="32"/>
  <c r="K99" i="15"/>
  <c r="H97" i="15"/>
  <c r="W28" i="32"/>
  <c r="AF28" i="32"/>
  <c r="P39" i="15" s="1"/>
  <c r="U28" i="32"/>
  <c r="AG28" i="32"/>
  <c r="R39" i="15" s="1"/>
  <c r="Z28" i="32"/>
  <c r="J39" i="15" s="1"/>
  <c r="AA28" i="32"/>
  <c r="AC28" i="32"/>
  <c r="L39" i="15" s="1"/>
  <c r="Y28" i="32"/>
  <c r="H39" i="15" s="1"/>
  <c r="T28" i="32"/>
  <c r="S28" i="32"/>
  <c r="AD28" i="32"/>
  <c r="K98" i="15"/>
  <c r="G141" i="25" l="1"/>
  <c r="H141" i="25" s="1"/>
  <c r="G138" i="25"/>
  <c r="H138" i="25" s="1"/>
  <c r="N351" i="15"/>
  <c r="N362" i="15"/>
  <c r="N363" i="15"/>
  <c r="N352" i="15"/>
  <c r="L363" i="15"/>
  <c r="L352" i="15"/>
  <c r="L362" i="15"/>
  <c r="L351" i="15"/>
  <c r="L34" i="25"/>
  <c r="G142" i="25"/>
  <c r="H142" i="25" s="1"/>
  <c r="G143" i="25"/>
  <c r="H143" i="25" s="1"/>
  <c r="M35" i="25"/>
  <c r="F139" i="25"/>
  <c r="G139" i="25" s="1"/>
  <c r="H139" i="25" s="1"/>
  <c r="O59" i="9"/>
  <c r="O61" i="9"/>
  <c r="G17" i="25"/>
  <c r="X27" i="32"/>
  <c r="F38" i="15" s="1"/>
  <c r="D49" i="25"/>
  <c r="R59" i="9" s="1"/>
  <c r="R55" i="9"/>
  <c r="I44" i="25"/>
  <c r="K12" i="32"/>
  <c r="O12" i="32" s="1"/>
  <c r="D50" i="25"/>
  <c r="R61" i="9" s="1"/>
  <c r="F17" i="25"/>
  <c r="C29" i="32"/>
  <c r="R29" i="32" s="1"/>
  <c r="F29" i="32"/>
  <c r="B244" i="15"/>
  <c r="V245" i="15"/>
  <c r="D29" i="32"/>
  <c r="I29" i="32"/>
  <c r="B245" i="15"/>
  <c r="E29" i="32"/>
  <c r="B246" i="15"/>
  <c r="H29" i="32"/>
  <c r="Q29" i="32"/>
  <c r="T29" i="32" s="1"/>
  <c r="J29" i="32"/>
  <c r="V244" i="15"/>
  <c r="G154" i="25"/>
  <c r="G153" i="25"/>
  <c r="G152" i="25"/>
  <c r="F150" i="15"/>
  <c r="F110" i="25"/>
  <c r="D110" i="25"/>
  <c r="E110" i="25"/>
  <c r="N149" i="15" s="1"/>
  <c r="X28" i="32"/>
  <c r="F39" i="15" s="1"/>
  <c r="G149" i="25"/>
  <c r="G151" i="25"/>
  <c r="M34" i="25"/>
  <c r="G150" i="25"/>
  <c r="I40" i="25"/>
  <c r="F27" i="32"/>
  <c r="F24" i="32"/>
  <c r="F23" i="32"/>
  <c r="F22" i="32"/>
  <c r="F25" i="32"/>
  <c r="F26" i="32"/>
  <c r="F28" i="32"/>
  <c r="AE28" i="32"/>
  <c r="T39" i="15" s="1"/>
  <c r="L35" i="25"/>
  <c r="T158" i="15"/>
  <c r="A20" i="25"/>
  <c r="N12" i="15" s="1"/>
  <c r="D157" i="15"/>
  <c r="D30" i="15"/>
  <c r="R65" i="9"/>
  <c r="R69" i="9"/>
  <c r="R71" i="9"/>
  <c r="C36" i="15"/>
  <c r="C37" i="15" s="1"/>
  <c r="V28" i="32"/>
  <c r="N39" i="15" s="1"/>
  <c r="O69" i="9"/>
  <c r="C69" i="25"/>
  <c r="C70" i="25"/>
  <c r="C71" i="25"/>
  <c r="C72" i="25"/>
  <c r="C73" i="25"/>
  <c r="O71" i="9"/>
  <c r="G161" i="25"/>
  <c r="G163" i="25"/>
  <c r="G162" i="25"/>
  <c r="G160" i="25"/>
  <c r="G164" i="25"/>
  <c r="G165" i="25"/>
  <c r="J26" i="32"/>
  <c r="J23" i="32"/>
  <c r="J24" i="32"/>
  <c r="J27" i="32"/>
  <c r="J25" i="32"/>
  <c r="J22" i="32"/>
  <c r="J28" i="32"/>
  <c r="G18" i="25"/>
  <c r="P65" i="9"/>
  <c r="M8" i="32"/>
  <c r="R95" i="9" s="1"/>
  <c r="E50" i="25"/>
  <c r="E49" i="25"/>
  <c r="F18" i="25"/>
  <c r="K8" i="32"/>
  <c r="T8" i="15" l="1"/>
  <c r="B8" i="15"/>
  <c r="P8" i="15"/>
  <c r="R8" i="15"/>
  <c r="N8" i="15"/>
  <c r="E8" i="15"/>
  <c r="E9" i="15"/>
  <c r="N9" i="15"/>
  <c r="R9" i="15"/>
  <c r="B9" i="15"/>
  <c r="T9" i="15"/>
  <c r="P9" i="15"/>
  <c r="O34" i="25"/>
  <c r="P33" i="25" s="1"/>
  <c r="D53" i="25"/>
  <c r="I53" i="25" s="1"/>
  <c r="I50" i="25"/>
  <c r="D52" i="25"/>
  <c r="I52" i="25" s="1"/>
  <c r="M7" i="32"/>
  <c r="R93" i="9" s="1"/>
  <c r="K7" i="32"/>
  <c r="N93" i="9" s="1"/>
  <c r="I49" i="25"/>
  <c r="B30" i="32"/>
  <c r="H30" i="32" s="1"/>
  <c r="Z29" i="32"/>
  <c r="J40" i="15" s="1"/>
  <c r="S29" i="32"/>
  <c r="W29" i="32"/>
  <c r="AF29" i="32"/>
  <c r="P40" i="15" s="1"/>
  <c r="B110" i="25"/>
  <c r="B150" i="15" s="1"/>
  <c r="V246" i="15"/>
  <c r="J149" i="15"/>
  <c r="J150" i="15"/>
  <c r="AA29" i="32"/>
  <c r="Y29" i="32"/>
  <c r="H40" i="15" s="1"/>
  <c r="AG29" i="32"/>
  <c r="R40" i="15" s="1"/>
  <c r="U29" i="32"/>
  <c r="V29" i="32" s="1"/>
  <c r="N40" i="15" s="1"/>
  <c r="AD29" i="32"/>
  <c r="AC29" i="32"/>
  <c r="L40" i="15" s="1"/>
  <c r="N150" i="15"/>
  <c r="N34" i="25"/>
  <c r="N33" i="25" s="1"/>
  <c r="V247" i="15"/>
  <c r="V248" i="15"/>
  <c r="B247" i="15"/>
  <c r="R10" i="15"/>
  <c r="N11" i="15"/>
  <c r="E12" i="15"/>
  <c r="N35" i="25"/>
  <c r="N7" i="32" s="1"/>
  <c r="B14" i="15" s="1"/>
  <c r="T12" i="15"/>
  <c r="E10" i="15"/>
  <c r="C38" i="15"/>
  <c r="C39" i="15" s="1"/>
  <c r="N10" i="15"/>
  <c r="T10" i="15"/>
  <c r="C113" i="25"/>
  <c r="N95" i="9"/>
  <c r="O8" i="32"/>
  <c r="B17" i="15" s="1"/>
  <c r="P12" i="15"/>
  <c r="P11" i="15"/>
  <c r="P10" i="15"/>
  <c r="B10" i="15"/>
  <c r="B11" i="15"/>
  <c r="B12" i="15"/>
  <c r="A21" i="25"/>
  <c r="T11" i="15"/>
  <c r="R12" i="15"/>
  <c r="E11" i="15"/>
  <c r="R11" i="15"/>
  <c r="O7" i="32" l="1"/>
  <c r="B15" i="15" s="1"/>
  <c r="G22" i="32"/>
  <c r="L22" i="32" s="1"/>
  <c r="G29" i="32"/>
  <c r="L29" i="32" s="1"/>
  <c r="I30" i="32"/>
  <c r="Q30" i="32"/>
  <c r="AD30" i="32" s="1"/>
  <c r="G23" i="32"/>
  <c r="L23" i="32" s="1"/>
  <c r="G21" i="32"/>
  <c r="L21" i="32" s="1"/>
  <c r="M21" i="32" s="1"/>
  <c r="G24" i="32"/>
  <c r="L24" i="32" s="1"/>
  <c r="G25" i="32"/>
  <c r="L25" i="32" s="1"/>
  <c r="G27" i="32"/>
  <c r="L27" i="32" s="1"/>
  <c r="G26" i="32"/>
  <c r="L26" i="32" s="1"/>
  <c r="G28" i="32"/>
  <c r="L28" i="32" s="1"/>
  <c r="B149" i="15"/>
  <c r="B153" i="15"/>
  <c r="D30" i="32"/>
  <c r="F30" i="32"/>
  <c r="A149" i="15"/>
  <c r="J30" i="32"/>
  <c r="G30" i="32"/>
  <c r="B151" i="15"/>
  <c r="K30" i="32"/>
  <c r="B152" i="15"/>
  <c r="E30" i="32"/>
  <c r="C30" i="32"/>
  <c r="R30" i="32" s="1"/>
  <c r="N8" i="32"/>
  <c r="B16" i="15" s="1"/>
  <c r="AE29" i="32"/>
  <c r="T40" i="15" s="1"/>
  <c r="X29" i="32"/>
  <c r="F40" i="15" s="1"/>
  <c r="V249" i="15"/>
  <c r="B248" i="15"/>
  <c r="C40" i="15"/>
  <c r="C41" i="15" s="1"/>
  <c r="E113" i="25"/>
  <c r="N151" i="15" s="1"/>
  <c r="F113" i="25"/>
  <c r="R151" i="15" s="1"/>
  <c r="D113" i="25"/>
  <c r="J151" i="15" s="1"/>
  <c r="F151" i="15"/>
  <c r="M22" i="32" l="1"/>
  <c r="D33" i="15" s="1"/>
  <c r="AA30" i="32"/>
  <c r="AC30" i="32"/>
  <c r="L41" i="15" s="1"/>
  <c r="S30" i="32"/>
  <c r="D32" i="15"/>
  <c r="W30" i="32"/>
  <c r="Y30" i="32"/>
  <c r="H41" i="15" s="1"/>
  <c r="U30" i="32"/>
  <c r="V30" i="32" s="1"/>
  <c r="N41" i="15" s="1"/>
  <c r="AG30" i="32"/>
  <c r="R41" i="15" s="1"/>
  <c r="N158" i="15"/>
  <c r="D158" i="15"/>
  <c r="AF30" i="32"/>
  <c r="P41" i="15" s="1"/>
  <c r="Z30" i="32"/>
  <c r="J41" i="15" s="1"/>
  <c r="T30" i="32"/>
  <c r="L30" i="32"/>
  <c r="B31" i="32"/>
  <c r="B249" i="15"/>
  <c r="V250" i="15"/>
  <c r="B250" i="15"/>
  <c r="V251" i="15"/>
  <c r="M23" i="32" l="1"/>
  <c r="M24" i="32" s="1"/>
  <c r="AE30" i="32"/>
  <c r="T41" i="15" s="1"/>
  <c r="X30" i="32"/>
  <c r="F41" i="15" s="1"/>
  <c r="C31" i="32"/>
  <c r="R31" i="32" s="1"/>
  <c r="Q31" i="32"/>
  <c r="I31" i="32"/>
  <c r="D31" i="32"/>
  <c r="K31" i="32"/>
  <c r="F31" i="32"/>
  <c r="G31" i="32"/>
  <c r="J31" i="32"/>
  <c r="H31" i="32"/>
  <c r="E31" i="32"/>
  <c r="B251" i="15"/>
  <c r="D34" i="15" l="1"/>
  <c r="B32" i="32"/>
  <c r="C32" i="32" s="1"/>
  <c r="L31" i="32"/>
  <c r="M31" i="32" s="1"/>
  <c r="AF31" i="32"/>
  <c r="U31" i="32"/>
  <c r="V31" i="32" s="1"/>
  <c r="AG31" i="32"/>
  <c r="AC31" i="32"/>
  <c r="Y31" i="32"/>
  <c r="T31" i="32"/>
  <c r="AA31" i="32"/>
  <c r="AD31" i="32"/>
  <c r="Z31" i="32"/>
  <c r="S31" i="32"/>
  <c r="W31" i="32"/>
  <c r="V252" i="15"/>
  <c r="B252" i="15"/>
  <c r="M25" i="32"/>
  <c r="D35" i="15"/>
  <c r="R32" i="32" l="1"/>
  <c r="H32" i="32"/>
  <c r="K32" i="32"/>
  <c r="F32" i="32"/>
  <c r="G32" i="32"/>
  <c r="B33" i="32"/>
  <c r="G33" i="32" s="1"/>
  <c r="D32" i="32"/>
  <c r="J32" i="32"/>
  <c r="I32" i="32"/>
  <c r="Q32" i="32"/>
  <c r="W32" i="32" s="1"/>
  <c r="E32" i="32"/>
  <c r="AE31" i="32"/>
  <c r="X31" i="32"/>
  <c r="B253" i="15"/>
  <c r="V253" i="15"/>
  <c r="M26" i="32"/>
  <c r="D36" i="15"/>
  <c r="L32" i="32" l="1"/>
  <c r="M32" i="32" s="1"/>
  <c r="F33" i="32"/>
  <c r="D33" i="32"/>
  <c r="I33" i="32"/>
  <c r="AG32" i="32"/>
  <c r="AD32" i="32"/>
  <c r="Z32" i="32"/>
  <c r="E33" i="32"/>
  <c r="T32" i="32"/>
  <c r="AC32" i="32"/>
  <c r="K33" i="32"/>
  <c r="Y32" i="32"/>
  <c r="S32" i="32"/>
  <c r="AF32" i="32"/>
  <c r="U32" i="32"/>
  <c r="V32" i="32" s="1"/>
  <c r="H33" i="32"/>
  <c r="AA32" i="32"/>
  <c r="Q33" i="32"/>
  <c r="Y33" i="32" s="1"/>
  <c r="J33" i="32"/>
  <c r="C33" i="32"/>
  <c r="B34" i="32" s="1"/>
  <c r="V254" i="15"/>
  <c r="B254" i="15"/>
  <c r="M27" i="32"/>
  <c r="D37" i="15"/>
  <c r="AE32" i="32" l="1"/>
  <c r="Z33" i="32"/>
  <c r="AG33" i="32"/>
  <c r="L33" i="32"/>
  <c r="M33" i="32" s="1"/>
  <c r="X32" i="32"/>
  <c r="S33" i="32"/>
  <c r="AD33" i="32"/>
  <c r="AC33" i="32"/>
  <c r="AA33" i="32"/>
  <c r="Q34" i="32"/>
  <c r="D34" i="32"/>
  <c r="F34" i="32"/>
  <c r="K34" i="32"/>
  <c r="E34" i="32"/>
  <c r="I34" i="32"/>
  <c r="J34" i="32"/>
  <c r="G34" i="32"/>
  <c r="H34" i="32"/>
  <c r="T33" i="32"/>
  <c r="U33" i="32"/>
  <c r="V33" i="32" s="1"/>
  <c r="AF33" i="32"/>
  <c r="W33" i="32"/>
  <c r="R33" i="32"/>
  <c r="C34" i="32"/>
  <c r="B259" i="15"/>
  <c r="V259" i="15"/>
  <c r="S29" i="25"/>
  <c r="S30" i="25" s="1"/>
  <c r="M28" i="32"/>
  <c r="D38" i="15"/>
  <c r="S32" i="25" l="1"/>
  <c r="AE33" i="32"/>
  <c r="R34" i="32"/>
  <c r="B35" i="32"/>
  <c r="C35" i="32" s="1"/>
  <c r="R35" i="32" s="1"/>
  <c r="L34" i="32"/>
  <c r="M34" i="32" s="1"/>
  <c r="AC34" i="32"/>
  <c r="Y34" i="32"/>
  <c r="AD34" i="32"/>
  <c r="AA34" i="32"/>
  <c r="Z34" i="32"/>
  <c r="U34" i="32"/>
  <c r="V34" i="32" s="1"/>
  <c r="W34" i="32"/>
  <c r="AG34" i="32"/>
  <c r="AF34" i="32"/>
  <c r="S34" i="32"/>
  <c r="T34" i="32"/>
  <c r="X33" i="32"/>
  <c r="B266" i="15"/>
  <c r="V261" i="15"/>
  <c r="V264" i="15"/>
  <c r="V262" i="15"/>
  <c r="B264" i="15"/>
  <c r="B263" i="15"/>
  <c r="B267" i="15"/>
  <c r="B262" i="15"/>
  <c r="V266" i="15"/>
  <c r="V263" i="15"/>
  <c r="B261" i="15"/>
  <c r="B265" i="15"/>
  <c r="V265" i="15"/>
  <c r="V267" i="15"/>
  <c r="V260" i="15"/>
  <c r="B260" i="15"/>
  <c r="M29" i="32"/>
  <c r="D39" i="15"/>
  <c r="S33" i="25" l="1"/>
  <c r="S34" i="25" s="1"/>
  <c r="S35" i="25" s="1"/>
  <c r="S36" i="25" s="1"/>
  <c r="S37" i="25" s="1"/>
  <c r="S38" i="25" s="1"/>
  <c r="S39" i="25" s="1"/>
  <c r="S40" i="25" s="1"/>
  <c r="S41" i="25" s="1"/>
  <c r="S42" i="25" s="1"/>
  <c r="S46" i="25" s="1"/>
  <c r="S49" i="25" s="1"/>
  <c r="S50" i="25" s="1"/>
  <c r="S51" i="25" s="1"/>
  <c r="S52" i="25" s="1"/>
  <c r="S53" i="25" s="1"/>
  <c r="S59" i="25" s="1"/>
  <c r="S62" i="25" s="1"/>
  <c r="S63" i="25" s="1"/>
  <c r="S64" i="25" s="1"/>
  <c r="S65" i="25" s="1"/>
  <c r="S66" i="25" s="1"/>
  <c r="S67" i="25" s="1"/>
  <c r="S68" i="25" s="1"/>
  <c r="S69" i="25" s="1"/>
  <c r="S70" i="25" s="1"/>
  <c r="S71" i="25" s="1"/>
  <c r="S72" i="25" s="1"/>
  <c r="S73" i="25" s="1"/>
  <c r="S74" i="25" s="1"/>
  <c r="S125" i="25" s="1"/>
  <c r="S128" i="25" s="1"/>
  <c r="S129" i="25" s="1"/>
  <c r="S130" i="25" s="1"/>
  <c r="S131" i="25" s="1"/>
  <c r="S132" i="25" s="1"/>
  <c r="S133" i="25" s="1"/>
  <c r="S134" i="25" s="1"/>
  <c r="S135" i="25" s="1"/>
  <c r="S136" i="25" s="1"/>
  <c r="S137" i="25" s="1"/>
  <c r="V268" i="15"/>
  <c r="B268" i="15"/>
  <c r="AE34" i="32"/>
  <c r="X34" i="32"/>
  <c r="D35" i="32"/>
  <c r="E35" i="32"/>
  <c r="G35" i="32"/>
  <c r="B36" i="32"/>
  <c r="K35" i="32"/>
  <c r="Q35" i="32"/>
  <c r="J35" i="32"/>
  <c r="H35" i="32"/>
  <c r="F35" i="32"/>
  <c r="I35" i="32"/>
  <c r="M30" i="32"/>
  <c r="D41" i="15" s="1"/>
  <c r="D40" i="15"/>
  <c r="V271" i="15" l="1"/>
  <c r="B270" i="15"/>
  <c r="B269" i="15"/>
  <c r="B272" i="15"/>
  <c r="V269" i="15"/>
  <c r="V272" i="15"/>
  <c r="V275" i="15"/>
  <c r="V274" i="15"/>
  <c r="V278" i="15"/>
  <c r="B273" i="15"/>
  <c r="B274" i="15"/>
  <c r="V270" i="15"/>
  <c r="B280" i="15"/>
  <c r="B279" i="15"/>
  <c r="V273" i="15"/>
  <c r="B271" i="15"/>
  <c r="V281" i="15"/>
  <c r="V282" i="15"/>
  <c r="V283" i="15"/>
  <c r="B277" i="15"/>
  <c r="B276" i="15"/>
  <c r="B297" i="15"/>
  <c r="B285" i="15"/>
  <c r="B290" i="15"/>
  <c r="B294" i="15"/>
  <c r="B288" i="15"/>
  <c r="V296" i="15"/>
  <c r="B281" i="15"/>
  <c r="B278" i="15"/>
  <c r="B287" i="15"/>
  <c r="B275" i="15"/>
  <c r="V279" i="15"/>
  <c r="V285" i="15"/>
  <c r="V277" i="15"/>
  <c r="V276" i="15"/>
  <c r="V297" i="15"/>
  <c r="B282" i="15"/>
  <c r="B301" i="15"/>
  <c r="B314" i="15"/>
  <c r="B325" i="15"/>
  <c r="B334" i="15"/>
  <c r="B315" i="15"/>
  <c r="V323" i="15"/>
  <c r="V303" i="15"/>
  <c r="B299" i="15"/>
  <c r="V336" i="15"/>
  <c r="V298" i="15"/>
  <c r="B295" i="15"/>
  <c r="V312" i="15"/>
  <c r="B318" i="15"/>
  <c r="B327" i="15"/>
  <c r="B320" i="15"/>
  <c r="V317" i="15"/>
  <c r="B336" i="15"/>
  <c r="B303" i="15"/>
  <c r="B307" i="15"/>
  <c r="B300" i="15"/>
  <c r="B338" i="15"/>
  <c r="V321" i="15"/>
  <c r="V315" i="15"/>
  <c r="V325" i="15"/>
  <c r="V294" i="15"/>
  <c r="B296" i="15"/>
  <c r="B286" i="15"/>
  <c r="B293" i="15"/>
  <c r="V300" i="15"/>
  <c r="B329" i="15"/>
  <c r="V339" i="15"/>
  <c r="B309" i="15"/>
  <c r="B321" i="15"/>
  <c r="V334" i="15"/>
  <c r="B291" i="15"/>
  <c r="V292" i="15"/>
  <c r="V327" i="15"/>
  <c r="V301" i="15"/>
  <c r="V291" i="15"/>
  <c r="V324" i="15"/>
  <c r="V326" i="15"/>
  <c r="V311" i="15"/>
  <c r="B283" i="15"/>
  <c r="V320" i="15"/>
  <c r="B339" i="15"/>
  <c r="B317" i="15"/>
  <c r="B311" i="15"/>
  <c r="V290" i="15"/>
  <c r="B304" i="15"/>
  <c r="V289" i="15"/>
  <c r="V316" i="15"/>
  <c r="B335" i="15"/>
  <c r="B323" i="15"/>
  <c r="B298" i="15"/>
  <c r="B302" i="15"/>
  <c r="V328" i="15"/>
  <c r="V305" i="15"/>
  <c r="B341" i="15"/>
  <c r="B292" i="15"/>
  <c r="B326" i="15"/>
  <c r="B305" i="15"/>
  <c r="B324" i="15"/>
  <c r="B289" i="15"/>
  <c r="V293" i="15"/>
  <c r="V307" i="15"/>
  <c r="V280" i="15"/>
  <c r="B306" i="15"/>
  <c r="V306" i="15"/>
  <c r="V295" i="15"/>
  <c r="V318" i="15"/>
  <c r="V302" i="15"/>
  <c r="B308" i="15"/>
  <c r="V284" i="15"/>
  <c r="B310" i="15"/>
  <c r="B284" i="15"/>
  <c r="V337" i="15"/>
  <c r="V308" i="15"/>
  <c r="V335" i="15"/>
  <c r="V310" i="15"/>
  <c r="V314" i="15"/>
  <c r="V322" i="15"/>
  <c r="B337" i="15"/>
  <c r="V299" i="15"/>
  <c r="B340" i="15"/>
  <c r="V286" i="15"/>
  <c r="V319" i="15"/>
  <c r="V313" i="15"/>
  <c r="B316" i="15"/>
  <c r="B322" i="15"/>
  <c r="B319" i="15"/>
  <c r="V288" i="15"/>
  <c r="V329" i="15"/>
  <c r="B313" i="15"/>
  <c r="V304" i="15"/>
  <c r="V340" i="15"/>
  <c r="B328" i="15"/>
  <c r="V338" i="15"/>
  <c r="V287" i="15"/>
  <c r="V309" i="15"/>
  <c r="V341" i="15"/>
  <c r="B312" i="15"/>
  <c r="C36" i="32"/>
  <c r="R36" i="32" s="1"/>
  <c r="H36" i="32"/>
  <c r="F36" i="32"/>
  <c r="J36" i="32"/>
  <c r="Q36" i="32"/>
  <c r="D36" i="32"/>
  <c r="E36" i="32"/>
  <c r="K36" i="32"/>
  <c r="I36" i="32"/>
  <c r="G36" i="32"/>
  <c r="L35" i="32"/>
  <c r="M35" i="32" s="1"/>
  <c r="U35" i="32"/>
  <c r="V35" i="32" s="1"/>
  <c r="AF35" i="32"/>
  <c r="Y35" i="32"/>
  <c r="W35" i="32"/>
  <c r="AG35" i="32"/>
  <c r="AA35" i="32"/>
  <c r="T35" i="32"/>
  <c r="Z35" i="32"/>
  <c r="S35" i="32"/>
  <c r="AC35" i="32"/>
  <c r="AD35" i="32"/>
  <c r="B37" i="32" l="1"/>
  <c r="H37" i="32" s="1"/>
  <c r="AE35" i="32"/>
  <c r="X35" i="32"/>
  <c r="L36" i="32"/>
  <c r="M36" i="32" s="1"/>
  <c r="S36" i="32"/>
  <c r="AF36" i="32"/>
  <c r="W36" i="32"/>
  <c r="Y36" i="32"/>
  <c r="Z36" i="32"/>
  <c r="AA36" i="32"/>
  <c r="AC36" i="32"/>
  <c r="AG36" i="32"/>
  <c r="AD36" i="32"/>
  <c r="U36" i="32"/>
  <c r="V36" i="32" s="1"/>
  <c r="T36" i="32"/>
  <c r="K37" i="32" l="1"/>
  <c r="J37" i="32"/>
  <c r="F37" i="32"/>
  <c r="G37" i="32"/>
  <c r="D37" i="32"/>
  <c r="I37" i="32"/>
  <c r="E37" i="32"/>
  <c r="C37" i="32"/>
  <c r="R37" i="32" s="1"/>
  <c r="Q37" i="32"/>
  <c r="AC37" i="32" s="1"/>
  <c r="AE36" i="32"/>
  <c r="X36" i="32"/>
  <c r="AG37" i="32" l="1"/>
  <c r="L37" i="32"/>
  <c r="M37" i="32" s="1"/>
  <c r="Y37" i="32"/>
  <c r="AF37" i="32"/>
  <c r="T37" i="32"/>
  <c r="AA37" i="32"/>
  <c r="S37" i="32"/>
  <c r="U37" i="32"/>
  <c r="V37" i="32" s="1"/>
  <c r="AD37" i="32"/>
  <c r="Z37" i="32"/>
  <c r="B38" i="32"/>
  <c r="C38" i="32" s="1"/>
  <c r="R38" i="32" s="1"/>
  <c r="W37" i="32"/>
  <c r="H38" i="32" l="1"/>
  <c r="B39" i="32"/>
  <c r="C39" i="32" s="1"/>
  <c r="R39" i="32" s="1"/>
  <c r="J38" i="32"/>
  <c r="F38" i="32"/>
  <c r="Q38" i="32"/>
  <c r="AG38" i="32" s="1"/>
  <c r="G38" i="32"/>
  <c r="E38" i="32"/>
  <c r="I38" i="32"/>
  <c r="K38" i="32"/>
  <c r="D38" i="32"/>
  <c r="X37" i="32"/>
  <c r="AE37" i="32"/>
  <c r="F39" i="32" l="1"/>
  <c r="U38" i="32"/>
  <c r="V38" i="32" s="1"/>
  <c r="AA38" i="32"/>
  <c r="AF38" i="32"/>
  <c r="Y38" i="32"/>
  <c r="L38" i="32"/>
  <c r="M38" i="32" s="1"/>
  <c r="AC38" i="32"/>
  <c r="W38" i="32"/>
  <c r="Z38" i="32"/>
  <c r="S38" i="32"/>
  <c r="AD38" i="32"/>
  <c r="Q39" i="32"/>
  <c r="Z39" i="32" s="1"/>
  <c r="G39" i="32"/>
  <c r="J39" i="32"/>
  <c r="H39" i="32"/>
  <c r="B40" i="32"/>
  <c r="I40" i="32" s="1"/>
  <c r="I39" i="32"/>
  <c r="K39" i="32"/>
  <c r="E39" i="32"/>
  <c r="D39" i="32"/>
  <c r="T38" i="32"/>
  <c r="X38" i="32" l="1"/>
  <c r="Q40" i="32"/>
  <c r="AG40" i="32" s="1"/>
  <c r="AE38" i="32"/>
  <c r="K40" i="32"/>
  <c r="AG39" i="32"/>
  <c r="J40" i="32"/>
  <c r="H40" i="32"/>
  <c r="C40" i="32"/>
  <c r="B41" i="32" s="1"/>
  <c r="K41" i="32" s="1"/>
  <c r="Y39" i="32"/>
  <c r="AD39" i="32"/>
  <c r="AA39" i="32"/>
  <c r="S39" i="32"/>
  <c r="AC39" i="32"/>
  <c r="U39" i="32"/>
  <c r="V39" i="32" s="1"/>
  <c r="W39" i="32"/>
  <c r="D40" i="32"/>
  <c r="T39" i="32"/>
  <c r="G40" i="32"/>
  <c r="L39" i="32"/>
  <c r="M39" i="32" s="1"/>
  <c r="F40" i="32"/>
  <c r="AF39" i="32"/>
  <c r="E40" i="32"/>
  <c r="H41" i="32" l="1"/>
  <c r="C41" i="32"/>
  <c r="B42" i="32" s="1"/>
  <c r="E42" i="32" s="1"/>
  <c r="E41" i="32"/>
  <c r="J41" i="32"/>
  <c r="Y40" i="32"/>
  <c r="R40" i="32"/>
  <c r="D41" i="32"/>
  <c r="I41" i="32"/>
  <c r="G41" i="32"/>
  <c r="F41" i="32"/>
  <c r="S40" i="32"/>
  <c r="AA40" i="32"/>
  <c r="U40" i="32"/>
  <c r="V40" i="32" s="1"/>
  <c r="W40" i="32"/>
  <c r="Q41" i="32"/>
  <c r="W41" i="32" s="1"/>
  <c r="Z40" i="32"/>
  <c r="AD40" i="32"/>
  <c r="AF40" i="32"/>
  <c r="T40" i="32"/>
  <c r="AC40" i="32"/>
  <c r="X39" i="32"/>
  <c r="AE39" i="32"/>
  <c r="L40" i="32"/>
  <c r="M40" i="32" s="1"/>
  <c r="D42" i="32" l="1"/>
  <c r="R41" i="32"/>
  <c r="G42" i="32"/>
  <c r="F42" i="32"/>
  <c r="H42" i="32"/>
  <c r="Q42" i="32"/>
  <c r="S42" i="32" s="1"/>
  <c r="C42" i="32"/>
  <c r="R42" i="32" s="1"/>
  <c r="I42" i="32"/>
  <c r="J42" i="32"/>
  <c r="K42" i="32"/>
  <c r="T41" i="32"/>
  <c r="U41" i="32"/>
  <c r="V41" i="32" s="1"/>
  <c r="AC41" i="32"/>
  <c r="Y41" i="32"/>
  <c r="S41" i="32"/>
  <c r="AG41" i="32"/>
  <c r="AD41" i="32"/>
  <c r="Z41" i="32"/>
  <c r="AF41" i="32"/>
  <c r="AA41" i="32"/>
  <c r="L41" i="32"/>
  <c r="M41" i="32" s="1"/>
  <c r="AE40" i="32"/>
  <c r="X40" i="32"/>
  <c r="AG42" i="32"/>
  <c r="AA42" i="32" l="1"/>
  <c r="W42" i="32"/>
  <c r="U42" i="32"/>
  <c r="V42" i="32" s="1"/>
  <c r="AF42" i="32"/>
  <c r="AD42" i="32"/>
  <c r="AC42" i="32"/>
  <c r="B43" i="32"/>
  <c r="K43" i="32" s="1"/>
  <c r="Z42" i="32"/>
  <c r="Y42" i="32"/>
  <c r="T42" i="32"/>
  <c r="AE42" i="32" s="1"/>
  <c r="L42" i="32"/>
  <c r="M42" i="32" s="1"/>
  <c r="AE41" i="32"/>
  <c r="X41" i="32"/>
  <c r="F43" i="32"/>
  <c r="X42" i="32" l="1"/>
  <c r="C43" i="32"/>
  <c r="R43" i="32" s="1"/>
  <c r="E43" i="32"/>
  <c r="J43" i="32"/>
  <c r="G43" i="32"/>
  <c r="H43" i="32"/>
  <c r="Q43" i="32"/>
  <c r="T43" i="32" s="1"/>
  <c r="D43" i="32"/>
  <c r="I43" i="32"/>
  <c r="S43" i="32"/>
  <c r="AC43" i="32"/>
  <c r="AA43" i="32"/>
  <c r="B44" i="32" l="1"/>
  <c r="C44" i="32" s="1"/>
  <c r="R44" i="32" s="1"/>
  <c r="Y43" i="32"/>
  <c r="L43" i="32"/>
  <c r="M43" i="32" s="1"/>
  <c r="W43" i="32"/>
  <c r="AE43" i="32" s="1"/>
  <c r="U43" i="32"/>
  <c r="V43" i="32" s="1"/>
  <c r="AD43" i="32"/>
  <c r="Z43" i="32"/>
  <c r="AF43" i="32"/>
  <c r="AG43" i="32"/>
  <c r="E44" i="32" l="1"/>
  <c r="F44" i="32"/>
  <c r="B45" i="32"/>
  <c r="H45" i="32" s="1"/>
  <c r="I44" i="32"/>
  <c r="K44" i="32"/>
  <c r="D44" i="32"/>
  <c r="H44" i="32"/>
  <c r="G44" i="32"/>
  <c r="J44" i="32"/>
  <c r="Q44" i="32"/>
  <c r="Y44" i="32" s="1"/>
  <c r="X43" i="32"/>
  <c r="D45" i="32"/>
  <c r="G45" i="32" l="1"/>
  <c r="C45" i="32"/>
  <c r="R45" i="32" s="1"/>
  <c r="Q45" i="32"/>
  <c r="Z45" i="32" s="1"/>
  <c r="E45" i="32"/>
  <c r="S44" i="32"/>
  <c r="L44" i="32"/>
  <c r="M44" i="32" s="1"/>
  <c r="K45" i="32"/>
  <c r="F45" i="32"/>
  <c r="J45" i="32"/>
  <c r="U44" i="32"/>
  <c r="V44" i="32" s="1"/>
  <c r="T44" i="32"/>
  <c r="Z44" i="32"/>
  <c r="AF44" i="32"/>
  <c r="I45" i="32"/>
  <c r="AA44" i="32"/>
  <c r="AC44" i="32"/>
  <c r="W44" i="32"/>
  <c r="AG44" i="32"/>
  <c r="AD44" i="32"/>
  <c r="W45" i="32"/>
  <c r="T45" i="32"/>
  <c r="AD45" i="32"/>
  <c r="U45" i="32"/>
  <c r="V45" i="32" s="1"/>
  <c r="AA45" i="32"/>
  <c r="Y45" i="32"/>
  <c r="S45" i="32"/>
  <c r="AF45" i="32"/>
  <c r="L45" i="32" l="1"/>
  <c r="M45" i="32" s="1"/>
  <c r="AC45" i="32"/>
  <c r="B46" i="32"/>
  <c r="C46" i="32" s="1"/>
  <c r="R46" i="32" s="1"/>
  <c r="AE44" i="32"/>
  <c r="AG45" i="32"/>
  <c r="X44" i="32"/>
  <c r="AE45" i="32"/>
  <c r="X45" i="32"/>
  <c r="F46" i="32"/>
  <c r="H46" i="32"/>
  <c r="K46" i="32"/>
  <c r="E46" i="32"/>
  <c r="I46" i="32" l="1"/>
  <c r="B47" i="32"/>
  <c r="C47" i="32" s="1"/>
  <c r="R47" i="32" s="1"/>
  <c r="J46" i="32"/>
  <c r="D46" i="32"/>
  <c r="G46" i="32"/>
  <c r="Q46" i="32"/>
  <c r="Y46" i="32" s="1"/>
  <c r="Z46" i="32"/>
  <c r="AC46" i="32"/>
  <c r="AD46" i="32"/>
  <c r="S46" i="32"/>
  <c r="T46" i="32"/>
  <c r="K47" i="32"/>
  <c r="AG46" i="32" l="1"/>
  <c r="F47" i="32"/>
  <c r="Q47" i="32"/>
  <c r="Y47" i="32" s="1"/>
  <c r="J47" i="32"/>
  <c r="G47" i="32"/>
  <c r="E47" i="32"/>
  <c r="I47" i="32"/>
  <c r="D47" i="32"/>
  <c r="L46" i="32"/>
  <c r="M46" i="32" s="1"/>
  <c r="H47" i="32"/>
  <c r="B48" i="32"/>
  <c r="C48" i="32" s="1"/>
  <c r="R48" i="32" s="1"/>
  <c r="AA46" i="32"/>
  <c r="W46" i="32"/>
  <c r="AE46" i="32" s="1"/>
  <c r="U46" i="32"/>
  <c r="V46" i="32" s="1"/>
  <c r="AF46" i="32"/>
  <c r="AG47" i="32"/>
  <c r="AF47" i="32"/>
  <c r="U47" i="32"/>
  <c r="V47" i="32" s="1"/>
  <c r="W47" i="32"/>
  <c r="T47" i="32"/>
  <c r="AC47" i="32"/>
  <c r="AD47" i="32"/>
  <c r="AA47" i="32"/>
  <c r="Z47" i="32"/>
  <c r="S47" i="32"/>
  <c r="L47" i="32" l="1"/>
  <c r="M47" i="32" s="1"/>
  <c r="G48" i="32"/>
  <c r="F48" i="32"/>
  <c r="B49" i="32"/>
  <c r="C49" i="32" s="1"/>
  <c r="R49" i="32" s="1"/>
  <c r="D48" i="32"/>
  <c r="H48" i="32"/>
  <c r="Q48" i="32"/>
  <c r="S48" i="32" s="1"/>
  <c r="I48" i="32"/>
  <c r="J48" i="32"/>
  <c r="K48" i="32"/>
  <c r="E48" i="32"/>
  <c r="X46" i="32"/>
  <c r="X47" i="32"/>
  <c r="AE47" i="32"/>
  <c r="Q49" i="32"/>
  <c r="E49" i="32"/>
  <c r="F49" i="32"/>
  <c r="J49" i="32"/>
  <c r="K49" i="32" l="1"/>
  <c r="T48" i="32"/>
  <c r="L48" i="32"/>
  <c r="M48" i="32" s="1"/>
  <c r="AF48" i="32"/>
  <c r="Y48" i="32"/>
  <c r="D49" i="32"/>
  <c r="B50" i="32"/>
  <c r="Q50" i="32" s="1"/>
  <c r="AC48" i="32"/>
  <c r="AA48" i="32"/>
  <c r="I49" i="32"/>
  <c r="Z48" i="32"/>
  <c r="AG48" i="32"/>
  <c r="AD48" i="32"/>
  <c r="W48" i="32"/>
  <c r="AE48" i="32" s="1"/>
  <c r="H49" i="32"/>
  <c r="G49" i="32"/>
  <c r="L49" i="32" s="1"/>
  <c r="M49" i="32" s="1"/>
  <c r="U48" i="32"/>
  <c r="V48" i="32" s="1"/>
  <c r="C50" i="32"/>
  <c r="R50" i="32" s="1"/>
  <c r="K50" i="32"/>
  <c r="D50" i="32"/>
  <c r="I50" i="32"/>
  <c r="F50" i="32"/>
  <c r="J50" i="32"/>
  <c r="G50" i="32"/>
  <c r="E50" i="32"/>
  <c r="Z49" i="32"/>
  <c r="Y49" i="32"/>
  <c r="AC49" i="32"/>
  <c r="AA49" i="32"/>
  <c r="S49" i="32"/>
  <c r="AD49" i="32"/>
  <c r="W49" i="32"/>
  <c r="U49" i="32"/>
  <c r="V49" i="32" s="1"/>
  <c r="AF49" i="32"/>
  <c r="AG49" i="32"/>
  <c r="T49" i="32"/>
  <c r="H50" i="32" l="1"/>
  <c r="X48" i="32"/>
  <c r="B51" i="32"/>
  <c r="C51" i="32" s="1"/>
  <c r="R51" i="32" s="1"/>
  <c r="AE49" i="32"/>
  <c r="AD50" i="32"/>
  <c r="W50" i="32"/>
  <c r="AG50" i="32"/>
  <c r="U50" i="32"/>
  <c r="V50" i="32" s="1"/>
  <c r="AF50" i="32"/>
  <c r="S50" i="32"/>
  <c r="Z50" i="32"/>
  <c r="Y50" i="32"/>
  <c r="AA50" i="32"/>
  <c r="T50" i="32"/>
  <c r="AC50" i="32"/>
  <c r="X49" i="32"/>
  <c r="L50" i="32"/>
  <c r="M50" i="32" s="1"/>
  <c r="I51" i="32" l="1"/>
  <c r="J51" i="32"/>
  <c r="F51" i="32"/>
  <c r="D51" i="32"/>
  <c r="E51" i="32"/>
  <c r="Q51" i="32"/>
  <c r="T51" i="32" s="1"/>
  <c r="X50" i="32"/>
  <c r="K51" i="32"/>
  <c r="B52" i="32"/>
  <c r="C52" i="32" s="1"/>
  <c r="R52" i="32" s="1"/>
  <c r="H51" i="32"/>
  <c r="G51" i="32"/>
  <c r="AE50" i="32"/>
  <c r="AG51" i="32" l="1"/>
  <c r="AA51" i="32"/>
  <c r="J52" i="32"/>
  <c r="E52" i="32"/>
  <c r="F52" i="32"/>
  <c r="K52" i="32"/>
  <c r="G52" i="32"/>
  <c r="L51" i="32"/>
  <c r="M51" i="32" s="1"/>
  <c r="B53" i="32"/>
  <c r="C53" i="32" s="1"/>
  <c r="R53" i="32" s="1"/>
  <c r="I52" i="32"/>
  <c r="H52" i="32"/>
  <c r="D52" i="32"/>
  <c r="S51" i="32"/>
  <c r="W51" i="32"/>
  <c r="AE51" i="32" s="1"/>
  <c r="U51" i="32"/>
  <c r="V51" i="32" s="1"/>
  <c r="AC51" i="32"/>
  <c r="Y51" i="32"/>
  <c r="Z51" i="32"/>
  <c r="AF51" i="32"/>
  <c r="AD51" i="32"/>
  <c r="Q52" i="32"/>
  <c r="Z52" i="32" s="1"/>
  <c r="J53" i="32" l="1"/>
  <c r="D53" i="32"/>
  <c r="I53" i="32"/>
  <c r="Q53" i="32"/>
  <c r="AD53" i="32" s="1"/>
  <c r="K53" i="32"/>
  <c r="X51" i="32"/>
  <c r="L52" i="32"/>
  <c r="M52" i="32" s="1"/>
  <c r="B54" i="32"/>
  <c r="C54" i="32" s="1"/>
  <c r="R54" i="32" s="1"/>
  <c r="U52" i="32"/>
  <c r="V52" i="32" s="1"/>
  <c r="S52" i="32"/>
  <c r="AF52" i="32"/>
  <c r="T52" i="32"/>
  <c r="H53" i="32"/>
  <c r="AG52" i="32"/>
  <c r="F53" i="32"/>
  <c r="AD52" i="32"/>
  <c r="AA52" i="32"/>
  <c r="AC52" i="32"/>
  <c r="E53" i="32"/>
  <c r="G53" i="32"/>
  <c r="Y52" i="32"/>
  <c r="W52" i="32"/>
  <c r="E54" i="32"/>
  <c r="F54" i="32"/>
  <c r="AC53" i="32" l="1"/>
  <c r="AF53" i="32"/>
  <c r="T53" i="32"/>
  <c r="U53" i="32"/>
  <c r="V53" i="32" s="1"/>
  <c r="W53" i="32"/>
  <c r="Z53" i="32"/>
  <c r="Y53" i="32"/>
  <c r="AA53" i="32"/>
  <c r="S53" i="32"/>
  <c r="X53" i="32" s="1"/>
  <c r="AG53" i="32"/>
  <c r="X52" i="32"/>
  <c r="AE52" i="32"/>
  <c r="K54" i="32"/>
  <c r="I54" i="32"/>
  <c r="H54" i="32"/>
  <c r="G54" i="32"/>
  <c r="D54" i="32"/>
  <c r="B55" i="32"/>
  <c r="C55" i="32" s="1"/>
  <c r="R55" i="32" s="1"/>
  <c r="Q54" i="32"/>
  <c r="T54" i="32" s="1"/>
  <c r="J54" i="32"/>
  <c r="L53" i="32"/>
  <c r="M53" i="32" s="1"/>
  <c r="AE53" i="32" l="1"/>
  <c r="L54" i="32"/>
  <c r="M54" i="32" s="1"/>
  <c r="AC54" i="32"/>
  <c r="AG54" i="32"/>
  <c r="Z54" i="32"/>
  <c r="AF54" i="32"/>
  <c r="F55" i="32"/>
  <c r="AA54" i="32"/>
  <c r="D55" i="32"/>
  <c r="I55" i="32"/>
  <c r="Q55" i="32"/>
  <c r="U55" i="32" s="1"/>
  <c r="V55" i="32" s="1"/>
  <c r="E55" i="32"/>
  <c r="U54" i="32"/>
  <c r="V54" i="32" s="1"/>
  <c r="W54" i="32"/>
  <c r="AD54" i="32"/>
  <c r="S54" i="32"/>
  <c r="H55" i="32"/>
  <c r="G55" i="32"/>
  <c r="K55" i="32"/>
  <c r="B56" i="32"/>
  <c r="C56" i="32" s="1"/>
  <c r="R56" i="32" s="1"/>
  <c r="Y54" i="32"/>
  <c r="J55" i="32"/>
  <c r="Z55" i="32" l="1"/>
  <c r="AG55" i="32"/>
  <c r="AA55" i="32"/>
  <c r="G56" i="32"/>
  <c r="D56" i="32"/>
  <c r="I56" i="32"/>
  <c r="X54" i="32"/>
  <c r="W55" i="32"/>
  <c r="AC55" i="32"/>
  <c r="AE54" i="32"/>
  <c r="B57" i="32"/>
  <c r="C57" i="32" s="1"/>
  <c r="R57" i="32" s="1"/>
  <c r="H56" i="32"/>
  <c r="F56" i="32"/>
  <c r="AF55" i="32"/>
  <c r="J56" i="32"/>
  <c r="Y55" i="32"/>
  <c r="E56" i="32"/>
  <c r="AD55" i="32"/>
  <c r="S55" i="32"/>
  <c r="X55" i="32" s="1"/>
  <c r="T55" i="32"/>
  <c r="K56" i="32"/>
  <c r="L55" i="32"/>
  <c r="M55" i="32" s="1"/>
  <c r="Q56" i="32"/>
  <c r="AF56" i="32" s="1"/>
  <c r="Q57" i="32" l="1"/>
  <c r="Y57" i="32" s="1"/>
  <c r="I57" i="32"/>
  <c r="F57" i="32"/>
  <c r="D57" i="32"/>
  <c r="AE55" i="32"/>
  <c r="L56" i="32"/>
  <c r="K57" i="32"/>
  <c r="G57" i="32"/>
  <c r="E57" i="32"/>
  <c r="B58" i="32"/>
  <c r="C58" i="32" s="1"/>
  <c r="R58" i="32" s="1"/>
  <c r="H57" i="32"/>
  <c r="J57" i="32"/>
  <c r="AA56" i="32"/>
  <c r="AC56" i="32"/>
  <c r="S56" i="32"/>
  <c r="T56" i="32"/>
  <c r="AD56" i="32"/>
  <c r="M56" i="32"/>
  <c r="AG56" i="32"/>
  <c r="U56" i="32"/>
  <c r="V56" i="32" s="1"/>
  <c r="Y56" i="32"/>
  <c r="Z56" i="32"/>
  <c r="W56" i="32"/>
  <c r="K58" i="32"/>
  <c r="T57" i="32" l="1"/>
  <c r="AC57" i="32"/>
  <c r="AF57" i="32"/>
  <c r="Z57" i="32"/>
  <c r="H58" i="32"/>
  <c r="G58" i="32"/>
  <c r="F58" i="32"/>
  <c r="D58" i="32"/>
  <c r="B59" i="32"/>
  <c r="C59" i="32" s="1"/>
  <c r="R59" i="32" s="1"/>
  <c r="Q58" i="32"/>
  <c r="AC58" i="32" s="1"/>
  <c r="E58" i="32"/>
  <c r="AG57" i="32"/>
  <c r="AA57" i="32"/>
  <c r="W57" i="32"/>
  <c r="AE57" i="32" s="1"/>
  <c r="AD57" i="32"/>
  <c r="J58" i="32"/>
  <c r="S57" i="32"/>
  <c r="I58" i="32"/>
  <c r="U57" i="32"/>
  <c r="V57" i="32" s="1"/>
  <c r="L57" i="32"/>
  <c r="M57" i="32" s="1"/>
  <c r="AE56" i="32"/>
  <c r="X56" i="32"/>
  <c r="I59" i="32"/>
  <c r="D59" i="32"/>
  <c r="F59" i="32"/>
  <c r="H59" i="32"/>
  <c r="Q59" i="32" l="1"/>
  <c r="T59" i="32" s="1"/>
  <c r="E59" i="32"/>
  <c r="B60" i="32"/>
  <c r="C60" i="32" s="1"/>
  <c r="R60" i="32" s="1"/>
  <c r="X57" i="32"/>
  <c r="Y58" i="32"/>
  <c r="T58" i="32"/>
  <c r="AD58" i="32"/>
  <c r="AF58" i="32"/>
  <c r="W58" i="32"/>
  <c r="S58" i="32"/>
  <c r="U58" i="32"/>
  <c r="V58" i="32" s="1"/>
  <c r="AG58" i="32"/>
  <c r="Z58" i="32"/>
  <c r="L58" i="32"/>
  <c r="M58" i="32" s="1"/>
  <c r="AA58" i="32"/>
  <c r="K59" i="32"/>
  <c r="G59" i="32"/>
  <c r="J59" i="32"/>
  <c r="U59" i="32"/>
  <c r="V59" i="32" s="1"/>
  <c r="I60" i="32"/>
  <c r="D60" i="32"/>
  <c r="F60" i="32"/>
  <c r="J60" i="32"/>
  <c r="Q60" i="32"/>
  <c r="E60" i="32"/>
  <c r="H60" i="32"/>
  <c r="G60" i="32"/>
  <c r="K60" i="32"/>
  <c r="B61" i="32"/>
  <c r="C61" i="32" s="1"/>
  <c r="R61" i="32" s="1"/>
  <c r="W59" i="32" l="1"/>
  <c r="AE59" i="32" s="1"/>
  <c r="AF59" i="32"/>
  <c r="AG59" i="32"/>
  <c r="S59" i="32"/>
  <c r="X59" i="32" s="1"/>
  <c r="AD59" i="32"/>
  <c r="Y59" i="32"/>
  <c r="AA59" i="32"/>
  <c r="AC59" i="32"/>
  <c r="Z59" i="32"/>
  <c r="X58" i="32"/>
  <c r="L59" i="32"/>
  <c r="M59" i="32" s="1"/>
  <c r="AE58" i="32"/>
  <c r="L60" i="32"/>
  <c r="K61" i="32"/>
  <c r="B62" i="32"/>
  <c r="I61" i="32"/>
  <c r="H61" i="32"/>
  <c r="G61" i="32"/>
  <c r="E61" i="32"/>
  <c r="Q61" i="32"/>
  <c r="F61" i="32"/>
  <c r="J61" i="32"/>
  <c r="D61" i="32"/>
  <c r="C62" i="32"/>
  <c r="R62" i="32" s="1"/>
  <c r="T60" i="32"/>
  <c r="S60" i="32"/>
  <c r="AD60" i="32"/>
  <c r="U60" i="32"/>
  <c r="V60" i="32" s="1"/>
  <c r="W60" i="32"/>
  <c r="AC60" i="32"/>
  <c r="AG60" i="32"/>
  <c r="Y60" i="32"/>
  <c r="AF60" i="32"/>
  <c r="AA60" i="32"/>
  <c r="Z60" i="32"/>
  <c r="M60" i="32" l="1"/>
  <c r="X60" i="32"/>
  <c r="AE60" i="32"/>
  <c r="L61" i="32"/>
  <c r="M61" i="32" s="1"/>
  <c r="E62" i="32"/>
  <c r="G62" i="32"/>
  <c r="H62" i="32"/>
  <c r="I62" i="32"/>
  <c r="D62" i="32"/>
  <c r="J62" i="32"/>
  <c r="K62" i="32"/>
  <c r="F62" i="32"/>
  <c r="B63" i="32"/>
  <c r="C63" i="32" s="1"/>
  <c r="R63" i="32" s="1"/>
  <c r="Q62" i="32"/>
  <c r="W61" i="32"/>
  <c r="AA61" i="32"/>
  <c r="Y61" i="32"/>
  <c r="AC61" i="32"/>
  <c r="AD61" i="32"/>
  <c r="AG61" i="32"/>
  <c r="S61" i="32"/>
  <c r="T61" i="32"/>
  <c r="AE61" i="32" s="1"/>
  <c r="Z61" i="32"/>
  <c r="AF61" i="32"/>
  <c r="U61" i="32"/>
  <c r="V61" i="32" s="1"/>
  <c r="X61" i="32" l="1"/>
  <c r="F63" i="32"/>
  <c r="Q63" i="32"/>
  <c r="K63" i="32"/>
  <c r="H63" i="32"/>
  <c r="E63" i="32"/>
  <c r="J63" i="32"/>
  <c r="G63" i="32"/>
  <c r="I63" i="32"/>
  <c r="D63" i="32"/>
  <c r="B64" i="32"/>
  <c r="L62" i="32"/>
  <c r="M62" i="32" s="1"/>
  <c r="Y62" i="32"/>
  <c r="T62" i="32"/>
  <c r="U62" i="32"/>
  <c r="V62" i="32" s="1"/>
  <c r="AF62" i="32"/>
  <c r="Z62" i="32"/>
  <c r="AD62" i="32"/>
  <c r="W62" i="32"/>
  <c r="AA62" i="32"/>
  <c r="AG62" i="32"/>
  <c r="S62" i="32"/>
  <c r="X62" i="32" s="1"/>
  <c r="AC62" i="32"/>
  <c r="C64" i="32"/>
  <c r="R64" i="32" s="1"/>
  <c r="AE62" i="32" l="1"/>
  <c r="L63" i="32"/>
  <c r="M63" i="32" s="1"/>
  <c r="Q64" i="32"/>
  <c r="J64" i="32"/>
  <c r="H64" i="32"/>
  <c r="B65" i="32"/>
  <c r="E64" i="32"/>
  <c r="I64" i="32"/>
  <c r="D64" i="32"/>
  <c r="F64" i="32"/>
  <c r="G64" i="32"/>
  <c r="K64" i="32"/>
  <c r="W63" i="32"/>
  <c r="U63" i="32"/>
  <c r="V63" i="32" s="1"/>
  <c r="AF63" i="32"/>
  <c r="S63" i="32"/>
  <c r="T63" i="32"/>
  <c r="AC63" i="32"/>
  <c r="Y63" i="32"/>
  <c r="AA63" i="32"/>
  <c r="AD63" i="32"/>
  <c r="Z63" i="32"/>
  <c r="AG63" i="32"/>
  <c r="C65" i="32"/>
  <c r="R65" i="32" s="1"/>
  <c r="X63" i="32" l="1"/>
  <c r="AE63" i="32"/>
  <c r="L64" i="32"/>
  <c r="M64" i="32" s="1"/>
  <c r="F65" i="32"/>
  <c r="J65" i="32"/>
  <c r="D65" i="32"/>
  <c r="G65" i="32"/>
  <c r="H65" i="32"/>
  <c r="B66" i="32"/>
  <c r="C66" i="32" s="1"/>
  <c r="R66" i="32" s="1"/>
  <c r="E65" i="32"/>
  <c r="I65" i="32"/>
  <c r="Q65" i="32"/>
  <c r="K65" i="32"/>
  <c r="Z64" i="32"/>
  <c r="W64" i="32"/>
  <c r="U64" i="32"/>
  <c r="V64" i="32" s="1"/>
  <c r="S64" i="32"/>
  <c r="AC64" i="32"/>
  <c r="AA64" i="32"/>
  <c r="AG64" i="32"/>
  <c r="T64" i="32"/>
  <c r="AE64" i="32" s="1"/>
  <c r="AD64" i="32"/>
  <c r="AF64" i="32"/>
  <c r="Y64" i="32"/>
  <c r="X64" i="32" l="1"/>
  <c r="L65" i="32"/>
  <c r="M65" i="32" s="1"/>
  <c r="D66" i="32"/>
  <c r="K66" i="32"/>
  <c r="Q66" i="32"/>
  <c r="E66" i="32"/>
  <c r="I66" i="32"/>
  <c r="F66" i="32"/>
  <c r="J66" i="32"/>
  <c r="B67" i="32"/>
  <c r="C67" i="32" s="1"/>
  <c r="R67" i="32" s="1"/>
  <c r="H66" i="32"/>
  <c r="G66" i="32"/>
  <c r="U65" i="32"/>
  <c r="V65" i="32" s="1"/>
  <c r="Z65" i="32"/>
  <c r="T65" i="32"/>
  <c r="AF65" i="32"/>
  <c r="AA65" i="32"/>
  <c r="S65" i="32"/>
  <c r="Y65" i="32"/>
  <c r="W65" i="32"/>
  <c r="AC65" i="32"/>
  <c r="AD65" i="32"/>
  <c r="AG65" i="32"/>
  <c r="X65" i="32" l="1"/>
  <c r="AE65" i="32"/>
  <c r="AC66" i="32"/>
  <c r="AF66" i="32"/>
  <c r="Z66" i="32"/>
  <c r="T66" i="32"/>
  <c r="Y66" i="32"/>
  <c r="S66" i="32"/>
  <c r="AA66" i="32"/>
  <c r="AD66" i="32"/>
  <c r="U66" i="32"/>
  <c r="V66" i="32" s="1"/>
  <c r="W66" i="32"/>
  <c r="AG66" i="32"/>
  <c r="L66" i="32"/>
  <c r="M66" i="32" s="1"/>
  <c r="D67" i="32"/>
  <c r="F67" i="32"/>
  <c r="J67" i="32"/>
  <c r="Q67" i="32"/>
  <c r="K67" i="32"/>
  <c r="G67" i="32"/>
  <c r="E67" i="32"/>
  <c r="H67" i="32"/>
  <c r="B68" i="32"/>
  <c r="C68" i="32" s="1"/>
  <c r="R68" i="32" s="1"/>
  <c r="I67" i="32"/>
  <c r="X66" i="32" l="1"/>
  <c r="AE66" i="32"/>
  <c r="U67" i="32"/>
  <c r="V67" i="32" s="1"/>
  <c r="AD67" i="32"/>
  <c r="Z67" i="32"/>
  <c r="S67" i="32"/>
  <c r="X67" i="32" s="1"/>
  <c r="Y67" i="32"/>
  <c r="AA67" i="32"/>
  <c r="T67" i="32"/>
  <c r="AC67" i="32"/>
  <c r="AG67" i="32"/>
  <c r="W67" i="32"/>
  <c r="AF67" i="32"/>
  <c r="L67" i="32"/>
  <c r="M67" i="32" s="1"/>
  <c r="E68" i="32"/>
  <c r="D68" i="32"/>
  <c r="Q68" i="32"/>
  <c r="I68" i="32"/>
  <c r="H68" i="32"/>
  <c r="F68" i="32"/>
  <c r="G68" i="32"/>
  <c r="J68" i="32"/>
  <c r="B69" i="32"/>
  <c r="C69" i="32" s="1"/>
  <c r="R69" i="32" s="1"/>
  <c r="K68" i="32"/>
  <c r="AE67" i="32" l="1"/>
  <c r="AC68" i="32"/>
  <c r="T68" i="32"/>
  <c r="AA68" i="32"/>
  <c r="U68" i="32"/>
  <c r="V68" i="32" s="1"/>
  <c r="Z68" i="32"/>
  <c r="S68" i="32"/>
  <c r="X68" i="32" s="1"/>
  <c r="W68" i="32"/>
  <c r="Y68" i="32"/>
  <c r="AD68" i="32"/>
  <c r="AG68" i="32"/>
  <c r="AF68" i="32"/>
  <c r="L68" i="32"/>
  <c r="M68" i="32" s="1"/>
  <c r="D69" i="32"/>
  <c r="G69" i="32"/>
  <c r="H69" i="32"/>
  <c r="K69" i="32"/>
  <c r="F69" i="32"/>
  <c r="J69" i="32"/>
  <c r="Q69" i="32"/>
  <c r="B70" i="32"/>
  <c r="C71" i="32" s="1"/>
  <c r="R71" i="32" s="1"/>
  <c r="E69" i="32"/>
  <c r="I69" i="32"/>
  <c r="AE68" i="32" l="1"/>
  <c r="C70" i="32"/>
  <c r="R70" i="32" s="1"/>
  <c r="W69" i="32"/>
  <c r="AA69" i="32"/>
  <c r="Z69" i="32"/>
  <c r="Y69" i="32"/>
  <c r="S69" i="32"/>
  <c r="AD69" i="32"/>
  <c r="AF69" i="32"/>
  <c r="T69" i="32"/>
  <c r="AE69" i="32" s="1"/>
  <c r="AC69" i="32"/>
  <c r="U69" i="32"/>
  <c r="V69" i="32" s="1"/>
  <c r="AG69" i="32"/>
  <c r="L69" i="32"/>
  <c r="M69" i="32" s="1"/>
  <c r="D70" i="32"/>
  <c r="J70" i="32"/>
  <c r="F70" i="32"/>
  <c r="G70" i="32"/>
  <c r="H70" i="32"/>
  <c r="I70" i="32"/>
  <c r="K70" i="32"/>
  <c r="Q70" i="32"/>
  <c r="B71" i="32"/>
  <c r="E70" i="32"/>
  <c r="X69" i="32" l="1"/>
  <c r="L70" i="32"/>
  <c r="M70" i="32" s="1"/>
  <c r="I71" i="32"/>
  <c r="D71" i="32"/>
  <c r="G71" i="32"/>
  <c r="H71" i="32"/>
  <c r="F71" i="32"/>
  <c r="J71" i="32"/>
  <c r="B72" i="32"/>
  <c r="K71" i="32"/>
  <c r="E71" i="32"/>
  <c r="Q71" i="32"/>
  <c r="C72" i="32"/>
  <c r="R72" i="32" s="1"/>
  <c r="W70" i="32"/>
  <c r="AG70" i="32"/>
  <c r="AA70" i="32"/>
  <c r="Z70" i="32"/>
  <c r="AD70" i="32"/>
  <c r="S70" i="32"/>
  <c r="Y70" i="32"/>
  <c r="AC70" i="32"/>
  <c r="T70" i="32"/>
  <c r="AE70" i="32" s="1"/>
  <c r="AF70" i="32"/>
  <c r="U70" i="32"/>
  <c r="V70" i="32" s="1"/>
  <c r="X70" i="32" l="1"/>
  <c r="AE71" i="32"/>
  <c r="AF71" i="32"/>
  <c r="Z71" i="32"/>
  <c r="AC71" i="32"/>
  <c r="AA71" i="32"/>
  <c r="W71" i="32"/>
  <c r="AG71" i="32"/>
  <c r="U71" i="32"/>
  <c r="V71" i="32" s="1"/>
  <c r="T71" i="32"/>
  <c r="AD71" i="32"/>
  <c r="S71" i="32"/>
  <c r="Y71" i="32"/>
  <c r="X71" i="32"/>
  <c r="L71" i="32"/>
  <c r="M71" i="32" s="1"/>
  <c r="E72" i="32"/>
  <c r="G72" i="32"/>
  <c r="I72" i="32"/>
  <c r="F72" i="32"/>
  <c r="D72" i="32"/>
  <c r="J72" i="32"/>
  <c r="H72" i="32"/>
  <c r="K72" i="32"/>
  <c r="B73" i="32"/>
  <c r="C74" i="32" s="1"/>
  <c r="R74" i="32" s="1"/>
  <c r="Q72" i="32"/>
  <c r="C73" i="32"/>
  <c r="R73" i="32" s="1"/>
  <c r="L72" i="32" l="1"/>
  <c r="M72" i="32" s="1"/>
  <c r="T72" i="32"/>
  <c r="W72" i="32"/>
  <c r="S72" i="32"/>
  <c r="AA72" i="32"/>
  <c r="AF72" i="32"/>
  <c r="V72" i="32"/>
  <c r="AC72" i="32"/>
  <c r="AE72" i="32"/>
  <c r="AD72" i="32"/>
  <c r="Y72" i="32"/>
  <c r="U72" i="32"/>
  <c r="AG72" i="32"/>
  <c r="X72" i="32"/>
  <c r="Z72" i="32"/>
  <c r="F73" i="32"/>
  <c r="D73" i="32"/>
  <c r="J73" i="32"/>
  <c r="G73" i="32"/>
  <c r="H73" i="32"/>
  <c r="E73" i="32"/>
  <c r="B74" i="32"/>
  <c r="I73" i="32"/>
  <c r="Q73" i="32"/>
  <c r="K73" i="32"/>
  <c r="L73" i="32" l="1"/>
  <c r="M73" i="32" s="1"/>
  <c r="D74" i="32"/>
  <c r="E74" i="32"/>
  <c r="F74" i="32"/>
  <c r="K74" i="32"/>
  <c r="J74" i="32"/>
  <c r="G74" i="32"/>
  <c r="H74" i="32"/>
  <c r="Q74" i="32"/>
  <c r="B75" i="32"/>
  <c r="I74" i="32"/>
  <c r="C75" i="32"/>
  <c r="R75" i="32" s="1"/>
  <c r="U73" i="32"/>
  <c r="AC73" i="32"/>
  <c r="AG73" i="32"/>
  <c r="Z73" i="32"/>
  <c r="AD73" i="32"/>
  <c r="Y73" i="32"/>
  <c r="S73" i="32"/>
  <c r="AA73" i="32"/>
  <c r="T73" i="32"/>
  <c r="V73" i="32"/>
  <c r="AE73" i="32"/>
  <c r="X73" i="32"/>
  <c r="W73" i="32"/>
  <c r="AF73" i="32"/>
  <c r="S74" i="32" l="1"/>
  <c r="AC74" i="32"/>
  <c r="Z74" i="32"/>
  <c r="U74" i="32"/>
  <c r="T74" i="32"/>
  <c r="AG74" i="32"/>
  <c r="AD74" i="32"/>
  <c r="AE74" i="32"/>
  <c r="X74" i="32"/>
  <c r="AF74" i="32"/>
  <c r="W74" i="32"/>
  <c r="V74" i="32"/>
  <c r="AA74" i="32"/>
  <c r="Y74" i="32"/>
  <c r="L74" i="32"/>
  <c r="M74" i="32" s="1"/>
  <c r="G75" i="32"/>
  <c r="Q75" i="32"/>
  <c r="K75" i="32"/>
  <c r="I75" i="32"/>
  <c r="H75" i="32"/>
  <c r="D75" i="32"/>
  <c r="E75" i="32"/>
  <c r="B76" i="32"/>
  <c r="C77" i="32" s="1"/>
  <c r="R77" i="32" s="1"/>
  <c r="J75" i="32"/>
  <c r="F75" i="32"/>
  <c r="C76" i="32"/>
  <c r="R76" i="32" s="1"/>
  <c r="L75" i="32" l="1"/>
  <c r="M75" i="32" s="1"/>
  <c r="U75" i="32"/>
  <c r="V75" i="32"/>
  <c r="AF75" i="32"/>
  <c r="AA75" i="32"/>
  <c r="X75" i="32"/>
  <c r="T75" i="32"/>
  <c r="Z75" i="32"/>
  <c r="AC75" i="32"/>
  <c r="Y75" i="32"/>
  <c r="S75" i="32"/>
  <c r="AE75" i="32"/>
  <c r="AD75" i="32"/>
  <c r="AG75" i="32"/>
  <c r="W75" i="32"/>
  <c r="I76" i="32"/>
  <c r="B77" i="32"/>
  <c r="K76" i="32"/>
  <c r="D76" i="32"/>
  <c r="H76" i="32"/>
  <c r="F76" i="32"/>
  <c r="J76" i="32"/>
  <c r="G76" i="32"/>
  <c r="E76" i="32"/>
  <c r="Q76" i="32"/>
  <c r="F77" i="32" l="1"/>
  <c r="G77" i="32"/>
  <c r="H77" i="32"/>
  <c r="K77" i="32"/>
  <c r="J77" i="32"/>
  <c r="Q77" i="32"/>
  <c r="B78" i="32"/>
  <c r="C79" i="32" s="1"/>
  <c r="R79" i="32" s="1"/>
  <c r="I77" i="32"/>
  <c r="D77" i="32"/>
  <c r="E77" i="32"/>
  <c r="L76" i="32"/>
  <c r="M76" i="32" s="1"/>
  <c r="C78" i="32"/>
  <c r="R78" i="32" s="1"/>
  <c r="W76" i="32"/>
  <c r="AC76" i="32"/>
  <c r="AF76" i="32"/>
  <c r="Z76" i="32"/>
  <c r="AA76" i="32"/>
  <c r="T76" i="32"/>
  <c r="Y76" i="32"/>
  <c r="AG76" i="32"/>
  <c r="V76" i="32"/>
  <c r="S76" i="32"/>
  <c r="X76" i="32"/>
  <c r="AE76" i="32"/>
  <c r="AD76" i="32"/>
  <c r="U76" i="32"/>
  <c r="G78" i="32" l="1"/>
  <c r="E78" i="32"/>
  <c r="H78" i="32"/>
  <c r="B79" i="32"/>
  <c r="K78" i="32"/>
  <c r="I78" i="32"/>
  <c r="J78" i="32"/>
  <c r="F78" i="32"/>
  <c r="Q78" i="32"/>
  <c r="D78" i="32"/>
  <c r="AC77" i="32"/>
  <c r="AA77" i="32"/>
  <c r="V77" i="32"/>
  <c r="S77" i="32"/>
  <c r="AE77" i="32"/>
  <c r="Y77" i="32"/>
  <c r="AD77" i="32"/>
  <c r="AF77" i="32"/>
  <c r="X77" i="32"/>
  <c r="U77" i="32"/>
  <c r="AG77" i="32"/>
  <c r="W77" i="32"/>
  <c r="T77" i="32"/>
  <c r="Z77" i="32"/>
  <c r="L77" i="32"/>
  <c r="M77" i="32" s="1"/>
  <c r="L78" i="32" l="1"/>
  <c r="M78" i="32" s="1"/>
  <c r="I79" i="32"/>
  <c r="D79" i="32"/>
  <c r="B80" i="32"/>
  <c r="E79" i="32"/>
  <c r="F79" i="32"/>
  <c r="J79" i="32"/>
  <c r="G79" i="32"/>
  <c r="H79" i="32"/>
  <c r="Q79" i="32"/>
  <c r="K79" i="32"/>
  <c r="C80" i="32"/>
  <c r="R80" i="32" s="1"/>
  <c r="AG78" i="32"/>
  <c r="AF78" i="32"/>
  <c r="AE78" i="32"/>
  <c r="AD78" i="32"/>
  <c r="AC78" i="32"/>
  <c r="S78" i="32"/>
  <c r="AA78" i="32"/>
  <c r="Y78" i="32"/>
  <c r="V78" i="32"/>
  <c r="U78" i="32"/>
  <c r="T78" i="32"/>
  <c r="Z78" i="32"/>
  <c r="X78" i="32"/>
  <c r="W78" i="32"/>
  <c r="F80" i="32" l="1"/>
  <c r="B81" i="32"/>
  <c r="E80" i="32"/>
  <c r="I80" i="32"/>
  <c r="J80" i="32"/>
  <c r="G80" i="32"/>
  <c r="H80" i="32"/>
  <c r="K80" i="32"/>
  <c r="Q80" i="32"/>
  <c r="D80" i="32"/>
  <c r="C81" i="32"/>
  <c r="R81" i="32" s="1"/>
  <c r="C82" i="32"/>
  <c r="R82" i="32" s="1"/>
  <c r="L79" i="32"/>
  <c r="M79" i="32" s="1"/>
  <c r="V79" i="32"/>
  <c r="AE79" i="32"/>
  <c r="AG79" i="32"/>
  <c r="S79" i="32"/>
  <c r="Y79" i="32"/>
  <c r="AF79" i="32"/>
  <c r="AA79" i="32"/>
  <c r="Z79" i="32"/>
  <c r="AD79" i="32"/>
  <c r="T79" i="32"/>
  <c r="AC79" i="32"/>
  <c r="X79" i="32"/>
  <c r="U79" i="32"/>
  <c r="W79" i="32"/>
  <c r="L80" i="32" l="1"/>
  <c r="M80" i="32" s="1"/>
  <c r="AC80" i="32"/>
  <c r="AG80" i="32"/>
  <c r="AA80" i="32"/>
  <c r="Z80" i="32"/>
  <c r="T80" i="32"/>
  <c r="U80" i="32"/>
  <c r="X80" i="32"/>
  <c r="S80" i="32"/>
  <c r="AD80" i="32"/>
  <c r="AE80" i="32"/>
  <c r="AF80" i="32"/>
  <c r="W80" i="32"/>
  <c r="V80" i="32"/>
  <c r="Y80" i="32"/>
  <c r="G81" i="32"/>
  <c r="H81" i="32"/>
  <c r="E81" i="32"/>
  <c r="I81" i="32"/>
  <c r="K81" i="32"/>
  <c r="Q81" i="32"/>
  <c r="J81" i="32"/>
  <c r="B82" i="32"/>
  <c r="F81" i="32"/>
  <c r="D81" i="32"/>
  <c r="L81" i="32" l="1"/>
  <c r="M81" i="32" s="1"/>
  <c r="J82" i="32"/>
  <c r="K82" i="32"/>
  <c r="E82" i="32"/>
  <c r="I82" i="32"/>
  <c r="D82" i="32"/>
  <c r="G82" i="32"/>
  <c r="F82" i="32"/>
  <c r="H82" i="32"/>
  <c r="B83" i="32"/>
  <c r="C84" i="32" s="1"/>
  <c r="R84" i="32" s="1"/>
  <c r="Q82" i="32"/>
  <c r="C83" i="32"/>
  <c r="R83" i="32" s="1"/>
  <c r="AC81" i="32"/>
  <c r="Y81" i="32"/>
  <c r="Z81" i="32"/>
  <c r="AA81" i="32"/>
  <c r="AE81" i="32"/>
  <c r="AF81" i="32"/>
  <c r="V81" i="32"/>
  <c r="AG81" i="32"/>
  <c r="S81" i="32"/>
  <c r="X81" i="32"/>
  <c r="U81" i="32"/>
  <c r="AD81" i="32"/>
  <c r="T81" i="32"/>
  <c r="W81" i="32"/>
  <c r="I83" i="32" l="1"/>
  <c r="D83" i="32"/>
  <c r="F83" i="32"/>
  <c r="J83" i="32"/>
  <c r="G83" i="32"/>
  <c r="B84" i="32"/>
  <c r="K83" i="32"/>
  <c r="E83" i="32"/>
  <c r="H83" i="32"/>
  <c r="Q83" i="32"/>
  <c r="L82" i="32"/>
  <c r="M82" i="32" s="1"/>
  <c r="AF82" i="32"/>
  <c r="AA82" i="32"/>
  <c r="Y82" i="32"/>
  <c r="Z82" i="32"/>
  <c r="AD82" i="32"/>
  <c r="U82" i="32"/>
  <c r="S82" i="32"/>
  <c r="X82" i="32"/>
  <c r="W82" i="32"/>
  <c r="AG82" i="32"/>
  <c r="AC82" i="32"/>
  <c r="T82" i="32"/>
  <c r="AE82" i="32"/>
  <c r="V82" i="32"/>
  <c r="H84" i="32" l="1"/>
  <c r="Q84" i="32"/>
  <c r="K84" i="32"/>
  <c r="E84" i="32"/>
  <c r="D84" i="32"/>
  <c r="B85" i="32"/>
  <c r="C86" i="32" s="1"/>
  <c r="R86" i="32" s="1"/>
  <c r="I84" i="32"/>
  <c r="F84" i="32"/>
  <c r="J84" i="32"/>
  <c r="G84" i="32"/>
  <c r="T83" i="32"/>
  <c r="AE83" i="32"/>
  <c r="AA83" i="32"/>
  <c r="S83" i="32"/>
  <c r="X83" i="32"/>
  <c r="V83" i="32"/>
  <c r="Z83" i="32"/>
  <c r="AD83" i="32"/>
  <c r="AF83" i="32"/>
  <c r="Y83" i="32"/>
  <c r="W83" i="32"/>
  <c r="AC83" i="32"/>
  <c r="AG83" i="32"/>
  <c r="U83" i="32"/>
  <c r="L83" i="32"/>
  <c r="M83" i="32" s="1"/>
  <c r="C85" i="32"/>
  <c r="R85" i="32" s="1"/>
  <c r="I85" i="32" l="1"/>
  <c r="D85" i="32"/>
  <c r="J85" i="32"/>
  <c r="F85" i="32"/>
  <c r="Q85" i="32"/>
  <c r="B86" i="32"/>
  <c r="K85" i="32"/>
  <c r="E85" i="32"/>
  <c r="G85" i="32"/>
  <c r="H85" i="32"/>
  <c r="C87" i="32"/>
  <c r="R87" i="32" s="1"/>
  <c r="L84" i="32"/>
  <c r="M84" i="32" s="1"/>
  <c r="AA84" i="32"/>
  <c r="Y84" i="32"/>
  <c r="AF84" i="32"/>
  <c r="Z84" i="32"/>
  <c r="AG84" i="32"/>
  <c r="AC84" i="32"/>
  <c r="S84" i="32"/>
  <c r="W84" i="32"/>
  <c r="AD84" i="32"/>
  <c r="V84" i="32"/>
  <c r="T84" i="32"/>
  <c r="X84" i="32"/>
  <c r="AE84" i="32"/>
  <c r="U84" i="32"/>
  <c r="H86" i="32" l="1"/>
  <c r="G86" i="32"/>
  <c r="F86" i="32"/>
  <c r="J86" i="32"/>
  <c r="Q86" i="32"/>
  <c r="B87" i="32"/>
  <c r="K86" i="32"/>
  <c r="E86" i="32"/>
  <c r="I86" i="32"/>
  <c r="D86" i="32"/>
  <c r="C88" i="32"/>
  <c r="R88" i="32" s="1"/>
  <c r="Y85" i="32"/>
  <c r="AE85" i="32"/>
  <c r="S85" i="32"/>
  <c r="AD85" i="32"/>
  <c r="U85" i="32"/>
  <c r="X85" i="32"/>
  <c r="AF85" i="32"/>
  <c r="AG85" i="32"/>
  <c r="V85" i="32"/>
  <c r="AA85" i="32"/>
  <c r="AC85" i="32"/>
  <c r="W85" i="32"/>
  <c r="T85" i="32"/>
  <c r="Z85" i="32"/>
  <c r="L85" i="32"/>
  <c r="M85" i="32" s="1"/>
  <c r="L86" i="32" l="1"/>
  <c r="M86" i="32" s="1"/>
  <c r="K87" i="32"/>
  <c r="I87" i="32"/>
  <c r="G87" i="32"/>
  <c r="H87" i="32"/>
  <c r="B88" i="32"/>
  <c r="F87" i="32"/>
  <c r="J87" i="32"/>
  <c r="Q87" i="32"/>
  <c r="E87" i="32"/>
  <c r="D87" i="32"/>
  <c r="Y86" i="32"/>
  <c r="S86" i="32"/>
  <c r="Z86" i="32"/>
  <c r="AE86" i="32"/>
  <c r="X86" i="32"/>
  <c r="AG86" i="32"/>
  <c r="AC86" i="32"/>
  <c r="W86" i="32"/>
  <c r="T86" i="32"/>
  <c r="AD86" i="32"/>
  <c r="AF86" i="32"/>
  <c r="V86" i="32"/>
  <c r="U86" i="32"/>
  <c r="AA86" i="32"/>
  <c r="L87" i="32" l="1"/>
  <c r="M87" i="32" s="1"/>
  <c r="S87" i="32"/>
  <c r="Y87" i="32"/>
  <c r="AE87" i="32"/>
  <c r="AD87" i="32"/>
  <c r="AC87" i="32"/>
  <c r="AA87" i="32"/>
  <c r="T87" i="32"/>
  <c r="X87" i="32"/>
  <c r="W87" i="32"/>
  <c r="AF87" i="32"/>
  <c r="V87" i="32"/>
  <c r="AG87" i="32"/>
  <c r="Z87" i="32"/>
  <c r="U87" i="32"/>
  <c r="J88" i="32"/>
  <c r="G88" i="32"/>
  <c r="H88" i="32"/>
  <c r="B89" i="32"/>
  <c r="K88" i="32"/>
  <c r="Q88" i="32"/>
  <c r="D88" i="32"/>
  <c r="F88" i="32"/>
  <c r="I88" i="32"/>
  <c r="E88" i="32"/>
  <c r="C89" i="32"/>
  <c r="R89" i="32" s="1"/>
  <c r="D89" i="32" l="1"/>
  <c r="F89" i="32"/>
  <c r="J89" i="32"/>
  <c r="G89" i="32"/>
  <c r="K89" i="32"/>
  <c r="E89" i="32"/>
  <c r="B90" i="32"/>
  <c r="H89" i="32"/>
  <c r="Q89" i="32"/>
  <c r="I89" i="32"/>
  <c r="Y88" i="32"/>
  <c r="AC88" i="32"/>
  <c r="T88" i="32"/>
  <c r="AA88" i="32"/>
  <c r="AD88" i="32"/>
  <c r="V88" i="32"/>
  <c r="W88" i="32"/>
  <c r="X88" i="32"/>
  <c r="S88" i="32"/>
  <c r="AE88" i="32"/>
  <c r="Z88" i="32"/>
  <c r="U88" i="32"/>
  <c r="AG88" i="32"/>
  <c r="AF88" i="32"/>
  <c r="C90" i="32"/>
  <c r="R90" i="32" s="1"/>
  <c r="L88" i="32"/>
  <c r="M88" i="32" s="1"/>
  <c r="J90" i="32" l="1"/>
  <c r="J122" i="32" s="1"/>
  <c r="T225" i="15" s="1"/>
  <c r="K90" i="32"/>
  <c r="E90" i="32"/>
  <c r="E122" i="32" s="1"/>
  <c r="H225" i="15" s="1"/>
  <c r="G90" i="32"/>
  <c r="G122" i="32" s="1"/>
  <c r="N225" i="15" s="1"/>
  <c r="Q90" i="32"/>
  <c r="H90" i="32"/>
  <c r="F90" i="32"/>
  <c r="F122" i="32" s="1"/>
  <c r="L225" i="15" s="1"/>
  <c r="I90" i="32"/>
  <c r="B91" i="32"/>
  <c r="D90" i="32"/>
  <c r="AC89" i="32"/>
  <c r="T89" i="32"/>
  <c r="AA89" i="32"/>
  <c r="AF89" i="32"/>
  <c r="S89" i="32"/>
  <c r="Y89" i="32"/>
  <c r="AD89" i="32"/>
  <c r="V89" i="32"/>
  <c r="AE89" i="32"/>
  <c r="X89" i="32"/>
  <c r="AG89" i="32"/>
  <c r="U89" i="32"/>
  <c r="W89" i="32"/>
  <c r="Z89" i="32"/>
  <c r="C91" i="32"/>
  <c r="R91" i="32" s="1"/>
  <c r="L89" i="32"/>
  <c r="M89" i="32" s="1"/>
  <c r="L90" i="32" l="1"/>
  <c r="M90" i="32" s="1"/>
  <c r="D122" i="32"/>
  <c r="Q91" i="32"/>
  <c r="B92" i="32"/>
  <c r="C93" i="32" s="1"/>
  <c r="R93" i="32" s="1"/>
  <c r="AF90" i="32"/>
  <c r="W90" i="32"/>
  <c r="V90" i="32"/>
  <c r="Z90" i="32"/>
  <c r="X90" i="32"/>
  <c r="AD90" i="32"/>
  <c r="AG90" i="32"/>
  <c r="U90" i="32"/>
  <c r="AA90" i="32"/>
  <c r="T90" i="32"/>
  <c r="Y90" i="32"/>
  <c r="AC90" i="32"/>
  <c r="S90" i="32"/>
  <c r="AE90" i="32"/>
  <c r="C92" i="32"/>
  <c r="R92" i="32" s="1"/>
  <c r="B93" i="32" l="1"/>
  <c r="C94" i="32" s="1"/>
  <c r="R94" i="32" s="1"/>
  <c r="Q92" i="32"/>
  <c r="Z91" i="32"/>
  <c r="AA91" i="32"/>
  <c r="AC91" i="32"/>
  <c r="AE91" i="32"/>
  <c r="U91" i="32"/>
  <c r="X91" i="32"/>
  <c r="AG91" i="32"/>
  <c r="Y91" i="32"/>
  <c r="S91" i="32"/>
  <c r="AD91" i="32"/>
  <c r="W91" i="32"/>
  <c r="V91" i="32"/>
  <c r="AF91" i="32"/>
  <c r="T91" i="32"/>
  <c r="M122" i="32"/>
  <c r="D225" i="15" s="1"/>
  <c r="J225" i="15"/>
  <c r="AC92" i="32" l="1"/>
  <c r="S92" i="32"/>
  <c r="Z92" i="32"/>
  <c r="AD92" i="32"/>
  <c r="V92" i="32"/>
  <c r="Y92" i="32"/>
  <c r="X92" i="32"/>
  <c r="T92" i="32"/>
  <c r="U92" i="32"/>
  <c r="AA92" i="32"/>
  <c r="AE92" i="32"/>
  <c r="AG92" i="32"/>
  <c r="W92" i="32"/>
  <c r="AF92" i="32"/>
  <c r="B94" i="32"/>
  <c r="Q93" i="32"/>
  <c r="C95" i="32"/>
  <c r="R95" i="32" s="1"/>
  <c r="V93" i="32" l="1"/>
  <c r="T93" i="32"/>
  <c r="Y93" i="32"/>
  <c r="AD93" i="32"/>
  <c r="AF93" i="32"/>
  <c r="U93" i="32"/>
  <c r="Z93" i="32"/>
  <c r="AA93" i="32"/>
  <c r="X93" i="32"/>
  <c r="AC93" i="32"/>
  <c r="AE93" i="32"/>
  <c r="S93" i="32"/>
  <c r="AG93" i="32"/>
  <c r="W93" i="32"/>
  <c r="B95" i="32"/>
  <c r="C96" i="32" s="1"/>
  <c r="R96" i="32" s="1"/>
  <c r="Q94" i="32"/>
  <c r="AC94" i="32" l="1"/>
  <c r="S94" i="32"/>
  <c r="Z94" i="32"/>
  <c r="AF94" i="32"/>
  <c r="T94" i="32"/>
  <c r="AE94" i="32"/>
  <c r="W94" i="32"/>
  <c r="U94" i="32"/>
  <c r="Y94" i="32"/>
  <c r="AA94" i="32"/>
  <c r="X94" i="32"/>
  <c r="AD94" i="32"/>
  <c r="AG94" i="32"/>
  <c r="V94" i="32"/>
  <c r="B96" i="32"/>
  <c r="Q95" i="32"/>
  <c r="U95" i="32" l="1"/>
  <c r="V95" i="32"/>
  <c r="AF95" i="32"/>
  <c r="S95" i="32"/>
  <c r="T95" i="32"/>
  <c r="AC95" i="32"/>
  <c r="W95" i="32"/>
  <c r="Y95" i="32"/>
  <c r="X95" i="32"/>
  <c r="AD95" i="32"/>
  <c r="AG95" i="32"/>
  <c r="Z95" i="32"/>
  <c r="AA95" i="32"/>
  <c r="AE95" i="32"/>
  <c r="Q96" i="32"/>
  <c r="B97" i="32"/>
  <c r="C98" i="32" s="1"/>
  <c r="R98" i="32" s="1"/>
  <c r="C97" i="32"/>
  <c r="R97" i="32" s="1"/>
  <c r="B98" i="32" l="1"/>
  <c r="C99" i="32" s="1"/>
  <c r="R99" i="32" s="1"/>
  <c r="Q97" i="32"/>
  <c r="V96" i="32"/>
  <c r="W96" i="32"/>
  <c r="AF96" i="32"/>
  <c r="U96" i="32"/>
  <c r="Z96" i="32"/>
  <c r="AG96" i="32"/>
  <c r="AA96" i="32"/>
  <c r="AC96" i="32"/>
  <c r="X96" i="32"/>
  <c r="T96" i="32"/>
  <c r="S96" i="32"/>
  <c r="AD96" i="32"/>
  <c r="Y96" i="32"/>
  <c r="AE96" i="32"/>
  <c r="S97" i="32" l="1"/>
  <c r="AA97" i="32"/>
  <c r="Y97" i="32"/>
  <c r="Z97" i="32"/>
  <c r="X97" i="32"/>
  <c r="AG97" i="32"/>
  <c r="U97" i="32"/>
  <c r="V97" i="32"/>
  <c r="T97" i="32"/>
  <c r="AF97" i="32"/>
  <c r="AC97" i="32"/>
  <c r="AE97" i="32"/>
  <c r="AD97" i="32"/>
  <c r="W97" i="32"/>
  <c r="Q98" i="32"/>
  <c r="B99" i="32"/>
  <c r="C100" i="32" s="1"/>
  <c r="R100" i="32" s="1"/>
  <c r="Q99" i="32" l="1"/>
  <c r="B100" i="32"/>
  <c r="C101" i="32" s="1"/>
  <c r="R101" i="32" s="1"/>
  <c r="W98" i="32"/>
  <c r="AE98" i="32"/>
  <c r="AF98" i="32"/>
  <c r="U98" i="32"/>
  <c r="V98" i="32"/>
  <c r="AG98" i="32"/>
  <c r="Z98" i="32"/>
  <c r="T98" i="32"/>
  <c r="AC98" i="32"/>
  <c r="Y98" i="32"/>
  <c r="AD98" i="32"/>
  <c r="S98" i="32"/>
  <c r="X98" i="32"/>
  <c r="AA98" i="32"/>
  <c r="B101" i="32" l="1"/>
  <c r="C102" i="32" s="1"/>
  <c r="R102" i="32" s="1"/>
  <c r="Q100" i="32"/>
  <c r="W99" i="32"/>
  <c r="V99" i="32"/>
  <c r="X99" i="32"/>
  <c r="Y99" i="32"/>
  <c r="AE99" i="32"/>
  <c r="AG99" i="32"/>
  <c r="S99" i="32"/>
  <c r="AC99" i="32"/>
  <c r="AA99" i="32"/>
  <c r="T99" i="32"/>
  <c r="U99" i="32"/>
  <c r="Z99" i="32"/>
  <c r="AD99" i="32"/>
  <c r="AF99" i="32"/>
  <c r="V100" i="32" l="1"/>
  <c r="W100" i="32"/>
  <c r="S100" i="32"/>
  <c r="Z100" i="32"/>
  <c r="AA100" i="32"/>
  <c r="AD100" i="32"/>
  <c r="AF100" i="32"/>
  <c r="T100" i="32"/>
  <c r="AG100" i="32"/>
  <c r="Y100" i="32"/>
  <c r="X100" i="32"/>
  <c r="AE100" i="32"/>
  <c r="U100" i="32"/>
  <c r="AC100" i="32"/>
  <c r="Q101" i="32"/>
  <c r="B102" i="32"/>
  <c r="C103" i="32" s="1"/>
  <c r="R103" i="32" s="1"/>
  <c r="B103" i="32" l="1"/>
  <c r="C104" i="32" s="1"/>
  <c r="R104" i="32" s="1"/>
  <c r="Q102" i="32"/>
  <c r="AF101" i="32"/>
  <c r="AA101" i="32"/>
  <c r="Z101" i="32"/>
  <c r="AC101" i="32"/>
  <c r="Y101" i="32"/>
  <c r="AE101" i="32"/>
  <c r="T101" i="32"/>
  <c r="V101" i="32"/>
  <c r="U101" i="32"/>
  <c r="S101" i="32"/>
  <c r="X101" i="32"/>
  <c r="AG101" i="32"/>
  <c r="AD101" i="32"/>
  <c r="W101" i="32"/>
  <c r="U102" i="32" l="1"/>
  <c r="AG102" i="32"/>
  <c r="T102" i="32"/>
  <c r="W102" i="32"/>
  <c r="AC102" i="32"/>
  <c r="S102" i="32"/>
  <c r="Z102" i="32"/>
  <c r="AE102" i="32"/>
  <c r="V102" i="32"/>
  <c r="Y102" i="32"/>
  <c r="X102" i="32"/>
  <c r="AD102" i="32"/>
  <c r="AA102" i="32"/>
  <c r="AF102" i="32"/>
  <c r="Q103" i="32"/>
  <c r="B104" i="32"/>
  <c r="C105" i="32" s="1"/>
  <c r="R105" i="32" s="1"/>
  <c r="B105" i="32" l="1"/>
  <c r="C106" i="32" s="1"/>
  <c r="R106" i="32" s="1"/>
  <c r="Q104" i="32"/>
  <c r="W103" i="32"/>
  <c r="V103" i="32"/>
  <c r="AF103" i="32"/>
  <c r="AG103" i="32"/>
  <c r="AC103" i="32"/>
  <c r="S103" i="32"/>
  <c r="AA103" i="32"/>
  <c r="T103" i="32"/>
  <c r="X103" i="32"/>
  <c r="Y103" i="32"/>
  <c r="AE103" i="32"/>
  <c r="Z103" i="32"/>
  <c r="AD103" i="32"/>
  <c r="U103" i="32"/>
  <c r="V104" i="32" l="1"/>
  <c r="AC104" i="32"/>
  <c r="Y104" i="32"/>
  <c r="AA104" i="32"/>
  <c r="S104" i="32"/>
  <c r="Z104" i="32"/>
  <c r="AD104" i="32"/>
  <c r="U104" i="32"/>
  <c r="T104" i="32"/>
  <c r="X104" i="32"/>
  <c r="AE104" i="32"/>
  <c r="AF104" i="32"/>
  <c r="W104" i="32"/>
  <c r="AG104" i="32"/>
  <c r="B106" i="32"/>
  <c r="Q105" i="32"/>
  <c r="C107" i="32"/>
  <c r="R107" i="32" s="1"/>
  <c r="Q106" i="32" l="1"/>
  <c r="B107" i="32"/>
  <c r="C108" i="32" s="1"/>
  <c r="R108" i="32" s="1"/>
  <c r="AG105" i="32"/>
  <c r="Y105" i="32"/>
  <c r="AC105" i="32"/>
  <c r="U105" i="32"/>
  <c r="T105" i="32"/>
  <c r="Z105" i="32"/>
  <c r="S105" i="32"/>
  <c r="AA105" i="32"/>
  <c r="AE105" i="32"/>
  <c r="X105" i="32"/>
  <c r="AF105" i="32"/>
  <c r="V105" i="32"/>
  <c r="W105" i="32"/>
  <c r="AD105" i="32"/>
  <c r="Q107" i="32" l="1"/>
  <c r="B108" i="32"/>
  <c r="C109" i="32" s="1"/>
  <c r="R109" i="32" s="1"/>
  <c r="AF106" i="32"/>
  <c r="U106" i="32"/>
  <c r="AG106" i="32"/>
  <c r="T106" i="32"/>
  <c r="V106" i="32"/>
  <c r="W106" i="32"/>
  <c r="Z106" i="32"/>
  <c r="S106" i="32"/>
  <c r="AE106" i="32"/>
  <c r="X106" i="32"/>
  <c r="Y106" i="32"/>
  <c r="AC106" i="32"/>
  <c r="AD106" i="32"/>
  <c r="AA106" i="32"/>
  <c r="B109" i="32" l="1"/>
  <c r="C110" i="32" s="1"/>
  <c r="R110" i="32" s="1"/>
  <c r="Q108" i="32"/>
  <c r="AG107" i="32"/>
  <c r="W107" i="32"/>
  <c r="Z107" i="32"/>
  <c r="AD107" i="32"/>
  <c r="AA107" i="32"/>
  <c r="AF107" i="32"/>
  <c r="U107" i="32"/>
  <c r="T107" i="32"/>
  <c r="X107" i="32"/>
  <c r="V107" i="32"/>
  <c r="S107" i="32"/>
  <c r="AE107" i="32"/>
  <c r="Y107" i="32"/>
  <c r="AC107" i="32"/>
  <c r="AG108" i="32" l="1"/>
  <c r="S108" i="32"/>
  <c r="AF108" i="32"/>
  <c r="U108" i="32"/>
  <c r="T108" i="32"/>
  <c r="AA108" i="32"/>
  <c r="Y108" i="32"/>
  <c r="AE108" i="32"/>
  <c r="V108" i="32"/>
  <c r="AD108" i="32"/>
  <c r="AC108" i="32"/>
  <c r="Z108" i="32"/>
  <c r="X108" i="32"/>
  <c r="W108" i="32"/>
  <c r="Q109" i="32"/>
  <c r="B110" i="32"/>
  <c r="C111" i="32" s="1"/>
  <c r="R111" i="32" s="1"/>
  <c r="Q110" i="32" l="1"/>
  <c r="B111" i="32"/>
  <c r="C112" i="32" s="1"/>
  <c r="R112" i="32" s="1"/>
  <c r="AF109" i="32"/>
  <c r="V109" i="32"/>
  <c r="AG109" i="32"/>
  <c r="U109" i="32"/>
  <c r="AA109" i="32"/>
  <c r="AC109" i="32"/>
  <c r="Z109" i="32"/>
  <c r="W109" i="32"/>
  <c r="S109" i="32"/>
  <c r="AE109" i="32"/>
  <c r="Y109" i="32"/>
  <c r="X109" i="32"/>
  <c r="AD109" i="32"/>
  <c r="T109" i="32"/>
  <c r="B112" i="32" l="1"/>
  <c r="C113" i="32" s="1"/>
  <c r="R113" i="32" s="1"/>
  <c r="Q111" i="32"/>
  <c r="V110" i="32"/>
  <c r="AF110" i="32"/>
  <c r="AG110" i="32"/>
  <c r="T110" i="32"/>
  <c r="AC110" i="32"/>
  <c r="Y110" i="32"/>
  <c r="U110" i="32"/>
  <c r="Z110" i="32"/>
  <c r="AA110" i="32"/>
  <c r="AD110" i="32"/>
  <c r="S110" i="32"/>
  <c r="AE110" i="32"/>
  <c r="X110" i="32"/>
  <c r="W110" i="32"/>
  <c r="V111" i="32" l="1"/>
  <c r="T111" i="32"/>
  <c r="AC111" i="32"/>
  <c r="AE111" i="32"/>
  <c r="U111" i="32"/>
  <c r="Z111" i="32"/>
  <c r="AA111" i="32"/>
  <c r="AD111" i="32"/>
  <c r="Y111" i="32"/>
  <c r="AF111" i="32"/>
  <c r="AG111" i="32"/>
  <c r="S111" i="32"/>
  <c r="X111" i="32"/>
  <c r="W111" i="32"/>
  <c r="Q112" i="32"/>
  <c r="B113" i="32"/>
  <c r="C114" i="32" s="1"/>
  <c r="R114" i="32" s="1"/>
  <c r="Q113" i="32" l="1"/>
  <c r="B114" i="32"/>
  <c r="C115" i="32" s="1"/>
  <c r="R115" i="32" s="1"/>
  <c r="AG112" i="32"/>
  <c r="AC112" i="32"/>
  <c r="Y112" i="32"/>
  <c r="AA112" i="32"/>
  <c r="X112" i="32"/>
  <c r="Z112" i="32"/>
  <c r="V112" i="32"/>
  <c r="W112" i="32"/>
  <c r="AD112" i="32"/>
  <c r="U112" i="32"/>
  <c r="S112" i="32"/>
  <c r="T112" i="32"/>
  <c r="AE112" i="32"/>
  <c r="AF112" i="32"/>
  <c r="Q114" i="32" l="1"/>
  <c r="B115" i="32"/>
  <c r="C116" i="32" s="1"/>
  <c r="R116" i="32" s="1"/>
  <c r="AF113" i="32"/>
  <c r="AA113" i="32"/>
  <c r="Z113" i="32"/>
  <c r="AC113" i="32"/>
  <c r="X113" i="32"/>
  <c r="T113" i="32"/>
  <c r="AE113" i="32"/>
  <c r="Y113" i="32"/>
  <c r="AD113" i="32"/>
  <c r="AG113" i="32"/>
  <c r="S113" i="32"/>
  <c r="V113" i="32"/>
  <c r="W113" i="32"/>
  <c r="U113" i="32"/>
  <c r="Q115" i="32" l="1"/>
  <c r="B116" i="32"/>
  <c r="C117" i="32" s="1"/>
  <c r="R117" i="32" s="1"/>
  <c r="U114" i="32"/>
  <c r="AG114" i="32"/>
  <c r="Y114" i="32"/>
  <c r="T114" i="32"/>
  <c r="V114" i="32"/>
  <c r="AA114" i="32"/>
  <c r="AE114" i="32"/>
  <c r="W114" i="32"/>
  <c r="X114" i="32"/>
  <c r="AD114" i="32"/>
  <c r="AC114" i="32"/>
  <c r="S114" i="32"/>
  <c r="Z114" i="32"/>
  <c r="AF114" i="32"/>
  <c r="Q116" i="32" l="1"/>
  <c r="B117" i="32"/>
  <c r="C118" i="32" s="1"/>
  <c r="R118" i="32" s="1"/>
  <c r="V115" i="32"/>
  <c r="AF115" i="32"/>
  <c r="Z115" i="32"/>
  <c r="T115" i="32"/>
  <c r="S115" i="32"/>
  <c r="U115" i="32"/>
  <c r="AG115" i="32"/>
  <c r="W115" i="32"/>
  <c r="AA115" i="32"/>
  <c r="Y115" i="32"/>
  <c r="AC115" i="32"/>
  <c r="X115" i="32"/>
  <c r="AD115" i="32"/>
  <c r="AE115" i="32"/>
  <c r="B118" i="32" l="1"/>
  <c r="C119" i="32" s="1"/>
  <c r="Q117" i="32"/>
  <c r="W116" i="32"/>
  <c r="AD116" i="32"/>
  <c r="AF116" i="32"/>
  <c r="AG116" i="32"/>
  <c r="AA116" i="32"/>
  <c r="S116" i="32"/>
  <c r="AC116" i="32"/>
  <c r="V116" i="32"/>
  <c r="X116" i="32"/>
  <c r="AE116" i="32"/>
  <c r="Z116" i="32"/>
  <c r="T116" i="32"/>
  <c r="U116" i="32"/>
  <c r="Y116" i="32"/>
  <c r="R119" i="32" l="1"/>
  <c r="W117" i="32"/>
  <c r="T117" i="32"/>
  <c r="S117" i="32"/>
  <c r="Y117" i="32"/>
  <c r="AA117" i="32"/>
  <c r="Z117" i="32"/>
  <c r="AC117" i="32"/>
  <c r="X117" i="32"/>
  <c r="AE117" i="32"/>
  <c r="AD117" i="32"/>
  <c r="AG117" i="32"/>
  <c r="AF117" i="32"/>
  <c r="V117" i="32"/>
  <c r="U117" i="32"/>
  <c r="B119" i="32"/>
  <c r="C120" i="32" s="1"/>
  <c r="R120" i="32" s="1"/>
  <c r="Q118" i="32"/>
  <c r="B120" i="32" l="1"/>
  <c r="C121" i="32" s="1"/>
  <c r="R121" i="32" s="1"/>
  <c r="Q119" i="32"/>
  <c r="V118" i="32"/>
  <c r="AF118" i="32"/>
  <c r="AC118" i="32"/>
  <c r="X118" i="32"/>
  <c r="AG118" i="32"/>
  <c r="W118" i="32"/>
  <c r="Z118" i="32"/>
  <c r="AA118" i="32"/>
  <c r="U118" i="32"/>
  <c r="Y118" i="32"/>
  <c r="S118" i="32"/>
  <c r="T118" i="32"/>
  <c r="AE118" i="32"/>
  <c r="AD118" i="32"/>
  <c r="C18" i="32" l="1"/>
  <c r="C159" i="15" s="1"/>
  <c r="AF119" i="32"/>
  <c r="AC119" i="32"/>
  <c r="Y119" i="32"/>
  <c r="AD119" i="32"/>
  <c r="AG119" i="32"/>
  <c r="U119" i="32"/>
  <c r="V119" i="32"/>
  <c r="AA119" i="32"/>
  <c r="T119" i="32"/>
  <c r="X119" i="32"/>
  <c r="AE119" i="32"/>
  <c r="S119" i="32"/>
  <c r="Z119" i="32"/>
  <c r="W119" i="32"/>
  <c r="B121" i="32"/>
  <c r="Q121" i="32" s="1"/>
  <c r="Q120" i="32"/>
  <c r="AG120" i="32" l="1"/>
  <c r="U120" i="32"/>
  <c r="AC120" i="32"/>
  <c r="X120" i="32"/>
  <c r="AE120" i="32"/>
  <c r="W120" i="32"/>
  <c r="AF120" i="32"/>
  <c r="V120" i="32"/>
  <c r="Z120" i="32"/>
  <c r="S120" i="32"/>
  <c r="T120" i="32"/>
  <c r="AA120" i="32"/>
  <c r="AD120" i="32"/>
  <c r="Y120" i="32"/>
  <c r="AG121" i="32"/>
  <c r="AD121" i="32"/>
  <c r="U121" i="32"/>
  <c r="V121" i="32"/>
  <c r="Y121" i="32"/>
  <c r="T121" i="32"/>
  <c r="AF121" i="32"/>
  <c r="AC121" i="32"/>
  <c r="Z121" i="32"/>
  <c r="W121" i="32"/>
  <c r="AE121" i="32"/>
  <c r="X121" i="32"/>
  <c r="AB21" i="32"/>
  <c r="AA121" i="32"/>
  <c r="S121" i="32"/>
  <c r="D159" i="15"/>
  <c r="H159" i="15"/>
  <c r="P159" i="15"/>
  <c r="N159" i="15"/>
  <c r="C160" i="15"/>
  <c r="T159" i="15"/>
  <c r="R159" i="15"/>
  <c r="L159" i="15"/>
  <c r="J159" i="15"/>
  <c r="C161" i="15" l="1"/>
  <c r="L160" i="15"/>
  <c r="R160" i="15"/>
  <c r="D160" i="15"/>
  <c r="J160" i="15"/>
  <c r="N160" i="15"/>
  <c r="H160" i="15"/>
  <c r="P160" i="15"/>
  <c r="T160" i="15"/>
  <c r="C162" i="15" l="1"/>
  <c r="D161" i="15"/>
  <c r="J161" i="15"/>
  <c r="N161" i="15"/>
  <c r="P161" i="15"/>
  <c r="T161" i="15"/>
  <c r="H161" i="15"/>
  <c r="R161" i="15"/>
  <c r="L161" i="15"/>
  <c r="H162" i="15" l="1"/>
  <c r="P162" i="15"/>
  <c r="J162" i="15"/>
  <c r="D162" i="15"/>
  <c r="T162" i="15"/>
  <c r="L162" i="15"/>
  <c r="N162" i="15"/>
  <c r="R162" i="15"/>
  <c r="C163" i="15"/>
  <c r="P163" i="15" l="1"/>
  <c r="N163" i="15"/>
  <c r="T163" i="15"/>
  <c r="L163" i="15"/>
  <c r="H163" i="15"/>
  <c r="R163" i="15"/>
  <c r="D163" i="15"/>
  <c r="J163" i="15"/>
  <c r="C164" i="15"/>
  <c r="C165" i="15" l="1"/>
  <c r="T164" i="15"/>
  <c r="H164" i="15"/>
  <c r="P164" i="15"/>
  <c r="N164" i="15"/>
  <c r="R164" i="15"/>
  <c r="L164" i="15"/>
  <c r="J164" i="15"/>
  <c r="D164" i="15"/>
  <c r="C166" i="15"/>
  <c r="C167" i="15" l="1"/>
  <c r="H166" i="15"/>
  <c r="L166" i="15"/>
  <c r="T166" i="15"/>
  <c r="J166" i="15"/>
  <c r="D166" i="15"/>
  <c r="P166" i="15"/>
  <c r="N166" i="15"/>
  <c r="R166" i="15"/>
  <c r="P165" i="15"/>
  <c r="D165" i="15"/>
  <c r="R165" i="15"/>
  <c r="T165" i="15"/>
  <c r="N165" i="15"/>
  <c r="J165" i="15"/>
  <c r="L165" i="15"/>
  <c r="H165" i="15"/>
  <c r="R167" i="15" l="1"/>
  <c r="N167" i="15"/>
  <c r="J167" i="15"/>
  <c r="P167" i="15"/>
  <c r="D167" i="15"/>
  <c r="T167" i="15"/>
  <c r="L167" i="15"/>
  <c r="H167" i="15"/>
  <c r="C169" i="15"/>
  <c r="D169" i="15" l="1"/>
  <c r="J169" i="15"/>
  <c r="R169" i="15"/>
  <c r="N169" i="15"/>
  <c r="P169" i="15"/>
  <c r="L169" i="15"/>
  <c r="T169" i="15"/>
  <c r="H169" i="15"/>
  <c r="C170" i="15"/>
  <c r="R170" i="15" l="1"/>
  <c r="L170" i="15"/>
  <c r="D170" i="15"/>
  <c r="T170" i="15"/>
  <c r="H170" i="15"/>
  <c r="P170" i="15"/>
  <c r="J170" i="15"/>
  <c r="N170" i="15"/>
  <c r="C171" i="15"/>
  <c r="C172" i="15" s="1"/>
  <c r="T172" i="15" l="1"/>
  <c r="N172" i="15"/>
  <c r="H172" i="15"/>
  <c r="R172" i="15"/>
  <c r="J172" i="15"/>
  <c r="L172" i="15"/>
  <c r="D172" i="15"/>
  <c r="P172" i="15"/>
  <c r="N171" i="15"/>
  <c r="L171" i="15"/>
  <c r="D171" i="15"/>
  <c r="P171" i="15"/>
  <c r="J171" i="15"/>
  <c r="R171" i="15"/>
  <c r="H171" i="15"/>
  <c r="T171" i="15"/>
  <c r="C173" i="15"/>
  <c r="C174" i="15" s="1"/>
  <c r="P174" i="15" l="1"/>
  <c r="L174" i="15"/>
  <c r="R174" i="15"/>
  <c r="H174" i="15"/>
  <c r="J174" i="15"/>
  <c r="T174" i="15"/>
  <c r="D174" i="15"/>
  <c r="N174" i="15"/>
  <c r="C175" i="15"/>
  <c r="C176" i="15" s="1"/>
  <c r="D173" i="15"/>
  <c r="J173" i="15"/>
  <c r="H173" i="15"/>
  <c r="P173" i="15"/>
  <c r="N173" i="15"/>
  <c r="T173" i="15"/>
  <c r="L173" i="15"/>
  <c r="R173" i="15"/>
  <c r="N176" i="15" l="1"/>
  <c r="J176" i="15"/>
  <c r="L176" i="15"/>
  <c r="T176" i="15"/>
  <c r="H176" i="15"/>
  <c r="D176" i="15"/>
  <c r="R176" i="15"/>
  <c r="P176" i="15"/>
  <c r="C177" i="15"/>
  <c r="R175" i="15"/>
  <c r="T175" i="15"/>
  <c r="H175" i="15"/>
  <c r="D175" i="15"/>
  <c r="N175" i="15"/>
  <c r="P175" i="15"/>
  <c r="J175" i="15"/>
  <c r="L175" i="15"/>
  <c r="D177" i="15" l="1"/>
  <c r="H177" i="15"/>
  <c r="T177" i="15"/>
  <c r="L177" i="15"/>
  <c r="P177" i="15"/>
  <c r="R177" i="15"/>
  <c r="N177" i="15"/>
  <c r="J177" i="15"/>
  <c r="C178" i="15"/>
  <c r="C180" i="15" l="1"/>
  <c r="D178" i="15"/>
  <c r="P178" i="15"/>
  <c r="N178" i="15"/>
  <c r="L178" i="15"/>
  <c r="T178" i="15"/>
  <c r="H178" i="15"/>
  <c r="J178" i="15"/>
  <c r="R178" i="15"/>
  <c r="P180" i="15" l="1"/>
  <c r="N180" i="15"/>
  <c r="H180" i="15"/>
  <c r="J180" i="15"/>
  <c r="L180" i="15"/>
  <c r="D180" i="15"/>
  <c r="R180" i="15"/>
  <c r="T180" i="15"/>
  <c r="C181" i="15"/>
  <c r="C182" i="15" s="1"/>
  <c r="L182" i="15" l="1"/>
  <c r="T182" i="15"/>
  <c r="H182" i="15"/>
  <c r="N182" i="15"/>
  <c r="R182" i="15"/>
  <c r="D182" i="15"/>
  <c r="J182" i="15"/>
  <c r="P182" i="15"/>
  <c r="R181" i="15"/>
  <c r="L181" i="15"/>
  <c r="N181" i="15"/>
  <c r="P181" i="15"/>
  <c r="T181" i="15"/>
  <c r="H181" i="15"/>
  <c r="D181" i="15"/>
  <c r="J181" i="15"/>
  <c r="C183" i="15"/>
  <c r="J183" i="15" l="1"/>
  <c r="L183" i="15"/>
  <c r="R183" i="15"/>
  <c r="H183" i="15"/>
  <c r="T183" i="15"/>
  <c r="N183" i="15"/>
  <c r="P183" i="15"/>
  <c r="D183" i="15"/>
  <c r="C184" i="15"/>
  <c r="C185" i="15" s="1"/>
  <c r="L185" i="15" l="1"/>
  <c r="H185" i="15"/>
  <c r="P185" i="15"/>
  <c r="T185" i="15"/>
  <c r="R185" i="15"/>
  <c r="N185" i="15"/>
  <c r="J185" i="15"/>
  <c r="D185" i="15"/>
  <c r="C186" i="15"/>
  <c r="P186" i="15" s="1"/>
  <c r="L184" i="15"/>
  <c r="P184" i="15"/>
  <c r="N184" i="15"/>
  <c r="D184" i="15"/>
  <c r="J184" i="15"/>
  <c r="T184" i="15"/>
  <c r="H184" i="15"/>
  <c r="R184" i="15"/>
  <c r="H186" i="15" l="1"/>
  <c r="L186" i="15"/>
  <c r="N186" i="15"/>
  <c r="R186" i="15"/>
  <c r="D186" i="15"/>
  <c r="T186" i="15"/>
  <c r="J186" i="15"/>
  <c r="C187" i="15"/>
  <c r="L187" i="15" s="1"/>
  <c r="R187" i="15" l="1"/>
  <c r="N187" i="15"/>
  <c r="J187" i="15"/>
  <c r="D187" i="15"/>
  <c r="H187" i="15"/>
  <c r="P187" i="15"/>
  <c r="T187" i="15"/>
  <c r="C188" i="15"/>
  <c r="H188" i="15" s="1"/>
  <c r="T188" i="15" l="1"/>
  <c r="N188" i="15"/>
  <c r="D188" i="15"/>
  <c r="R188" i="15"/>
  <c r="C189" i="15"/>
  <c r="T189" i="15" s="1"/>
  <c r="L188" i="15"/>
  <c r="P188" i="15"/>
  <c r="J188" i="15"/>
  <c r="J189" i="15" l="1"/>
  <c r="N189" i="15"/>
  <c r="L189" i="15"/>
  <c r="D189" i="15"/>
  <c r="C191" i="15"/>
  <c r="D191" i="15" s="1"/>
  <c r="R189" i="15"/>
  <c r="H189" i="15"/>
  <c r="P189" i="15"/>
  <c r="L191" i="15" l="1"/>
  <c r="H191" i="15"/>
  <c r="T191" i="15"/>
  <c r="R191" i="15"/>
  <c r="N191" i="15"/>
  <c r="C192" i="15"/>
  <c r="T192" i="15" s="1"/>
  <c r="P191" i="15"/>
  <c r="J191" i="15"/>
  <c r="D192" i="15" l="1"/>
  <c r="N192" i="15"/>
  <c r="J192" i="15"/>
  <c r="L192" i="15"/>
  <c r="H192" i="15"/>
  <c r="C193" i="15"/>
  <c r="L193" i="15" s="1"/>
  <c r="P192" i="15"/>
  <c r="R192" i="15"/>
  <c r="J193" i="15" l="1"/>
  <c r="N193" i="15"/>
  <c r="D193" i="15"/>
  <c r="R193" i="15"/>
  <c r="P193" i="15"/>
  <c r="C194" i="15"/>
  <c r="J194" i="15" s="1"/>
  <c r="T193" i="15"/>
  <c r="H193" i="15"/>
  <c r="H194" i="15" l="1"/>
  <c r="C195" i="15"/>
  <c r="J195" i="15" s="1"/>
  <c r="T194" i="15"/>
  <c r="L194" i="15"/>
  <c r="D194" i="15"/>
  <c r="N194" i="15"/>
  <c r="P194" i="15"/>
  <c r="R194" i="15"/>
  <c r="N195" i="15" l="1"/>
  <c r="L195" i="15"/>
  <c r="H195" i="15"/>
  <c r="T195" i="15"/>
  <c r="C196" i="15"/>
  <c r="H196" i="15" s="1"/>
  <c r="P195" i="15"/>
  <c r="R195" i="15"/>
  <c r="D195" i="15"/>
  <c r="L196" i="15" l="1"/>
  <c r="T196" i="15"/>
  <c r="N196" i="15"/>
  <c r="J196" i="15"/>
  <c r="C197" i="15"/>
  <c r="L197" i="15" s="1"/>
  <c r="D196" i="15"/>
  <c r="P196" i="15"/>
  <c r="R196" i="15"/>
  <c r="J197" i="15" l="1"/>
  <c r="D197" i="15"/>
  <c r="N197" i="15"/>
  <c r="T197" i="15"/>
  <c r="C198" i="15"/>
  <c r="J198" i="15" s="1"/>
  <c r="H197" i="15"/>
  <c r="R197" i="15"/>
  <c r="P197" i="15"/>
  <c r="T198" i="15" l="1"/>
  <c r="C199" i="15"/>
  <c r="N199" i="15" s="1"/>
  <c r="P198" i="15"/>
  <c r="L198" i="15"/>
  <c r="H198" i="15"/>
  <c r="D198" i="15"/>
  <c r="R198" i="15"/>
  <c r="N198" i="15"/>
  <c r="D199" i="15" l="1"/>
  <c r="T199" i="15"/>
  <c r="J199" i="15"/>
  <c r="R199" i="15"/>
  <c r="C200" i="15"/>
  <c r="R200" i="15" s="1"/>
  <c r="L199" i="15"/>
  <c r="P199" i="15"/>
  <c r="H199" i="15"/>
  <c r="L200" i="15" l="1"/>
  <c r="D200" i="15"/>
  <c r="H200" i="15"/>
  <c r="J200" i="15"/>
  <c r="C202" i="15"/>
  <c r="H202" i="15" s="1"/>
  <c r="P200" i="15"/>
  <c r="T200" i="15"/>
  <c r="N200" i="15"/>
  <c r="T202" i="15" l="1"/>
  <c r="R202" i="15"/>
  <c r="J202" i="15"/>
  <c r="D202" i="15"/>
  <c r="P202" i="15"/>
  <c r="C203" i="15"/>
  <c r="H203" i="15" s="1"/>
  <c r="N202" i="15"/>
  <c r="L202" i="15"/>
  <c r="T203" i="15" l="1"/>
  <c r="R203" i="15"/>
  <c r="N203" i="15"/>
  <c r="D203" i="15"/>
  <c r="P203" i="15"/>
  <c r="C204" i="15"/>
  <c r="J204" i="15" s="1"/>
  <c r="J203" i="15"/>
  <c r="L203" i="15"/>
  <c r="D204" i="15" l="1"/>
  <c r="T204" i="15"/>
  <c r="N204" i="15"/>
  <c r="R204" i="15"/>
  <c r="L204" i="15"/>
  <c r="P204" i="15"/>
  <c r="H204" i="15"/>
  <c r="C205" i="15"/>
  <c r="T205" i="15" s="1"/>
  <c r="H205" i="15" l="1"/>
  <c r="R205" i="15"/>
  <c r="D205" i="15"/>
  <c r="J205" i="15"/>
  <c r="C206" i="15"/>
  <c r="N206" i="15" s="1"/>
  <c r="P205" i="15"/>
  <c r="N205" i="15"/>
  <c r="L205" i="15"/>
  <c r="L206" i="15" l="1"/>
  <c r="H206" i="15"/>
  <c r="R206" i="15"/>
  <c r="J206" i="15"/>
  <c r="C207" i="15"/>
  <c r="D207" i="15" s="1"/>
  <c r="P206" i="15"/>
  <c r="T206" i="15"/>
  <c r="D206" i="15"/>
  <c r="J207" i="15" l="1"/>
  <c r="H207" i="15"/>
  <c r="T207" i="15"/>
  <c r="L207" i="15"/>
  <c r="C208" i="15"/>
  <c r="H208" i="15" s="1"/>
  <c r="P207" i="15"/>
  <c r="N207" i="15"/>
  <c r="R207" i="15"/>
  <c r="J208" i="15" l="1"/>
  <c r="D208" i="15"/>
  <c r="T208" i="15"/>
  <c r="L208" i="15"/>
  <c r="C209" i="15"/>
  <c r="D209" i="15" s="1"/>
  <c r="P208" i="15"/>
  <c r="N208" i="15"/>
  <c r="R208" i="15"/>
  <c r="N209" i="15" l="1"/>
  <c r="R209" i="15"/>
  <c r="H209" i="15"/>
  <c r="P209" i="15"/>
  <c r="C210" i="15"/>
  <c r="N210" i="15" s="1"/>
  <c r="J209" i="15"/>
  <c r="L209" i="15"/>
  <c r="T209" i="15"/>
  <c r="J210" i="15" l="1"/>
  <c r="H210" i="15"/>
  <c r="T210" i="15"/>
  <c r="D210" i="15"/>
  <c r="L210" i="15"/>
  <c r="P210" i="15"/>
  <c r="C211" i="15"/>
  <c r="L211" i="15" s="1"/>
  <c r="R210" i="15"/>
  <c r="H211" i="15" l="1"/>
  <c r="C213" i="15"/>
  <c r="N213" i="15" s="1"/>
  <c r="D211" i="15"/>
  <c r="R211" i="15"/>
  <c r="J211" i="15"/>
  <c r="P211" i="15"/>
  <c r="T211" i="15"/>
  <c r="N211" i="15"/>
  <c r="J213" i="15" l="1"/>
  <c r="D213" i="15"/>
  <c r="T213" i="15"/>
  <c r="H213" i="15"/>
  <c r="C214" i="15"/>
  <c r="J214" i="15" s="1"/>
  <c r="P213" i="15"/>
  <c r="R213" i="15"/>
  <c r="L213" i="15"/>
  <c r="H214" i="15" l="1"/>
  <c r="T214" i="15"/>
  <c r="N214" i="15"/>
  <c r="C215" i="15"/>
  <c r="J215" i="15" s="1"/>
  <c r="R214" i="15"/>
  <c r="P214" i="15"/>
  <c r="L214" i="15"/>
  <c r="D214" i="15"/>
  <c r="N215" i="15" l="1"/>
  <c r="L215" i="15"/>
  <c r="R215" i="15"/>
  <c r="T215" i="15"/>
  <c r="C216" i="15"/>
  <c r="J216" i="15" s="1"/>
  <c r="D215" i="15"/>
  <c r="P215" i="15"/>
  <c r="H215" i="15"/>
  <c r="T216" i="15" l="1"/>
  <c r="H216" i="15"/>
  <c r="L216" i="15"/>
  <c r="N216" i="15"/>
  <c r="C217" i="15"/>
  <c r="H217" i="15" s="1"/>
  <c r="D216" i="15"/>
  <c r="R216" i="15"/>
  <c r="P216" i="15"/>
  <c r="J217" i="15" l="1"/>
  <c r="N217" i="15"/>
  <c r="L217" i="15"/>
  <c r="P217" i="15"/>
  <c r="R217" i="15"/>
  <c r="C218" i="15"/>
  <c r="T218" i="15" s="1"/>
  <c r="D217" i="15"/>
  <c r="T217" i="15"/>
  <c r="L218" i="15" l="1"/>
  <c r="R218" i="15"/>
  <c r="N218" i="15"/>
  <c r="D218" i="15"/>
  <c r="C219" i="15"/>
  <c r="P219" i="15" s="1"/>
  <c r="H218" i="15"/>
  <c r="J218" i="15"/>
  <c r="P218" i="15"/>
  <c r="R219" i="15" l="1"/>
  <c r="N219" i="15"/>
  <c r="D219" i="15"/>
  <c r="T219" i="15"/>
  <c r="L219" i="15"/>
  <c r="H219" i="15"/>
  <c r="C220" i="15"/>
  <c r="H220" i="15" s="1"/>
  <c r="J219" i="15"/>
  <c r="L220" i="15" l="1"/>
  <c r="R220" i="15"/>
  <c r="C221" i="15"/>
  <c r="T221" i="15" s="1"/>
  <c r="N220" i="15"/>
  <c r="J220" i="15"/>
  <c r="T220" i="15"/>
  <c r="D220" i="15"/>
  <c r="P220" i="15"/>
  <c r="H221" i="15"/>
  <c r="P221" i="15"/>
  <c r="J221" i="15"/>
  <c r="L221" i="15"/>
  <c r="C222" i="15" l="1"/>
  <c r="J222" i="15" s="1"/>
  <c r="R221" i="15"/>
  <c r="N221" i="15"/>
  <c r="D221" i="15"/>
  <c r="D222" i="15" l="1"/>
  <c r="H222" i="15"/>
  <c r="R222" i="15"/>
  <c r="P222" i="15"/>
  <c r="N222" i="15"/>
  <c r="T222" i="15"/>
  <c r="L222" i="15"/>
</calcChain>
</file>

<file path=xl/comments1.xml><?xml version="1.0" encoding="utf-8"?>
<comments xmlns="http://schemas.openxmlformats.org/spreadsheetml/2006/main">
  <authors>
    <author>HAHA</author>
  </authors>
  <commentList>
    <comment ref="B3" authorId="0" shapeId="0">
      <text>
        <r>
          <rPr>
            <b/>
            <sz val="9"/>
            <color indexed="81"/>
            <rFont val="新細明體"/>
            <family val="1"/>
            <charset val="136"/>
          </rPr>
          <t>生日-月</t>
        </r>
      </text>
    </comment>
    <comment ref="E3" authorId="0" shapeId="0">
      <text>
        <r>
          <rPr>
            <b/>
            <sz val="9"/>
            <color indexed="81"/>
            <rFont val="新細明體"/>
            <family val="1"/>
            <charset val="136"/>
          </rPr>
          <t>生日月份最終日</t>
        </r>
      </text>
    </comment>
    <comment ref="U3" authorId="0" shapeId="0">
      <text>
        <r>
          <rPr>
            <b/>
            <sz val="9"/>
            <color indexed="81"/>
            <rFont val="新細明體"/>
            <family val="1"/>
            <charset val="136"/>
          </rPr>
          <t>台幣小數點下四捨五入，外幣小數點下1位四捨五入</t>
        </r>
      </text>
    </comment>
    <comment ref="V3" authorId="0" shapeId="0">
      <text>
        <r>
          <rPr>
            <b/>
            <sz val="9"/>
            <color indexed="81"/>
            <rFont val="新細明體"/>
            <family val="1"/>
            <charset val="136"/>
          </rPr>
          <t>台幣小數點下四捨五入，外幣小數點下捨去</t>
        </r>
      </text>
    </comment>
    <comment ref="E4" authorId="0" shapeId="0">
      <text>
        <r>
          <rPr>
            <b/>
            <sz val="9"/>
            <color indexed="81"/>
            <rFont val="新細明體"/>
            <family val="1"/>
            <charset val="136"/>
          </rPr>
          <t>月驗證</t>
        </r>
      </text>
    </comment>
    <comment ref="E5" authorId="0" shapeId="0">
      <text>
        <r>
          <rPr>
            <b/>
            <sz val="9"/>
            <color indexed="81"/>
            <rFont val="新細明體"/>
            <family val="1"/>
            <charset val="136"/>
          </rPr>
          <t>日驗證</t>
        </r>
      </text>
    </comment>
    <comment ref="E16" authorId="0" shapeId="0">
      <text>
        <r>
          <rPr>
            <b/>
            <sz val="9"/>
            <color indexed="81"/>
            <rFont val="新細明體"/>
            <family val="1"/>
            <charset val="136"/>
          </rPr>
          <t>1.足歲
2.保險年齡</t>
        </r>
      </text>
    </comment>
    <comment ref="C18" authorId="0" shapeId="0">
      <text>
        <r>
          <rPr>
            <b/>
            <sz val="9"/>
            <color indexed="81"/>
            <rFont val="新細明體"/>
            <family val="1"/>
            <charset val="136"/>
          </rPr>
          <t>1.男性 2.女性</t>
        </r>
      </text>
    </comment>
    <comment ref="C31" authorId="0" shapeId="0">
      <text>
        <r>
          <rPr>
            <b/>
            <sz val="9"/>
            <color indexed="81"/>
            <rFont val="新細明體"/>
            <family val="1"/>
            <charset val="136"/>
          </rPr>
          <t>台幣小數點下四捨五入，外幣小數點下1位四捨五入</t>
        </r>
      </text>
    </comment>
    <comment ref="C35" authorId="0" shapeId="0">
      <text>
        <r>
          <rPr>
            <b/>
            <sz val="9"/>
            <color indexed="81"/>
            <rFont val="新細明體"/>
            <family val="1"/>
            <charset val="136"/>
          </rPr>
          <t>台幣小數點下四捨五入，外幣小數點下捨去</t>
        </r>
      </text>
    </comment>
  </commentList>
</comments>
</file>

<file path=xl/comments2.xml><?xml version="1.0" encoding="utf-8"?>
<comments xmlns="http://schemas.openxmlformats.org/spreadsheetml/2006/main">
  <authors>
    <author>HAHA</author>
  </authors>
  <commentList>
    <comment ref="B3" authorId="0" shapeId="0">
      <text>
        <r>
          <rPr>
            <b/>
            <sz val="9"/>
            <color indexed="81"/>
            <rFont val="新細明體"/>
            <family val="1"/>
            <charset val="136"/>
          </rPr>
          <t>生日-月</t>
        </r>
      </text>
    </comment>
    <comment ref="E3" authorId="0" shapeId="0">
      <text>
        <r>
          <rPr>
            <b/>
            <sz val="9"/>
            <color indexed="81"/>
            <rFont val="新細明體"/>
            <family val="1"/>
            <charset val="136"/>
          </rPr>
          <t>生日月份最終日</t>
        </r>
      </text>
    </comment>
    <comment ref="U3" authorId="0" shapeId="0">
      <text>
        <r>
          <rPr>
            <b/>
            <sz val="9"/>
            <color indexed="81"/>
            <rFont val="新細明體"/>
            <family val="1"/>
            <charset val="136"/>
          </rPr>
          <t>台幣小數點下四捨五入，外幣小數點下1位四捨五入</t>
        </r>
      </text>
    </comment>
    <comment ref="V3" authorId="0" shapeId="0">
      <text>
        <r>
          <rPr>
            <b/>
            <sz val="9"/>
            <color indexed="81"/>
            <rFont val="新細明體"/>
            <family val="1"/>
            <charset val="136"/>
          </rPr>
          <t>台幣小數點下四捨五入，外幣小數點下捨去</t>
        </r>
      </text>
    </comment>
    <comment ref="E4" authorId="0" shapeId="0">
      <text>
        <r>
          <rPr>
            <b/>
            <sz val="9"/>
            <color indexed="81"/>
            <rFont val="新細明體"/>
            <family val="1"/>
            <charset val="136"/>
          </rPr>
          <t>月驗證</t>
        </r>
      </text>
    </comment>
    <comment ref="E5" authorId="0" shapeId="0">
      <text>
        <r>
          <rPr>
            <b/>
            <sz val="9"/>
            <color indexed="81"/>
            <rFont val="新細明體"/>
            <family val="1"/>
            <charset val="136"/>
          </rPr>
          <t>日驗證</t>
        </r>
      </text>
    </comment>
    <comment ref="E16" authorId="0" shapeId="0">
      <text>
        <r>
          <rPr>
            <b/>
            <sz val="9"/>
            <color indexed="81"/>
            <rFont val="新細明體"/>
            <family val="1"/>
            <charset val="136"/>
          </rPr>
          <t>1.足歲
2.保險年齡</t>
        </r>
      </text>
    </comment>
    <comment ref="C18" authorId="0" shapeId="0">
      <text>
        <r>
          <rPr>
            <b/>
            <sz val="9"/>
            <color indexed="81"/>
            <rFont val="新細明體"/>
            <family val="1"/>
            <charset val="136"/>
          </rPr>
          <t>1.男性 2.女性</t>
        </r>
      </text>
    </comment>
    <comment ref="C31" authorId="0" shapeId="0">
      <text>
        <r>
          <rPr>
            <b/>
            <sz val="9"/>
            <color indexed="81"/>
            <rFont val="新細明體"/>
            <family val="1"/>
            <charset val="136"/>
          </rPr>
          <t>台幣小數點下四捨五入，外幣小數點下1位四捨五入</t>
        </r>
      </text>
    </comment>
    <comment ref="C35" authorId="0" shapeId="0">
      <text>
        <r>
          <rPr>
            <b/>
            <sz val="9"/>
            <color indexed="81"/>
            <rFont val="新細明體"/>
            <family val="1"/>
            <charset val="136"/>
          </rPr>
          <t>台幣小數點下四捨五入，外幣小數點下捨去</t>
        </r>
      </text>
    </comment>
  </commentList>
</comments>
</file>

<file path=xl/sharedStrings.xml><?xml version="1.0" encoding="utf-8"?>
<sst xmlns="http://schemas.openxmlformats.org/spreadsheetml/2006/main" count="11986" uniqueCount="1131">
  <si>
    <t>保單年度</t>
  </si>
  <si>
    <t>性別：</t>
    <phoneticPr fontId="7" type="noConversion"/>
  </si>
  <si>
    <t>被保險人</t>
    <phoneticPr fontId="7" type="noConversion"/>
  </si>
  <si>
    <t>被保人：</t>
    <phoneticPr fontId="7" type="noConversion"/>
  </si>
  <si>
    <t>保險種類</t>
    <phoneticPr fontId="7" type="noConversion"/>
  </si>
  <si>
    <t>被保險人</t>
    <phoneticPr fontId="7" type="noConversion"/>
  </si>
  <si>
    <t>姓名：</t>
    <phoneticPr fontId="7" type="noConversion"/>
  </si>
  <si>
    <t>性別：</t>
    <phoneticPr fontId="7" type="noConversion"/>
  </si>
  <si>
    <t>生日：</t>
    <phoneticPr fontId="7" type="noConversion"/>
  </si>
  <si>
    <t>保險年齡：</t>
    <phoneticPr fontId="7" type="noConversion"/>
  </si>
  <si>
    <t>實際年齡：</t>
    <phoneticPr fontId="7" type="noConversion"/>
  </si>
  <si>
    <t>主約資料</t>
    <phoneticPr fontId="7" type="noConversion"/>
  </si>
  <si>
    <t>保額</t>
    <phoneticPr fontId="7" type="noConversion"/>
  </si>
  <si>
    <r>
      <t>保額</t>
    </r>
    <r>
      <rPr>
        <b/>
        <sz val="12"/>
        <color indexed="8"/>
        <rFont val="Arial"/>
        <family val="2"/>
      </rPr>
      <t>(</t>
    </r>
    <r>
      <rPr>
        <b/>
        <sz val="12"/>
        <color indexed="8"/>
        <rFont val="細明體"/>
        <family val="3"/>
        <charset val="136"/>
      </rPr>
      <t>萬</t>
    </r>
    <r>
      <rPr>
        <b/>
        <sz val="12"/>
        <color indexed="8"/>
        <rFont val="Arial"/>
        <family val="2"/>
      </rPr>
      <t>)</t>
    </r>
    <r>
      <rPr>
        <b/>
        <sz val="12"/>
        <color indexed="8"/>
        <rFont val="細明體"/>
        <family val="3"/>
        <charset val="136"/>
      </rPr>
      <t>：</t>
    </r>
    <r>
      <rPr>
        <b/>
        <sz val="12"/>
        <color indexed="8"/>
        <rFont val="Arial"/>
        <family val="2"/>
      </rPr>
      <t/>
    </r>
    <phoneticPr fontId="7" type="noConversion"/>
  </si>
  <si>
    <t>年度</t>
    <phoneticPr fontId="7" type="noConversion"/>
  </si>
  <si>
    <t>繳費年期險種代號</t>
    <phoneticPr fontId="7" type="noConversion"/>
  </si>
  <si>
    <t>單位：元</t>
    <phoneticPr fontId="7" type="noConversion"/>
  </si>
  <si>
    <t>主約：</t>
    <phoneticPr fontId="7" type="noConversion"/>
  </si>
  <si>
    <t>首期</t>
    <phoneticPr fontId="7" type="noConversion"/>
  </si>
  <si>
    <t>續期</t>
    <phoneticPr fontId="7" type="noConversion"/>
  </si>
  <si>
    <t>商品代號</t>
  </si>
  <si>
    <t>年齡</t>
  </si>
  <si>
    <t>險種大類</t>
  </si>
  <si>
    <t>年期險種</t>
  </si>
  <si>
    <t>性別</t>
  </si>
  <si>
    <t>1</t>
  </si>
  <si>
    <t>2</t>
  </si>
  <si>
    <t>fubon</t>
    <phoneticPr fontId="7" type="noConversion"/>
  </si>
  <si>
    <t>試算日</t>
    <phoneticPr fontId="7" type="noConversion"/>
  </si>
  <si>
    <t>生日</t>
    <phoneticPr fontId="7" type="noConversion"/>
  </si>
  <si>
    <t>驗證</t>
    <phoneticPr fontId="7" type="noConversion"/>
  </si>
  <si>
    <t>彈性繳</t>
    <phoneticPr fontId="7" type="noConversion"/>
  </si>
  <si>
    <t>KEY</t>
    <phoneticPr fontId="7" type="noConversion"/>
  </si>
  <si>
    <t>躉繳</t>
    <phoneticPr fontId="7" type="noConversion"/>
  </si>
  <si>
    <t>年繳</t>
    <phoneticPr fontId="7" type="noConversion"/>
  </si>
  <si>
    <t>最高承保</t>
    <phoneticPr fontId="7" type="noConversion"/>
  </si>
  <si>
    <t>保險</t>
    <phoneticPr fontId="7" type="noConversion"/>
  </si>
  <si>
    <t>半年繳</t>
    <phoneticPr fontId="7" type="noConversion"/>
  </si>
  <si>
    <t>足歲</t>
    <phoneticPr fontId="7" type="noConversion"/>
  </si>
  <si>
    <t>季繳</t>
    <phoneticPr fontId="7" type="noConversion"/>
  </si>
  <si>
    <t>月繳</t>
    <phoneticPr fontId="7" type="noConversion"/>
  </si>
  <si>
    <t>輸入格式選項</t>
    <phoneticPr fontId="7" type="noConversion"/>
  </si>
  <si>
    <t>檢核欄位</t>
    <phoneticPr fontId="7" type="noConversion"/>
  </si>
  <si>
    <t>1.輸入格式1-6或7位數字輸入</t>
    <phoneticPr fontId="7" type="noConversion"/>
  </si>
  <si>
    <t>2.輸入格式2-年月日</t>
    <phoneticPr fontId="7" type="noConversion"/>
  </si>
  <si>
    <t>生日檢核</t>
    <phoneticPr fontId="7" type="noConversion"/>
  </si>
  <si>
    <t>最高承保(保險年齡)</t>
    <phoneticPr fontId="7" type="noConversion"/>
  </si>
  <si>
    <t>年齡檢核</t>
    <phoneticPr fontId="7" type="noConversion"/>
  </si>
  <si>
    <t>性別 (1.男 2.女)</t>
    <phoneticPr fontId="7" type="noConversion"/>
  </si>
  <si>
    <t>性別檢核</t>
    <phoneticPr fontId="7" type="noConversion"/>
  </si>
  <si>
    <t>基本資料欄位檢核結果</t>
    <phoneticPr fontId="7" type="noConversion"/>
  </si>
  <si>
    <t>計價幣別(1.台幣 2.外幣)</t>
    <phoneticPr fontId="7" type="noConversion"/>
  </si>
  <si>
    <t>險種代號</t>
    <phoneticPr fontId="7" type="noConversion"/>
  </si>
  <si>
    <t>商品中文名稱</t>
    <phoneticPr fontId="7" type="noConversion"/>
  </si>
  <si>
    <t>年期</t>
    <phoneticPr fontId="7" type="noConversion"/>
  </si>
  <si>
    <t>年期檢核</t>
    <phoneticPr fontId="7" type="noConversion"/>
  </si>
  <si>
    <t>最低保額</t>
    <phoneticPr fontId="7" type="noConversion"/>
  </si>
  <si>
    <t>最高保額</t>
    <phoneticPr fontId="7" type="noConversion"/>
  </si>
  <si>
    <t>保額</t>
    <phoneticPr fontId="7" type="noConversion"/>
  </si>
  <si>
    <t>保額檢核</t>
    <phoneticPr fontId="7" type="noConversion"/>
  </si>
  <si>
    <t>每萬保費</t>
    <phoneticPr fontId="7" type="noConversion"/>
  </si>
  <si>
    <t>繳別</t>
    <phoneticPr fontId="7" type="noConversion"/>
  </si>
  <si>
    <t>折扣率</t>
    <phoneticPr fontId="7" type="noConversion"/>
  </si>
  <si>
    <t>原始應繳保費</t>
    <phoneticPr fontId="7" type="noConversion"/>
  </si>
  <si>
    <t>匯款</t>
    <phoneticPr fontId="7" type="noConversion"/>
  </si>
  <si>
    <t>↓首期</t>
    <phoneticPr fontId="7" type="noConversion"/>
  </si>
  <si>
    <t>續期↓</t>
    <phoneticPr fontId="7" type="noConversion"/>
  </si>
  <si>
    <t>換算格式1.傳統 2.直接除</t>
    <phoneticPr fontId="7" type="noConversion"/>
  </si>
  <si>
    <t>富邦信用卡</t>
    <phoneticPr fontId="7" type="noConversion"/>
  </si>
  <si>
    <t>繳別換算率</t>
    <phoneticPr fontId="7" type="noConversion"/>
  </si>
  <si>
    <t>↑首期</t>
    <phoneticPr fontId="7" type="noConversion"/>
  </si>
  <si>
    <t>應繳保費</t>
    <phoneticPr fontId="7" type="noConversion"/>
  </si>
  <si>
    <t>自行繳費</t>
    <phoneticPr fontId="7" type="noConversion"/>
  </si>
  <si>
    <t>高保費折扣</t>
    <phoneticPr fontId="7" type="noConversion"/>
  </si>
  <si>
    <t>低&lt;=保費&lt;高</t>
    <phoneticPr fontId="7" type="noConversion"/>
  </si>
  <si>
    <t>收費</t>
    <phoneticPr fontId="7" type="noConversion"/>
  </si>
  <si>
    <t>續期↑</t>
    <phoneticPr fontId="7" type="noConversion"/>
  </si>
  <si>
    <t>高保額折扣</t>
    <phoneticPr fontId="7" type="noConversion"/>
  </si>
  <si>
    <t>險種</t>
    <phoneticPr fontId="7" type="noConversion"/>
  </si>
  <si>
    <t>首期繳別</t>
    <phoneticPr fontId="7" type="noConversion"/>
  </si>
  <si>
    <t>自繳折扣-首期</t>
    <phoneticPr fontId="7" type="noConversion"/>
  </si>
  <si>
    <t>主約選項</t>
    <phoneticPr fontId="7" type="noConversion"/>
  </si>
  <si>
    <t>續期繳別</t>
    <phoneticPr fontId="7" type="noConversion"/>
  </si>
  <si>
    <t>自繳折扣-續期</t>
    <phoneticPr fontId="7" type="noConversion"/>
  </si>
  <si>
    <t>折扣率上限</t>
    <phoneticPr fontId="7" type="noConversion"/>
  </si>
  <si>
    <t>首期總折扣率</t>
    <phoneticPr fontId="7" type="noConversion"/>
  </si>
  <si>
    <t>續期總折扣率</t>
    <phoneticPr fontId="7" type="noConversion"/>
  </si>
  <si>
    <t>首期實繳保費</t>
    <phoneticPr fontId="7" type="noConversion"/>
  </si>
  <si>
    <t>續期實繳保費</t>
    <phoneticPr fontId="7" type="noConversion"/>
  </si>
  <si>
    <t>繳別回乘倍數</t>
    <phoneticPr fontId="7" type="noConversion"/>
  </si>
  <si>
    <t>←首期保費規則</t>
    <phoneticPr fontId="7" type="noConversion"/>
  </si>
  <si>
    <t>最低年齡</t>
    <phoneticPr fontId="7" type="noConversion"/>
  </si>
  <si>
    <t>最高年齡</t>
    <phoneticPr fontId="7" type="noConversion"/>
  </si>
  <si>
    <t>首年實繳保費</t>
    <phoneticPr fontId="7" type="noConversion"/>
  </si>
  <si>
    <t>續年實繳保費</t>
    <phoneticPr fontId="7" type="noConversion"/>
  </si>
  <si>
    <t>主約1欄位檢核結果</t>
    <phoneticPr fontId="7" type="noConversion"/>
  </si>
  <si>
    <t>版次</t>
    <phoneticPr fontId="7" type="noConversion"/>
  </si>
  <si>
    <t>A險種+年期(2位)+性別(1位)+年齡(2位)</t>
    <phoneticPr fontId="7" type="noConversion"/>
  </si>
  <si>
    <t>SUMKEY</t>
    <phoneticPr fontId="7" type="noConversion"/>
  </si>
  <si>
    <t>F險種+年期(2位)+年齡(2位)</t>
    <phoneticPr fontId="7" type="noConversion"/>
  </si>
  <si>
    <t>繳別：</t>
    <phoneticPr fontId="7" type="noConversion"/>
  </si>
  <si>
    <t>繳費方式：</t>
    <phoneticPr fontId="7" type="noConversion"/>
  </si>
  <si>
    <t>一般信用卡</t>
    <phoneticPr fontId="7" type="noConversion"/>
  </si>
  <si>
    <t>‧稅法相關規定或解釋之改變可能會影響本險之稅賦優惠。</t>
  </si>
  <si>
    <t>支票</t>
    <phoneticPr fontId="7" type="noConversion"/>
  </si>
  <si>
    <t>MAX-Y</t>
    <phoneticPr fontId="7" type="noConversion"/>
  </si>
  <si>
    <t>‧富邦人壽保險股份有限公司 / 地址：台北市敦化南路一段108號14樓 / 電話：(02)8771-6699</t>
  </si>
  <si>
    <t>員工折扣</t>
    <phoneticPr fontId="7" type="noConversion"/>
  </si>
  <si>
    <t>公版</t>
  </si>
  <si>
    <t>公版</t>
    <phoneticPr fontId="7" type="noConversion"/>
  </si>
  <si>
    <t>北富銀</t>
    <phoneticPr fontId="7" type="noConversion"/>
  </si>
  <si>
    <t>FAX</t>
    <phoneticPr fontId="7" type="noConversion"/>
  </si>
  <si>
    <t>ON-LINE</t>
    <phoneticPr fontId="7" type="noConversion"/>
  </si>
  <si>
    <t>年齡下</t>
    <phoneticPr fontId="7" type="noConversion"/>
  </si>
  <si>
    <t>年齡上</t>
    <phoneticPr fontId="7" type="noConversion"/>
  </si>
  <si>
    <t>保額上</t>
    <phoneticPr fontId="7" type="noConversion"/>
  </si>
  <si>
    <t>‧上表所列之各項數值，係指各保單年度末之數值。本保險契約若辦理減額繳清保險時，上表將不適用。</t>
  </si>
  <si>
    <t>適用通路：</t>
    <phoneticPr fontId="7" type="noConversion"/>
  </si>
  <si>
    <t>保經代</t>
  </si>
  <si>
    <t>本試算表僅供參考，詳細商品內容及變更，以投保當時保單條款內容及本公司核保、保全作業等規定為準。</t>
    <phoneticPr fontId="7" type="noConversion"/>
  </si>
  <si>
    <t>本試算表僅供參考，詳細商品內容及變更，以投保當時保單條款內容及本公司核保、保全作業等規定為準。</t>
    <phoneticPr fontId="7" type="noConversion"/>
  </si>
  <si>
    <t>集彙折扣-首期</t>
    <phoneticPr fontId="7" type="noConversion"/>
  </si>
  <si>
    <t>集彙折扣-續期</t>
    <phoneticPr fontId="7" type="noConversion"/>
  </si>
  <si>
    <t>第一頁說明↓</t>
    <phoneticPr fontId="7" type="noConversion"/>
  </si>
  <si>
    <t>102警語↓</t>
    <phoneticPr fontId="7" type="noConversion"/>
  </si>
  <si>
    <t>折扣使用</t>
    <phoneticPr fontId="7" type="noConversion"/>
  </si>
  <si>
    <t>繳費方式</t>
    <phoneticPr fontId="7" type="noConversion"/>
  </si>
  <si>
    <t>高保額</t>
    <phoneticPr fontId="7" type="noConversion"/>
  </si>
  <si>
    <t>集體彙繳件</t>
    <phoneticPr fontId="7" type="noConversion"/>
  </si>
  <si>
    <t>員工轉帳件</t>
    <phoneticPr fontId="7" type="noConversion"/>
  </si>
  <si>
    <t>繳費方式、高保額及集體彙繳件折扣</t>
  </si>
  <si>
    <t>高保額及員工轉帳件折扣</t>
  </si>
  <si>
    <t>繳費方式及高保額折扣</t>
  </si>
  <si>
    <t>高保額及集體彙繳件折扣</t>
  </si>
  <si>
    <t>繳費方式及集體彙繳件折扣</t>
  </si>
  <si>
    <t>性別</t>
    <phoneticPr fontId="7" type="noConversion"/>
  </si>
  <si>
    <t>職業代碼</t>
    <phoneticPr fontId="7" type="noConversion"/>
  </si>
  <si>
    <t>職業等級</t>
    <phoneticPr fontId="7" type="noConversion"/>
  </si>
  <si>
    <t>附約</t>
    <phoneticPr fontId="7" type="noConversion"/>
  </si>
  <si>
    <t>年齡上限</t>
    <phoneticPr fontId="7" type="noConversion"/>
  </si>
  <si>
    <t>年齡下限</t>
    <phoneticPr fontId="7" type="noConversion"/>
  </si>
  <si>
    <t>年齡檢查</t>
    <phoneticPr fontId="7" type="noConversion"/>
  </si>
  <si>
    <t>保額上限</t>
    <phoneticPr fontId="7" type="noConversion"/>
  </si>
  <si>
    <t>保額下限</t>
    <phoneticPr fontId="7" type="noConversion"/>
  </si>
  <si>
    <t>保額檢查</t>
    <phoneticPr fontId="7" type="noConversion"/>
  </si>
  <si>
    <t>主約保額</t>
    <phoneticPr fontId="7" type="noConversion"/>
  </si>
  <si>
    <t>通算保額倍數</t>
    <phoneticPr fontId="7" type="noConversion"/>
  </si>
  <si>
    <t>主約通算保額</t>
    <phoneticPr fontId="7" type="noConversion"/>
  </si>
  <si>
    <t>主約險種</t>
    <phoneticPr fontId="7" type="noConversion"/>
  </si>
  <si>
    <t>保費</t>
    <phoneticPr fontId="7" type="noConversion"/>
  </si>
  <si>
    <t>單位數</t>
    <phoneticPr fontId="7" type="noConversion"/>
  </si>
  <si>
    <t>應繳保費</t>
    <phoneticPr fontId="7" type="noConversion"/>
  </si>
  <si>
    <t>首期繳費折扣</t>
    <phoneticPr fontId="7" type="noConversion"/>
  </si>
  <si>
    <t>續期繳費折扣</t>
    <phoneticPr fontId="7" type="noConversion"/>
  </si>
  <si>
    <t>首期應繳保費</t>
    <phoneticPr fontId="7" type="noConversion"/>
  </si>
  <si>
    <t>續期應繳保費</t>
    <phoneticPr fontId="7" type="noConversion"/>
  </si>
  <si>
    <t>首年實繳保費</t>
    <phoneticPr fontId="7" type="noConversion"/>
  </si>
  <si>
    <t>續年實繳保費</t>
    <phoneticPr fontId="7" type="noConversion"/>
  </si>
  <si>
    <t>繳別</t>
    <phoneticPr fontId="7" type="noConversion"/>
  </si>
  <si>
    <t>繳別系數</t>
    <phoneticPr fontId="7" type="noConversion"/>
  </si>
  <si>
    <t>錯誤確認</t>
    <phoneticPr fontId="7" type="noConversion"/>
  </si>
  <si>
    <t>保險期間</t>
    <phoneticPr fontId="7" type="noConversion"/>
  </si>
  <si>
    <t>保障年期</t>
    <phoneticPr fontId="7" type="noConversion"/>
  </si>
  <si>
    <t>版次</t>
  </si>
  <si>
    <t>費率</t>
  </si>
  <si>
    <t>CODE</t>
    <phoneticPr fontId="7" type="noConversion"/>
  </si>
  <si>
    <t>首期繳費方式</t>
    <phoneticPr fontId="7" type="noConversion"/>
  </si>
  <si>
    <t>續期繳費方式</t>
    <phoneticPr fontId="7" type="noConversion"/>
  </si>
  <si>
    <t>年度繳費次數</t>
    <phoneticPr fontId="7" type="noConversion"/>
  </si>
  <si>
    <t>繳費年期</t>
    <phoneticPr fontId="7" type="noConversion"/>
  </si>
  <si>
    <t>保額</t>
    <phoneticPr fontId="7" type="noConversion"/>
  </si>
  <si>
    <t>主約年期</t>
    <phoneticPr fontId="7" type="noConversion"/>
  </si>
  <si>
    <t>主約保費</t>
    <phoneticPr fontId="7" type="noConversion"/>
  </si>
  <si>
    <t>總保費</t>
    <phoneticPr fontId="7" type="noConversion"/>
  </si>
  <si>
    <t>T</t>
    <phoneticPr fontId="7" type="noConversion"/>
  </si>
  <si>
    <t>保險年齡</t>
    <phoneticPr fontId="7" type="noConversion"/>
  </si>
  <si>
    <t>實際年齡</t>
    <phoneticPr fontId="7" type="noConversion"/>
  </si>
  <si>
    <t>給付內容</t>
    <phoneticPr fontId="7" type="noConversion"/>
  </si>
  <si>
    <t>心臟、肺臟、肝臟</t>
    <phoneticPr fontId="7" type="noConversion"/>
  </si>
  <si>
    <t>附約名稱：</t>
    <phoneticPr fontId="7" type="noConversion"/>
  </si>
  <si>
    <t>附約代號：</t>
    <phoneticPr fontId="7" type="noConversion"/>
  </si>
  <si>
    <t>附約型別：</t>
    <phoneticPr fontId="7" type="noConversion"/>
  </si>
  <si>
    <t>職業等級：</t>
    <phoneticPr fontId="7" type="noConversion"/>
  </si>
  <si>
    <t>每日病房費限額：</t>
    <phoneticPr fontId="7" type="noConversion"/>
  </si>
  <si>
    <t>保險名稱</t>
    <phoneticPr fontId="7" type="noConversion"/>
  </si>
  <si>
    <t>代碼</t>
    <phoneticPr fontId="7" type="noConversion"/>
  </si>
  <si>
    <t>保額</t>
    <phoneticPr fontId="7" type="noConversion"/>
  </si>
  <si>
    <t>保費</t>
    <phoneticPr fontId="7" type="noConversion"/>
  </si>
  <si>
    <t>繳費</t>
    <phoneticPr fontId="7" type="noConversion"/>
  </si>
  <si>
    <t>男</t>
  </si>
  <si>
    <t>‧本險無解約金，並使用脫退率假設，本險採長期平準可調整之費率</t>
  </si>
  <si>
    <t>‧疾病：本附約生效日起，持續有效三十日以後才開始發生之疾病。但被保險人投保時之保險年齡為零歲，且罹患行政院</t>
  </si>
  <si>
    <t xml:space="preserve">  衛生署公告所認定新生兒先天性代謝異常疾病篩檢項目之篩檢疾病者，不受前述三十日期間之限制。</t>
  </si>
  <si>
    <t>‧本商品屬可調式平準保費：係指本公司針對已販售之本險全體有效保單，保有調整費率之權利，費率調整係依據本險實</t>
  </si>
  <si>
    <t xml:space="preserve">  際理賠經驗計算，經主管機關核准，並自公告三個月後之第一個保單週年日開始適用之，並適用於所有首、續期之本附</t>
  </si>
  <si>
    <t xml:space="preserve">  約有效保單。</t>
  </si>
  <si>
    <t>‧本保險無解約金，並已使用脫退率假設，本險採長期平準可調整之費率</t>
  </si>
  <si>
    <t>‧癌症等待期：係指該被保險人自本附約生效日(或自復效日、加保生效日)起且持續有效九十日以後。</t>
  </si>
  <si>
    <t>‧癌症等待期：本附約生效日起第九十一日或復效日起第九十一日開始。</t>
  </si>
  <si>
    <t>‧本險因費率計算已考慮脫退率，故本險無解約金。</t>
  </si>
  <si>
    <t>‧本險費率已考慮脫退率因素，故無解約金。</t>
  </si>
  <si>
    <t>保險
年齡</t>
    <phoneticPr fontId="7" type="noConversion"/>
  </si>
  <si>
    <t>‧癌症：係指被保險人自本附約生效日起第九十一日或復效日起第九十一日開始，經由醫院對固定組織所作的病理檢查</t>
  </si>
  <si>
    <t xml:space="preserve">        診斷確定之一種疾病，其特徵係由人體內惡性細胞不能控制的生長和擴張，對身體組織構成侵害或白血球過</t>
  </si>
  <si>
    <t xml:space="preserve">        多症所造成的惡性腫瘤或原位癌。</t>
  </si>
  <si>
    <t xml:space="preserve"> </t>
  </si>
  <si>
    <t>1030501GP</t>
    <phoneticPr fontId="7" type="noConversion"/>
  </si>
  <si>
    <t>‧癌症等待期：係指該被保險人自本附約生效日(或自復效日、加保生效日)起且持續有效九十日之期間。</t>
    <phoneticPr fontId="7" type="noConversion"/>
  </si>
  <si>
    <t>業務、服展、北富銀</t>
    <phoneticPr fontId="7" type="noConversion"/>
  </si>
  <si>
    <t>業務、服展</t>
    <phoneticPr fontId="7" type="noConversion"/>
  </si>
  <si>
    <t>北富銀</t>
    <phoneticPr fontId="7" type="noConversion"/>
  </si>
  <si>
    <t>整銷</t>
    <phoneticPr fontId="7" type="noConversion"/>
  </si>
  <si>
    <t>多元</t>
    <phoneticPr fontId="7" type="noConversion"/>
  </si>
  <si>
    <t>富邦人壽保險股份有限公司履行個人資料保護法告知說明書</t>
  </si>
  <si>
    <t>富邦人壽保險股份有限公司（下稱本公司）依據個人資料保護法（以下稱個資法）</t>
  </si>
  <si>
    <t>規定，向 台端告知下列事項，請 台端詳閱：</t>
  </si>
  <si>
    <t>一、蒐集之目的：</t>
  </si>
  <si>
    <t>（一）人身保險（００一）</t>
  </si>
  <si>
    <t>（二）其他經營合於營業登記項目或組織章程所定之業務（一八一）</t>
  </si>
  <si>
    <t>二、蒐集之個人資料類別：</t>
  </si>
  <si>
    <t>（一）姓名。</t>
  </si>
  <si>
    <t>（二）身分證統一編號。</t>
  </si>
  <si>
    <t>（三）地址。</t>
  </si>
  <si>
    <t>三、個人資料利用之期間、地區、對象、方式：</t>
  </si>
  <si>
    <t>（一）期間：因執行業務所必須及依法令規定要求之期間。</t>
  </si>
  <si>
    <t>（二）對象：本公司、本公司的委外服務或委外業務之廠商、中華民國人壽保險</t>
  </si>
  <si>
    <t xml:space="preserve">      商業同業公會、財團法人保險事業發展中心、財團法人金融消費評議中心、</t>
  </si>
  <si>
    <t xml:space="preserve">      與本公司有再保業務往來之公司、本公司所屬金控公司、本公司之共同行</t>
  </si>
  <si>
    <t xml:space="preserve">      銷對象、依法有調查權機關或金融監理機關。</t>
  </si>
  <si>
    <t>（三）地區：上述對象所在之地區。</t>
  </si>
  <si>
    <t>（四）方式：合於法令規定之利用方式。</t>
  </si>
  <si>
    <t>四、依據個資法第三條規定，台端就本公司保有 台端之個人資料得行使之權利及</t>
  </si>
  <si>
    <t xml:space="preserve">    方式：</t>
  </si>
  <si>
    <t>（一）得向本公司行使之權利：</t>
  </si>
  <si>
    <t xml:space="preserve">      1.向本公司查詢、請求閱覽或請求製給複製本。</t>
  </si>
  <si>
    <t xml:space="preserve">      2.向本公司請求補充或更正。</t>
  </si>
  <si>
    <t xml:space="preserve">      3.向本公司請求停止蒐集、處理或利用及請求刪除。</t>
  </si>
  <si>
    <t>（二）行使權利之方式：</t>
  </si>
  <si>
    <t xml:space="preserve">      您可以透過書面（包含電子郵件、傳真、電子文件）或致電本公司客戶服</t>
  </si>
  <si>
    <t xml:space="preserve">      務專線（電話：0809-000-550）之方式行使權利。</t>
  </si>
  <si>
    <t>五、台端不提供個人資料所致權益之影響：</t>
  </si>
  <si>
    <t xml:space="preserve">    台端若未能提供相關個人資料時，本公司將可能延後或無法進行必要之審核</t>
  </si>
  <si>
    <t xml:space="preserve">    及處理作業，因此可能婉謝承保、遲延或無法承保。</t>
  </si>
  <si>
    <t xml:space="preserve">      與本公司有再保業務往來之公司、依法有調查權機關或金融監理機關。</t>
  </si>
  <si>
    <t>主約2欄位檢核結果</t>
    <phoneticPr fontId="7" type="noConversion"/>
  </si>
  <si>
    <t>10AIJ</t>
    <phoneticPr fontId="7" type="noConversion"/>
  </si>
  <si>
    <t>AIJ</t>
    <phoneticPr fontId="7" type="noConversion"/>
  </si>
  <si>
    <t>富邦人壽安心好漾定期保險</t>
    <phoneticPr fontId="7" type="noConversion"/>
  </si>
  <si>
    <t>AIJ</t>
    <phoneticPr fontId="7" type="noConversion"/>
  </si>
  <si>
    <t>※本契約(AIJ)條款樣張須於訂立契約前提供要保人至少三日審閱期間。</t>
    <phoneticPr fontId="7" type="noConversion"/>
  </si>
  <si>
    <t>保額輸入檢核</t>
    <phoneticPr fontId="7" type="noConversion"/>
  </si>
  <si>
    <t>（四）病歷、醫療、健康檢查 。</t>
  </si>
  <si>
    <t>（五）要保書、要保文件等其他基於保險契約所提供之個人資料。</t>
  </si>
  <si>
    <t>←帶OP</t>
    <phoneticPr fontId="7" type="noConversion"/>
  </si>
  <si>
    <t>以下3欄要注意最下方要和右側揭露拉齊</t>
    <phoneticPr fontId="7" type="noConversion"/>
  </si>
  <si>
    <t>以下COPY-DB</t>
    <phoneticPr fontId="7" type="noConversion"/>
  </si>
  <si>
    <t>代表年齡第?小→</t>
    <phoneticPr fontId="7" type="noConversion"/>
  </si>
  <si>
    <t>年齡代號轉換</t>
    <phoneticPr fontId="7" type="noConversion"/>
  </si>
  <si>
    <t>年齡</t>
    <phoneticPr fontId="7" type="noConversion"/>
  </si>
  <si>
    <t>繳費方式</t>
  </si>
  <si>
    <t>宣告利率</t>
  </si>
  <si>
    <t>繳費金額</t>
  </si>
  <si>
    <t>揭露利率</t>
  </si>
  <si>
    <t>性別男=1，女=2→</t>
    <phoneticPr fontId="7" type="noConversion"/>
  </si>
  <si>
    <t>35</t>
  </si>
  <si>
    <t>取第?欄→</t>
    <phoneticPr fontId="7" type="noConversion"/>
  </si>
  <si>
    <t>第?小↓</t>
    <phoneticPr fontId="7" type="noConversion"/>
  </si>
  <si>
    <t>保單年度</t>
    <phoneticPr fontId="7" type="noConversion"/>
  </si>
  <si>
    <t>以上區域為帶入列印頁範圍</t>
    <phoneticPr fontId="7" type="noConversion"/>
  </si>
  <si>
    <t>59</t>
  </si>
  <si>
    <t>GP</t>
    <phoneticPr fontId="7" type="noConversion"/>
  </si>
  <si>
    <t>CV</t>
    <phoneticPr fontId="7" type="noConversion"/>
  </si>
  <si>
    <t>DIE</t>
    <phoneticPr fontId="7" type="noConversion"/>
  </si>
  <si>
    <t>第1年解約金</t>
  </si>
  <si>
    <t>第2年解約金</t>
  </si>
  <si>
    <t>第3年解約金</t>
  </si>
  <si>
    <t>第4年解約金</t>
  </si>
  <si>
    <t>第5年解約金</t>
  </si>
  <si>
    <t>第6年解約金</t>
  </si>
  <si>
    <t>第7年解約金</t>
  </si>
  <si>
    <t>第8年解約金</t>
  </si>
  <si>
    <t>第9年解約金</t>
  </si>
  <si>
    <t>第10年解約金</t>
  </si>
  <si>
    <t>第11年解約金</t>
  </si>
  <si>
    <t>第12年解約金</t>
  </si>
  <si>
    <t>第13年解約金</t>
  </si>
  <si>
    <t>第14年解約金</t>
  </si>
  <si>
    <t>第15年解約金</t>
  </si>
  <si>
    <t>第16年解約金</t>
  </si>
  <si>
    <t>第17年解約金</t>
  </si>
  <si>
    <t>第18年解約金</t>
  </si>
  <si>
    <t>第19年解約金</t>
  </si>
  <si>
    <t>第20年解約金</t>
  </si>
  <si>
    <t>第21年解約金</t>
  </si>
  <si>
    <t>第22年解約金</t>
  </si>
  <si>
    <t>第23年解約金</t>
  </si>
  <si>
    <t>第24年解約金</t>
  </si>
  <si>
    <t>第25年解約金</t>
  </si>
  <si>
    <t>第26年解約金</t>
  </si>
  <si>
    <t>第27年解約金</t>
  </si>
  <si>
    <t>第28年解約金</t>
  </si>
  <si>
    <t>第29年解約金</t>
  </si>
  <si>
    <t>第30年解約金</t>
  </si>
  <si>
    <t>第31年解約金</t>
  </si>
  <si>
    <t>第32年解約金</t>
  </si>
  <si>
    <t>第33年解約金</t>
  </si>
  <si>
    <t>第34年解約金</t>
  </si>
  <si>
    <t>第35年解約金</t>
  </si>
  <si>
    <t>第36年解約金</t>
  </si>
  <si>
    <t>第37年解約金</t>
  </si>
  <si>
    <t>第38年解約金</t>
  </si>
  <si>
    <t>第39年解約金</t>
  </si>
  <si>
    <t>第40年解約金</t>
  </si>
  <si>
    <t>第41年解約金</t>
  </si>
  <si>
    <t>第42年解約金</t>
  </si>
  <si>
    <t>第43年解約金</t>
  </si>
  <si>
    <t>第44年解約金</t>
  </si>
  <si>
    <t>第45年解約金</t>
  </si>
  <si>
    <t>第46年解約金</t>
  </si>
  <si>
    <t>第47年解約金</t>
  </si>
  <si>
    <t>第48年解約金</t>
  </si>
  <si>
    <t>第49年解約金</t>
  </si>
  <si>
    <t>第50年解約金</t>
  </si>
  <si>
    <t>第51年解約金</t>
  </si>
  <si>
    <t>第52年解約金</t>
  </si>
  <si>
    <t>第53年解約金</t>
  </si>
  <si>
    <t>第54年解約金</t>
  </si>
  <si>
    <t>第55年解約金</t>
  </si>
  <si>
    <t>第56年解約金</t>
  </si>
  <si>
    <t>第57年解約金</t>
  </si>
  <si>
    <t>第58年解約金</t>
  </si>
  <si>
    <t>第59年解約金</t>
  </si>
  <si>
    <t>第60年解約金</t>
  </si>
  <si>
    <t>第61年解約金</t>
  </si>
  <si>
    <t>第62年解約金</t>
  </si>
  <si>
    <t>第63年解約金</t>
  </si>
  <si>
    <t>第64年解約金</t>
  </si>
  <si>
    <t>第65年解約金</t>
  </si>
  <si>
    <t>第66年解約金</t>
  </si>
  <si>
    <t>第67年解約金</t>
  </si>
  <si>
    <t>第68年解約金</t>
  </si>
  <si>
    <t>第69年解約金</t>
  </si>
  <si>
    <t>第70年解約金</t>
  </si>
  <si>
    <t>第71年解約金</t>
  </si>
  <si>
    <t>第72年解約金</t>
  </si>
  <si>
    <t>第73年解約金</t>
  </si>
  <si>
    <t>第74年解約金</t>
  </si>
  <si>
    <t>第75年解約金</t>
  </si>
  <si>
    <t>第76年解約金</t>
  </si>
  <si>
    <t>第77年解約金</t>
  </si>
  <si>
    <t>第78年解約金</t>
  </si>
  <si>
    <t>第79年解約金</t>
  </si>
  <si>
    <t>第80年解約金</t>
  </si>
  <si>
    <t>第81年解約金</t>
  </si>
  <si>
    <t>第82年解約金</t>
  </si>
  <si>
    <t>第83年解約金</t>
  </si>
  <si>
    <t>第84年解約金</t>
  </si>
  <si>
    <t>第85年解約金</t>
  </si>
  <si>
    <t>第86年解約金</t>
  </si>
  <si>
    <t>第87年解約金</t>
  </si>
  <si>
    <t>第88年解約金</t>
  </si>
  <si>
    <t>第89年解約金</t>
  </si>
  <si>
    <t>第90年解約金</t>
  </si>
  <si>
    <t>第91年解約金</t>
  </si>
  <si>
    <t>第92年解約金</t>
  </si>
  <si>
    <t>第93年解約金</t>
  </si>
  <si>
    <t>第94年解約金</t>
  </si>
  <si>
    <t>第95年解約金</t>
  </si>
  <si>
    <t>第96年解約金</t>
  </si>
  <si>
    <t>第97年解約金</t>
  </si>
  <si>
    <t>第98年解約金</t>
  </si>
  <si>
    <t>第99年解約金</t>
  </si>
  <si>
    <t>第100年解約金</t>
  </si>
  <si>
    <t>第101年解約金</t>
  </si>
  <si>
    <t>第102年解約金</t>
  </si>
  <si>
    <t>第103年解約金</t>
  </si>
  <si>
    <t>第104年解約金</t>
  </si>
  <si>
    <t>第105年解約金</t>
  </si>
  <si>
    <t>第106年解約金</t>
  </si>
  <si>
    <t>第107年解約金</t>
  </si>
  <si>
    <t>第108年解約金</t>
  </si>
  <si>
    <t>第109年解約金</t>
  </si>
  <si>
    <t>第110年解約金</t>
  </si>
  <si>
    <t>第111年解約金</t>
  </si>
  <si>
    <t>第1年身故保險金</t>
  </si>
  <si>
    <t>第2年身故保險金</t>
  </si>
  <si>
    <t>第3年身故保險金</t>
  </si>
  <si>
    <t>第4年身故保險金</t>
  </si>
  <si>
    <t>第5年身故保險金</t>
  </si>
  <si>
    <t>第6年身故保險金</t>
  </si>
  <si>
    <t>第7年身故保險金</t>
  </si>
  <si>
    <t>第8年身故保險金</t>
  </si>
  <si>
    <t>第9年身故保險金</t>
  </si>
  <si>
    <t>第10年身故保險金</t>
  </si>
  <si>
    <t>第11年身故保險金</t>
  </si>
  <si>
    <t>第12年身故保險金</t>
  </si>
  <si>
    <t>第13年身故保險金</t>
  </si>
  <si>
    <t>第14年身故保險金</t>
  </si>
  <si>
    <t>第15年身故保險金</t>
  </si>
  <si>
    <t>第16年身故保險金</t>
  </si>
  <si>
    <t>第17年身故保險金</t>
  </si>
  <si>
    <t>第18年身故保險金</t>
  </si>
  <si>
    <t>第19年身故保險金</t>
  </si>
  <si>
    <t>第20年身故保險金</t>
  </si>
  <si>
    <t>第21年身故保險金</t>
  </si>
  <si>
    <t>第22年身故保險金</t>
  </si>
  <si>
    <t>第23年身故保險金</t>
  </si>
  <si>
    <t>第24年身故保險金</t>
  </si>
  <si>
    <t>第25年身故保險金</t>
  </si>
  <si>
    <t>第26年身故保險金</t>
  </si>
  <si>
    <t>第27年身故保險金</t>
  </si>
  <si>
    <t>第28年身故保險金</t>
  </si>
  <si>
    <t>第29年身故保險金</t>
  </si>
  <si>
    <t>第30年身故保險金</t>
  </si>
  <si>
    <t>第31年身故保險金</t>
  </si>
  <si>
    <t>第32年身故保險金</t>
  </si>
  <si>
    <t>第33年身故保險金</t>
  </si>
  <si>
    <t>第34年身故保險金</t>
  </si>
  <si>
    <t>第35年身故保險金</t>
  </si>
  <si>
    <t>第36年身故保險金</t>
  </si>
  <si>
    <t>第37年身故保險金</t>
  </si>
  <si>
    <t>第38年身故保險金</t>
  </si>
  <si>
    <t>第39年身故保險金</t>
  </si>
  <si>
    <t>第40年身故保險金</t>
  </si>
  <si>
    <t>第41年身故保險金</t>
  </si>
  <si>
    <t>第42年身故保險金</t>
  </si>
  <si>
    <t>第43年身故保險金</t>
  </si>
  <si>
    <t>第44年身故保險金</t>
  </si>
  <si>
    <t>第45年身故保險金</t>
  </si>
  <si>
    <t>第46年身故保險金</t>
  </si>
  <si>
    <t>第47年身故保險金</t>
  </si>
  <si>
    <t>第48年身故保險金</t>
  </si>
  <si>
    <t>第49年身故保險金</t>
  </si>
  <si>
    <t>第50年身故保險金</t>
  </si>
  <si>
    <t>第51年身故保險金</t>
  </si>
  <si>
    <t>第52年身故保險金</t>
  </si>
  <si>
    <t>第53年身故保險金</t>
  </si>
  <si>
    <t>第54年身故保險金</t>
  </si>
  <si>
    <t>第55年身故保險金</t>
  </si>
  <si>
    <t>第56年身故保險金</t>
  </si>
  <si>
    <t>第57年身故保險金</t>
  </si>
  <si>
    <t>第58年身故保險金</t>
  </si>
  <si>
    <t>第59年身故保險金</t>
  </si>
  <si>
    <t>第60年身故保險金</t>
  </si>
  <si>
    <t>第61年身故保險金</t>
  </si>
  <si>
    <t>第62年身故保險金</t>
  </si>
  <si>
    <t>第63年身故保險金</t>
  </si>
  <si>
    <t>第64年身故保險金</t>
  </si>
  <si>
    <t>第65年身故保險金</t>
  </si>
  <si>
    <t>第66年身故保險金</t>
  </si>
  <si>
    <t>第67年身故保險金</t>
  </si>
  <si>
    <t>第68年身故保險金</t>
  </si>
  <si>
    <t>第69年身故保險金</t>
  </si>
  <si>
    <t>第70年身故保險金</t>
  </si>
  <si>
    <t>第71年身故保險金</t>
  </si>
  <si>
    <t>第72年身故保險金</t>
  </si>
  <si>
    <t>第73年身故保險金</t>
  </si>
  <si>
    <t>第74年身故保險金額</t>
  </si>
  <si>
    <t>第75年身故保險金</t>
  </si>
  <si>
    <t>第76年身故保險金</t>
  </si>
  <si>
    <t>第77年身故保險金</t>
  </si>
  <si>
    <t>第78年身故保險金</t>
  </si>
  <si>
    <t>第79年身故保險金</t>
  </si>
  <si>
    <t>第80年身故保險金</t>
  </si>
  <si>
    <t>第81年身故保險金</t>
  </si>
  <si>
    <t>第82年身故保險金</t>
  </si>
  <si>
    <t>第83年身故保險金</t>
  </si>
  <si>
    <t>第84年身故保險金</t>
  </si>
  <si>
    <t>第85年身故保險金</t>
  </si>
  <si>
    <t>第86年身故保險金</t>
  </si>
  <si>
    <t>第87年身故保險金</t>
  </si>
  <si>
    <t>第88年身故保險金</t>
  </si>
  <si>
    <t>第89年身故保險金</t>
  </si>
  <si>
    <t>第90年身故保險金</t>
  </si>
  <si>
    <t>第91年身故保險金</t>
  </si>
  <si>
    <t>第92年身故保險金</t>
  </si>
  <si>
    <t>第93年身故保險金</t>
  </si>
  <si>
    <t>第94年身故保險金</t>
  </si>
  <si>
    <t>第95年身故保險金</t>
  </si>
  <si>
    <t>第96年身故保險金</t>
  </si>
  <si>
    <t>第97年身故保險金</t>
  </si>
  <si>
    <t>第98年身故保險金</t>
  </si>
  <si>
    <t>第99年身故保險金</t>
  </si>
  <si>
    <t>第100年身故保險金</t>
  </si>
  <si>
    <t>第101年身故保險金</t>
  </si>
  <si>
    <t>第102年身故保險金</t>
  </si>
  <si>
    <t>第103年身故保險金</t>
  </si>
  <si>
    <t>第104年身故保險金</t>
  </si>
  <si>
    <t>第105年身故保險金</t>
  </si>
  <si>
    <t>第106年身故保險金</t>
  </si>
  <si>
    <t>第107年身故保險金</t>
  </si>
  <si>
    <t>第108年身故保險金</t>
  </si>
  <si>
    <t>第109年身故保險金</t>
  </si>
  <si>
    <t>第110年身故保險金</t>
  </si>
  <si>
    <t>第111年身故保險金</t>
  </si>
  <si>
    <t>PA</t>
    <phoneticPr fontId="7" type="noConversion"/>
  </si>
  <si>
    <t>第1年減額繳清保額</t>
  </si>
  <si>
    <t>第2年減額繳清保額</t>
  </si>
  <si>
    <t>第3年減額繳清保額</t>
  </si>
  <si>
    <t>第4年減額繳清保額</t>
  </si>
  <si>
    <t>第5年減額繳清保額</t>
  </si>
  <si>
    <t>第6年減額繳清保額</t>
  </si>
  <si>
    <t>第7年減額繳清保額</t>
  </si>
  <si>
    <t>第8年減額繳清保額</t>
  </si>
  <si>
    <t>第9年減額繳清保額</t>
  </si>
  <si>
    <t>第10年減額繳清保額</t>
  </si>
  <si>
    <t>第11年減額繳清保額</t>
  </si>
  <si>
    <t>第12年減額繳清保額</t>
  </si>
  <si>
    <t>第13年減額繳清保額</t>
  </si>
  <si>
    <t>第14年減額繳清保額</t>
  </si>
  <si>
    <t>第15年減額繳清保額</t>
  </si>
  <si>
    <t>第16年減額繳清保額</t>
  </si>
  <si>
    <t>第17年減額繳清保額</t>
  </si>
  <si>
    <t>第18年減額繳清保額</t>
  </si>
  <si>
    <t>第19年減額繳清保額B</t>
  </si>
  <si>
    <t>第20年減額繳清保額</t>
  </si>
  <si>
    <t>第21年減額繳清保額B</t>
  </si>
  <si>
    <t>第22年減額繳清保額</t>
  </si>
  <si>
    <t>第23年減額繳清保額</t>
  </si>
  <si>
    <t>第24年減額繳清保額</t>
  </si>
  <si>
    <t>第25年減額繳清保額</t>
  </si>
  <si>
    <t>第26年減額繳清保額B</t>
  </si>
  <si>
    <t>第27年減額繳清保額</t>
  </si>
  <si>
    <t>第28年減額繳清保額B</t>
  </si>
  <si>
    <t>第29年減額繳清保額</t>
  </si>
  <si>
    <t>第30年減額繳清保額B</t>
  </si>
  <si>
    <t>第31年減額繳清保額</t>
  </si>
  <si>
    <t>第32年減額繳清保額</t>
  </si>
  <si>
    <t>第33年減額繳清保額</t>
  </si>
  <si>
    <t>第34年減額繳清保額</t>
  </si>
  <si>
    <t>第35年減額繳清保額</t>
  </si>
  <si>
    <t>第36年減額繳清保額</t>
  </si>
  <si>
    <t>第37年減額繳清保額</t>
  </si>
  <si>
    <t>第38年減額繳清保額</t>
  </si>
  <si>
    <t>第39年減額繳清保額</t>
  </si>
  <si>
    <t>第40年減額繳清保額</t>
  </si>
  <si>
    <t>第41年減額繳清保額</t>
  </si>
  <si>
    <t>第42年減額繳清保額</t>
  </si>
  <si>
    <t>第43年減額繳清保額</t>
  </si>
  <si>
    <t>第44年減額繳清保額</t>
  </si>
  <si>
    <t>第45年減額繳清保額</t>
  </si>
  <si>
    <t>第46年減額繳清保額</t>
  </si>
  <si>
    <t>第47年減額繳清保額</t>
  </si>
  <si>
    <t>第48年減額繳清保額</t>
  </si>
  <si>
    <t>第49年減額繳清保額</t>
  </si>
  <si>
    <t>第50年減額繳清保額</t>
  </si>
  <si>
    <t>第51年減額繳清保額</t>
  </si>
  <si>
    <t>第52年減額繳清保額</t>
  </si>
  <si>
    <t>第53年減額繳清保額</t>
  </si>
  <si>
    <t>第54年減額繳清保額</t>
  </si>
  <si>
    <t>第55年減額繳清保額</t>
  </si>
  <si>
    <t>第56年減額繳清保額</t>
  </si>
  <si>
    <t>第57年減額繳清保額</t>
  </si>
  <si>
    <t>第58年減額繳清保額</t>
  </si>
  <si>
    <t>第59年減額繳清保額</t>
  </si>
  <si>
    <t>第60年減額繳清保額</t>
  </si>
  <si>
    <t>第61年減額繳清保額</t>
  </si>
  <si>
    <t>第62年減額繳清保額</t>
  </si>
  <si>
    <t>第63年減額繳清保額</t>
  </si>
  <si>
    <t>第64年減額繳清保額</t>
  </si>
  <si>
    <t>第65年減額繳清保額</t>
  </si>
  <si>
    <t>第66年減額繳清保額</t>
  </si>
  <si>
    <t>第67年減額繳清保額</t>
  </si>
  <si>
    <t>第68年減額繳清保額</t>
  </si>
  <si>
    <t>第69年減額繳清保額</t>
  </si>
  <si>
    <t>第70年減額繳清保額</t>
  </si>
  <si>
    <t>第71年減額繳清保額</t>
  </si>
  <si>
    <t>第72年減額繳清保額</t>
  </si>
  <si>
    <t>第73年減額繳清保額</t>
  </si>
  <si>
    <t>第74年減額繳清保額</t>
  </si>
  <si>
    <t>第75年減額繳清保額</t>
  </si>
  <si>
    <t>第76年減額繳清保額</t>
  </si>
  <si>
    <t>第77年減額繳清保額</t>
  </si>
  <si>
    <t>第78年減額繳清保額</t>
  </si>
  <si>
    <t>第79年減額繳清保額</t>
  </si>
  <si>
    <t>第80年減額繳清保額</t>
  </si>
  <si>
    <t>第81年減額繳清保額</t>
  </si>
  <si>
    <t>第82年契遾B繳清保額</t>
  </si>
  <si>
    <t>第83年減額繳清保額</t>
  </si>
  <si>
    <t>第84年減額繳清保額</t>
  </si>
  <si>
    <t>第85年減額繳清保額</t>
  </si>
  <si>
    <t>第86年減額繳清保額</t>
  </si>
  <si>
    <t>第87年減額繳清保額</t>
  </si>
  <si>
    <t>第88年減額繳清保額</t>
  </si>
  <si>
    <t>第89年減額繳清保額</t>
  </si>
  <si>
    <t>第90年減額繳清保額</t>
  </si>
  <si>
    <t>第91年減額繳清保額</t>
  </si>
  <si>
    <t>第92年減額繳清保額</t>
  </si>
  <si>
    <t>第93年減額繳清保額</t>
  </si>
  <si>
    <t>第94年減額繳清保額</t>
  </si>
  <si>
    <t>第95年減額繳清保額</t>
  </si>
  <si>
    <t>第96年減額繳清保額</t>
  </si>
  <si>
    <t>第97年減額繳清保額</t>
  </si>
  <si>
    <t>第98年減額繳清保額</t>
  </si>
  <si>
    <t>第99年減額繳清保額</t>
  </si>
  <si>
    <t>第100年減額繳清保額</t>
  </si>
  <si>
    <t>第101年減額繳清保額</t>
  </si>
  <si>
    <t>第102年減額繳清保額</t>
  </si>
  <si>
    <t>第103年減額繳清保額</t>
  </si>
  <si>
    <t>第104年減額繳清保額</t>
  </si>
  <si>
    <t>第105年減額繳清保額</t>
  </si>
  <si>
    <t>第106年減額繳清保額</t>
  </si>
  <si>
    <t>第107年減額繳清保額</t>
  </si>
  <si>
    <t>第108年減額繳清保額</t>
  </si>
  <si>
    <t>第109年減額繳清保額</t>
  </si>
  <si>
    <t>第110年減額繳清保額</t>
  </si>
  <si>
    <t>第111年減額繳清保額</t>
  </si>
  <si>
    <t>首</t>
    <phoneticPr fontId="7" type="noConversion"/>
  </si>
  <si>
    <t>續</t>
    <phoneticPr fontId="7" type="noConversion"/>
  </si>
  <si>
    <t>匯款</t>
    <phoneticPr fontId="7" type="noConversion"/>
  </si>
  <si>
    <t>金融機構轉帳</t>
    <phoneticPr fontId="7" type="noConversion"/>
  </si>
  <si>
    <t>富邦信用卡</t>
    <phoneticPr fontId="7" type="noConversion"/>
  </si>
  <si>
    <t>一般信用卡</t>
    <phoneticPr fontId="7" type="noConversion"/>
  </si>
  <si>
    <t>自行繳費</t>
    <phoneticPr fontId="7" type="noConversion"/>
  </si>
  <si>
    <t>支票</t>
    <phoneticPr fontId="7" type="noConversion"/>
  </si>
  <si>
    <t>主契約</t>
    <phoneticPr fontId="7" type="noConversion"/>
  </si>
  <si>
    <t>AIJ</t>
  </si>
  <si>
    <t>AIJ10</t>
  </si>
  <si>
    <t>10AIJ</t>
  </si>
  <si>
    <t>保費/元</t>
    <phoneticPr fontId="7" type="noConversion"/>
  </si>
  <si>
    <t>繳別</t>
    <phoneticPr fontId="7" type="noConversion"/>
  </si>
  <si>
    <t>選擇主約附加附約：</t>
    <phoneticPr fontId="7" type="noConversion"/>
  </si>
  <si>
    <t>不附加</t>
    <phoneticPr fontId="7" type="noConversion"/>
  </si>
  <si>
    <t>選擇主約附加附約</t>
    <phoneticPr fontId="7" type="noConversion"/>
  </si>
  <si>
    <t>AOR</t>
    <phoneticPr fontId="7" type="noConversion"/>
  </si>
  <si>
    <t>承保年齡區間：</t>
    <phoneticPr fontId="7" type="noConversion"/>
  </si>
  <si>
    <t>繳別</t>
    <phoneticPr fontId="7" type="noConversion"/>
  </si>
  <si>
    <t>HSGA</t>
    <phoneticPr fontId="7" type="noConversion"/>
  </si>
  <si>
    <t>HSGB</t>
    <phoneticPr fontId="7" type="noConversion"/>
  </si>
  <si>
    <t>HSGC</t>
    <phoneticPr fontId="7" type="noConversion"/>
  </si>
  <si>
    <t>HSGD</t>
  </si>
  <si>
    <t>HSGD</t>
    <phoneticPr fontId="7" type="noConversion"/>
  </si>
  <si>
    <t>HSGE</t>
    <phoneticPr fontId="7" type="noConversion"/>
  </si>
  <si>
    <t>AOR</t>
    <phoneticPr fontId="7" type="noConversion"/>
  </si>
  <si>
    <t>主約</t>
    <phoneticPr fontId="7" type="noConversion"/>
  </si>
  <si>
    <t>AIJ</t>
    <phoneticPr fontId="7" type="noConversion"/>
  </si>
  <si>
    <t>金融機構轉帳</t>
    <phoneticPr fontId="7" type="noConversion"/>
  </si>
  <si>
    <t>HSG</t>
    <phoneticPr fontId="7" type="noConversion"/>
  </si>
  <si>
    <t>HSGA</t>
    <phoneticPr fontId="7" type="noConversion"/>
  </si>
  <si>
    <t>HSGB</t>
    <phoneticPr fontId="7" type="noConversion"/>
  </si>
  <si>
    <t>HSGC</t>
    <phoneticPr fontId="7" type="noConversion"/>
  </si>
  <si>
    <t>HSGD</t>
    <phoneticPr fontId="7" type="noConversion"/>
  </si>
  <si>
    <t>HSGE</t>
    <phoneticPr fontId="7" type="noConversion"/>
  </si>
  <si>
    <t>HNR</t>
    <phoneticPr fontId="7" type="noConversion"/>
  </si>
  <si>
    <t>富邦人壽日日元氣住院醫療定額健康保險附約</t>
    <phoneticPr fontId="7" type="noConversion"/>
  </si>
  <si>
    <t>10年</t>
  </si>
  <si>
    <t>10年</t>
    <phoneticPr fontId="7" type="noConversion"/>
  </si>
  <si>
    <t>富邦人壽十足元氣定期健康保險附約</t>
    <phoneticPr fontId="7" type="noConversion"/>
  </si>
  <si>
    <t>HNR</t>
    <phoneticPr fontId="7" type="noConversion"/>
  </si>
  <si>
    <t>HSN</t>
    <phoneticPr fontId="7" type="noConversion"/>
  </si>
  <si>
    <t>住院醫療保險金</t>
    <phoneticPr fontId="7" type="noConversion"/>
  </si>
  <si>
    <t>重大疾病住院醫療保險金</t>
    <phoneticPr fontId="7" type="noConversion"/>
  </si>
  <si>
    <t>出院後療養保險金</t>
    <phoneticPr fontId="7" type="noConversion"/>
  </si>
  <si>
    <t>加護病房醫療保險金</t>
    <phoneticPr fontId="7" type="noConversion"/>
  </si>
  <si>
    <t>燒燙傷中心醫療保險金</t>
    <phoneticPr fontId="7" type="noConversion"/>
  </si>
  <si>
    <t>保額</t>
    <phoneticPr fontId="7" type="noConversion"/>
  </si>
  <si>
    <t>職業等級檢查</t>
    <phoneticPr fontId="7" type="noConversion"/>
  </si>
  <si>
    <t>職業等級</t>
  </si>
  <si>
    <t>54</t>
  </si>
  <si>
    <t>AOR</t>
    <phoneticPr fontId="7" type="noConversion"/>
  </si>
  <si>
    <t>CLR</t>
    <phoneticPr fontId="7" type="noConversion"/>
  </si>
  <si>
    <t>CLR</t>
    <phoneticPr fontId="7" type="noConversion"/>
  </si>
  <si>
    <t>主約：</t>
    <phoneticPr fontId="7" type="noConversion"/>
  </si>
  <si>
    <r>
      <t>保額</t>
    </r>
    <r>
      <rPr>
        <b/>
        <sz val="12"/>
        <color indexed="8"/>
        <rFont val="Arial"/>
        <family val="2"/>
      </rPr>
      <t>(</t>
    </r>
    <r>
      <rPr>
        <b/>
        <sz val="12"/>
        <color indexed="8"/>
        <rFont val="細明體"/>
        <family val="3"/>
        <charset val="136"/>
      </rPr>
      <t>元</t>
    </r>
    <r>
      <rPr>
        <b/>
        <sz val="12"/>
        <color indexed="8"/>
        <rFont val="Arial"/>
        <family val="2"/>
      </rPr>
      <t>)</t>
    </r>
    <r>
      <rPr>
        <b/>
        <sz val="12"/>
        <color indexed="8"/>
        <rFont val="細明體"/>
        <family val="3"/>
        <charset val="136"/>
      </rPr>
      <t>：</t>
    </r>
    <r>
      <rPr>
        <b/>
        <sz val="12"/>
        <color indexed="8"/>
        <rFont val="Arial"/>
        <family val="2"/>
      </rPr>
      <t/>
    </r>
    <phoneticPr fontId="7" type="noConversion"/>
  </si>
  <si>
    <r>
      <t>保額(萬)：</t>
    </r>
    <r>
      <rPr>
        <b/>
        <sz val="12"/>
        <color indexed="8"/>
        <rFont val="Arial"/>
        <family val="2"/>
      </rPr>
      <t/>
    </r>
    <phoneticPr fontId="7" type="noConversion"/>
  </si>
  <si>
    <t>主約</t>
    <phoneticPr fontId="7" type="noConversion"/>
  </si>
  <si>
    <t>CLR</t>
    <phoneticPr fontId="7" type="noConversion"/>
  </si>
  <si>
    <t>癌症門診醫療保險金</t>
    <phoneticPr fontId="7" type="noConversion"/>
  </si>
  <si>
    <t>癌症住院手術醫療保險金</t>
    <phoneticPr fontId="7" type="noConversion"/>
  </si>
  <si>
    <t>癌症住院醫療保險金</t>
    <phoneticPr fontId="7" type="noConversion"/>
  </si>
  <si>
    <t>癌症化學醫療保險金</t>
    <phoneticPr fontId="7" type="noConversion"/>
  </si>
  <si>
    <t>癌症放射線醫療保險金</t>
    <phoneticPr fontId="7" type="noConversion"/>
  </si>
  <si>
    <t>商品檢查</t>
    <phoneticPr fontId="7" type="noConversion"/>
  </si>
  <si>
    <t>繳費方式</t>
    <phoneticPr fontId="7" type="noConversion"/>
  </si>
  <si>
    <t>AIJ</t>
    <phoneticPr fontId="7" type="noConversion"/>
  </si>
  <si>
    <t>附約折扣使用</t>
    <phoneticPr fontId="7" type="noConversion"/>
  </si>
  <si>
    <t>。</t>
    <phoneticPr fontId="7" type="noConversion"/>
  </si>
  <si>
    <t>5 繳別</t>
    <phoneticPr fontId="7" type="noConversion"/>
  </si>
  <si>
    <t>4 保額</t>
    <phoneticPr fontId="7" type="noConversion"/>
  </si>
  <si>
    <t>3 商品</t>
    <phoneticPr fontId="7" type="noConversion"/>
  </si>
  <si>
    <t>2 中文</t>
    <phoneticPr fontId="7" type="noConversion"/>
  </si>
  <si>
    <t>6 應繳保費</t>
    <phoneticPr fontId="7" type="noConversion"/>
  </si>
  <si>
    <t>7 總保費</t>
    <phoneticPr fontId="7" type="noConversion"/>
  </si>
  <si>
    <t>8 總保費金額</t>
    <phoneticPr fontId="7" type="noConversion"/>
  </si>
  <si>
    <t>9 首期保費</t>
    <phoneticPr fontId="7" type="noConversion"/>
  </si>
  <si>
    <t>10 首期保費金額</t>
    <phoneticPr fontId="7" type="noConversion"/>
  </si>
  <si>
    <t>11 續期保費</t>
    <phoneticPr fontId="7" type="noConversion"/>
  </si>
  <si>
    <t>12 續期保費金額</t>
    <phoneticPr fontId="7" type="noConversion"/>
  </si>
  <si>
    <t>13 繳費方式折扣</t>
    <phoneticPr fontId="7" type="noConversion"/>
  </si>
  <si>
    <t>14 繳費折扣說明</t>
    <phoneticPr fontId="7" type="noConversion"/>
  </si>
  <si>
    <t>年度</t>
    <phoneticPr fontId="7" type="noConversion"/>
  </si>
  <si>
    <t>年齡</t>
    <phoneticPr fontId="7" type="noConversion"/>
  </si>
  <si>
    <t>總保費</t>
    <phoneticPr fontId="7" type="noConversion"/>
  </si>
  <si>
    <t>累積保費</t>
    <phoneticPr fontId="7" type="noConversion"/>
  </si>
  <si>
    <t>AIJ保費</t>
    <phoneticPr fontId="7" type="noConversion"/>
  </si>
  <si>
    <t>AOR保費</t>
    <phoneticPr fontId="7" type="noConversion"/>
  </si>
  <si>
    <t>HSG保費</t>
    <phoneticPr fontId="7" type="noConversion"/>
  </si>
  <si>
    <t>HNR保費</t>
    <phoneticPr fontId="7" type="noConversion"/>
  </si>
  <si>
    <t>CLR保費</t>
    <phoneticPr fontId="7" type="noConversion"/>
  </si>
  <si>
    <t>保費</t>
    <phoneticPr fontId="7" type="noConversion"/>
  </si>
  <si>
    <t>騎乘機車或
自行車
意外傷害
身故保險金</t>
    <phoneticPr fontId="7" type="noConversion"/>
  </si>
  <si>
    <t>年齡</t>
    <phoneticPr fontId="7" type="noConversion"/>
  </si>
  <si>
    <t>搭乘陸上、水上、
空中大眾運輸
交通工具意外
傷害身故保險金</t>
    <phoneticPr fontId="7" type="noConversion"/>
  </si>
  <si>
    <t>被車輛或大眾
運輸交通工具
碰撞意外傷害
身故保險金</t>
    <phoneticPr fontId="7" type="noConversion"/>
  </si>
  <si>
    <t>解約金</t>
    <phoneticPr fontId="7" type="noConversion"/>
  </si>
  <si>
    <t>滿期無理賠回饋保險金</t>
    <phoneticPr fontId="7" type="noConversion"/>
  </si>
  <si>
    <t>商品</t>
    <phoneticPr fontId="7" type="noConversion"/>
  </si>
  <si>
    <t>合計</t>
    <phoneticPr fontId="7" type="noConversion"/>
  </si>
  <si>
    <t>富邦人壽安心好漾定期保險(AIJ)</t>
    <phoneticPr fontId="7" type="noConversion"/>
  </si>
  <si>
    <t>‧本試算表商品各項保險金給付詳細內容及其限制請詳閱保單條款內容說明。</t>
    <phoneticPr fontId="7" type="noConversion"/>
  </si>
  <si>
    <t>AOR</t>
    <phoneticPr fontId="7" type="noConversion"/>
  </si>
  <si>
    <t>HSG</t>
    <phoneticPr fontId="7" type="noConversion"/>
  </si>
  <si>
    <t>給付項目：住院醫療日額保險金，或每日病房費用保險金(實支實付)、住院醫療費用保險金(實支實付)、住院手術費用保</t>
    <phoneticPr fontId="7" type="noConversion"/>
  </si>
  <si>
    <t xml:space="preserve">          險金(實支實付)，二者擇一給付；門診手術費用保險金(實支實付)；重大器官移植或造血幹細胞移植手術保</t>
    <phoneticPr fontId="7" type="noConversion"/>
  </si>
  <si>
    <t>顏色</t>
    <phoneticPr fontId="7" type="noConversion"/>
  </si>
  <si>
    <t>HNR</t>
    <phoneticPr fontId="7" type="noConversion"/>
  </si>
  <si>
    <t>給付項目：癌症住院醫療保險金、癌症門診醫療保險金、癌症住院手術醫療保險金、癌症化學醫療保險金、癌症放射線醫</t>
    <phoneticPr fontId="7" type="noConversion"/>
  </si>
  <si>
    <t>年期</t>
  </si>
  <si>
    <t>保額代碼</t>
  </si>
  <si>
    <t>投保金額</t>
  </si>
  <si>
    <t>56</t>
  </si>
  <si>
    <t/>
  </si>
  <si>
    <t>HSGC</t>
  </si>
  <si>
    <t>住院醫療日額保險金</t>
    <phoneticPr fontId="7" type="noConversion"/>
  </si>
  <si>
    <t>實支實付</t>
    <phoneticPr fontId="7" type="noConversion"/>
  </si>
  <si>
    <t>日額</t>
  </si>
  <si>
    <t>定額給付：重大器官移植或造血幹細胞移植手術保險金</t>
    <phoneticPr fontId="7" type="noConversion"/>
  </si>
  <si>
    <t>每日病房費用保險金限額</t>
    <phoneticPr fontId="7" type="noConversion"/>
  </si>
  <si>
    <t>住院醫療費用保險金限額</t>
    <phoneticPr fontId="7" type="noConversion"/>
  </si>
  <si>
    <t>每次住院醫療費用保險金總限額</t>
    <phoneticPr fontId="7" type="noConversion"/>
  </si>
  <si>
    <t xml:space="preserve"> 0.00</t>
  </si>
  <si>
    <t>DIE_A</t>
    <phoneticPr fontId="7" type="noConversion"/>
  </si>
  <si>
    <t>AOR10</t>
  </si>
  <si>
    <t>AOR</t>
  </si>
  <si>
    <t>AOR</t>
    <phoneticPr fontId="7" type="noConversion"/>
  </si>
  <si>
    <t>CV</t>
    <phoneticPr fontId="7" type="noConversion"/>
  </si>
  <si>
    <t>10AOR</t>
  </si>
  <si>
    <t>醫療保險金給付限額</t>
    <phoneticPr fontId="7" type="noConversion"/>
  </si>
  <si>
    <t xml:space="preserve"> </t>
    <phoneticPr fontId="7" type="noConversion"/>
  </si>
  <si>
    <t>HSGA</t>
  </si>
  <si>
    <t>HSGB</t>
  </si>
  <si>
    <t>HSGE</t>
  </si>
  <si>
    <t>1單位</t>
    <phoneticPr fontId="7" type="noConversion"/>
  </si>
  <si>
    <t>55</t>
  </si>
  <si>
    <t>CLR10</t>
  </si>
  <si>
    <t>‧消費者於購買前，應詳閱各種銷售文件內容，本商品之預定附加費用率，最高23.1%，最低15.0%；如要詳細了解其他</t>
    <phoneticPr fontId="7" type="noConversion"/>
  </si>
  <si>
    <t>‧消費者於購買前，應詳閱各種銷售文件內容，本商品之預定附加費用率，最高60.51%，最低33.38%；如要詳細了解其</t>
    <phoneticPr fontId="7" type="noConversion"/>
  </si>
  <si>
    <t>‧消費者於購買前，應詳閱各種銷售文件內容，本商品之預定附加費用率，最高24.0%，最低18.0%；如要詳細了解其他</t>
    <phoneticPr fontId="7" type="noConversion"/>
  </si>
  <si>
    <t>‧消費者於購買前，應詳閱各種銷售文件內容，本商品之預定附加費用率，最高73.3%，最低46.7%；如要詳細了解其他</t>
    <phoneticPr fontId="7" type="noConversion"/>
  </si>
  <si>
    <t xml:space="preserve">          保險金、意外傷害住院醫療保險金、無理賠回饋保險金</t>
    <phoneticPr fontId="7" type="noConversion"/>
  </si>
  <si>
    <t xml:space="preserve"> </t>
    <phoneticPr fontId="7" type="noConversion"/>
  </si>
  <si>
    <t>‧本保險健康險部分因費率計算已考慮脫退率，故健康險部分無解約金。</t>
    <phoneticPr fontId="7" type="noConversion"/>
  </si>
  <si>
    <t xml:space="preserve">          險金(定額給付) ；無理賠回饋保險金</t>
    <phoneticPr fontId="7" type="noConversion"/>
  </si>
  <si>
    <t>‧本保險因費率計算已考慮脫退率，故本保險無解約金。</t>
    <phoneticPr fontId="7" type="noConversion"/>
  </si>
  <si>
    <t xml:space="preserve">          療保險金、無理賠回饋保險金</t>
    <phoneticPr fontId="7" type="noConversion"/>
  </si>
  <si>
    <t>‧保險金給付之限制：被保險人已獲得全民健康保險給付的部分，本公司不予給付保險金。</t>
    <phoneticPr fontId="7" type="noConversion"/>
  </si>
  <si>
    <t>‧投保後解約或不繼續繳費可能不利消費者，請慎選符合需求之保險商品。</t>
    <phoneticPr fontId="7" type="noConversion"/>
  </si>
  <si>
    <t>‧保險契約各項權利義務皆詳列於保單條款，消費者務必詳加閱讀了解，並把握保單契約撤銷之時效﹝收到保單翌日起算</t>
    <phoneticPr fontId="7" type="noConversion"/>
  </si>
  <si>
    <t xml:space="preserve">  十日內﹞。</t>
    <phoneticPr fontId="7" type="noConversion"/>
  </si>
  <si>
    <t>‧本試算表商品經富邦人壽合格簽署人員檢視其內容業已符合一般精算原則及保險法令，惟為確保權益，基於保險公司與</t>
    <phoneticPr fontId="7" type="noConversion"/>
  </si>
  <si>
    <t>‧本試算表商品保險保障部份受「財團法人保險安定基金」之「人身保險安定基金專戶」保障，並非存款，不受存款保險</t>
    <phoneticPr fontId="7" type="noConversion"/>
  </si>
  <si>
    <t xml:space="preserve">  之保障。</t>
    <phoneticPr fontId="7" type="noConversion"/>
  </si>
  <si>
    <t>‧本試算表商品之保險契約由富邦人壽承保發單，招攬人員若為保險經紀人﹝或代理人﹞所屬業務員仍應受保險業務員管</t>
    <phoneticPr fontId="7" type="noConversion"/>
  </si>
  <si>
    <t xml:space="preserve">  理規則規範。</t>
    <phoneticPr fontId="7" type="noConversion"/>
  </si>
  <si>
    <t>‧保險給付的限制：本公司依保單條款約定給付身故保險金或喪葬費用保險金者，除同時符合保單條款約定而應另給</t>
    <phoneticPr fontId="7" type="noConversion"/>
  </si>
  <si>
    <t xml:space="preserve">  不再負身故保險金或喪葬費用保險金及意外傷害身故保險金或喪葬費用保險金給付之責。</t>
    <phoneticPr fontId="7" type="noConversion"/>
  </si>
  <si>
    <t>‧疾病：係指被保險人自本附約生效日起持續有效三十日以後或復效日起所發生之疾病。但於主契約續保時，本附約已附</t>
    <phoneticPr fontId="7" type="noConversion"/>
  </si>
  <si>
    <t xml:space="preserve">  加於主契約滿三十日者，不受前述三十日期間之限制。</t>
    <phoneticPr fontId="7" type="noConversion"/>
  </si>
  <si>
    <t>住院手術費用保險金限額</t>
    <phoneticPr fontId="7" type="noConversion"/>
  </si>
  <si>
    <t xml:space="preserve">          保險金、無理賠回饋保險金</t>
    <phoneticPr fontId="7" type="noConversion"/>
  </si>
  <si>
    <t>給付項目：住院醫療保險金、重大疾病住院醫療保險金、出院後療養保險金、加護病房醫療保險金、燒燙傷中心醫療</t>
    <phoneticPr fontId="7" type="noConversion"/>
  </si>
  <si>
    <t>‧本保險為不分紅保險單，不參加紅利分配，並無紅利給付項目。</t>
    <phoneticPr fontId="7" type="noConversion"/>
  </si>
  <si>
    <t xml:space="preserve">  險金、燒燙傷中心醫療保險金，加總各保險期間內之給付金額，最高以住院醫療保險金日額之三千倍為限。</t>
    <phoneticPr fontId="7" type="noConversion"/>
  </si>
  <si>
    <t>‧醫療保險金給付的限制：本公司給付住院醫療保險金、重大疾病住院醫療保險金、出院後療養保險金、加護病房醫療保</t>
    <phoneticPr fontId="7" type="noConversion"/>
  </si>
  <si>
    <t>‧醫療保險金給付的限制：本公司給付癌症住院醫療保險金、癌症門診醫療保險金、癌症住院手術醫療保險金、癌症化學</t>
    <phoneticPr fontId="7" type="noConversion"/>
  </si>
  <si>
    <t xml:space="preserve">  限。</t>
    <phoneticPr fontId="7" type="noConversion"/>
  </si>
  <si>
    <t>解約金</t>
    <phoneticPr fontId="7" type="noConversion"/>
  </si>
  <si>
    <t>累計險種</t>
    <phoneticPr fontId="7" type="noConversion"/>
  </si>
  <si>
    <t>年度累積實繳保費</t>
    <phoneticPr fontId="7" type="noConversion"/>
  </si>
  <si>
    <t xml:space="preserve">  醫療保險金、癌症放射線醫療保險金，加總各保險期間內之給付金額，最高以癌症住院醫療保險金日額之一千五百倍為</t>
    <phoneticPr fontId="7" type="noConversion"/>
  </si>
  <si>
    <t>加護病房費用給付限額</t>
    <phoneticPr fontId="7" type="noConversion"/>
  </si>
  <si>
    <t>加護病房住院醫療日額給付</t>
    <phoneticPr fontId="7" type="noConversion"/>
  </si>
  <si>
    <t>‧本保險因費率計算已考慮死亡脫退因素，故被保險人身故時，本保險不再退還解約金。</t>
    <phoneticPr fontId="7" type="noConversion"/>
  </si>
  <si>
    <t>實支實付</t>
    <phoneticPr fontId="7" type="noConversion"/>
  </si>
  <si>
    <t>門診手術費用保險金限額
(實支實付)</t>
    <phoneticPr fontId="7" type="noConversion"/>
  </si>
  <si>
    <t>主附約</t>
    <phoneticPr fontId="7" type="noConversion"/>
  </si>
  <si>
    <t>富邦人壽愛守護防癌定期健康保險附約</t>
    <phoneticPr fontId="7" type="noConversion"/>
  </si>
  <si>
    <t>胰臟、腎臟、造血幹細胞移植</t>
    <phoneticPr fontId="7" type="noConversion"/>
  </si>
  <si>
    <t>AIJ</t>
    <phoneticPr fontId="7" type="noConversion"/>
  </si>
  <si>
    <t>‧等待期間：係指被保險人自本附約生效日起持續有效九十日之期間。</t>
    <phoneticPr fontId="7" type="noConversion"/>
  </si>
  <si>
    <t>‧重大疾病：係指被保險人於本附約生效日起持續有效三十日以後或復效日起，經醫院醫師診斷確定罹患符合保單條款約</t>
    <phoneticPr fontId="7" type="noConversion"/>
  </si>
  <si>
    <t xml:space="preserve">  定下列各目定義之重大疾病項目之一。但因遭受意外傷害事故所致，或於主契約續保時，本附約已附加於主契約滿三十</t>
    <phoneticPr fontId="7" type="noConversion"/>
  </si>
  <si>
    <t xml:space="preserve">  日者，不受前述三十日期間之限制：</t>
    <phoneticPr fontId="7" type="noConversion"/>
  </si>
  <si>
    <t xml:space="preserve">  消費者衡平對等原則，消費者仍應詳加閱讀保險單條款與相關文件，審慎選擇保險商品。本試算表商品如有虛偽不實或</t>
    <phoneticPr fontId="7" type="noConversion"/>
  </si>
  <si>
    <t xml:space="preserve">  違法情事，應由富邦人壽及負責人依法負責。</t>
    <phoneticPr fontId="7" type="noConversion"/>
  </si>
  <si>
    <t>匯款</t>
  </si>
  <si>
    <t>每日病房費</t>
    <phoneticPr fontId="7" type="noConversion"/>
  </si>
  <si>
    <t>累計主約保額</t>
    <phoneticPr fontId="7" type="noConversion"/>
  </si>
  <si>
    <t>檢核每日病房費</t>
    <phoneticPr fontId="7" type="noConversion"/>
  </si>
  <si>
    <t>身分別：</t>
    <phoneticPr fontId="7" type="noConversion"/>
  </si>
  <si>
    <t>一般</t>
  </si>
  <si>
    <t>身分別</t>
    <phoneticPr fontId="7" type="noConversion"/>
  </si>
  <si>
    <t>一般</t>
    <phoneticPr fontId="7" type="noConversion"/>
  </si>
  <si>
    <t>孩童、學生</t>
    <phoneticPr fontId="7" type="noConversion"/>
  </si>
  <si>
    <t>家管</t>
    <phoneticPr fontId="7" type="noConversion"/>
  </si>
  <si>
    <t>退休人士</t>
    <phoneticPr fontId="7" type="noConversion"/>
  </si>
  <si>
    <t>無業、待業</t>
    <phoneticPr fontId="7" type="noConversion"/>
  </si>
  <si>
    <t>特定身份累計最高住院醫療日額投保規定</t>
    <phoneticPr fontId="7" type="noConversion"/>
  </si>
  <si>
    <t>檢核每日病房費檢核</t>
    <phoneticPr fontId="7" type="noConversion"/>
  </si>
  <si>
    <t>保險年齡：</t>
    <phoneticPr fontId="7" type="noConversion"/>
  </si>
  <si>
    <t>十  在  好  漾  專  案  組  合  試  算  表</t>
    <phoneticPr fontId="7" type="noConversion"/>
  </si>
  <si>
    <t>續保年度</t>
    <phoneticPr fontId="7" type="noConversion"/>
  </si>
  <si>
    <t>續保年齡</t>
    <phoneticPr fontId="7" type="noConversion"/>
  </si>
  <si>
    <t>AOR</t>
    <phoneticPr fontId="7" type="noConversion"/>
  </si>
  <si>
    <t>HSGx</t>
    <phoneticPr fontId="7" type="noConversion"/>
  </si>
  <si>
    <t>保費</t>
    <phoneticPr fontId="7" type="noConversion"/>
  </si>
  <si>
    <t>CLR</t>
    <phoneticPr fontId="7" type="noConversion"/>
  </si>
  <si>
    <t>續期繳費年期</t>
    <phoneticPr fontId="7" type="noConversion"/>
  </si>
  <si>
    <t>開始續期</t>
    <phoneticPr fontId="7" type="noConversion"/>
  </si>
  <si>
    <t>合計</t>
    <phoneticPr fontId="7" type="noConversion"/>
  </si>
  <si>
    <t>每10年重新計算</t>
    <phoneticPr fontId="7" type="noConversion"/>
  </si>
  <si>
    <t>合計</t>
    <phoneticPr fontId="7" type="noConversion"/>
  </si>
  <si>
    <t>最後繳費年齡</t>
    <phoneticPr fontId="7" type="noConversion"/>
  </si>
  <si>
    <t>-</t>
    <phoneticPr fontId="7" type="noConversion"/>
  </si>
  <si>
    <t>AIJ</t>
    <phoneticPr fontId="7" type="noConversion"/>
  </si>
  <si>
    <t>門診醫療保險金</t>
    <phoneticPr fontId="7" type="noConversion"/>
  </si>
  <si>
    <t>住院醫療保險金</t>
    <phoneticPr fontId="7" type="noConversion"/>
  </si>
  <si>
    <t>-</t>
    <phoneticPr fontId="7" type="noConversion"/>
  </si>
  <si>
    <t>檢核</t>
    <phoneticPr fontId="7" type="noConversion"/>
  </si>
  <si>
    <t>一般</t>
    <phoneticPr fontId="7" type="noConversion"/>
  </si>
  <si>
    <t>日額</t>
    <phoneticPr fontId="7" type="noConversion"/>
  </si>
  <si>
    <t>意外</t>
    <phoneticPr fontId="7" type="noConversion"/>
  </si>
  <si>
    <t>重大疾病</t>
    <phoneticPr fontId="7" type="noConversion"/>
  </si>
  <si>
    <t>癌症</t>
    <phoneticPr fontId="7" type="noConversion"/>
  </si>
  <si>
    <t>累積總保費</t>
    <phoneticPr fontId="7" type="noConversion"/>
  </si>
  <si>
    <t>各  階  段  年  度  實  繳  保  費  表</t>
    <phoneticPr fontId="7" type="noConversion"/>
  </si>
  <si>
    <t>請注意：如使用非微軟OFFICE-PC版開啟本試算表，本試算表內容可能會因硬體系統升級或軟體更新問題導致數值誤差，業務同仁使用時請確實確認。</t>
    <phoneticPr fontId="7" type="noConversion"/>
  </si>
  <si>
    <t xml:space="preserve"> </t>
    <phoneticPr fontId="7" type="noConversion"/>
  </si>
  <si>
    <t>欄位1</t>
  </si>
  <si>
    <t>末</t>
    <phoneticPr fontId="7" type="noConversion"/>
  </si>
  <si>
    <t>61</t>
  </si>
  <si>
    <t>末</t>
    <phoneticPr fontId="7" type="noConversion"/>
  </si>
  <si>
    <t>末</t>
    <phoneticPr fontId="7" type="noConversion"/>
  </si>
  <si>
    <t>HNR10</t>
    <phoneticPr fontId="7" type="noConversion"/>
  </si>
  <si>
    <t>第1年重疾保險金</t>
  </si>
  <si>
    <t>第2年重疾保險金</t>
  </si>
  <si>
    <t>第3年重疾保險金</t>
  </si>
  <si>
    <t>第4年重疾保險金</t>
  </si>
  <si>
    <t>第5年重疾保險金</t>
  </si>
  <si>
    <t>第6年重疾保險金</t>
  </si>
  <si>
    <t>第7年重疾保險金</t>
  </si>
  <si>
    <t>第8年重疾保險金</t>
  </si>
  <si>
    <t>第9年重疾保險金</t>
  </si>
  <si>
    <t>第10年重疾保險金</t>
  </si>
  <si>
    <t>第11年重疾保險金</t>
  </si>
  <si>
    <t>第12年重疾保險金</t>
  </si>
  <si>
    <t>第13年重疾保險金</t>
  </si>
  <si>
    <t>第14年重疾保險金</t>
  </si>
  <si>
    <t>第15年重疾保險金</t>
  </si>
  <si>
    <t>第16年重疾保險金</t>
  </si>
  <si>
    <t>第17年重疾保險金</t>
  </si>
  <si>
    <t>第18年重疾保險金</t>
  </si>
  <si>
    <t>第19年重疾保險金</t>
  </si>
  <si>
    <t>第20年重疾保險金</t>
  </si>
  <si>
    <t>第21年重疾保險金</t>
  </si>
  <si>
    <t>第22年重疾保險金</t>
  </si>
  <si>
    <t>第23年重疾保險金</t>
  </si>
  <si>
    <t>第24年重疾保險金</t>
  </si>
  <si>
    <t>第25年重疾保險金</t>
  </si>
  <si>
    <t>第26年重疾保險金</t>
  </si>
  <si>
    <t>第27年重疾保險金</t>
  </si>
  <si>
    <t>第28年重疾保險金</t>
  </si>
  <si>
    <t>第29年重疾保險金</t>
  </si>
  <si>
    <t>第30年重疾保險金</t>
  </si>
  <si>
    <t>第31年重疾保險金</t>
  </si>
  <si>
    <t>第32年重疾保險金</t>
  </si>
  <si>
    <t>第33年重疾保險金</t>
  </si>
  <si>
    <t>第34年重疾保險金</t>
  </si>
  <si>
    <t>第35年重疾保險金</t>
  </si>
  <si>
    <t>第36年重疾保險金</t>
  </si>
  <si>
    <t>第37年重疾保險金</t>
  </si>
  <si>
    <t>第38年重疾保險金</t>
  </si>
  <si>
    <t>第39年重疾保險金</t>
  </si>
  <si>
    <t>第40年重疾保險金</t>
  </si>
  <si>
    <t>第41年重疾保險金</t>
  </si>
  <si>
    <t>第42年重疾保險金</t>
  </si>
  <si>
    <t>第43年重疾保險金</t>
  </si>
  <si>
    <t>第44年重疾保險金</t>
  </si>
  <si>
    <t>第45年重疾保險金</t>
  </si>
  <si>
    <t>第46年重疾保險金</t>
  </si>
  <si>
    <t>第47年重疾保險金</t>
  </si>
  <si>
    <t>第48年重疾保險金</t>
  </si>
  <si>
    <t>第49年重疾保險金</t>
  </si>
  <si>
    <t>第50年重疾保險金</t>
  </si>
  <si>
    <t>第51年重疾保險金</t>
  </si>
  <si>
    <t>第52年重疾保險金</t>
  </si>
  <si>
    <t>第53年重疾保險金</t>
  </si>
  <si>
    <t>第54年重疾保險金</t>
  </si>
  <si>
    <t>第55年重疾保險金</t>
  </si>
  <si>
    <t>第56年重疾保險金</t>
  </si>
  <si>
    <t>第57年重疾保險金</t>
  </si>
  <si>
    <t>第58年重疾保險金</t>
  </si>
  <si>
    <t>第59年重疾保險金</t>
  </si>
  <si>
    <t>第60年重疾保險金</t>
  </si>
  <si>
    <t>第61年重疾保險金</t>
  </si>
  <si>
    <t>第62年重疾保險金</t>
  </si>
  <si>
    <t>第63年重疾保險金</t>
  </si>
  <si>
    <t>第64年重疾保險金</t>
  </si>
  <si>
    <t>第65年重疾保險金</t>
  </si>
  <si>
    <t>第66年重疾保險金</t>
  </si>
  <si>
    <t>第67年重疾保險金</t>
  </si>
  <si>
    <t>第68年重疾保險金</t>
  </si>
  <si>
    <t>第69年重疾保險金</t>
  </si>
  <si>
    <t>第70年重疾保險金</t>
  </si>
  <si>
    <t>第71年重疾保險金</t>
  </si>
  <si>
    <t>第72年重疾保險金</t>
  </si>
  <si>
    <t>第73年重疾保險金</t>
  </si>
  <si>
    <t>第74年重疾保險金額</t>
  </si>
  <si>
    <t>第75年重疾保險金</t>
  </si>
  <si>
    <t>第76年重疾保險金</t>
  </si>
  <si>
    <t>第77年重疾保險金</t>
  </si>
  <si>
    <t>第78年重疾保險金</t>
  </si>
  <si>
    <t>第79年重疾保險金</t>
  </si>
  <si>
    <t>第80年重疾保險金</t>
  </si>
  <si>
    <t>第81年重疾保險金</t>
  </si>
  <si>
    <t>第82年重疾保險金</t>
  </si>
  <si>
    <t>第83年重疾保險金</t>
  </si>
  <si>
    <t>第84年重疾保險金</t>
  </si>
  <si>
    <t>第85年重疾保險金</t>
  </si>
  <si>
    <t>第86年重疾保險金</t>
  </si>
  <si>
    <t>第87年重疾保險金</t>
  </si>
  <si>
    <t>第88年重疾保險金</t>
  </si>
  <si>
    <t>第89年重疾保險金</t>
  </si>
  <si>
    <t>第90年重疾保險金</t>
  </si>
  <si>
    <t>第91年重疾保險金</t>
  </si>
  <si>
    <t>第92年重疾保險金</t>
  </si>
  <si>
    <t>第93年重疾保險金</t>
  </si>
  <si>
    <t>第94年重疾保險金</t>
  </si>
  <si>
    <t>第95年重疾保險金</t>
  </si>
  <si>
    <t>第96年重疾保險金</t>
  </si>
  <si>
    <t>第97年重疾保險金</t>
  </si>
  <si>
    <t>第98年重疾保險金</t>
  </si>
  <si>
    <t>第99年重疾保險金</t>
  </si>
  <si>
    <t>第100年重疾保險金</t>
  </si>
  <si>
    <t>第101年重疾保險金</t>
  </si>
  <si>
    <t>第102年重疾保險金</t>
  </si>
  <si>
    <t>第103年重疾保險金</t>
  </si>
  <si>
    <t>第104年重疾保險金</t>
  </si>
  <si>
    <t>第105年重疾保險金</t>
  </si>
  <si>
    <t>第106年重疾保險金</t>
  </si>
  <si>
    <t>第107年重疾保險金</t>
  </si>
  <si>
    <t>第108年重疾保險金</t>
  </si>
  <si>
    <t>第109年重疾保險金</t>
  </si>
  <si>
    <t>第110年重疾保險金</t>
  </si>
  <si>
    <t>第111年重疾保險金</t>
  </si>
  <si>
    <t>HL</t>
    <phoneticPr fontId="7" type="noConversion"/>
  </si>
  <si>
    <t>身故/完全失能保險金</t>
  </si>
  <si>
    <t>身故/完全
失能保險金</t>
  </si>
  <si>
    <t>一般意外
身故/完全
失能保險金</t>
  </si>
  <si>
    <t>海外停留保障
期間內意外傷害
身故/完全
失能保險金</t>
  </si>
  <si>
    <t>給付項目：身故保險金或喪葬費用保險金、意外傷害身故保險金或喪葬費用保險金、完全失能保險金、意外傷害一級失能</t>
  </si>
  <si>
    <t>‧本保險因費率計算已考慮死亡脫退因素，故依本契約約定給付身故、完全失能保險金時，其他未給付部分無解約金。</t>
  </si>
  <si>
    <t xml:space="preserve">  付意外傷害身故保險金或喪葬費用保險金外，不再負完全失能保險金及意外傷害一級失能保險金給付之責。</t>
  </si>
  <si>
    <t xml:space="preserve">  本公司依保單條款約定給付完全失能保險金者，除同時符合保單條款約定而應另給付意外傷害一級失能保險金外，</t>
  </si>
  <si>
    <t>給付項目：意外傷害一至三級失能保險金、無理賠回饋保險金</t>
  </si>
  <si>
    <t>意外傷害一級失能保險金</t>
  </si>
  <si>
    <t>意外傷害二級失能保險金</t>
  </si>
  <si>
    <t>意外傷害三級失能保險金</t>
  </si>
  <si>
    <t>富邦人壽添守護失能傷害保險附約</t>
  </si>
  <si>
    <t>‧消費者於購買前，應詳閱各種銷售文件內容，本商品之預定附加費用率，最高24.00%，最低18.18%；如要詳細了解其</t>
    <phoneticPr fontId="7" type="noConversion"/>
  </si>
  <si>
    <t xml:space="preserve">         109.01.01依108.06.13金管保壽字第10804933330號函修正</t>
    <phoneticPr fontId="7" type="noConversion"/>
  </si>
  <si>
    <t>商品文號：106.10.31富壽商精字第1060003913號函備查、109.01.01依108.04.09金管保壽字第10804904941號函修正、</t>
    <phoneticPr fontId="7" type="noConversion"/>
  </si>
  <si>
    <t xml:space="preserve">         109.01.01依108.06.13金管保壽字第10804933330號函修正</t>
    <phoneticPr fontId="7" type="noConversion"/>
  </si>
  <si>
    <t>商品文號：106.10.31富壽商精字第1060003914號函備查、109.01.01依108.04.09金管保壽字第10804904941號函修正、</t>
    <phoneticPr fontId="7" type="noConversion"/>
  </si>
  <si>
    <t>商品文號：106.10.31富壽商精字第1060003894號函備查、109.01.01依108.04.09金管保壽字第10804904941號函修正、</t>
    <phoneticPr fontId="7" type="noConversion"/>
  </si>
  <si>
    <t>商品文號：106.10.31富壽商精字第1060003893號函備查、109.01.01依108.04.09金管保壽字第10804904941號函修正</t>
    <phoneticPr fontId="7" type="noConversion"/>
  </si>
  <si>
    <t xml:space="preserve">  (一)急性心肌梗塞(重度)。     (二)冠狀動脈繞道手術。     (三)腦中風後障礙(重度)。     (四)癌症(重度)。</t>
    <phoneticPr fontId="7" type="noConversion"/>
  </si>
  <si>
    <t xml:space="preserve">  (五)末期腎病變。     (六)癱瘓(重度)。     (七)重大器官移植或造血幹細胞移植。</t>
    <phoneticPr fontId="7" type="noConversion"/>
  </si>
  <si>
    <t>‧本保險所稱之「住院」，係指被保險人經醫師診斷其疾病或傷害必須入住醫院，且正式辦理住院手續並確實在醫院接受</t>
    <phoneticPr fontId="7" type="noConversion"/>
  </si>
  <si>
    <t xml:space="preserve">  診療者，但不包含全民健康保險法第五十一條所稱之日間住院及精神衛生法第三十五條所稱之日間留院。保險公司辦理</t>
    <phoneticPr fontId="7" type="noConversion"/>
  </si>
  <si>
    <t xml:space="preserve">  理賠作業於需要時會參據醫學專業意見審核被保險人住院之必要性。</t>
    <phoneticPr fontId="7" type="noConversion"/>
  </si>
  <si>
    <t>金融機構轉帳</t>
  </si>
  <si>
    <t>‧免費申訴電話：0809-000-550</t>
    <phoneticPr fontId="7" type="noConversion"/>
  </si>
  <si>
    <t>注意事項：</t>
    <phoneticPr fontId="7" type="noConversion"/>
  </si>
  <si>
    <t>‧消費者投保前應審慎瞭解本試算表商品之承保範圍、除外責任、不保事項及商品風險，相關內容均詳列於保單條款及相</t>
    <phoneticPr fontId="7" type="noConversion"/>
  </si>
  <si>
    <t xml:space="preserve">  關銷售文件，如有疑義請洽詢銷售人員以詳細說明。</t>
    <phoneticPr fontId="7" type="noConversion"/>
  </si>
  <si>
    <t>PB</t>
    <phoneticPr fontId="7" type="noConversion"/>
  </si>
  <si>
    <t>要保人：</t>
    <phoneticPr fontId="7" type="noConversion"/>
  </si>
  <si>
    <t xml:space="preserve"> </t>
    <phoneticPr fontId="7" type="noConversion"/>
  </si>
  <si>
    <t>要保人</t>
    <phoneticPr fontId="7" type="noConversion"/>
  </si>
  <si>
    <t>fubon</t>
    <phoneticPr fontId="7" type="noConversion"/>
  </si>
  <si>
    <t>試算日</t>
    <phoneticPr fontId="7" type="noConversion"/>
  </si>
  <si>
    <t>驗證</t>
    <phoneticPr fontId="7" type="noConversion"/>
  </si>
  <si>
    <t>生日</t>
    <phoneticPr fontId="7" type="noConversion"/>
  </si>
  <si>
    <t>提醒↓</t>
    <phoneticPr fontId="7" type="noConversion"/>
  </si>
  <si>
    <t>保險</t>
    <phoneticPr fontId="7" type="noConversion"/>
  </si>
  <si>
    <t>足歲</t>
    <phoneticPr fontId="7" type="noConversion"/>
  </si>
  <si>
    <t>提前提醒</t>
    <phoneticPr fontId="7" type="noConversion"/>
  </si>
  <si>
    <t>錄音提醒功能</t>
    <phoneticPr fontId="7" type="noConversion"/>
  </si>
  <si>
    <t>1=提醒/0=不提醒</t>
    <phoneticPr fontId="7" type="noConversion"/>
  </si>
  <si>
    <t>新臺幣</t>
  </si>
  <si>
    <t>要保人生日(民國)：</t>
  </si>
  <si>
    <t>繳款人：</t>
  </si>
  <si>
    <t>繳款人生日：</t>
  </si>
  <si>
    <t>繳款人生日</t>
  </si>
  <si>
    <t>←銀保通路判別使用</t>
    <phoneticPr fontId="7" type="noConversion"/>
  </si>
  <si>
    <t>銀保通路</t>
    <phoneticPr fontId="7" type="noConversion"/>
  </si>
  <si>
    <t>繳費年度</t>
  </si>
  <si>
    <t>保費</t>
  </si>
  <si>
    <t>保單
年度</t>
    <phoneticPr fontId="7" type="noConversion"/>
  </si>
  <si>
    <t>商品文號：106.10.31富壽商精字第1060003896號函備查、109.09.01依109.07.08金管保壽字第1090423012號函修正</t>
    <phoneticPr fontId="7" type="noConversion"/>
  </si>
  <si>
    <t>8.08%</t>
  </si>
  <si>
    <t>8.07%</t>
  </si>
  <si>
    <t>客戶</t>
    <phoneticPr fontId="7" type="noConversion"/>
  </si>
  <si>
    <t>險種代號</t>
  </si>
  <si>
    <t>銷售紀錄單使用版本</t>
    <phoneticPr fontId="7" type="noConversion"/>
  </si>
  <si>
    <t xml:space="preserve">  0809-000-550)或網站 (www.fubon.com/life/)，以保障您的權益。</t>
  </si>
  <si>
    <t xml:space="preserve">  他相關資訊，請洽本公司業務員、服務據點(免費服務及申訴電話：0809-000-550)或網站 (www.fubon.com/life/)</t>
    <phoneticPr fontId="7" type="noConversion"/>
  </si>
  <si>
    <t xml:space="preserve">  ，以保障您的權益。</t>
    <phoneticPr fontId="7" type="noConversion"/>
  </si>
  <si>
    <t xml:space="preserve">  相關資訊，請洽本公司業務員、服務據點(免費服務及申訴電話：0809-000-550)或網站 (www.fubon.com/life/)</t>
    <phoneticPr fontId="7" type="noConversion"/>
  </si>
  <si>
    <t>‧本公司資訊公開說明文件放置網址www.fubon.com/life/，歡迎上網查詢。</t>
  </si>
  <si>
    <t>HOR</t>
    <phoneticPr fontId="7" type="noConversion"/>
  </si>
  <si>
    <t>住院手術醫療保險金</t>
    <phoneticPr fontId="7" type="noConversion"/>
  </si>
  <si>
    <t>住院手術看護保險金</t>
    <phoneticPr fontId="7" type="noConversion"/>
  </si>
  <si>
    <t>住院前後門診保險金</t>
    <phoneticPr fontId="7" type="noConversion"/>
  </si>
  <si>
    <t>門診手術醫療保險金</t>
    <phoneticPr fontId="7" type="noConversion"/>
  </si>
  <si>
    <t>重大器官移植或造血幹細胞移植手術保險金</t>
    <phoneticPr fontId="7" type="noConversion"/>
  </si>
  <si>
    <t>法定傳染病保險金</t>
    <phoneticPr fontId="7" type="noConversion"/>
  </si>
  <si>
    <t>法定傳染病負壓隔離病房住院醫療保險金</t>
    <phoneticPr fontId="7" type="noConversion"/>
  </si>
  <si>
    <r>
      <t>H</t>
    </r>
    <r>
      <rPr>
        <sz val="10"/>
        <rFont val="新細明體"/>
        <family val="1"/>
        <charset val="136"/>
      </rPr>
      <t>OR</t>
    </r>
    <r>
      <rPr>
        <sz val="10"/>
        <rFont val="新細明體"/>
        <family val="1"/>
        <charset val="136"/>
      </rPr>
      <t>保費</t>
    </r>
    <phoneticPr fontId="7" type="noConversion"/>
  </si>
  <si>
    <t>HOR10</t>
  </si>
  <si>
    <t>法定傳染病身故保險金</t>
    <phoneticPr fontId="7" type="noConversion"/>
  </si>
  <si>
    <t>‧上表年度累積實繳保費已扣除繳費方式折扣，繳費期內如不符繳費方式折扣條件，上表將不適用。</t>
    <phoneticPr fontId="7" type="noConversion"/>
  </si>
  <si>
    <t>健康檢查</t>
    <phoneticPr fontId="7" type="noConversion"/>
  </si>
  <si>
    <t>指定疫苗接種</t>
    <phoneticPr fontId="7" type="noConversion"/>
  </si>
  <si>
    <t>10~12項改為只顯示10為交通工具意外傷害身故保險金，註明含那些10~12項</t>
    <phoneticPr fontId="7" type="noConversion"/>
  </si>
  <si>
    <t>表格說明文字：</t>
    <phoneticPr fontId="7" type="noConversion"/>
  </si>
  <si>
    <t>醫療保險金給付的限制</t>
    <phoneticPr fontId="7" type="noConversion"/>
  </si>
  <si>
    <t>‧被保險人經醫師首次診斷為重大傷病，並備齊本契約條款所約定申領「重大傷病保險金」之文件，才符合重大傷病保險金</t>
    <phoneticPr fontId="7" type="noConversion"/>
  </si>
  <si>
    <t xml:space="preserve">  申領資格。</t>
    <phoneticPr fontId="7" type="noConversion"/>
  </si>
  <si>
    <t>‧被保險人於投保前曾經取得或投保時正在申請全民健康保險保險人核定重大傷病證明者，或投保前曾經符合屬由診治醫師</t>
    <phoneticPr fontId="7" type="noConversion"/>
  </si>
  <si>
    <t xml:space="preserve">  逕行認定，免向全民健康保險保險人申請重大傷病證明，而得免除全民健康保險部分負擔之資格者，或於投保前曾經「區</t>
    <phoneticPr fontId="7" type="noConversion"/>
  </si>
  <si>
    <t xml:space="preserve">  域醫院」層級以上（含）之醫師診斷符合投保當時「全民健康保險重大傷病項目及其證明有效期限」所載之項目者，本公</t>
    <phoneticPr fontId="7" type="noConversion"/>
  </si>
  <si>
    <t xml:space="preserve">  司不負給付「重大傷病保險金」的責任。</t>
    <phoneticPr fontId="7" type="noConversion"/>
  </si>
  <si>
    <t>‧等待期間：係指被保險人自本契約生效日起持續有效三十日之期間。但屬條款附表所載「一、需積極或長期治療之癌症」</t>
    <phoneticPr fontId="7" type="noConversion"/>
  </si>
  <si>
    <t xml:space="preserve">  之範圍者，則係指被保險人自本契約生效日起持續有效九十日之期間。如為法定傳染病，則係指本契約生效日起持續有效</t>
    <phoneticPr fontId="7" type="noConversion"/>
  </si>
  <si>
    <t xml:space="preserve">  十四天之期間。</t>
    <phoneticPr fontId="7" type="noConversion"/>
  </si>
  <si>
    <t>‧本保險重大傷病範圍為「全民健康保險重大傷病項目及其證明有效期限」所載之項目，但不包含以下項目：</t>
    <phoneticPr fontId="7" type="noConversion"/>
  </si>
  <si>
    <t xml:space="preserve">  (一)遺傳性凝血因子缺乏。(二)先天性新陳代謝異常疾病。(三)心、肺、胃腸、腎臟、神經、骨骼系統等之先天性畸形及</t>
    <phoneticPr fontId="7" type="noConversion"/>
  </si>
  <si>
    <t xml:space="preserve">  染色體異常。 (四)先天性免疫不全症。 (五)職業病。 (六)先天性肌肉萎縮症。 (七)外皮之先天畸形。</t>
    <phoneticPr fontId="7" type="noConversion"/>
  </si>
  <si>
    <t xml:space="preserve">  (八)早產兒所引起之神經、肌肉、骨骼、心臟、肺臟等之併發症。</t>
    <phoneticPr fontId="7" type="noConversion"/>
  </si>
  <si>
    <t>‧保險給付的限制：本公司依條款約定給付「身故保險金或喪葬費用保險金」者，除同時符合條款約定而應另給付「法</t>
    <phoneticPr fontId="7" type="noConversion"/>
  </si>
  <si>
    <t xml:space="preserve">  定傳染病身故保險金」外，不再負本契約其他各項保險金給付之責。</t>
    <phoneticPr fontId="7" type="noConversion"/>
  </si>
  <si>
    <t xml:space="preserve">  本公司依條款約定給付「重大傷病保險金 」或「完全失能保險金」者，不再負本契約其他各項保險金給付之責。</t>
    <phoneticPr fontId="7" type="noConversion"/>
  </si>
  <si>
    <t>‧法定傳染病：係指被保險人發生符合中央衛生主管機關依傳染病防治法第三條規定所稱之傳染病。</t>
    <phoneticPr fontId="7" type="noConversion"/>
  </si>
  <si>
    <t>健康管理保險費折扣項目</t>
    <phoneticPr fontId="7" type="noConversion"/>
  </si>
  <si>
    <t>富邦人壽日日好漾住院醫療定額健康保險附約</t>
    <phoneticPr fontId="7" type="noConversion"/>
  </si>
  <si>
    <t>HL_1</t>
    <phoneticPr fontId="7" type="noConversion"/>
  </si>
  <si>
    <t>重大傷病保險金
除慢性精神病以外之重大傷病</t>
    <phoneticPr fontId="7" type="noConversion"/>
  </si>
  <si>
    <t xml:space="preserve">重大傷病保險金
慢性精神病
</t>
    <phoneticPr fontId="7" type="noConversion"/>
  </si>
  <si>
    <t>不附加</t>
  </si>
  <si>
    <t>年繳</t>
  </si>
  <si>
    <t>指定疫苗接種+健康檢查</t>
    <phoneticPr fontId="7" type="noConversion"/>
  </si>
  <si>
    <t>‧上表健康管理折扣後實繳保費，繳費期內如不符折扣條件，上表將不適用，詳細內容以投保當時保單條款規定為準。</t>
    <phoneticPr fontId="7" type="noConversion"/>
  </si>
  <si>
    <t>15足</t>
  </si>
  <si>
    <t>6.64%</t>
  </si>
  <si>
    <t>8.03%</t>
  </si>
  <si>
    <t>9.13%</t>
  </si>
  <si>
    <t>12.34%</t>
  </si>
  <si>
    <t>8.11%</t>
  </si>
  <si>
    <t>6.19%</t>
  </si>
  <si>
    <t>8.16%</t>
  </si>
  <si>
    <t>7.28%</t>
  </si>
  <si>
    <t>8.10%</t>
  </si>
  <si>
    <t>12.18%</t>
  </si>
  <si>
    <t>6.51%</t>
  </si>
  <si>
    <t>6.61%</t>
  </si>
  <si>
    <t>6.35%</t>
  </si>
  <si>
    <t>9.56%</t>
  </si>
  <si>
    <t>13.01%</t>
  </si>
  <si>
    <t>給付項目：住院醫療保險金、出院後療養保險金、加護病房醫療保險金、燒燙傷中心醫療保險金、住院手術醫療保險金、</t>
    <phoneticPr fontId="7" type="noConversion"/>
  </si>
  <si>
    <t xml:space="preserve">          住院手術看護保險金、住院前後門診保險金、門診手術醫療保險金、重大器官移植或造血幹細胞移植手術保險金</t>
    <phoneticPr fontId="7" type="noConversion"/>
  </si>
  <si>
    <t>‧法定傳染病：係指被保險人自本附約生效日起持續有效十四日以後或復效日起，發生符合中央衛生主管機關依傳染病防</t>
    <phoneticPr fontId="7" type="noConversion"/>
  </si>
  <si>
    <t xml:space="preserve">  治法第三條規定所稱之傳染病。但於主契約續保時，本附約已附加於主契約滿十四日者，不受前述十四日期間之限制。</t>
    <phoneticPr fontId="7" type="noConversion"/>
  </si>
  <si>
    <t>‧醫療保險金給付的限制：本公司給付住院醫療保險金、出院後療養保險金、加護病房醫療保險金、燒燙傷中心醫療保險</t>
    <phoneticPr fontId="7" type="noConversion"/>
  </si>
  <si>
    <t xml:space="preserve">  金、住院手術醫療保險金、住院手術看護保險金、住院前後門診保險金、門診手術醫療保險金、重大器官移植或造血幹</t>
    <phoneticPr fontId="7" type="noConversion"/>
  </si>
  <si>
    <t xml:space="preserve">  細胞移植手術保險金、法定傳染病保險金、法定傳染病負壓隔離病房住院醫療保險金之各項保險金，加總各保險期間內</t>
    <phoneticPr fontId="7" type="noConversion"/>
  </si>
  <si>
    <t xml:space="preserve">  之給付金額，最高以住院醫療保險金日額之三千倍為限。</t>
    <phoneticPr fontId="7" type="noConversion"/>
  </si>
  <si>
    <t>‧消費者於購買前，應詳閱各種銷售文件內容，本商品之預定附加費用率，最高23.75%，最低19.30%；如要詳細了解其</t>
    <phoneticPr fontId="7" type="noConversion"/>
  </si>
  <si>
    <t>商品文號：111.01.22 富壽商精字第1100005654號函備查</t>
    <phoneticPr fontId="7" type="noConversion"/>
  </si>
  <si>
    <t>住院醫療保險金
(同一次住院1~30日(含))</t>
    <phoneticPr fontId="7" type="noConversion"/>
  </si>
  <si>
    <t>住院醫療保險金
(同一次住院31日(含)以上)</t>
    <phoneticPr fontId="7" type="noConversion"/>
  </si>
  <si>
    <t xml:space="preserve">          、法定傳染病保險金、法定傳染病負壓隔離病房住院醫療保險金、無理賠回饋保險金</t>
    <phoneticPr fontId="7" type="noConversion"/>
  </si>
  <si>
    <t>檢核每日病房費累計壽險保額，其投保醫療險附約累計最高住院醫療日額不得大於新臺幣</t>
    <phoneticPr fontId="7" type="noConversion"/>
  </si>
  <si>
    <t>業務、服展、北富銀</t>
  </si>
  <si>
    <t xml:space="preserve">  診療者。但不包含全民健康保險法第五十一條所稱之日間住院及精神衛生法第三十五條所稱之日間留院。保險公司辦理</t>
    <phoneticPr fontId="7" type="noConversion"/>
  </si>
  <si>
    <t xml:space="preserve">  被保險人同一日住院，除依條款約定給付「住院醫療保險金」外，本公司於加護病房醫療保險金的給付、燒燙傷中心醫</t>
    <phoneticPr fontId="7" type="noConversion"/>
  </si>
  <si>
    <t xml:space="preserve">  療保險金的給付或法定傳染病負壓隔離病房住院醫療保險金的給付約定之三項保險金間，僅就其中一項負給付保險金之</t>
    <phoneticPr fontId="7" type="noConversion"/>
  </si>
  <si>
    <t xml:space="preserve">  責。</t>
    <phoneticPr fontId="7" type="noConversion"/>
  </si>
  <si>
    <t>醫   療   日   額   保   險   金   彙   總   表</t>
    <phoneticPr fontId="7" type="noConversion"/>
  </si>
  <si>
    <t>1110426-200-改50</t>
    <phoneticPr fontId="7" type="noConversion"/>
  </si>
  <si>
    <t>SWUC10</t>
  </si>
  <si>
    <t>SWUC</t>
  </si>
  <si>
    <t>10SWUC</t>
  </si>
  <si>
    <t>AIJ+SWUC</t>
  </si>
  <si>
    <t>AIJ+SWUC+AOR</t>
  </si>
  <si>
    <t>SWUC保費</t>
  </si>
  <si>
    <t>SWUC折扣率</t>
  </si>
  <si>
    <t>※本契約(SWUC)條款樣張須於訂立契約前提供要保人至少三日審閱期間。</t>
  </si>
  <si>
    <t>SWUD</t>
  </si>
  <si>
    <t>9.49%</t>
  </si>
  <si>
    <t>6.40%</t>
  </si>
  <si>
    <t>9.47%</t>
  </si>
  <si>
    <t>6.59%</t>
  </si>
  <si>
    <t>9.48%</t>
  </si>
  <si>
    <t>富邦人壽家有醫寶重大傷病定期健康保險(V1)</t>
    <phoneticPr fontId="7" type="noConversion"/>
  </si>
  <si>
    <t>富邦人壽家有醫寶重大傷病定期健康保險(V1)(SWUC/SWUD)</t>
    <phoneticPr fontId="7" type="noConversion"/>
  </si>
  <si>
    <t>給付項目：重大傷病保險金、身故保險金或喪葬費用保險金、完全失能保險金、法定傳染病加護病房保險金、法定傳染病</t>
    <phoneticPr fontId="7" type="noConversion"/>
  </si>
  <si>
    <t xml:space="preserve">          身故保險金、無理賠回饋保險金</t>
    <phoneticPr fontId="7" type="noConversion"/>
  </si>
  <si>
    <t>‧消費者於購買前，應詳閱各種銷售文件內容，本商品之預定附加費用率，壽險部分最高66.04%，最低19.80%、健康險</t>
    <phoneticPr fontId="7" type="noConversion"/>
  </si>
  <si>
    <t xml:space="preserve">  部分最高36.00%，最低19.80%；如要詳細了解其他相關資訊，請洽本公司業務員、服務據點(免費服務及申訴電話：</t>
    <phoneticPr fontId="7" type="noConversion"/>
  </si>
  <si>
    <t>主     附     約     商     品     摘     要</t>
    <phoneticPr fontId="7" type="noConversion"/>
  </si>
  <si>
    <t>‧本保險所稱之『住院』，係指被保險人經醫師診斷其法定傳染病必須入住醫院，且正式辦理住院手續並確實在醫院接受診</t>
    <phoneticPr fontId="7" type="noConversion"/>
  </si>
  <si>
    <t xml:space="preserve">  療者。保險公司辦理理賠作業於需要時會參據醫學專業意見審核被保險人住院之必要性。</t>
    <phoneticPr fontId="7" type="noConversion"/>
  </si>
  <si>
    <t>‧本商品係提供法定傳染病加護病房保險金，並未提供法定傳染病保險金。</t>
    <phoneticPr fontId="7" type="noConversion"/>
  </si>
  <si>
    <t>與被保險人不同</t>
    <phoneticPr fontId="7" type="noConversion"/>
  </si>
  <si>
    <t>投     保     利     益     表</t>
    <phoneticPr fontId="7" type="noConversion"/>
  </si>
  <si>
    <t>V3.0A-1111001</t>
    <phoneticPr fontId="7" type="noConversion"/>
  </si>
  <si>
    <t>‧人壽保險之死亡給付及年金保險之確定年金給付於被保險人死亡後給付於指定受益人者，依保險法第一百十二條規定不</t>
    <phoneticPr fontId="7" type="noConversion"/>
  </si>
  <si>
    <t xml:space="preserve">  條所定實質課稅原則辦理。相關實務案例請至富邦人壽官網詳閱。</t>
    <phoneticPr fontId="7" type="noConversion"/>
  </si>
  <si>
    <t xml:space="preserve">  得作為被保險人之遺產，惟如涉有規避遺產稅等稅捐情事者，稽徵機關仍得依據有關稅法規定或納稅者權利保護法第七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</si>
</sst>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176" formatCode="_(* #,##0_);_(* \(#,##0\);_(* &quot;-&quot;_);_(@_)"/>
    <numFmt numFmtId="177" formatCode="_(* #,##0.00_);_(* \(#,##0.00\);_(* &quot;-&quot;??_);_(@_)"/>
    <numFmt numFmtId="178" formatCode="0.0%"/>
    <numFmt numFmtId="179" formatCode="#,##0_ "/>
    <numFmt numFmtId="180" formatCode="#,##0_);[Red]\(#,##0\)"/>
    <numFmt numFmtId="181" formatCode="0_);[Red]\(0\)"/>
    <numFmt numFmtId="182" formatCode="0_ "/>
    <numFmt numFmtId="183" formatCode="#,##0\ &quot;歲&quot;"/>
    <numFmt numFmtId="184" formatCode="#,##0_ &quot;元&quot;"/>
    <numFmt numFmtId="185" formatCode="0\ &quot;歲&quot;"/>
    <numFmt numFmtId="186" formatCode="\(\1\)&quot;安&quot;&quot;泰&quot;&quot;人&quot;&quot;壽&quot;&quot;富&quot;&quot;貴&quot;&quot;保&quot;&quot;本&quot;&quot;終&quot;&quot;身&quot;&quot;壽&quot;&quot;險&quot;\ \(&quot;繳&quot;&quot;費&quot;\ 0\ &quot;年&quot;\)"/>
    <numFmt numFmtId="187" formatCode="0\ &quot;XRLD&quot;"/>
    <numFmt numFmtId="188" formatCode="#,##0\ &quot;歲&quot;;[Red]\ \-#,##0\ &quot;歲&quot;"/>
    <numFmt numFmtId="189" formatCode="m&quot;月&quot;d&quot;日&quot;"/>
    <numFmt numFmtId="190" formatCode="0.00_ "/>
    <numFmt numFmtId="191" formatCode="_-* #,##0.00_-;\-* #,##0.00_-;_-* &quot;&quot;??_-;_-@_-"/>
    <numFmt numFmtId="192" formatCode="_-* #,##0_-;\-* #,##0_-;_-* &quot;&quot;??_-;_-@_-"/>
    <numFmt numFmtId="193" formatCode="#,##0\ &quot;萬&quot;"/>
    <numFmt numFmtId="194" formatCode="0.0000_ "/>
    <numFmt numFmtId="195" formatCode="#,##0.00_ "/>
    <numFmt numFmtId="196" formatCode="0&quot; 級&quot;"/>
    <numFmt numFmtId="197" formatCode="#,##0\ &quot;元/日&quot;"/>
    <numFmt numFmtId="198" formatCode="0.00000_ "/>
    <numFmt numFmtId="199" formatCode="##.##"/>
  </numFmts>
  <fonts count="133">
    <font>
      <sz val="10"/>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b/>
      <sz val="10"/>
      <name val="新細明體"/>
      <family val="1"/>
      <charset val="136"/>
    </font>
    <font>
      <sz val="10"/>
      <name val="新細明體"/>
      <family val="1"/>
      <charset val="136"/>
    </font>
    <font>
      <u/>
      <sz val="10"/>
      <color indexed="12"/>
      <name val="新細明體"/>
      <family val="1"/>
      <charset val="136"/>
    </font>
    <font>
      <sz val="9"/>
      <name val="新細明體"/>
      <family val="1"/>
      <charset val="136"/>
    </font>
    <font>
      <sz val="10"/>
      <name val="Arial"/>
      <family val="2"/>
    </font>
    <font>
      <sz val="12"/>
      <name val="Arial"/>
      <family val="2"/>
    </font>
    <font>
      <sz val="12"/>
      <name val="細明體"/>
      <family val="3"/>
      <charset val="136"/>
    </font>
    <font>
      <sz val="12"/>
      <name val="新細明體"/>
      <family val="1"/>
      <charset val="136"/>
    </font>
    <font>
      <sz val="12"/>
      <color indexed="9"/>
      <name val="新細明體"/>
      <family val="1"/>
      <charset val="136"/>
    </font>
    <font>
      <sz val="10"/>
      <color indexed="9"/>
      <name val="新細明體"/>
      <family val="1"/>
      <charset val="136"/>
    </font>
    <font>
      <b/>
      <sz val="9"/>
      <name val="新細明體"/>
      <family val="1"/>
      <charset val="136"/>
    </font>
    <font>
      <sz val="12"/>
      <color indexed="8"/>
      <name val="新細明體"/>
      <family val="1"/>
      <charset val="136"/>
    </font>
    <font>
      <b/>
      <sz val="16"/>
      <color indexed="9"/>
      <name val="Arial"/>
      <family val="2"/>
    </font>
    <font>
      <b/>
      <sz val="12"/>
      <name val="Arial"/>
      <family val="2"/>
    </font>
    <font>
      <b/>
      <sz val="12"/>
      <color indexed="9"/>
      <name val="Arial"/>
      <family val="2"/>
    </font>
    <font>
      <b/>
      <sz val="12"/>
      <color indexed="12"/>
      <name val="Arial"/>
      <family val="2"/>
    </font>
    <font>
      <b/>
      <sz val="12"/>
      <color indexed="10"/>
      <name val="Arial"/>
      <family val="2"/>
    </font>
    <font>
      <b/>
      <sz val="10"/>
      <color indexed="10"/>
      <name val="Arial"/>
      <family val="2"/>
    </font>
    <font>
      <sz val="12"/>
      <color indexed="8"/>
      <name val="Arial"/>
      <family val="2"/>
    </font>
    <font>
      <b/>
      <sz val="12"/>
      <color indexed="53"/>
      <name val="Arial"/>
      <family val="2"/>
    </font>
    <font>
      <b/>
      <sz val="12"/>
      <color indexed="8"/>
      <name val="Arial"/>
      <family val="2"/>
    </font>
    <font>
      <sz val="12"/>
      <color indexed="9"/>
      <name val="Arial"/>
      <family val="2"/>
    </font>
    <font>
      <b/>
      <sz val="14"/>
      <color indexed="12"/>
      <name val="Arial"/>
      <family val="2"/>
    </font>
    <font>
      <b/>
      <sz val="12"/>
      <name val="新細明體"/>
      <family val="1"/>
      <charset val="136"/>
    </font>
    <font>
      <b/>
      <sz val="12"/>
      <name val="細明體"/>
      <family val="3"/>
      <charset val="136"/>
    </font>
    <font>
      <b/>
      <sz val="16"/>
      <name val="新細明體"/>
      <family val="1"/>
      <charset val="136"/>
    </font>
    <font>
      <b/>
      <sz val="16"/>
      <name val="Arial"/>
      <family val="2"/>
    </font>
    <font>
      <b/>
      <sz val="10"/>
      <name val="Arial"/>
      <family val="2"/>
    </font>
    <font>
      <sz val="9"/>
      <name val="Arial"/>
      <family val="2"/>
    </font>
    <font>
      <b/>
      <sz val="9"/>
      <name val="Arial"/>
      <family val="2"/>
    </font>
    <font>
      <sz val="12"/>
      <color indexed="10"/>
      <name val="Arial"/>
      <family val="2"/>
    </font>
    <font>
      <b/>
      <sz val="12"/>
      <color indexed="8"/>
      <name val="細明體"/>
      <family val="3"/>
      <charset val="136"/>
    </font>
    <font>
      <b/>
      <sz val="12"/>
      <color indexed="10"/>
      <name val="細明體"/>
      <family val="3"/>
      <charset val="136"/>
    </font>
    <font>
      <b/>
      <sz val="12"/>
      <color indexed="12"/>
      <name val="新細明體"/>
      <family val="1"/>
      <charset val="136"/>
    </font>
    <font>
      <sz val="9"/>
      <name val="細明體"/>
      <family val="3"/>
      <charset val="136"/>
    </font>
    <font>
      <sz val="10"/>
      <name val="細明體"/>
      <family val="3"/>
      <charset val="136"/>
    </font>
    <font>
      <sz val="9"/>
      <color indexed="9"/>
      <name val="新細明體"/>
      <family val="1"/>
      <charset val="136"/>
    </font>
    <font>
      <sz val="10"/>
      <color indexed="9"/>
      <name val="Arial"/>
      <family val="2"/>
    </font>
    <font>
      <b/>
      <sz val="8"/>
      <name val="Arial"/>
      <family val="2"/>
    </font>
    <font>
      <sz val="8"/>
      <name val="Arial"/>
      <family val="2"/>
    </font>
    <font>
      <sz val="10"/>
      <name val="新細明體"/>
      <family val="1"/>
      <charset val="136"/>
    </font>
    <font>
      <b/>
      <sz val="9"/>
      <color indexed="81"/>
      <name val="新細明體"/>
      <family val="1"/>
      <charset val="136"/>
    </font>
    <font>
      <sz val="12"/>
      <color indexed="18"/>
      <name val="Arial"/>
      <family val="2"/>
    </font>
    <font>
      <sz val="9"/>
      <color indexed="9"/>
      <name val="Arial"/>
      <family val="2"/>
    </font>
    <font>
      <sz val="8"/>
      <color indexed="8"/>
      <name val="Arial"/>
      <family val="2"/>
    </font>
    <font>
      <b/>
      <sz val="24"/>
      <name val="標楷體"/>
      <family val="4"/>
      <charset val="136"/>
    </font>
    <font>
      <b/>
      <sz val="24"/>
      <name val="Arial"/>
      <family val="2"/>
    </font>
    <font>
      <sz val="9"/>
      <color indexed="8"/>
      <name val="新細明體"/>
      <family val="1"/>
      <charset val="136"/>
    </font>
    <font>
      <b/>
      <sz val="12"/>
      <color indexed="10"/>
      <name val="新細明體"/>
      <family val="1"/>
      <charset val="136"/>
    </font>
    <font>
      <sz val="10"/>
      <color indexed="10"/>
      <name val="新細明體"/>
      <family val="1"/>
      <charset val="136"/>
    </font>
    <font>
      <b/>
      <sz val="9"/>
      <color indexed="8"/>
      <name val="細明體"/>
      <family val="3"/>
      <charset val="136"/>
    </font>
    <font>
      <b/>
      <sz val="9"/>
      <color indexed="10"/>
      <name val="細明體"/>
      <family val="3"/>
      <charset val="136"/>
    </font>
    <font>
      <b/>
      <sz val="9"/>
      <color indexed="12"/>
      <name val="細明體"/>
      <family val="3"/>
      <charset val="136"/>
    </font>
    <font>
      <b/>
      <sz val="9"/>
      <name val="細明體"/>
      <family val="3"/>
      <charset val="136"/>
    </font>
    <font>
      <b/>
      <sz val="14"/>
      <name val="標楷體"/>
      <family val="4"/>
      <charset val="136"/>
    </font>
    <font>
      <b/>
      <sz val="10"/>
      <color indexed="9"/>
      <name val="Arial"/>
      <family val="2"/>
    </font>
    <font>
      <b/>
      <sz val="9"/>
      <color indexed="9"/>
      <name val="Arial"/>
      <family val="2"/>
    </font>
    <font>
      <b/>
      <u/>
      <sz val="9"/>
      <color indexed="10"/>
      <name val="細明體"/>
      <family val="3"/>
      <charset val="136"/>
    </font>
    <font>
      <b/>
      <sz val="10"/>
      <color indexed="10"/>
      <name val="細明體"/>
      <family val="3"/>
      <charset val="136"/>
    </font>
    <font>
      <sz val="9"/>
      <color indexed="12"/>
      <name val="細明體"/>
      <family val="3"/>
      <charset val="136"/>
    </font>
    <font>
      <sz val="9"/>
      <color indexed="10"/>
      <name val="細明體"/>
      <family val="3"/>
      <charset val="136"/>
    </font>
    <font>
      <b/>
      <sz val="9"/>
      <color indexed="10"/>
      <name val="Arial"/>
      <family val="2"/>
    </font>
    <font>
      <b/>
      <sz val="12"/>
      <name val="標楷體"/>
      <family val="4"/>
      <charset val="136"/>
    </font>
    <font>
      <b/>
      <sz val="18"/>
      <name val="標楷體"/>
      <family val="4"/>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7"/>
      <name val="Arial"/>
      <family val="2"/>
    </font>
    <font>
      <b/>
      <sz val="11"/>
      <color indexed="8"/>
      <name val="新細明體"/>
      <family val="1"/>
      <charset val="136"/>
    </font>
    <font>
      <sz val="11"/>
      <color indexed="10"/>
      <name val="新細明體"/>
      <family val="1"/>
      <charset val="136"/>
    </font>
    <font>
      <sz val="12"/>
      <color indexed="8"/>
      <name val="新細明體"/>
      <family val="1"/>
      <charset val="136"/>
    </font>
    <font>
      <sz val="9"/>
      <color indexed="8"/>
      <name val="新細明體"/>
      <family val="1"/>
      <charset val="136"/>
    </font>
    <font>
      <sz val="12"/>
      <color indexed="8"/>
      <name val="新細明體"/>
      <family val="1"/>
      <charset val="136"/>
    </font>
    <font>
      <sz val="9"/>
      <color indexed="8"/>
      <name val="新細明體"/>
      <family val="1"/>
      <charset val="136"/>
    </font>
    <font>
      <b/>
      <sz val="10"/>
      <color indexed="12"/>
      <name val="細明體"/>
      <family val="3"/>
      <charset val="136"/>
    </font>
    <font>
      <b/>
      <sz val="8"/>
      <name val="細明體"/>
      <family val="3"/>
      <charset val="136"/>
    </font>
    <font>
      <sz val="8"/>
      <name val="新細明體"/>
      <family val="1"/>
      <charset val="136"/>
    </font>
    <font>
      <sz val="12"/>
      <color indexed="8"/>
      <name val="新細明體"/>
      <family val="1"/>
      <charset val="136"/>
    </font>
    <font>
      <sz val="10"/>
      <name val="新細明體"/>
      <family val="1"/>
      <charset val="136"/>
    </font>
    <font>
      <sz val="9"/>
      <name val="新細明體"/>
      <family val="1"/>
      <charset val="136"/>
    </font>
    <font>
      <sz val="12"/>
      <color indexed="8"/>
      <name val="新細明體"/>
      <family val="1"/>
      <charset val="136"/>
    </font>
    <font>
      <sz val="9"/>
      <color indexed="8"/>
      <name val="新細明體"/>
      <family val="1"/>
      <charset val="136"/>
    </font>
    <font>
      <sz val="12"/>
      <color indexed="8"/>
      <name val="新細明體"/>
      <family val="1"/>
      <charset val="136"/>
    </font>
    <font>
      <sz val="9"/>
      <color indexed="8"/>
      <name val="新細明體"/>
      <family val="1"/>
      <charset val="136"/>
    </font>
    <font>
      <b/>
      <sz val="9"/>
      <color rgb="FF0000FF"/>
      <name val="細明體"/>
      <family val="3"/>
      <charset val="136"/>
    </font>
    <font>
      <b/>
      <sz val="12"/>
      <color rgb="FFFF0000"/>
      <name val="Arial"/>
      <family val="2"/>
    </font>
    <font>
      <sz val="10"/>
      <color rgb="FFFF0000"/>
      <name val="新細明體"/>
      <family val="1"/>
      <charset val="136"/>
    </font>
    <font>
      <sz val="10"/>
      <color theme="0"/>
      <name val="新細明體"/>
      <family val="1"/>
      <charset val="136"/>
    </font>
    <font>
      <sz val="12"/>
      <color theme="0"/>
      <name val="Arial"/>
      <family val="2"/>
    </font>
    <font>
      <b/>
      <sz val="12"/>
      <color theme="0"/>
      <name val="Arial"/>
      <family val="2"/>
    </font>
    <font>
      <b/>
      <sz val="12"/>
      <color rgb="FFFF0000"/>
      <name val="新細明體"/>
      <family val="1"/>
      <charset val="136"/>
    </font>
    <font>
      <sz val="9"/>
      <color theme="0"/>
      <name val="新細明體"/>
      <family val="1"/>
      <charset val="136"/>
    </font>
    <font>
      <sz val="12"/>
      <color theme="0"/>
      <name val="新細明體"/>
      <family val="1"/>
      <charset val="136"/>
    </font>
    <font>
      <b/>
      <sz val="12"/>
      <color theme="0"/>
      <name val="新細明體"/>
      <family val="1"/>
      <charset val="136"/>
    </font>
    <font>
      <b/>
      <sz val="10"/>
      <color theme="0"/>
      <name val="新細明體"/>
      <family val="1"/>
      <charset val="136"/>
    </font>
    <font>
      <sz val="10"/>
      <color theme="0" tint="-4.9989318521683403E-2"/>
      <name val="新細明體"/>
      <family val="1"/>
      <charset val="136"/>
    </font>
    <font>
      <b/>
      <sz val="10"/>
      <color rgb="FF0000FF"/>
      <name val="細明體"/>
      <family val="3"/>
      <charset val="136"/>
    </font>
    <font>
      <b/>
      <sz val="11"/>
      <color rgb="FFFF0000"/>
      <name val="新細明體"/>
      <family val="1"/>
      <charset val="136"/>
    </font>
    <font>
      <b/>
      <sz val="14"/>
      <color rgb="FFFF0000"/>
      <name val="Arial"/>
      <family val="2"/>
    </font>
    <font>
      <b/>
      <sz val="10"/>
      <color rgb="FFFF0000"/>
      <name val="新細明體"/>
      <family val="1"/>
      <charset val="136"/>
    </font>
    <font>
      <sz val="9"/>
      <color rgb="FFFF0000"/>
      <name val="新細明體"/>
      <family val="1"/>
      <charset val="136"/>
    </font>
    <font>
      <sz val="12"/>
      <color rgb="FFFF0000"/>
      <name val="新細明體"/>
      <family val="1"/>
      <charset val="136"/>
    </font>
    <font>
      <b/>
      <sz val="12"/>
      <color rgb="FF0000FF"/>
      <name val="Arial"/>
      <family val="2"/>
    </font>
    <font>
      <b/>
      <sz val="10"/>
      <color indexed="10"/>
      <name val="新細明體"/>
      <family val="1"/>
      <charset val="136"/>
    </font>
    <font>
      <sz val="12"/>
      <color indexed="12"/>
      <name val="Arial"/>
      <family val="2"/>
    </font>
    <font>
      <b/>
      <sz val="12"/>
      <color rgb="FF0000FF"/>
      <name val="細明體"/>
      <family val="3"/>
      <charset val="136"/>
    </font>
    <font>
      <b/>
      <sz val="9"/>
      <color theme="0"/>
      <name val="細明體"/>
      <family val="3"/>
      <charset val="136"/>
    </font>
    <font>
      <sz val="9"/>
      <color indexed="9"/>
      <name val="細明體"/>
      <family val="3"/>
      <charset val="136"/>
    </font>
    <font>
      <sz val="8"/>
      <name val="細明體"/>
      <family val="3"/>
      <charset val="136"/>
    </font>
    <font>
      <b/>
      <sz val="9"/>
      <color indexed="9"/>
      <name val="細明體"/>
      <family val="3"/>
      <charset val="136"/>
    </font>
    <font>
      <b/>
      <sz val="10"/>
      <color indexed="9"/>
      <name val="細明體"/>
      <family val="3"/>
      <charset val="136"/>
    </font>
    <font>
      <sz val="8"/>
      <color indexed="8"/>
      <name val="細明體"/>
      <family val="3"/>
      <charset val="136"/>
    </font>
    <font>
      <b/>
      <sz val="12"/>
      <color indexed="12"/>
      <name val="細明體"/>
      <family val="3"/>
      <charset val="136"/>
    </font>
    <font>
      <sz val="12"/>
      <color indexed="9"/>
      <name val="細明體"/>
      <family val="3"/>
      <charset val="136"/>
    </font>
    <font>
      <b/>
      <sz val="9"/>
      <color indexed="8"/>
      <name val="Arial"/>
      <family val="2"/>
    </font>
    <font>
      <b/>
      <sz val="12"/>
      <color theme="1"/>
      <name val="細明體"/>
      <family val="3"/>
      <charset val="136"/>
    </font>
    <font>
      <sz val="10"/>
      <color theme="1"/>
      <name val="細明體"/>
      <family val="3"/>
      <charset val="136"/>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53"/>
        <bgColor indexed="64"/>
      </patternFill>
    </fill>
    <fill>
      <patternFill patternType="solid">
        <fgColor indexed="10"/>
        <bgColor indexed="64"/>
      </patternFill>
    </fill>
    <fill>
      <patternFill patternType="solid">
        <fgColor indexed="37"/>
        <bgColor indexed="64"/>
      </patternFill>
    </fill>
    <fill>
      <patternFill patternType="solid">
        <fgColor indexed="22"/>
        <bgColor indexed="0"/>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6" tint="0.79995117038483843"/>
        <bgColor indexed="64"/>
      </patternFill>
    </fill>
    <fill>
      <patternFill patternType="solid">
        <fgColor theme="8" tint="0.79995117038483843"/>
        <bgColor indexed="64"/>
      </patternFill>
    </fill>
  </fills>
  <borders count="6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ck">
        <color indexed="48"/>
      </top>
      <bottom/>
      <diagonal/>
    </border>
    <border>
      <left/>
      <right style="thin">
        <color indexed="9"/>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double">
        <color indexed="10"/>
      </left>
      <right style="double">
        <color indexed="10"/>
      </right>
      <top style="double">
        <color indexed="10"/>
      </top>
      <bottom style="thin">
        <color indexed="10"/>
      </bottom>
      <diagonal/>
    </border>
    <border>
      <left/>
      <right style="thin">
        <color indexed="64"/>
      </right>
      <top style="thin">
        <color indexed="64"/>
      </top>
      <bottom style="thin">
        <color indexed="64"/>
      </bottom>
      <diagonal/>
    </border>
    <border>
      <left style="double">
        <color indexed="53"/>
      </left>
      <right style="double">
        <color indexed="53"/>
      </right>
      <top style="thin">
        <color indexed="10"/>
      </top>
      <bottom style="thin">
        <color indexed="53"/>
      </bottom>
      <diagonal/>
    </border>
    <border>
      <left style="double">
        <color indexed="53"/>
      </left>
      <right style="double">
        <color indexed="53"/>
      </right>
      <top style="thin">
        <color indexed="53"/>
      </top>
      <bottom style="thin">
        <color indexed="53"/>
      </bottom>
      <diagonal/>
    </border>
    <border>
      <left/>
      <right/>
      <top style="thin">
        <color indexed="64"/>
      </top>
      <bottom/>
      <diagonal/>
    </border>
    <border>
      <left style="double">
        <color indexed="48"/>
      </left>
      <right style="double">
        <color indexed="48"/>
      </right>
      <top style="thin">
        <color indexed="48"/>
      </top>
      <bottom style="double">
        <color indexed="48"/>
      </bottom>
      <diagonal/>
    </border>
    <border>
      <left style="thin">
        <color indexed="64"/>
      </left>
      <right/>
      <top style="thin">
        <color indexed="64"/>
      </top>
      <bottom style="thin">
        <color indexed="64"/>
      </bottom>
      <diagonal/>
    </border>
    <border>
      <left/>
      <right/>
      <top/>
      <bottom style="thick">
        <color indexed="58"/>
      </bottom>
      <diagonal/>
    </border>
    <border>
      <left style="double">
        <color indexed="53"/>
      </left>
      <right style="double">
        <color indexed="53"/>
      </right>
      <top style="thin">
        <color indexed="53"/>
      </top>
      <bottom/>
      <diagonal/>
    </border>
    <border>
      <left style="double">
        <color indexed="48"/>
      </left>
      <right style="double">
        <color indexed="48"/>
      </right>
      <top/>
      <bottom style="thin">
        <color indexed="48"/>
      </bottom>
      <diagonal/>
    </border>
    <border>
      <left style="thin">
        <color indexed="9"/>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medium">
        <color indexed="64"/>
      </right>
      <top/>
      <bottom style="thick">
        <color indexed="58"/>
      </bottom>
      <diagonal/>
    </border>
    <border>
      <left/>
      <right style="medium">
        <color indexed="64"/>
      </right>
      <top style="medium">
        <color indexed="64"/>
      </top>
      <bottom/>
      <diagonal/>
    </border>
    <border>
      <left style="medium">
        <color indexed="64"/>
      </left>
      <right/>
      <top/>
      <bottom style="thick">
        <color indexed="58"/>
      </bottom>
      <diagonal/>
    </border>
    <border>
      <left style="medium">
        <color indexed="64"/>
      </left>
      <right/>
      <top style="thick">
        <color indexed="48"/>
      </top>
      <bottom/>
      <diagonal/>
    </border>
    <border>
      <left/>
      <right style="medium">
        <color indexed="64"/>
      </right>
      <top style="thick">
        <color indexed="48"/>
      </top>
      <bottom/>
      <diagonal/>
    </border>
    <border>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top/>
      <bottom style="medium">
        <color indexed="64"/>
      </bottom>
      <diagonal/>
    </border>
    <border>
      <left style="medium">
        <color indexed="18"/>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18"/>
      </left>
      <right/>
      <top style="medium">
        <color indexed="18"/>
      </top>
      <bottom style="medium">
        <color indexed="18"/>
      </bottom>
      <diagonal/>
    </border>
    <border>
      <left/>
      <right/>
      <top style="medium">
        <color indexed="18"/>
      </top>
      <bottom style="medium">
        <color indexed="18"/>
      </bottom>
      <diagonal/>
    </border>
    <border>
      <left/>
      <right style="medium">
        <color indexed="18"/>
      </right>
      <top style="medium">
        <color indexed="18"/>
      </top>
      <bottom style="medium">
        <color indexed="18"/>
      </bottom>
      <diagonal/>
    </border>
    <border>
      <left style="thin">
        <color indexed="64"/>
      </left>
      <right/>
      <top/>
      <bottom/>
      <diagonal/>
    </border>
    <border>
      <left/>
      <right style="thin">
        <color indexed="64"/>
      </right>
      <top/>
      <bottom/>
      <diagonal/>
    </border>
    <border>
      <left style="medium">
        <color theme="3" tint="-0.499984740745262"/>
      </left>
      <right/>
      <top/>
      <bottom/>
      <diagonal/>
    </border>
    <border>
      <left/>
      <right/>
      <top style="medium">
        <color theme="4" tint="-0.499984740745262"/>
      </top>
      <bottom/>
      <diagonal/>
    </border>
    <border>
      <left/>
      <right/>
      <top style="medium">
        <color theme="3" tint="-0.499984740745262"/>
      </top>
      <bottom/>
      <diagonal/>
    </border>
    <border>
      <left style="medium">
        <color indexed="64"/>
      </left>
      <right/>
      <top style="medium">
        <color theme="3" tint="-0.499984740745262"/>
      </top>
      <bottom/>
      <diagonal/>
    </border>
    <border>
      <left/>
      <right style="medium">
        <color indexed="64"/>
      </right>
      <top style="medium">
        <color theme="3" tint="-0.499984740745262"/>
      </top>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right/>
      <top style="medium">
        <color theme="3" tint="-0.499984740745262"/>
      </top>
      <bottom style="medium">
        <color theme="3" tint="-0.499984740745262"/>
      </bottom>
      <diagonal/>
    </border>
    <border>
      <left/>
      <right/>
      <top style="thin">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6">
    <xf numFmtId="0" fontId="0" fillId="0" borderId="0"/>
    <xf numFmtId="0" fontId="5" fillId="0" borderId="0"/>
    <xf numFmtId="0" fontId="5" fillId="0" borderId="0"/>
    <xf numFmtId="0" fontId="5" fillId="0" borderId="0"/>
    <xf numFmtId="0" fontId="8" fillId="0" borderId="0"/>
    <xf numFmtId="0" fontId="72" fillId="2" borderId="0" applyNumberFormat="0" applyBorder="0" applyAlignment="0" applyProtection="0">
      <alignment vertical="center"/>
    </xf>
    <xf numFmtId="0" fontId="72" fillId="3" borderId="0" applyNumberFormat="0" applyBorder="0" applyAlignment="0" applyProtection="0">
      <alignment vertical="center"/>
    </xf>
    <xf numFmtId="0" fontId="72" fillId="4" borderId="0" applyNumberFormat="0" applyBorder="0" applyAlignment="0" applyProtection="0">
      <alignment vertical="center"/>
    </xf>
    <xf numFmtId="0" fontId="72" fillId="5" borderId="0" applyNumberFormat="0" applyBorder="0" applyAlignment="0" applyProtection="0">
      <alignment vertical="center"/>
    </xf>
    <xf numFmtId="0" fontId="72" fillId="6" borderId="0" applyNumberFormat="0" applyBorder="0" applyAlignment="0" applyProtection="0">
      <alignment vertical="center"/>
    </xf>
    <xf numFmtId="0" fontId="72" fillId="7" borderId="0" applyNumberFormat="0" applyBorder="0" applyAlignment="0" applyProtection="0">
      <alignment vertical="center"/>
    </xf>
    <xf numFmtId="0" fontId="72" fillId="8" borderId="0" applyNumberFormat="0" applyBorder="0" applyAlignment="0" applyProtection="0">
      <alignment vertical="center"/>
    </xf>
    <xf numFmtId="0" fontId="72" fillId="9" borderId="0" applyNumberFormat="0" applyBorder="0" applyAlignment="0" applyProtection="0">
      <alignment vertical="center"/>
    </xf>
    <xf numFmtId="0" fontId="72" fillId="10" borderId="0" applyNumberFormat="0" applyBorder="0" applyAlignment="0" applyProtection="0">
      <alignment vertical="center"/>
    </xf>
    <xf numFmtId="0" fontId="72" fillId="5" borderId="0" applyNumberFormat="0" applyBorder="0" applyAlignment="0" applyProtection="0">
      <alignment vertical="center"/>
    </xf>
    <xf numFmtId="0" fontId="72" fillId="8"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3" fillId="9" borderId="0" applyNumberFormat="0" applyBorder="0" applyAlignment="0" applyProtection="0">
      <alignment vertical="center"/>
    </xf>
    <xf numFmtId="0" fontId="73" fillId="10" borderId="0" applyNumberFormat="0" applyBorder="0" applyAlignment="0" applyProtection="0">
      <alignment vertical="center"/>
    </xf>
    <xf numFmtId="0" fontId="73" fillId="13" borderId="0" applyNumberFormat="0" applyBorder="0" applyAlignment="0" applyProtection="0">
      <alignment vertical="center"/>
    </xf>
    <xf numFmtId="0" fontId="73"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3" fillId="17" borderId="0" applyNumberFormat="0" applyBorder="0" applyAlignment="0" applyProtection="0">
      <alignment vertical="center"/>
    </xf>
    <xf numFmtId="0" fontId="73" fillId="18" borderId="0" applyNumberFormat="0" applyBorder="0" applyAlignment="0" applyProtection="0">
      <alignment vertical="center"/>
    </xf>
    <xf numFmtId="0" fontId="73" fillId="13" borderId="0" applyNumberFormat="0" applyBorder="0" applyAlignment="0" applyProtection="0">
      <alignment vertical="center"/>
    </xf>
    <xf numFmtId="0" fontId="73" fillId="14" borderId="0" applyNumberFormat="0" applyBorder="0" applyAlignment="0" applyProtection="0">
      <alignment vertical="center"/>
    </xf>
    <xf numFmtId="0" fontId="73" fillId="19" borderId="0" applyNumberFormat="0" applyBorder="0" applyAlignment="0" applyProtection="0">
      <alignment vertical="center"/>
    </xf>
    <xf numFmtId="0" fontId="74" fillId="3" borderId="0" applyNumberFormat="0" applyBorder="0" applyAlignment="0" applyProtection="0">
      <alignment vertical="center"/>
    </xf>
    <xf numFmtId="0" fontId="75" fillId="20" borderId="1" applyNumberFormat="0" applyAlignment="0" applyProtection="0">
      <alignment vertical="center"/>
    </xf>
    <xf numFmtId="0" fontId="76" fillId="21" borderId="2" applyNumberFormat="0" applyAlignment="0" applyProtection="0">
      <alignment vertical="center"/>
    </xf>
    <xf numFmtId="0" fontId="77" fillId="0" borderId="0" applyNumberFormat="0" applyFill="0" applyBorder="0" applyAlignment="0" applyProtection="0">
      <alignment vertical="center"/>
    </xf>
    <xf numFmtId="0" fontId="78" fillId="4" borderId="0" applyNumberFormat="0" applyBorder="0" applyAlignment="0" applyProtection="0">
      <alignment vertical="center"/>
    </xf>
    <xf numFmtId="0" fontId="69" fillId="0" borderId="3" applyNumberFormat="0" applyFill="0" applyAlignment="0" applyProtection="0">
      <alignment vertical="center"/>
    </xf>
    <xf numFmtId="0" fontId="70" fillId="0" borderId="4" applyNumberFormat="0" applyFill="0" applyAlignment="0" applyProtection="0">
      <alignment vertical="center"/>
    </xf>
    <xf numFmtId="0" fontId="71" fillId="0" borderId="5" applyNumberFormat="0" applyFill="0" applyAlignment="0" applyProtection="0">
      <alignment vertical="center"/>
    </xf>
    <xf numFmtId="0" fontId="71" fillId="0" borderId="0" applyNumberFormat="0" applyFill="0" applyBorder="0" applyAlignment="0" applyProtection="0">
      <alignment vertical="center"/>
    </xf>
    <xf numFmtId="0" fontId="79" fillId="7" borderId="1" applyNumberFormat="0" applyAlignment="0" applyProtection="0">
      <alignment vertical="center"/>
    </xf>
    <xf numFmtId="0" fontId="80" fillId="0" borderId="6" applyNumberFormat="0" applyFill="0" applyAlignment="0" applyProtection="0">
      <alignment vertical="center"/>
    </xf>
    <xf numFmtId="0" fontId="81" fillId="22" borderId="0" applyNumberFormat="0" applyBorder="0" applyAlignment="0" applyProtection="0">
      <alignment vertical="center"/>
    </xf>
    <xf numFmtId="0" fontId="8" fillId="23" borderId="7" applyNumberFormat="0" applyFont="0" applyAlignment="0" applyProtection="0">
      <alignment vertical="center"/>
    </xf>
    <xf numFmtId="0" fontId="82" fillId="20" borderId="8" applyNumberFormat="0" applyAlignment="0" applyProtection="0">
      <alignment vertical="center"/>
    </xf>
    <xf numFmtId="0" fontId="83" fillId="24" borderId="0">
      <alignment vertical="center"/>
      <protection hidden="1"/>
    </xf>
    <xf numFmtId="0" fontId="68" fillId="0" borderId="0" applyNumberFormat="0" applyFill="0" applyBorder="0" applyAlignment="0" applyProtection="0">
      <alignment vertical="center"/>
    </xf>
    <xf numFmtId="0" fontId="84" fillId="0" borderId="9" applyNumberFormat="0" applyFill="0" applyAlignment="0" applyProtection="0">
      <alignment vertical="center"/>
    </xf>
    <xf numFmtId="0" fontId="85" fillId="0" borderId="0" applyNumberFormat="0" applyFill="0" applyBorder="0" applyAlignment="0" applyProtection="0">
      <alignment vertical="center"/>
    </xf>
    <xf numFmtId="0" fontId="5" fillId="0" borderId="0">
      <alignment vertical="center"/>
    </xf>
    <xf numFmtId="0" fontId="11" fillId="0" borderId="0">
      <alignment vertical="center"/>
    </xf>
    <xf numFmtId="0" fontId="5" fillId="0" borderId="0"/>
    <xf numFmtId="0" fontId="11" fillId="0" borderId="0">
      <alignment vertical="center"/>
    </xf>
    <xf numFmtId="0" fontId="11" fillId="0" borderId="0">
      <alignment vertical="center"/>
    </xf>
    <xf numFmtId="0" fontId="8" fillId="0" borderId="0">
      <alignment vertical="center"/>
    </xf>
    <xf numFmtId="0" fontId="15" fillId="0" borderId="0"/>
    <xf numFmtId="0" fontId="15" fillId="0" borderId="0"/>
    <xf numFmtId="0" fontId="86" fillId="0" borderId="0"/>
    <xf numFmtId="0" fontId="98" fillId="0" borderId="0"/>
    <xf numFmtId="0" fontId="15" fillId="0" borderId="0"/>
    <xf numFmtId="0" fontId="15" fillId="0" borderId="0"/>
    <xf numFmtId="0" fontId="93" fillId="0" borderId="0"/>
    <xf numFmtId="0" fontId="15" fillId="0" borderId="0"/>
    <xf numFmtId="0" fontId="88" fillId="0" borderId="0"/>
    <xf numFmtId="0" fontId="15" fillId="0" borderId="0"/>
    <xf numFmtId="0" fontId="96" fillId="0" borderId="0"/>
    <xf numFmtId="0" fontId="98" fillId="0" borderId="0"/>
    <xf numFmtId="0" fontId="11" fillId="0" borderId="0">
      <alignment vertical="center"/>
    </xf>
    <xf numFmtId="0" fontId="11" fillId="0" borderId="0">
      <alignment vertical="center"/>
    </xf>
    <xf numFmtId="0" fontId="8" fillId="0" borderId="0"/>
    <xf numFmtId="0" fontId="15" fillId="0" borderId="0"/>
    <xf numFmtId="0" fontId="86" fillId="0" borderId="0"/>
    <xf numFmtId="0" fontId="15" fillId="0" borderId="0"/>
    <xf numFmtId="0" fontId="88" fillId="0" borderId="0"/>
    <xf numFmtId="0" fontId="15" fillId="0" borderId="0"/>
    <xf numFmtId="0" fontId="15" fillId="0" borderId="0"/>
    <xf numFmtId="177" fontId="5" fillId="0" borderId="0" applyFont="0" applyFill="0" applyBorder="0" applyAlignment="0" applyProtection="0"/>
    <xf numFmtId="176" fontId="5" fillId="0" borderId="0" applyFont="0" applyFill="0" applyBorder="0" applyAlignment="0" applyProtection="0"/>
    <xf numFmtId="0" fontId="78" fillId="4" borderId="0" applyNumberFormat="0" applyBorder="0" applyAlignment="0" applyProtection="0">
      <alignment vertical="center"/>
    </xf>
    <xf numFmtId="0" fontId="6" fillId="0" borderId="0" applyNumberFormat="0" applyFill="0" applyBorder="0" applyAlignment="0" applyProtection="0"/>
    <xf numFmtId="0" fontId="11" fillId="0" borderId="0"/>
    <xf numFmtId="0" fontId="90" fillId="0" borderId="0">
      <alignment vertical="center"/>
      <protection hidden="1"/>
    </xf>
    <xf numFmtId="0" fontId="74" fillId="3" borderId="0" applyNumberFormat="0" applyBorder="0" applyAlignment="0" applyProtection="0">
      <alignment vertical="center"/>
    </xf>
    <xf numFmtId="0" fontId="3" fillId="0" borderId="0">
      <alignment vertical="center"/>
    </xf>
    <xf numFmtId="0" fontId="2" fillId="0" borderId="0">
      <alignment vertical="center"/>
    </xf>
    <xf numFmtId="0" fontId="5" fillId="0" borderId="0"/>
    <xf numFmtId="0" fontId="1" fillId="0" borderId="0">
      <alignment vertical="center"/>
    </xf>
    <xf numFmtId="0" fontId="5" fillId="0" borderId="0"/>
  </cellStyleXfs>
  <cellXfs count="905">
    <xf numFmtId="0" fontId="0" fillId="0" borderId="0" xfId="0"/>
    <xf numFmtId="0" fontId="9" fillId="0" borderId="0" xfId="0" applyFont="1"/>
    <xf numFmtId="0" fontId="11" fillId="25" borderId="0" xfId="67" applyFont="1" applyFill="1" applyBorder="1" applyAlignment="1" applyProtection="1">
      <alignment vertical="center"/>
      <protection hidden="1"/>
    </xf>
    <xf numFmtId="0" fontId="11" fillId="0" borderId="0" xfId="67" applyFont="1" applyAlignment="1" applyProtection="1">
      <alignment vertical="center"/>
      <protection hidden="1"/>
    </xf>
    <xf numFmtId="0" fontId="12" fillId="25" borderId="0" xfId="67" applyFont="1" applyFill="1" applyBorder="1" applyAlignment="1" applyProtection="1">
      <alignment vertical="center"/>
      <protection hidden="1"/>
    </xf>
    <xf numFmtId="0" fontId="12" fillId="25" borderId="0" xfId="67" applyFont="1" applyFill="1" applyAlignment="1" applyProtection="1">
      <alignment vertical="center"/>
      <protection hidden="1"/>
    </xf>
    <xf numFmtId="181" fontId="12" fillId="25" borderId="0" xfId="67" applyNumberFormat="1" applyFont="1" applyFill="1" applyAlignment="1" applyProtection="1">
      <alignment vertical="center"/>
      <protection hidden="1"/>
    </xf>
    <xf numFmtId="0" fontId="0" fillId="0" borderId="0" xfId="0" applyProtection="1">
      <protection hidden="1"/>
    </xf>
    <xf numFmtId="0" fontId="4" fillId="0" borderId="0" xfId="0" applyFont="1" applyProtection="1">
      <protection hidden="1"/>
    </xf>
    <xf numFmtId="0" fontId="0" fillId="0" borderId="0" xfId="0" applyAlignment="1" applyProtection="1">
      <alignment horizontal="right"/>
      <protection hidden="1"/>
    </xf>
    <xf numFmtId="0" fontId="13" fillId="0" borderId="0" xfId="0" applyFont="1" applyProtection="1">
      <protection hidden="1"/>
    </xf>
    <xf numFmtId="0" fontId="7" fillId="0" borderId="0" xfId="0" applyFont="1" applyProtection="1">
      <protection hidden="1"/>
    </xf>
    <xf numFmtId="57" fontId="0" fillId="0" borderId="0" xfId="0" applyNumberFormat="1" applyAlignment="1" applyProtection="1">
      <alignment horizontal="center"/>
      <protection hidden="1"/>
    </xf>
    <xf numFmtId="0" fontId="8" fillId="0" borderId="0" xfId="0" applyFont="1" applyProtection="1">
      <protection hidden="1"/>
    </xf>
    <xf numFmtId="0" fontId="18" fillId="0" borderId="0" xfId="67" applyFont="1" applyFill="1" applyBorder="1" applyAlignment="1" applyProtection="1">
      <alignment horizontal="center" vertical="center"/>
      <protection hidden="1"/>
    </xf>
    <xf numFmtId="0" fontId="31" fillId="0" borderId="0" xfId="0" applyFont="1" applyProtection="1">
      <protection hidden="1"/>
    </xf>
    <xf numFmtId="185" fontId="4" fillId="0" borderId="0" xfId="0" applyNumberFormat="1" applyFont="1" applyAlignment="1" applyProtection="1">
      <alignment horizontal="left"/>
      <protection hidden="1"/>
    </xf>
    <xf numFmtId="0" fontId="4" fillId="0" borderId="0" xfId="0" applyFont="1" applyBorder="1" applyAlignment="1" applyProtection="1">
      <alignment horizontal="right"/>
      <protection hidden="1"/>
    </xf>
    <xf numFmtId="0" fontId="4" fillId="0" borderId="0" xfId="0" applyFont="1" applyAlignment="1" applyProtection="1">
      <alignment horizontal="right"/>
      <protection hidden="1"/>
    </xf>
    <xf numFmtId="0" fontId="4" fillId="0" borderId="0" xfId="0" applyFont="1" applyAlignment="1" applyProtection="1">
      <alignment horizontal="left"/>
      <protection hidden="1"/>
    </xf>
    <xf numFmtId="0" fontId="14" fillId="0" borderId="0" xfId="0" applyFont="1" applyAlignment="1" applyProtection="1">
      <alignment horizontal="right" shrinkToFit="1"/>
      <protection hidden="1"/>
    </xf>
    <xf numFmtId="0" fontId="9" fillId="0" borderId="10" xfId="0" applyFont="1" applyBorder="1"/>
    <xf numFmtId="0" fontId="0" fillId="0" borderId="0" xfId="0" applyAlignment="1" applyProtection="1">
      <alignment horizontal="center" vertical="center"/>
      <protection hidden="1"/>
    </xf>
    <xf numFmtId="0" fontId="40" fillId="0" borderId="0" xfId="0" applyFont="1" applyProtection="1">
      <protection hidden="1"/>
    </xf>
    <xf numFmtId="0" fontId="4" fillId="0" borderId="0" xfId="0" applyFont="1" applyAlignment="1" applyProtection="1">
      <alignment vertical="center"/>
      <protection hidden="1"/>
    </xf>
    <xf numFmtId="0" fontId="44" fillId="0" borderId="0" xfId="0" applyFont="1" applyAlignment="1" applyProtection="1">
      <alignment vertical="center"/>
      <protection hidden="1"/>
    </xf>
    <xf numFmtId="0" fontId="39" fillId="0" borderId="0" xfId="0" applyFont="1"/>
    <xf numFmtId="0" fontId="40" fillId="0" borderId="0" xfId="0" applyFont="1" applyBorder="1" applyProtection="1">
      <protection hidden="1"/>
    </xf>
    <xf numFmtId="0" fontId="41" fillId="0" borderId="0" xfId="0" applyFont="1" applyBorder="1" applyProtection="1">
      <protection hidden="1"/>
    </xf>
    <xf numFmtId="0" fontId="38" fillId="0" borderId="0" xfId="0" applyFont="1" applyBorder="1" applyProtection="1">
      <protection hidden="1"/>
    </xf>
    <xf numFmtId="0" fontId="8" fillId="0" borderId="0" xfId="0" applyFont="1" applyBorder="1" applyAlignment="1" applyProtection="1">
      <protection hidden="1"/>
    </xf>
    <xf numFmtId="0" fontId="27" fillId="0" borderId="0" xfId="67" applyFont="1" applyFill="1" applyBorder="1" applyAlignment="1" applyProtection="1">
      <alignment horizontal="center" vertical="center"/>
      <protection hidden="1"/>
    </xf>
    <xf numFmtId="0" fontId="17" fillId="0" borderId="0" xfId="67" applyFont="1" applyFill="1" applyBorder="1" applyAlignment="1" applyProtection="1">
      <alignment horizontal="center" vertical="center"/>
      <protection hidden="1"/>
    </xf>
    <xf numFmtId="183" fontId="19" fillId="0" borderId="0" xfId="67" applyNumberFormat="1" applyFont="1" applyFill="1" applyBorder="1" applyAlignment="1" applyProtection="1">
      <alignment horizontal="center" vertical="center"/>
      <protection hidden="1"/>
    </xf>
    <xf numFmtId="0" fontId="22" fillId="0" borderId="0" xfId="67" applyFont="1" applyFill="1" applyBorder="1" applyAlignment="1" applyProtection="1">
      <alignment horizontal="center" vertical="center" wrapText="1"/>
      <protection hidden="1"/>
    </xf>
    <xf numFmtId="0" fontId="13" fillId="0" borderId="0" xfId="0" applyFont="1" applyAlignment="1" applyProtection="1">
      <alignment vertical="center"/>
      <protection hidden="1"/>
    </xf>
    <xf numFmtId="0" fontId="30" fillId="0" borderId="0" xfId="67" applyFont="1" applyFill="1" applyBorder="1" applyAlignment="1" applyProtection="1">
      <alignment horizontal="center" vertical="center"/>
      <protection hidden="1"/>
    </xf>
    <xf numFmtId="0" fontId="9" fillId="0" borderId="0" xfId="67" applyFont="1" applyFill="1" applyBorder="1" applyAlignment="1" applyProtection="1">
      <alignment horizontal="center" vertical="center"/>
      <protection hidden="1"/>
    </xf>
    <xf numFmtId="188" fontId="19" fillId="0" borderId="0" xfId="67" applyNumberFormat="1" applyFont="1" applyFill="1" applyBorder="1" applyAlignment="1" applyProtection="1">
      <alignment horizontal="center" vertical="center"/>
      <protection hidden="1"/>
    </xf>
    <xf numFmtId="0" fontId="19" fillId="0" borderId="0" xfId="67" applyFont="1" applyFill="1" applyBorder="1" applyAlignment="1" applyProtection="1">
      <alignment horizontal="center" vertical="center"/>
      <protection hidden="1"/>
    </xf>
    <xf numFmtId="0" fontId="35" fillId="0" borderId="0" xfId="67" applyFont="1" applyFill="1" applyBorder="1" applyAlignment="1" applyProtection="1">
      <alignment horizontal="center" vertical="center" wrapText="1"/>
      <protection hidden="1"/>
    </xf>
    <xf numFmtId="0" fontId="34" fillId="0" borderId="0" xfId="67" applyFont="1" applyFill="1" applyBorder="1" applyAlignment="1" applyProtection="1">
      <alignment horizontal="center" vertical="center"/>
      <protection hidden="1"/>
    </xf>
    <xf numFmtId="0" fontId="23" fillId="0" borderId="0" xfId="67" applyFont="1" applyFill="1" applyBorder="1" applyAlignment="1" applyProtection="1">
      <alignment horizontal="center" vertical="center"/>
      <protection hidden="1"/>
    </xf>
    <xf numFmtId="0" fontId="22" fillId="0" borderId="0" xfId="67" applyFont="1" applyFill="1" applyBorder="1" applyAlignment="1" applyProtection="1">
      <alignment horizontal="center" vertical="center"/>
      <protection hidden="1"/>
    </xf>
    <xf numFmtId="0" fontId="25" fillId="0" borderId="0" xfId="67" applyFont="1" applyFill="1" applyBorder="1" applyAlignment="1" applyProtection="1">
      <alignment horizontal="center" vertical="center"/>
      <protection hidden="1"/>
    </xf>
    <xf numFmtId="0" fontId="28" fillId="0" borderId="0" xfId="67" applyFont="1" applyFill="1" applyBorder="1" applyAlignment="1" applyProtection="1">
      <alignment horizontal="right" vertical="center"/>
      <protection hidden="1"/>
    </xf>
    <xf numFmtId="0" fontId="9" fillId="0" borderId="0" xfId="67" applyFont="1" applyFill="1" applyBorder="1" applyAlignment="1" applyProtection="1">
      <alignment horizontal="right" vertical="center"/>
      <protection hidden="1"/>
    </xf>
    <xf numFmtId="0" fontId="17" fillId="0" borderId="0" xfId="67" applyFont="1" applyFill="1" applyBorder="1" applyAlignment="1" applyProtection="1">
      <alignment horizontal="right" vertical="center"/>
      <protection hidden="1"/>
    </xf>
    <xf numFmtId="0" fontId="11" fillId="0" borderId="0" xfId="67" applyFont="1" applyFill="1" applyBorder="1" applyAlignment="1" applyProtection="1">
      <alignment horizontal="center" vertical="center"/>
      <protection hidden="1"/>
    </xf>
    <xf numFmtId="179" fontId="19" fillId="0" borderId="0" xfId="67" applyNumberFormat="1" applyFont="1" applyFill="1" applyBorder="1" applyAlignment="1" applyProtection="1">
      <alignment horizontal="center" vertical="center"/>
      <protection hidden="1"/>
    </xf>
    <xf numFmtId="0" fontId="5" fillId="0" borderId="0" xfId="0" applyFont="1"/>
    <xf numFmtId="0" fontId="37" fillId="0" borderId="0" xfId="67" applyFont="1" applyFill="1" applyBorder="1" applyAlignment="1" applyProtection="1">
      <alignment horizontal="center" vertical="center" shrinkToFit="1"/>
      <protection hidden="1"/>
    </xf>
    <xf numFmtId="0" fontId="38" fillId="0" borderId="0" xfId="0" applyFont="1" applyProtection="1">
      <protection hidden="1"/>
    </xf>
    <xf numFmtId="0" fontId="47" fillId="0" borderId="0" xfId="0" applyFont="1" applyBorder="1" applyProtection="1">
      <protection hidden="1"/>
    </xf>
    <xf numFmtId="0" fontId="7" fillId="0" borderId="0" xfId="0" applyFont="1" applyBorder="1" applyProtection="1">
      <protection hidden="1"/>
    </xf>
    <xf numFmtId="0" fontId="43" fillId="0" borderId="0" xfId="0" applyFont="1" applyBorder="1" applyAlignment="1">
      <alignment wrapText="1"/>
    </xf>
    <xf numFmtId="10" fontId="48" fillId="0" borderId="0" xfId="0" applyNumberFormat="1" applyFont="1" applyBorder="1" applyAlignment="1">
      <alignment wrapText="1"/>
    </xf>
    <xf numFmtId="188" fontId="17" fillId="0" borderId="0" xfId="67" applyNumberFormat="1" applyFont="1" applyFill="1" applyBorder="1" applyAlignment="1" applyProtection="1">
      <alignment horizontal="center" vertical="center" shrinkToFit="1"/>
      <protection hidden="1"/>
    </xf>
    <xf numFmtId="0" fontId="31" fillId="0" borderId="10" xfId="0" applyFont="1" applyFill="1" applyBorder="1" applyAlignment="1" applyProtection="1">
      <alignment horizontal="center" vertical="center" shrinkToFit="1"/>
      <protection hidden="1"/>
    </xf>
    <xf numFmtId="0" fontId="30" fillId="0" borderId="0" xfId="67" applyFont="1" applyFill="1" applyBorder="1" applyAlignment="1" applyProtection="1">
      <alignment vertical="center"/>
      <protection hidden="1"/>
    </xf>
    <xf numFmtId="0" fontId="17" fillId="0" borderId="11" xfId="67" applyFont="1" applyFill="1" applyBorder="1" applyAlignment="1" applyProtection="1">
      <alignment horizontal="center" vertical="center"/>
      <protection hidden="1"/>
    </xf>
    <xf numFmtId="184" fontId="26" fillId="0" borderId="11" xfId="67" applyNumberFormat="1" applyFont="1" applyFill="1" applyBorder="1" applyAlignment="1" applyProtection="1">
      <alignment horizontal="center" vertical="center" shrinkToFit="1"/>
      <protection hidden="1"/>
    </xf>
    <xf numFmtId="0" fontId="11" fillId="0" borderId="10" xfId="65" applyBorder="1" applyAlignment="1">
      <alignment horizontal="center" vertical="center"/>
    </xf>
    <xf numFmtId="14" fontId="11" fillId="26" borderId="10" xfId="65" applyNumberFormat="1" applyFill="1" applyBorder="1" applyAlignment="1">
      <alignment horizontal="center" vertical="center"/>
    </xf>
    <xf numFmtId="181" fontId="11" fillId="0" borderId="10" xfId="65" applyNumberFormat="1" applyBorder="1" applyAlignment="1">
      <alignment horizontal="center" vertical="center"/>
    </xf>
    <xf numFmtId="181" fontId="11" fillId="0" borderId="10" xfId="65" applyNumberFormat="1" applyFill="1" applyBorder="1" applyAlignment="1">
      <alignment horizontal="center" vertical="center"/>
    </xf>
    <xf numFmtId="14" fontId="11" fillId="0" borderId="10" xfId="65" applyNumberFormat="1" applyBorder="1" applyAlignment="1">
      <alignment horizontal="center" vertical="center"/>
    </xf>
    <xf numFmtId="0" fontId="11" fillId="27" borderId="10" xfId="65" applyFill="1" applyBorder="1" applyAlignment="1">
      <alignment horizontal="center" vertical="center"/>
    </xf>
    <xf numFmtId="0" fontId="11" fillId="0" borderId="0" xfId="65">
      <alignment vertical="center"/>
    </xf>
    <xf numFmtId="185" fontId="20" fillId="0" borderId="12" xfId="67" applyNumberFormat="1" applyFont="1" applyFill="1" applyBorder="1" applyAlignment="1" applyProtection="1">
      <alignment horizontal="left" vertical="center"/>
      <protection hidden="1"/>
    </xf>
    <xf numFmtId="0" fontId="11" fillId="0" borderId="0" xfId="65" applyAlignment="1">
      <alignment horizontal="center" vertical="center"/>
    </xf>
    <xf numFmtId="0" fontId="11" fillId="0" borderId="0" xfId="65" applyFont="1">
      <alignment vertical="center"/>
    </xf>
    <xf numFmtId="0" fontId="11" fillId="0" borderId="10" xfId="65" applyBorder="1">
      <alignment vertical="center"/>
    </xf>
    <xf numFmtId="0" fontId="11" fillId="28" borderId="10" xfId="65" applyFill="1" applyBorder="1" applyAlignment="1">
      <alignment horizontal="center" vertical="center"/>
    </xf>
    <xf numFmtId="0" fontId="11" fillId="0" borderId="10" xfId="65" applyFill="1" applyBorder="1" applyAlignment="1">
      <alignment horizontal="center" vertical="center"/>
    </xf>
    <xf numFmtId="0" fontId="11" fillId="29" borderId="10" xfId="65" applyFill="1" applyBorder="1">
      <alignment vertical="center"/>
    </xf>
    <xf numFmtId="0" fontId="11" fillId="0" borderId="10" xfId="65" applyFont="1" applyBorder="1" applyAlignment="1">
      <alignment horizontal="center" vertical="center"/>
    </xf>
    <xf numFmtId="179" fontId="11" fillId="0" borderId="10" xfId="65" applyNumberFormat="1" applyBorder="1" applyAlignment="1">
      <alignment horizontal="center" vertical="center"/>
    </xf>
    <xf numFmtId="178" fontId="11" fillId="0" borderId="10" xfId="65" applyNumberFormat="1" applyBorder="1" applyAlignment="1">
      <alignment horizontal="center" vertical="center"/>
    </xf>
    <xf numFmtId="0" fontId="11" fillId="27" borderId="13" xfId="65" applyFill="1" applyBorder="1" applyAlignment="1">
      <alignment horizontal="center" vertical="center"/>
    </xf>
    <xf numFmtId="0" fontId="11" fillId="29" borderId="13" xfId="65" applyFill="1" applyBorder="1">
      <alignment vertical="center"/>
    </xf>
    <xf numFmtId="0" fontId="11" fillId="30" borderId="10" xfId="65" applyFill="1" applyBorder="1" applyAlignment="1">
      <alignment horizontal="center" vertical="center"/>
    </xf>
    <xf numFmtId="0" fontId="11" fillId="30" borderId="10" xfId="65" applyFill="1" applyBorder="1">
      <alignment vertical="center"/>
    </xf>
    <xf numFmtId="0" fontId="11" fillId="0" borderId="14" xfId="65" applyFont="1" applyFill="1" applyBorder="1" applyAlignment="1">
      <alignment horizontal="center" vertical="center"/>
    </xf>
    <xf numFmtId="0" fontId="11" fillId="0" borderId="15" xfId="65" applyFont="1" applyFill="1" applyBorder="1" applyAlignment="1">
      <alignment horizontal="center" vertical="center"/>
    </xf>
    <xf numFmtId="0" fontId="11" fillId="30" borderId="10" xfId="65" applyFont="1" applyFill="1" applyBorder="1" applyAlignment="1">
      <alignment horizontal="center" vertical="center"/>
    </xf>
    <xf numFmtId="0" fontId="11" fillId="27" borderId="16" xfId="65" applyFill="1" applyBorder="1" applyAlignment="1">
      <alignment horizontal="center" vertical="center"/>
    </xf>
    <xf numFmtId="0" fontId="11" fillId="29" borderId="16" xfId="65" applyFill="1" applyBorder="1">
      <alignment vertical="center"/>
    </xf>
    <xf numFmtId="0" fontId="11" fillId="30" borderId="0" xfId="65" applyFill="1" applyAlignment="1">
      <alignment horizontal="center" vertical="center"/>
    </xf>
    <xf numFmtId="0" fontId="11" fillId="30" borderId="0" xfId="65" applyFill="1" applyBorder="1">
      <alignment vertical="center"/>
    </xf>
    <xf numFmtId="0" fontId="11" fillId="28" borderId="10" xfId="65" applyFont="1" applyFill="1" applyBorder="1" applyAlignment="1">
      <alignment horizontal="center" vertical="center"/>
    </xf>
    <xf numFmtId="0" fontId="11" fillId="0" borderId="0" xfId="65" applyBorder="1">
      <alignment vertical="center"/>
    </xf>
    <xf numFmtId="0" fontId="11" fillId="0" borderId="0" xfId="65" applyFont="1" applyAlignment="1">
      <alignment horizontal="center" vertical="center"/>
    </xf>
    <xf numFmtId="0" fontId="11" fillId="0" borderId="0" xfId="0" applyFont="1" applyAlignment="1"/>
    <xf numFmtId="0" fontId="11" fillId="30" borderId="17" xfId="65" applyFill="1" applyBorder="1" applyAlignment="1">
      <alignment horizontal="center" vertical="center"/>
    </xf>
    <xf numFmtId="0" fontId="11" fillId="0" borderId="0" xfId="65" applyFill="1" applyAlignment="1">
      <alignment horizontal="center" vertical="center"/>
    </xf>
    <xf numFmtId="0" fontId="11" fillId="0" borderId="18" xfId="65" applyFill="1" applyBorder="1">
      <alignment vertical="center"/>
    </xf>
    <xf numFmtId="0" fontId="11" fillId="0" borderId="19" xfId="65" applyFill="1" applyBorder="1">
      <alignment vertical="center"/>
    </xf>
    <xf numFmtId="179" fontId="11" fillId="27" borderId="10" xfId="65" applyNumberFormat="1" applyFill="1" applyBorder="1" applyAlignment="1">
      <alignment horizontal="center" vertical="center"/>
    </xf>
    <xf numFmtId="0" fontId="11" fillId="30" borderId="0" xfId="65" applyFill="1" applyBorder="1" applyAlignment="1">
      <alignment horizontal="center" vertical="center"/>
    </xf>
    <xf numFmtId="179" fontId="11" fillId="0" borderId="0" xfId="65" applyNumberFormat="1" applyAlignment="1">
      <alignment horizontal="center" vertical="center"/>
    </xf>
    <xf numFmtId="0" fontId="11" fillId="0" borderId="0" xfId="65" applyFill="1" applyBorder="1">
      <alignment vertical="center"/>
    </xf>
    <xf numFmtId="0" fontId="11" fillId="0" borderId="13" xfId="65" applyBorder="1">
      <alignment vertical="center"/>
    </xf>
    <xf numFmtId="0" fontId="11" fillId="0" borderId="20" xfId="65" applyFill="1" applyBorder="1">
      <alignment vertical="center"/>
    </xf>
    <xf numFmtId="0" fontId="11" fillId="0" borderId="21" xfId="65" applyBorder="1">
      <alignment vertical="center"/>
    </xf>
    <xf numFmtId="178" fontId="11" fillId="0" borderId="22" xfId="65" applyNumberFormat="1" applyBorder="1" applyAlignment="1">
      <alignment horizontal="center" vertical="center"/>
    </xf>
    <xf numFmtId="0" fontId="11" fillId="0" borderId="23" xfId="65" applyFont="1" applyBorder="1">
      <alignment vertical="center"/>
    </xf>
    <xf numFmtId="0" fontId="11" fillId="0" borderId="0" xfId="65" applyFont="1" applyAlignment="1">
      <alignment horizontal="right" vertical="center"/>
    </xf>
    <xf numFmtId="0" fontId="11" fillId="0" borderId="24" xfId="65" applyBorder="1">
      <alignment vertical="center"/>
    </xf>
    <xf numFmtId="0" fontId="11" fillId="0" borderId="25" xfId="65" applyFill="1" applyBorder="1">
      <alignment vertical="center"/>
    </xf>
    <xf numFmtId="0" fontId="11" fillId="0" borderId="0" xfId="65" applyBorder="1" applyAlignment="1">
      <alignment horizontal="center" vertical="center"/>
    </xf>
    <xf numFmtId="10" fontId="11" fillId="0" borderId="0" xfId="65" applyNumberFormat="1" applyBorder="1" applyAlignment="1">
      <alignment horizontal="center" vertical="center"/>
    </xf>
    <xf numFmtId="0" fontId="11" fillId="0" borderId="26" xfId="65" applyBorder="1">
      <alignment vertical="center"/>
    </xf>
    <xf numFmtId="182" fontId="11" fillId="0" borderId="10" xfId="65" applyNumberFormat="1" applyFill="1" applyBorder="1" applyAlignment="1">
      <alignment horizontal="center" vertical="center"/>
    </xf>
    <xf numFmtId="0" fontId="11" fillId="0" borderId="27" xfId="65" applyBorder="1" applyAlignment="1">
      <alignment horizontal="center" vertical="center"/>
    </xf>
    <xf numFmtId="10" fontId="11" fillId="28" borderId="10" xfId="65" applyNumberFormat="1" applyFill="1" applyBorder="1" applyAlignment="1">
      <alignment horizontal="center" vertical="center"/>
    </xf>
    <xf numFmtId="10" fontId="11" fillId="0" borderId="0" xfId="65" applyNumberFormat="1" applyAlignment="1">
      <alignment horizontal="center" vertical="center"/>
    </xf>
    <xf numFmtId="0" fontId="11" fillId="0" borderId="17" xfId="65" applyFill="1" applyBorder="1">
      <alignment vertical="center"/>
    </xf>
    <xf numFmtId="0" fontId="11" fillId="0" borderId="10" xfId="65" applyFont="1" applyBorder="1">
      <alignment vertical="center"/>
    </xf>
    <xf numFmtId="10" fontId="11" fillId="31" borderId="10" xfId="65" applyNumberFormat="1" applyFill="1" applyBorder="1" applyAlignment="1">
      <alignment horizontal="center" vertical="center"/>
    </xf>
    <xf numFmtId="178" fontId="11" fillId="0" borderId="0" xfId="65" applyNumberFormat="1" applyAlignment="1">
      <alignment horizontal="center" vertical="center"/>
    </xf>
    <xf numFmtId="0" fontId="52" fillId="0" borderId="0" xfId="65" applyFont="1">
      <alignment vertical="center"/>
    </xf>
    <xf numFmtId="0" fontId="11" fillId="30" borderId="0" xfId="65" applyFont="1" applyFill="1" applyAlignment="1">
      <alignment horizontal="center" vertical="center"/>
    </xf>
    <xf numFmtId="49" fontId="11" fillId="0" borderId="0" xfId="65" applyNumberFormat="1" applyFont="1" applyAlignment="1">
      <alignment horizontal="center" vertical="center"/>
    </xf>
    <xf numFmtId="0" fontId="11" fillId="0" borderId="0" xfId="65" applyFont="1" applyFill="1" applyBorder="1">
      <alignment vertical="center"/>
    </xf>
    <xf numFmtId="0" fontId="52" fillId="0" borderId="0" xfId="65" applyFont="1" applyFill="1" applyBorder="1">
      <alignment vertical="center"/>
    </xf>
    <xf numFmtId="183" fontId="17" fillId="0" borderId="0" xfId="67" applyNumberFormat="1" applyFont="1" applyFill="1" applyBorder="1" applyAlignment="1" applyProtection="1">
      <alignment horizontal="center" vertical="center" shrinkToFit="1"/>
      <protection hidden="1"/>
    </xf>
    <xf numFmtId="0" fontId="13" fillId="0" borderId="0" xfId="0" applyFont="1" applyFill="1" applyAlignment="1" applyProtection="1">
      <alignment horizontal="right"/>
      <protection hidden="1"/>
    </xf>
    <xf numFmtId="0" fontId="14" fillId="0" borderId="0" xfId="0" applyFont="1" applyBorder="1" applyProtection="1">
      <protection hidden="1"/>
    </xf>
    <xf numFmtId="0" fontId="42" fillId="0" borderId="0" xfId="0" applyFont="1" applyBorder="1" applyAlignment="1">
      <alignment wrapText="1"/>
    </xf>
    <xf numFmtId="0" fontId="40" fillId="0" borderId="0" xfId="0" applyFont="1" applyAlignment="1" applyProtection="1">
      <alignment vertical="center"/>
      <protection hidden="1"/>
    </xf>
    <xf numFmtId="0" fontId="7" fillId="0" borderId="0" xfId="0" applyFont="1" applyAlignment="1" applyProtection="1">
      <alignment vertical="center"/>
      <protection hidden="1"/>
    </xf>
    <xf numFmtId="0" fontId="8" fillId="0" borderId="0" xfId="0" applyFont="1" applyAlignment="1" applyProtection="1">
      <alignment vertical="center"/>
      <protection hidden="1"/>
    </xf>
    <xf numFmtId="0" fontId="46" fillId="0" borderId="0" xfId="67" applyFont="1" applyFill="1" applyBorder="1" applyAlignment="1" applyProtection="1">
      <alignment horizontal="center" vertical="center"/>
      <protection hidden="1"/>
    </xf>
    <xf numFmtId="14" fontId="11" fillId="0" borderId="0" xfId="65" applyNumberFormat="1">
      <alignment vertical="center"/>
    </xf>
    <xf numFmtId="0" fontId="15" fillId="0" borderId="0" xfId="53" applyFont="1" applyFill="1" applyBorder="1"/>
    <xf numFmtId="0" fontId="15" fillId="0" borderId="0" xfId="53" applyFill="1" applyBorder="1"/>
    <xf numFmtId="0" fontId="51" fillId="0" borderId="0" xfId="0" applyFont="1" applyFill="1" applyBorder="1" applyAlignment="1">
      <alignment horizontal="center"/>
    </xf>
    <xf numFmtId="0" fontId="51" fillId="0" borderId="0" xfId="0" applyFont="1" applyFill="1" applyBorder="1" applyAlignment="1">
      <alignment wrapText="1"/>
    </xf>
    <xf numFmtId="0" fontId="51" fillId="0" borderId="0" xfId="0" applyFont="1" applyFill="1" applyBorder="1" applyAlignment="1">
      <alignment horizontal="right" wrapText="1"/>
    </xf>
    <xf numFmtId="0" fontId="54" fillId="0" borderId="0" xfId="0" applyFont="1" applyFill="1" applyBorder="1" applyAlignment="1" applyProtection="1">
      <alignment horizontal="left" vertical="center"/>
      <protection hidden="1"/>
    </xf>
    <xf numFmtId="49" fontId="0" fillId="0" borderId="0" xfId="0" applyNumberFormat="1"/>
    <xf numFmtId="0" fontId="11" fillId="0" borderId="29" xfId="65" applyFont="1" applyBorder="1">
      <alignment vertical="center"/>
    </xf>
    <xf numFmtId="178" fontId="11" fillId="0" borderId="14" xfId="65" applyNumberFormat="1" applyBorder="1" applyAlignment="1">
      <alignment horizontal="center" vertical="center"/>
    </xf>
    <xf numFmtId="0" fontId="11" fillId="0" borderId="30" xfId="65" applyBorder="1">
      <alignment vertical="center"/>
    </xf>
    <xf numFmtId="178" fontId="11" fillId="0" borderId="15" xfId="65" applyNumberFormat="1" applyBorder="1" applyAlignment="1">
      <alignment horizontal="center" vertical="center"/>
    </xf>
    <xf numFmtId="10" fontId="11" fillId="27" borderId="10" xfId="65" applyNumberFormat="1" applyFill="1" applyBorder="1" applyAlignment="1">
      <alignment horizontal="center" vertical="center"/>
    </xf>
    <xf numFmtId="0" fontId="36" fillId="0" borderId="0" xfId="67" applyFont="1" applyFill="1" applyBorder="1" applyAlignment="1" applyProtection="1">
      <alignment horizontal="center" vertical="center"/>
      <protection hidden="1"/>
    </xf>
    <xf numFmtId="0" fontId="55" fillId="0" borderId="0" xfId="0" applyFont="1" applyBorder="1" applyProtection="1">
      <protection hidden="1"/>
    </xf>
    <xf numFmtId="0" fontId="27" fillId="0" borderId="0" xfId="67" applyFont="1" applyFill="1" applyBorder="1" applyAlignment="1" applyProtection="1">
      <alignment horizontal="right" vertical="center"/>
      <protection hidden="1"/>
    </xf>
    <xf numFmtId="0" fontId="11" fillId="29" borderId="27" xfId="65" applyFill="1" applyBorder="1" applyAlignment="1">
      <alignment horizontal="center" vertical="center"/>
    </xf>
    <xf numFmtId="181" fontId="11" fillId="0" borderId="10" xfId="65" applyNumberFormat="1" applyBorder="1">
      <alignment vertical="center"/>
    </xf>
    <xf numFmtId="194" fontId="0" fillId="0" borderId="0" xfId="0" applyNumberFormat="1"/>
    <xf numFmtId="0" fontId="11" fillId="0" borderId="0" xfId="67" applyFont="1" applyAlignment="1" applyProtection="1">
      <alignment vertical="center"/>
      <protection locked="0"/>
    </xf>
    <xf numFmtId="0" fontId="27" fillId="0" borderId="12" xfId="67" applyFont="1" applyFill="1" applyBorder="1" applyAlignment="1" applyProtection="1">
      <alignment horizontal="right" vertical="center"/>
      <protection hidden="1"/>
    </xf>
    <xf numFmtId="0" fontId="56" fillId="0" borderId="0" xfId="0" applyFont="1" applyAlignment="1" applyProtection="1">
      <alignment vertical="center"/>
      <protection hidden="1"/>
    </xf>
    <xf numFmtId="0" fontId="57" fillId="0" borderId="0" xfId="0" applyFont="1" applyProtection="1">
      <protection hidden="1"/>
    </xf>
    <xf numFmtId="0" fontId="11" fillId="0" borderId="0" xfId="65" applyFont="1" applyBorder="1" applyAlignment="1">
      <alignment horizontal="center" vertical="center"/>
    </xf>
    <xf numFmtId="0" fontId="44" fillId="0" borderId="0" xfId="0" applyFont="1" applyBorder="1" applyAlignment="1" applyProtection="1">
      <alignment horizontal="left" vertical="center"/>
      <protection hidden="1"/>
    </xf>
    <xf numFmtId="179" fontId="9" fillId="0" borderId="0" xfId="0" applyNumberFormat="1" applyFont="1" applyFill="1" applyBorder="1" applyAlignment="1" applyProtection="1">
      <alignment horizontal="left" vertical="center"/>
      <protection hidden="1"/>
    </xf>
    <xf numFmtId="179" fontId="9" fillId="0" borderId="0" xfId="0" applyNumberFormat="1" applyFont="1" applyBorder="1" applyAlignment="1" applyProtection="1">
      <alignment horizontal="left" vertical="center"/>
      <protection hidden="1"/>
    </xf>
    <xf numFmtId="179" fontId="9" fillId="0" borderId="0" xfId="0" applyNumberFormat="1" applyFont="1" applyBorder="1" applyAlignment="1" applyProtection="1">
      <alignment horizontal="left" vertical="center" shrinkToFit="1"/>
      <protection hidden="1"/>
    </xf>
    <xf numFmtId="179" fontId="43" fillId="0" borderId="0" xfId="0" applyNumberFormat="1" applyFont="1" applyBorder="1" applyAlignment="1" applyProtection="1">
      <alignment horizontal="left" vertical="center" shrinkToFit="1"/>
      <protection hidden="1"/>
    </xf>
    <xf numFmtId="0" fontId="52" fillId="0" borderId="0" xfId="67" applyFont="1" applyFill="1" applyBorder="1" applyAlignment="1" applyProtection="1">
      <alignment horizontal="left" vertical="center"/>
      <protection hidden="1"/>
    </xf>
    <xf numFmtId="179" fontId="17" fillId="0" borderId="0" xfId="67" applyNumberFormat="1" applyFont="1" applyFill="1" applyBorder="1" applyAlignment="1" applyProtection="1">
      <alignment horizontal="right" vertical="center" shrinkToFit="1"/>
      <protection hidden="1"/>
    </xf>
    <xf numFmtId="0" fontId="11" fillId="27" borderId="10" xfId="65" applyFont="1" applyFill="1" applyBorder="1" applyAlignment="1">
      <alignment horizontal="center" vertical="center"/>
    </xf>
    <xf numFmtId="0" fontId="11" fillId="0" borderId="10" xfId="65" applyFill="1" applyBorder="1">
      <alignment vertical="center"/>
    </xf>
    <xf numFmtId="0" fontId="11" fillId="0" borderId="10" xfId="65" applyFont="1" applyFill="1" applyBorder="1">
      <alignment vertical="center"/>
    </xf>
    <xf numFmtId="0" fontId="11" fillId="27" borderId="10" xfId="65" applyFill="1" applyBorder="1" applyAlignment="1">
      <alignment horizontal="left" vertical="center"/>
    </xf>
    <xf numFmtId="0" fontId="14" fillId="0" borderId="0" xfId="0" applyFont="1" applyProtection="1">
      <protection hidden="1"/>
    </xf>
    <xf numFmtId="0" fontId="60" fillId="0" borderId="0" xfId="0" applyFont="1" applyBorder="1" applyProtection="1">
      <protection hidden="1"/>
    </xf>
    <xf numFmtId="0" fontId="59" fillId="0" borderId="0" xfId="0" applyFont="1" applyBorder="1" applyProtection="1">
      <protection hidden="1"/>
    </xf>
    <xf numFmtId="0" fontId="52" fillId="0" borderId="0" xfId="67" applyFont="1" applyFill="1" applyBorder="1" applyAlignment="1" applyProtection="1">
      <alignment vertical="center"/>
      <protection hidden="1"/>
    </xf>
    <xf numFmtId="0" fontId="11" fillId="0" borderId="10" xfId="0" applyFont="1" applyBorder="1"/>
    <xf numFmtId="10" fontId="11" fillId="0" borderId="10" xfId="65" applyNumberFormat="1" applyBorder="1">
      <alignment vertical="center"/>
    </xf>
    <xf numFmtId="0" fontId="11" fillId="0" borderId="0" xfId="65" applyFill="1">
      <alignment vertical="center"/>
    </xf>
    <xf numFmtId="0" fontId="11" fillId="0" borderId="0" xfId="65" applyFont="1" applyFill="1">
      <alignment vertical="center"/>
    </xf>
    <xf numFmtId="0" fontId="64" fillId="0" borderId="0" xfId="0" applyFont="1" applyAlignment="1" applyProtection="1">
      <alignment vertical="center"/>
      <protection hidden="1"/>
    </xf>
    <xf numFmtId="0" fontId="11" fillId="0" borderId="0" xfId="65" applyFont="1" applyBorder="1">
      <alignment vertical="center"/>
    </xf>
    <xf numFmtId="0" fontId="9" fillId="0" borderId="0" xfId="0" applyFont="1" applyBorder="1"/>
    <xf numFmtId="0" fontId="0" fillId="0" borderId="0" xfId="0" applyBorder="1"/>
    <xf numFmtId="0" fontId="39" fillId="0" borderId="0" xfId="0" applyFont="1" applyBorder="1"/>
    <xf numFmtId="0" fontId="39" fillId="0" borderId="0" xfId="65" applyFont="1" applyBorder="1">
      <alignment vertical="center"/>
    </xf>
    <xf numFmtId="0" fontId="39" fillId="0" borderId="0" xfId="0" applyFont="1" applyBorder="1" applyAlignment="1"/>
    <xf numFmtId="0" fontId="11" fillId="0" borderId="0" xfId="0" applyFont="1"/>
    <xf numFmtId="0" fontId="11" fillId="0" borderId="0" xfId="0" applyFont="1" applyAlignment="1">
      <alignment horizontal="center" vertical="center"/>
    </xf>
    <xf numFmtId="0" fontId="11" fillId="0" borderId="0" xfId="0" applyFont="1" applyAlignment="1">
      <alignment horizontal="center"/>
    </xf>
    <xf numFmtId="0" fontId="11" fillId="0" borderId="10" xfId="0" applyFont="1" applyBorder="1" applyAlignment="1">
      <alignment horizontal="center" vertical="center"/>
    </xf>
    <xf numFmtId="195" fontId="11" fillId="0" borderId="10" xfId="0" applyNumberFormat="1" applyFont="1" applyBorder="1" applyAlignment="1">
      <alignment horizontal="center"/>
    </xf>
    <xf numFmtId="0" fontId="11" fillId="0" borderId="10" xfId="0" applyFont="1" applyBorder="1" applyAlignment="1">
      <alignment horizontal="center"/>
    </xf>
    <xf numFmtId="0" fontId="11" fillId="34" borderId="10" xfId="0" applyFont="1" applyFill="1" applyBorder="1" applyAlignment="1">
      <alignment horizontal="center"/>
    </xf>
    <xf numFmtId="0" fontId="11" fillId="35" borderId="10" xfId="0" applyFont="1" applyFill="1" applyBorder="1" applyAlignment="1">
      <alignment horizontal="center"/>
    </xf>
    <xf numFmtId="179" fontId="11" fillId="0" borderId="10" xfId="0" applyNumberFormat="1" applyFont="1" applyBorder="1" applyAlignment="1">
      <alignment horizontal="center"/>
    </xf>
    <xf numFmtId="10" fontId="11" fillId="0" borderId="10" xfId="0" applyNumberFormat="1" applyFont="1" applyBorder="1" applyAlignment="1">
      <alignment horizontal="center"/>
    </xf>
    <xf numFmtId="0" fontId="11" fillId="36" borderId="10" xfId="0" applyFont="1" applyFill="1" applyBorder="1" applyAlignment="1">
      <alignment horizontal="center"/>
    </xf>
    <xf numFmtId="179" fontId="11" fillId="36" borderId="10" xfId="0" applyNumberFormat="1" applyFont="1" applyFill="1" applyBorder="1" applyAlignment="1">
      <alignment horizontal="center"/>
    </xf>
    <xf numFmtId="0" fontId="11" fillId="0" borderId="0" xfId="0" applyFont="1" applyFill="1" applyAlignment="1">
      <alignment horizontal="center"/>
    </xf>
    <xf numFmtId="189" fontId="11" fillId="0" borderId="0" xfId="0" quotePrefix="1" applyNumberFormat="1" applyFont="1"/>
    <xf numFmtId="0" fontId="11" fillId="0" borderId="0" xfId="0" quotePrefix="1" applyFont="1"/>
    <xf numFmtId="0" fontId="11" fillId="0" borderId="0" xfId="0" applyFont="1" applyBorder="1"/>
    <xf numFmtId="0" fontId="11" fillId="0" borderId="0" xfId="0" applyFont="1" applyBorder="1" applyAlignment="1">
      <alignment horizontal="center"/>
    </xf>
    <xf numFmtId="0" fontId="11" fillId="0" borderId="10" xfId="0" applyFont="1" applyFill="1" applyBorder="1" applyAlignment="1">
      <alignment horizontal="center"/>
    </xf>
    <xf numFmtId="179" fontId="11" fillId="0" borderId="0" xfId="0" applyNumberFormat="1" applyFont="1" applyAlignment="1">
      <alignment vertical="center"/>
    </xf>
    <xf numFmtId="179" fontId="11" fillId="0" borderId="0" xfId="0" applyNumberFormat="1" applyFont="1" applyAlignment="1"/>
    <xf numFmtId="179" fontId="11" fillId="36" borderId="10" xfId="0" applyNumberFormat="1" applyFont="1" applyFill="1" applyBorder="1" applyAlignment="1">
      <alignment vertical="center"/>
    </xf>
    <xf numFmtId="180" fontId="11" fillId="36" borderId="10" xfId="0" quotePrefix="1" applyNumberFormat="1" applyFont="1" applyFill="1" applyBorder="1" applyAlignment="1"/>
    <xf numFmtId="0" fontId="10" fillId="0" borderId="0" xfId="67" applyFont="1" applyFill="1" applyBorder="1" applyAlignment="1" applyProtection="1">
      <alignment vertical="center"/>
      <protection hidden="1"/>
    </xf>
    <xf numFmtId="0" fontId="9" fillId="0" borderId="0" xfId="67" applyFont="1" applyFill="1" applyBorder="1" applyAlignment="1" applyProtection="1">
      <alignment vertical="center"/>
      <protection hidden="1"/>
    </xf>
    <xf numFmtId="0" fontId="28" fillId="0" borderId="0" xfId="67" applyFont="1" applyFill="1" applyBorder="1" applyAlignment="1" applyProtection="1">
      <alignment vertical="center"/>
      <protection hidden="1"/>
    </xf>
    <xf numFmtId="0" fontId="35" fillId="0" borderId="56" xfId="67" applyFont="1" applyFill="1" applyBorder="1" applyAlignment="1" applyProtection="1">
      <alignment vertical="center" wrapText="1"/>
      <protection hidden="1"/>
    </xf>
    <xf numFmtId="0" fontId="24" fillId="0" borderId="0" xfId="67" applyFont="1" applyFill="1" applyBorder="1" applyAlignment="1" applyProtection="1">
      <alignment vertical="center" wrapText="1"/>
      <protection hidden="1"/>
    </xf>
    <xf numFmtId="0" fontId="17" fillId="0" borderId="57" xfId="67" applyFont="1" applyFill="1" applyBorder="1" applyAlignment="1" applyProtection="1">
      <alignment horizontal="center" vertical="center"/>
      <protection hidden="1"/>
    </xf>
    <xf numFmtId="0" fontId="19" fillId="0" borderId="57" xfId="67" applyFont="1" applyFill="1" applyBorder="1" applyAlignment="1" applyProtection="1">
      <alignment horizontal="center" vertical="center"/>
      <protection hidden="1"/>
    </xf>
    <xf numFmtId="0" fontId="9" fillId="0" borderId="57" xfId="67" applyFont="1" applyFill="1" applyBorder="1" applyAlignment="1" applyProtection="1">
      <alignment horizontal="center" vertical="center"/>
      <protection hidden="1"/>
    </xf>
    <xf numFmtId="0" fontId="23" fillId="0" borderId="57" xfId="67" applyFont="1" applyFill="1" applyBorder="1" applyAlignment="1" applyProtection="1">
      <alignment horizontal="center" vertical="center"/>
      <protection hidden="1"/>
    </xf>
    <xf numFmtId="0" fontId="22" fillId="0" borderId="57" xfId="67" applyFont="1" applyFill="1" applyBorder="1" applyAlignment="1" applyProtection="1">
      <alignment horizontal="center" vertical="center" wrapText="1"/>
      <protection hidden="1"/>
    </xf>
    <xf numFmtId="0" fontId="27" fillId="0" borderId="57" xfId="67" applyFont="1" applyFill="1" applyBorder="1" applyAlignment="1" applyProtection="1">
      <alignment horizontal="right" vertical="center"/>
      <protection hidden="1"/>
    </xf>
    <xf numFmtId="179" fontId="17" fillId="0" borderId="57" xfId="67" applyNumberFormat="1" applyFont="1" applyFill="1" applyBorder="1" applyAlignment="1" applyProtection="1">
      <alignment horizontal="right" vertical="center" shrinkToFit="1"/>
      <protection hidden="1"/>
    </xf>
    <xf numFmtId="0" fontId="17" fillId="0" borderId="0" xfId="67" applyFont="1" applyFill="1" applyBorder="1" applyAlignment="1" applyProtection="1">
      <alignment vertical="center"/>
      <protection hidden="1"/>
    </xf>
    <xf numFmtId="0" fontId="11" fillId="0" borderId="0" xfId="67" applyFont="1" applyBorder="1" applyAlignment="1" applyProtection="1">
      <alignment vertical="center"/>
      <protection hidden="1"/>
    </xf>
    <xf numFmtId="0" fontId="17" fillId="0" borderId="58" xfId="67" applyFont="1" applyFill="1" applyBorder="1" applyAlignment="1" applyProtection="1">
      <alignment horizontal="center" vertical="center"/>
      <protection hidden="1"/>
    </xf>
    <xf numFmtId="0" fontId="19" fillId="0" borderId="58" xfId="67" applyFont="1" applyFill="1" applyBorder="1" applyAlignment="1" applyProtection="1">
      <alignment horizontal="center" vertical="center"/>
      <protection hidden="1"/>
    </xf>
    <xf numFmtId="0" fontId="9" fillId="0" borderId="58" xfId="67" applyFont="1" applyFill="1" applyBorder="1" applyAlignment="1" applyProtection="1">
      <alignment horizontal="center" vertical="center"/>
      <protection hidden="1"/>
    </xf>
    <xf numFmtId="0" fontId="23" fillId="0" borderId="58" xfId="67" applyFont="1" applyFill="1" applyBorder="1" applyAlignment="1" applyProtection="1">
      <alignment horizontal="center" vertical="center"/>
      <protection hidden="1"/>
    </xf>
    <xf numFmtId="0" fontId="22" fillId="0" borderId="58" xfId="67" applyFont="1" applyFill="1" applyBorder="1" applyAlignment="1" applyProtection="1">
      <alignment horizontal="center" vertical="center" wrapText="1"/>
      <protection hidden="1"/>
    </xf>
    <xf numFmtId="0" fontId="27" fillId="0" borderId="58" xfId="67" applyFont="1" applyFill="1" applyBorder="1" applyAlignment="1" applyProtection="1">
      <alignment horizontal="right" vertical="center"/>
      <protection hidden="1"/>
    </xf>
    <xf numFmtId="179" fontId="17" fillId="0" borderId="58" xfId="67" applyNumberFormat="1" applyFont="1" applyFill="1" applyBorder="1" applyAlignment="1" applyProtection="1">
      <alignment horizontal="right" vertical="center" shrinkToFit="1"/>
      <protection hidden="1"/>
    </xf>
    <xf numFmtId="0" fontId="20" fillId="0" borderId="0" xfId="67" applyFont="1" applyFill="1" applyBorder="1" applyAlignment="1" applyProtection="1">
      <alignment vertical="center"/>
      <protection hidden="1"/>
    </xf>
    <xf numFmtId="185" fontId="17" fillId="0" borderId="31" xfId="67" applyNumberFormat="1" applyFont="1" applyFill="1" applyBorder="1" applyAlignment="1" applyProtection="1">
      <alignment vertical="center"/>
      <protection hidden="1"/>
    </xf>
    <xf numFmtId="185" fontId="17" fillId="0" borderId="0" xfId="67" applyNumberFormat="1" applyFont="1" applyFill="1" applyBorder="1" applyAlignment="1" applyProtection="1">
      <alignment vertical="center"/>
      <protection hidden="1"/>
    </xf>
    <xf numFmtId="0" fontId="31" fillId="0" borderId="0" xfId="0" applyFont="1" applyAlignment="1" applyProtection="1">
      <alignment horizontal="right" vertical="center" shrinkToFit="1"/>
      <protection hidden="1"/>
    </xf>
    <xf numFmtId="49" fontId="31" fillId="0" borderId="0" xfId="0" applyNumberFormat="1" applyFont="1" applyAlignment="1" applyProtection="1">
      <alignment horizontal="left" shrinkToFit="1"/>
      <protection hidden="1"/>
    </xf>
    <xf numFmtId="0" fontId="31" fillId="0" borderId="0" xfId="0" applyFont="1" applyAlignment="1" applyProtection="1">
      <alignment horizontal="left" shrinkToFit="1"/>
      <protection hidden="1"/>
    </xf>
    <xf numFmtId="0" fontId="55" fillId="0" borderId="0" xfId="0" applyFont="1" applyFill="1" applyAlignment="1" applyProtection="1">
      <alignment horizontal="right" vertical="center"/>
      <protection hidden="1"/>
    </xf>
    <xf numFmtId="0" fontId="24" fillId="0" borderId="0" xfId="67" applyNumberFormat="1" applyFont="1" applyFill="1" applyBorder="1" applyAlignment="1" applyProtection="1">
      <alignment horizontal="right" vertical="center"/>
      <protection hidden="1"/>
    </xf>
    <xf numFmtId="179" fontId="24" fillId="0" borderId="0" xfId="67" applyNumberFormat="1" applyFont="1" applyFill="1" applyBorder="1" applyAlignment="1" applyProtection="1">
      <alignment horizontal="right" vertical="center" wrapText="1"/>
      <protection hidden="1"/>
    </xf>
    <xf numFmtId="0" fontId="35" fillId="0" borderId="0" xfId="67" applyFont="1" applyFill="1" applyBorder="1" applyAlignment="1" applyProtection="1">
      <alignment horizontal="right" vertical="center"/>
      <protection hidden="1"/>
    </xf>
    <xf numFmtId="0" fontId="4" fillId="0" borderId="25" xfId="0" applyFont="1" applyFill="1" applyBorder="1" applyAlignment="1" applyProtection="1">
      <protection hidden="1"/>
    </xf>
    <xf numFmtId="0" fontId="4" fillId="0" borderId="25" xfId="0" applyFont="1" applyBorder="1" applyAlignment="1" applyProtection="1">
      <protection hidden="1"/>
    </xf>
    <xf numFmtId="0" fontId="14" fillId="0" borderId="25" xfId="0" applyFont="1" applyBorder="1" applyAlignment="1" applyProtection="1">
      <alignment shrinkToFit="1"/>
      <protection hidden="1"/>
    </xf>
    <xf numFmtId="185" fontId="4" fillId="0" borderId="25" xfId="0" applyNumberFormat="1" applyFont="1" applyBorder="1" applyAlignment="1" applyProtection="1">
      <protection hidden="1"/>
    </xf>
    <xf numFmtId="0" fontId="11" fillId="37" borderId="0" xfId="0" applyFont="1" applyFill="1"/>
    <xf numFmtId="0" fontId="100" fillId="0" borderId="0" xfId="0" applyFont="1" applyProtection="1">
      <protection hidden="1"/>
    </xf>
    <xf numFmtId="0" fontId="11" fillId="38" borderId="10" xfId="0" applyFont="1" applyFill="1" applyBorder="1"/>
    <xf numFmtId="0" fontId="11" fillId="38" borderId="0" xfId="0" applyFont="1" applyFill="1"/>
    <xf numFmtId="0" fontId="10" fillId="0" borderId="0" xfId="0" applyFont="1"/>
    <xf numFmtId="0" fontId="101" fillId="0" borderId="0" xfId="67" applyFont="1" applyFill="1" applyBorder="1" applyAlignment="1" applyProtection="1">
      <alignment horizontal="left" vertical="center"/>
      <protection hidden="1"/>
    </xf>
    <xf numFmtId="0" fontId="36" fillId="0" borderId="0" xfId="67" applyFont="1" applyFill="1" applyBorder="1" applyAlignment="1" applyProtection="1">
      <alignment horizontal="left" vertical="center"/>
      <protection hidden="1"/>
    </xf>
    <xf numFmtId="0" fontId="14" fillId="0" borderId="25" xfId="0" applyFont="1" applyFill="1" applyBorder="1" applyAlignment="1" applyProtection="1">
      <protection hidden="1"/>
    </xf>
    <xf numFmtId="0" fontId="102" fillId="0" borderId="0" xfId="0" applyFont="1"/>
    <xf numFmtId="179" fontId="19" fillId="0" borderId="0" xfId="67" applyNumberFormat="1" applyFont="1" applyFill="1" applyBorder="1" applyAlignment="1" applyProtection="1">
      <alignment vertical="center" shrinkToFit="1"/>
      <protection hidden="1"/>
    </xf>
    <xf numFmtId="0" fontId="11" fillId="40" borderId="10" xfId="65" applyFill="1" applyBorder="1">
      <alignment vertical="center"/>
    </xf>
    <xf numFmtId="0" fontId="11" fillId="37" borderId="10" xfId="65" applyFill="1" applyBorder="1">
      <alignment vertical="center"/>
    </xf>
    <xf numFmtId="0" fontId="11" fillId="41" borderId="0" xfId="65" applyFill="1">
      <alignment vertical="center"/>
    </xf>
    <xf numFmtId="0" fontId="0" fillId="0" borderId="0" xfId="0" applyAlignment="1">
      <alignment vertical="center"/>
    </xf>
    <xf numFmtId="0" fontId="103" fillId="39" borderId="0" xfId="1" applyFont="1" applyFill="1" applyAlignment="1" applyProtection="1">
      <protection hidden="1"/>
    </xf>
    <xf numFmtId="0" fontId="66" fillId="0" borderId="0" xfId="0" applyFont="1" applyAlignment="1">
      <alignment vertical="center"/>
    </xf>
    <xf numFmtId="0" fontId="0" fillId="0" borderId="0" xfId="0" applyBorder="1" applyAlignment="1">
      <alignment horizontal="center" vertical="center"/>
    </xf>
    <xf numFmtId="0" fontId="9" fillId="0" borderId="32" xfId="67" applyFont="1" applyFill="1" applyBorder="1" applyAlignment="1" applyProtection="1">
      <alignment horizontal="center" vertical="center"/>
      <protection hidden="1"/>
    </xf>
    <xf numFmtId="0" fontId="46" fillId="0" borderId="32" xfId="67" applyFont="1" applyFill="1" applyBorder="1" applyAlignment="1" applyProtection="1">
      <alignment horizontal="center" vertical="center"/>
      <protection hidden="1"/>
    </xf>
    <xf numFmtId="0" fontId="104" fillId="0" borderId="0" xfId="67" applyFont="1" applyFill="1" applyBorder="1" applyAlignment="1" applyProtection="1">
      <alignment horizontal="center" vertical="center"/>
      <protection hidden="1"/>
    </xf>
    <xf numFmtId="0" fontId="105" fillId="0" borderId="0" xfId="67" applyFont="1" applyFill="1" applyBorder="1" applyAlignment="1" applyProtection="1">
      <alignment horizontal="center" vertical="center"/>
      <protection hidden="1"/>
    </xf>
    <xf numFmtId="0" fontId="27" fillId="0" borderId="0" xfId="67" applyFont="1" applyBorder="1" applyAlignment="1" applyProtection="1">
      <alignment horizontal="right" vertical="center"/>
      <protection hidden="1"/>
    </xf>
    <xf numFmtId="0" fontId="11" fillId="42" borderId="10" xfId="65" applyFill="1" applyBorder="1" applyAlignment="1">
      <alignment horizontal="center" vertical="center"/>
    </xf>
    <xf numFmtId="198" fontId="11" fillId="42" borderId="10" xfId="65" applyNumberFormat="1" applyFill="1" applyBorder="1" applyAlignment="1">
      <alignment horizontal="center" vertical="center"/>
    </xf>
    <xf numFmtId="0" fontId="11" fillId="42" borderId="10" xfId="65" applyFill="1" applyBorder="1">
      <alignment vertical="center"/>
    </xf>
    <xf numFmtId="0" fontId="11" fillId="0" borderId="0" xfId="66" applyFill="1" applyBorder="1">
      <alignment vertical="center"/>
    </xf>
    <xf numFmtId="0" fontId="11" fillId="37" borderId="10" xfId="66" applyFill="1" applyBorder="1">
      <alignment vertical="center"/>
    </xf>
    <xf numFmtId="0" fontId="0" fillId="0" borderId="0" xfId="66" applyFont="1">
      <alignment vertical="center"/>
    </xf>
    <xf numFmtId="0" fontId="11" fillId="0" borderId="0" xfId="66">
      <alignment vertical="center"/>
    </xf>
    <xf numFmtId="0" fontId="9" fillId="0" borderId="0" xfId="3" applyFont="1"/>
    <xf numFmtId="0" fontId="11" fillId="0" borderId="0" xfId="48">
      <alignment vertical="center"/>
    </xf>
    <xf numFmtId="0" fontId="0" fillId="0" borderId="0" xfId="66" applyFont="1" applyFill="1">
      <alignment vertical="center"/>
    </xf>
    <xf numFmtId="0" fontId="10" fillId="0" borderId="10" xfId="3" applyFont="1" applyBorder="1" applyAlignment="1">
      <alignment horizontal="right"/>
    </xf>
    <xf numFmtId="0" fontId="9" fillId="38" borderId="10" xfId="3" applyFont="1" applyFill="1" applyBorder="1"/>
    <xf numFmtId="0" fontId="0" fillId="0" borderId="10" xfId="66" applyFont="1" applyBorder="1">
      <alignment vertical="center"/>
    </xf>
    <xf numFmtId="0" fontId="0" fillId="0" borderId="10" xfId="66" applyFont="1" applyBorder="1" applyAlignment="1">
      <alignment horizontal="center" vertical="center"/>
    </xf>
    <xf numFmtId="0" fontId="0" fillId="0" borderId="10" xfId="66" applyFont="1" applyBorder="1" applyAlignment="1">
      <alignment horizontal="right" vertical="center"/>
    </xf>
    <xf numFmtId="0" fontId="11" fillId="38" borderId="10" xfId="66" applyFill="1" applyBorder="1">
      <alignment vertical="center"/>
    </xf>
    <xf numFmtId="0" fontId="15" fillId="37" borderId="10" xfId="70" applyFont="1" applyFill="1" applyBorder="1" applyAlignment="1">
      <alignment wrapText="1"/>
    </xf>
    <xf numFmtId="0" fontId="11" fillId="0" borderId="10" xfId="66" applyFill="1" applyBorder="1">
      <alignment vertical="center"/>
    </xf>
    <xf numFmtId="0" fontId="11" fillId="0" borderId="16" xfId="66" applyFill="1" applyBorder="1">
      <alignment vertical="center"/>
    </xf>
    <xf numFmtId="0" fontId="51" fillId="0" borderId="7" xfId="68" applyFont="1" applyFill="1" applyBorder="1" applyAlignment="1">
      <alignment wrapText="1"/>
    </xf>
    <xf numFmtId="0" fontId="51" fillId="0" borderId="7" xfId="68" applyFont="1" applyFill="1" applyBorder="1" applyAlignment="1">
      <alignment horizontal="right" wrapText="1"/>
    </xf>
    <xf numFmtId="0" fontId="10" fillId="0" borderId="0" xfId="3" applyFont="1" applyAlignment="1">
      <alignment horizontal="right"/>
    </xf>
    <xf numFmtId="0" fontId="9" fillId="42" borderId="10" xfId="3" applyFont="1" applyFill="1" applyBorder="1"/>
    <xf numFmtId="0" fontId="11" fillId="0" borderId="10" xfId="66" applyBorder="1">
      <alignment vertical="center"/>
    </xf>
    <xf numFmtId="0" fontId="10" fillId="0" borderId="0" xfId="3" applyFont="1" applyAlignment="1">
      <alignment horizontal="center"/>
    </xf>
    <xf numFmtId="0" fontId="10" fillId="40" borderId="10" xfId="3" applyFont="1" applyFill="1" applyBorder="1" applyAlignment="1">
      <alignment horizontal="center" vertical="center"/>
    </xf>
    <xf numFmtId="0" fontId="9" fillId="40" borderId="10" xfId="3" applyFont="1" applyFill="1" applyBorder="1" applyAlignment="1">
      <alignment horizontal="center" vertical="center"/>
    </xf>
    <xf numFmtId="10" fontId="9" fillId="40" borderId="10" xfId="3" applyNumberFormat="1" applyFont="1" applyFill="1" applyBorder="1" applyAlignment="1" applyProtection="1">
      <alignment horizontal="center" vertical="center"/>
    </xf>
    <xf numFmtId="0" fontId="51" fillId="0" borderId="0" xfId="3" applyFont="1" applyFill="1" applyBorder="1" applyAlignment="1">
      <alignment horizontal="center"/>
    </xf>
    <xf numFmtId="0" fontId="51" fillId="0" borderId="0" xfId="54" applyFont="1" applyFill="1" applyBorder="1" applyAlignment="1">
      <alignment horizontal="center"/>
    </xf>
    <xf numFmtId="0" fontId="51" fillId="0" borderId="0" xfId="54" applyFont="1" applyFill="1" applyBorder="1" applyAlignment="1">
      <alignment horizontal="right" wrapText="1"/>
    </xf>
    <xf numFmtId="0" fontId="0" fillId="0" borderId="0" xfId="66" applyFont="1" applyFill="1" applyBorder="1">
      <alignment vertical="center"/>
    </xf>
    <xf numFmtId="0" fontId="51" fillId="0" borderId="0" xfId="3" applyFont="1" applyFill="1" applyBorder="1" applyAlignment="1">
      <alignment wrapText="1"/>
    </xf>
    <xf numFmtId="199" fontId="51" fillId="0" borderId="7" xfId="68" applyNumberFormat="1" applyFont="1" applyFill="1" applyBorder="1" applyAlignment="1">
      <alignment horizontal="right" wrapText="1"/>
    </xf>
    <xf numFmtId="0" fontId="57" fillId="0" borderId="0" xfId="1" applyFont="1" applyAlignment="1" applyProtection="1">
      <alignment vertical="center"/>
      <protection hidden="1"/>
    </xf>
    <xf numFmtId="0" fontId="0" fillId="0" borderId="0" xfId="0" applyFont="1"/>
    <xf numFmtId="0" fontId="28" fillId="0" borderId="0" xfId="67" applyFont="1" applyFill="1" applyBorder="1" applyAlignment="1" applyProtection="1">
      <alignment horizontal="left" vertical="center"/>
      <protection hidden="1"/>
    </xf>
    <xf numFmtId="0" fontId="0" fillId="0" borderId="10" xfId="0" applyBorder="1"/>
    <xf numFmtId="0" fontId="0" fillId="37" borderId="10" xfId="0" applyFill="1" applyBorder="1"/>
    <xf numFmtId="179" fontId="0" fillId="0" borderId="10" xfId="0" applyNumberFormat="1" applyBorder="1"/>
    <xf numFmtId="0" fontId="19" fillId="0" borderId="33" xfId="67" applyFont="1" applyFill="1" applyBorder="1" applyAlignment="1" applyProtection="1">
      <alignment horizontal="center" vertical="center"/>
      <protection hidden="1"/>
    </xf>
    <xf numFmtId="0" fontId="9" fillId="0" borderId="33" xfId="67" applyFont="1" applyFill="1" applyBorder="1" applyAlignment="1" applyProtection="1">
      <alignment horizontal="center" vertical="center"/>
      <protection hidden="1"/>
    </xf>
    <xf numFmtId="0" fontId="23" fillId="0" borderId="33" xfId="67" applyFont="1" applyFill="1" applyBorder="1" applyAlignment="1" applyProtection="1">
      <alignment horizontal="center" vertical="center"/>
      <protection hidden="1"/>
    </xf>
    <xf numFmtId="0" fontId="22" fillId="0" borderId="33" xfId="67" applyFont="1" applyFill="1" applyBorder="1" applyAlignment="1" applyProtection="1">
      <alignment horizontal="center" vertical="center" wrapText="1"/>
      <protection hidden="1"/>
    </xf>
    <xf numFmtId="179" fontId="17" fillId="0" borderId="33" xfId="67" applyNumberFormat="1" applyFont="1" applyFill="1" applyBorder="1" applyAlignment="1" applyProtection="1">
      <alignment horizontal="right" vertical="center" shrinkToFit="1"/>
      <protection hidden="1"/>
    </xf>
    <xf numFmtId="0" fontId="11" fillId="25" borderId="10" xfId="67" applyFont="1" applyFill="1" applyBorder="1" applyAlignment="1" applyProtection="1">
      <alignment vertical="center"/>
      <protection hidden="1"/>
    </xf>
    <xf numFmtId="179" fontId="11" fillId="0" borderId="0" xfId="0" applyNumberFormat="1" applyFont="1" applyFill="1" applyBorder="1" applyAlignment="1">
      <alignment vertical="center"/>
    </xf>
    <xf numFmtId="179" fontId="11" fillId="0" borderId="0" xfId="0" applyNumberFormat="1" applyFont="1" applyAlignment="1">
      <alignment horizontal="center" vertical="center"/>
    </xf>
    <xf numFmtId="0" fontId="11" fillId="0" borderId="0" xfId="0" applyFont="1" applyFill="1" applyBorder="1" applyAlignment="1"/>
    <xf numFmtId="0" fontId="106" fillId="0" borderId="0" xfId="67" applyFont="1" applyBorder="1" applyAlignment="1" applyProtection="1">
      <alignment vertical="center"/>
      <protection hidden="1"/>
    </xf>
    <xf numFmtId="0" fontId="17" fillId="0" borderId="32" xfId="67" applyFont="1" applyFill="1" applyBorder="1" applyAlignment="1" applyProtection="1">
      <alignment horizontal="center" vertical="center"/>
      <protection hidden="1"/>
    </xf>
    <xf numFmtId="180" fontId="11" fillId="0" borderId="0" xfId="0" quotePrefix="1" applyNumberFormat="1" applyFont="1" applyFill="1" applyBorder="1" applyAlignment="1"/>
    <xf numFmtId="0" fontId="11" fillId="0" borderId="0" xfId="0" applyFont="1" applyFill="1" applyBorder="1"/>
    <xf numFmtId="0" fontId="11" fillId="0" borderId="0" xfId="0" applyFont="1" applyFill="1" applyBorder="1" applyAlignment="1">
      <alignment horizontal="center"/>
    </xf>
    <xf numFmtId="179" fontId="11" fillId="0" borderId="0" xfId="0" applyNumberFormat="1" applyFont="1" applyFill="1" applyBorder="1" applyAlignment="1">
      <alignment horizontal="center"/>
    </xf>
    <xf numFmtId="0" fontId="11" fillId="43" borderId="10" xfId="0" applyFont="1" applyFill="1" applyBorder="1" applyAlignment="1">
      <alignment horizontal="center"/>
    </xf>
    <xf numFmtId="0" fontId="11" fillId="0" borderId="0" xfId="0" applyFont="1" applyAlignment="1">
      <alignment horizontal="right"/>
    </xf>
    <xf numFmtId="0" fontId="0" fillId="0" borderId="0" xfId="0" applyFill="1" applyBorder="1"/>
    <xf numFmtId="0" fontId="33" fillId="0" borderId="20" xfId="0" applyFont="1" applyBorder="1" applyAlignment="1" applyProtection="1">
      <alignment horizontal="left" vertical="center" shrinkToFit="1"/>
      <protection hidden="1"/>
    </xf>
    <xf numFmtId="0" fontId="0" fillId="0" borderId="20" xfId="0" applyBorder="1" applyAlignment="1">
      <alignment horizontal="left" vertical="center" shrinkToFit="1"/>
    </xf>
    <xf numFmtId="195" fontId="11" fillId="0" borderId="0" xfId="0" applyNumberFormat="1" applyFont="1" applyBorder="1"/>
    <xf numFmtId="179" fontId="11" fillId="0" borderId="10" xfId="65" applyNumberFormat="1" applyBorder="1">
      <alignment vertical="center"/>
    </xf>
    <xf numFmtId="57" fontId="7" fillId="0" borderId="0" xfId="0" applyNumberFormat="1" applyFont="1" applyAlignment="1" applyProtection="1">
      <alignment horizontal="center"/>
      <protection hidden="1"/>
    </xf>
    <xf numFmtId="57" fontId="14" fillId="0" borderId="0" xfId="0" applyNumberFormat="1" applyFont="1" applyAlignment="1" applyProtection="1">
      <alignment horizontal="right"/>
      <protection hidden="1"/>
    </xf>
    <xf numFmtId="0" fontId="0" fillId="0" borderId="10" xfId="0" applyBorder="1" applyAlignment="1">
      <alignment horizontal="center" vertical="center"/>
    </xf>
    <xf numFmtId="0" fontId="57" fillId="0" borderId="0" xfId="0" applyFont="1" applyFill="1" applyBorder="1" applyAlignment="1" applyProtection="1">
      <alignment horizontal="left" vertical="center" wrapText="1"/>
      <protection hidden="1"/>
    </xf>
    <xf numFmtId="0" fontId="5" fillId="0" borderId="10" xfId="65" applyFont="1" applyBorder="1">
      <alignment vertical="center"/>
    </xf>
    <xf numFmtId="0" fontId="5" fillId="0" borderId="10" xfId="65" applyFont="1" applyFill="1" applyBorder="1">
      <alignment vertical="center"/>
    </xf>
    <xf numFmtId="0" fontId="5" fillId="0" borderId="10" xfId="65" applyFont="1" applyBorder="1" applyAlignment="1">
      <alignment horizontal="center" vertical="center"/>
    </xf>
    <xf numFmtId="0" fontId="0" fillId="0" borderId="10" xfId="65" applyFont="1" applyBorder="1" applyAlignment="1">
      <alignment horizontal="center" vertical="center" wrapText="1"/>
    </xf>
    <xf numFmtId="0" fontId="0" fillId="0" borderId="10" xfId="65" applyFont="1" applyFill="1" applyBorder="1" applyAlignment="1">
      <alignment horizontal="center" vertical="center" wrapText="1"/>
    </xf>
    <xf numFmtId="0" fontId="33" fillId="0" borderId="0" xfId="0" applyFont="1" applyFill="1" applyBorder="1" applyAlignment="1" applyProtection="1">
      <alignment horizontal="center" vertical="center" wrapText="1"/>
      <protection hidden="1"/>
    </xf>
    <xf numFmtId="0" fontId="57" fillId="0" borderId="0" xfId="0" applyFont="1" applyFill="1" applyBorder="1" applyAlignment="1" applyProtection="1">
      <alignment horizontal="center" vertical="center" wrapText="1"/>
      <protection hidden="1"/>
    </xf>
    <xf numFmtId="0" fontId="14" fillId="0" borderId="0" xfId="0" applyFont="1" applyFill="1" applyBorder="1" applyAlignment="1" applyProtection="1">
      <alignment horizontal="center" vertical="center"/>
      <protection hidden="1"/>
    </xf>
    <xf numFmtId="0" fontId="14" fillId="0" borderId="0" xfId="0" applyFont="1" applyAlignment="1" applyProtection="1">
      <alignment vertical="center"/>
      <protection hidden="1"/>
    </xf>
    <xf numFmtId="0" fontId="7" fillId="0" borderId="10" xfId="0" applyFont="1" applyFill="1" applyBorder="1" applyAlignment="1" applyProtection="1">
      <alignment horizontal="center" vertical="center"/>
      <protection hidden="1"/>
    </xf>
    <xf numFmtId="0" fontId="32" fillId="0" borderId="10" xfId="0" applyFont="1" applyFill="1" applyBorder="1" applyAlignment="1" applyProtection="1">
      <alignment horizontal="center" vertical="center" wrapText="1"/>
      <protection hidden="1"/>
    </xf>
    <xf numFmtId="0" fontId="38" fillId="0" borderId="10" xfId="0" applyFont="1" applyFill="1" applyBorder="1" applyAlignment="1" applyProtection="1">
      <alignment horizontal="center" vertical="center" wrapText="1"/>
      <protection hidden="1"/>
    </xf>
    <xf numFmtId="0" fontId="0" fillId="0" borderId="0" xfId="0" applyFont="1" applyBorder="1"/>
    <xf numFmtId="0" fontId="7" fillId="0" borderId="10" xfId="0" applyFont="1" applyFill="1" applyBorder="1" applyAlignment="1" applyProtection="1">
      <alignment vertical="center"/>
      <protection hidden="1"/>
    </xf>
    <xf numFmtId="179" fontId="32" fillId="0" borderId="10" xfId="0" applyNumberFormat="1" applyFont="1" applyFill="1" applyBorder="1" applyAlignment="1" applyProtection="1">
      <alignment horizontal="center" vertical="center" wrapText="1"/>
      <protection hidden="1"/>
    </xf>
    <xf numFmtId="0" fontId="14" fillId="0" borderId="0" xfId="0" applyFont="1" applyBorder="1" applyAlignment="1">
      <alignment horizontal="left" vertical="center"/>
    </xf>
    <xf numFmtId="49" fontId="33" fillId="0" borderId="0" xfId="0" applyNumberFormat="1" applyFont="1" applyAlignment="1" applyProtection="1">
      <alignment horizontal="left" shrinkToFit="1"/>
      <protection hidden="1"/>
    </xf>
    <xf numFmtId="0" fontId="33" fillId="0" borderId="0" xfId="0" applyFont="1" applyAlignment="1" applyProtection="1">
      <alignment horizontal="left" shrinkToFit="1"/>
      <protection hidden="1"/>
    </xf>
    <xf numFmtId="0" fontId="33" fillId="0" borderId="0" xfId="0" applyFont="1" applyAlignment="1" applyProtection="1">
      <alignment horizontal="right" vertical="center" shrinkToFit="1"/>
      <protection hidden="1"/>
    </xf>
    <xf numFmtId="0" fontId="0" fillId="0" borderId="0" xfId="0" applyAlignment="1">
      <alignment horizontal="center" vertical="center"/>
    </xf>
    <xf numFmtId="49" fontId="11" fillId="0" borderId="0" xfId="0" applyNumberFormat="1" applyFont="1"/>
    <xf numFmtId="49" fontId="10" fillId="0" borderId="0" xfId="0" applyNumberFormat="1" applyFont="1"/>
    <xf numFmtId="0" fontId="48" fillId="0" borderId="0" xfId="0" applyNumberFormat="1" applyFont="1" applyBorder="1" applyAlignment="1">
      <alignment wrapText="1"/>
    </xf>
    <xf numFmtId="0" fontId="107" fillId="0" borderId="0" xfId="0" applyFont="1" applyAlignment="1" applyProtection="1">
      <alignment vertical="center"/>
      <protection hidden="1"/>
    </xf>
    <xf numFmtId="0" fontId="55" fillId="0" borderId="0" xfId="1" applyFont="1" applyAlignment="1" applyProtection="1">
      <alignment vertical="center"/>
      <protection hidden="1"/>
    </xf>
    <xf numFmtId="0" fontId="108" fillId="25" borderId="0" xfId="67" applyFont="1" applyFill="1" applyBorder="1" applyAlignment="1" applyProtection="1">
      <alignment vertical="center"/>
      <protection hidden="1"/>
    </xf>
    <xf numFmtId="0" fontId="109" fillId="25" borderId="0" xfId="67" applyFont="1" applyFill="1" applyBorder="1" applyAlignment="1" applyProtection="1">
      <alignment vertical="center"/>
      <protection hidden="1"/>
    </xf>
    <xf numFmtId="0" fontId="108" fillId="25" borderId="0" xfId="67" applyFont="1" applyFill="1" applyAlignment="1" applyProtection="1">
      <alignment vertical="center"/>
      <protection hidden="1"/>
    </xf>
    <xf numFmtId="0" fontId="11" fillId="0" borderId="0" xfId="0" applyFont="1" applyAlignment="1">
      <alignment horizontal="center" vertical="center" wrapText="1"/>
    </xf>
    <xf numFmtId="0" fontId="87" fillId="0" borderId="7" xfId="69" applyFont="1" applyFill="1" applyBorder="1" applyAlignment="1">
      <alignment wrapText="1"/>
    </xf>
    <xf numFmtId="0" fontId="87" fillId="0" borderId="7" xfId="69" applyFont="1" applyFill="1" applyBorder="1" applyAlignment="1">
      <alignment horizontal="right" wrapText="1"/>
    </xf>
    <xf numFmtId="199" fontId="87" fillId="0" borderId="7" xfId="69" applyNumberFormat="1" applyFont="1" applyFill="1" applyBorder="1" applyAlignment="1">
      <alignment horizontal="right" wrapText="1"/>
    </xf>
    <xf numFmtId="0" fontId="86" fillId="0" borderId="0" xfId="69"/>
    <xf numFmtId="0" fontId="0" fillId="0" borderId="0" xfId="0" applyAlignment="1">
      <alignment horizontal="center"/>
    </xf>
    <xf numFmtId="0" fontId="89" fillId="0" borderId="7" xfId="71" applyFont="1" applyFill="1" applyBorder="1" applyAlignment="1">
      <alignment wrapText="1"/>
    </xf>
    <xf numFmtId="0" fontId="89" fillId="0" borderId="7" xfId="71" applyFont="1" applyFill="1" applyBorder="1" applyAlignment="1">
      <alignment horizontal="right" wrapText="1"/>
    </xf>
    <xf numFmtId="0" fontId="56" fillId="0" borderId="0" xfId="1" applyFont="1" applyBorder="1" applyAlignment="1" applyProtection="1">
      <alignment vertical="center"/>
      <protection hidden="1"/>
    </xf>
    <xf numFmtId="0" fontId="103" fillId="0" borderId="0" xfId="0" applyFont="1" applyProtection="1">
      <protection hidden="1"/>
    </xf>
    <xf numFmtId="0" fontId="107" fillId="0" borderId="0" xfId="0" applyFont="1" applyProtection="1">
      <protection hidden="1"/>
    </xf>
    <xf numFmtId="57" fontId="103" fillId="0" borderId="0" xfId="0" applyNumberFormat="1" applyFont="1" applyAlignment="1" applyProtection="1">
      <protection hidden="1"/>
    </xf>
    <xf numFmtId="57" fontId="103" fillId="0" borderId="0" xfId="0" applyNumberFormat="1" applyFont="1" applyAlignment="1" applyProtection="1">
      <alignment horizontal="center" vertical="center"/>
      <protection hidden="1"/>
    </xf>
    <xf numFmtId="57" fontId="110" fillId="0" borderId="0" xfId="0" applyNumberFormat="1" applyFont="1" applyAlignment="1" applyProtection="1">
      <alignment vertical="center"/>
      <protection hidden="1"/>
    </xf>
    <xf numFmtId="57" fontId="103" fillId="0" borderId="0" xfId="0" applyNumberFormat="1" applyFont="1" applyAlignment="1" applyProtection="1">
      <alignment vertical="center"/>
      <protection hidden="1"/>
    </xf>
    <xf numFmtId="0" fontId="107" fillId="0" borderId="0" xfId="0" applyFont="1" applyBorder="1" applyProtection="1">
      <protection hidden="1"/>
    </xf>
    <xf numFmtId="0" fontId="103" fillId="0" borderId="0" xfId="0" applyFont="1" applyAlignment="1" applyProtection="1">
      <alignment vertical="center"/>
      <protection hidden="1"/>
    </xf>
    <xf numFmtId="0" fontId="61" fillId="0" borderId="0" xfId="1" applyFont="1" applyAlignment="1" applyProtection="1">
      <alignment vertical="center"/>
      <protection hidden="1"/>
    </xf>
    <xf numFmtId="0" fontId="10" fillId="0" borderId="0" xfId="0" applyFont="1" applyAlignment="1"/>
    <xf numFmtId="0" fontId="14" fillId="0" borderId="0" xfId="0" applyFont="1" applyFill="1" applyBorder="1" applyAlignment="1">
      <alignment horizontal="left" vertical="center"/>
    </xf>
    <xf numFmtId="179" fontId="33" fillId="0" borderId="0" xfId="0" applyNumberFormat="1" applyFont="1" applyFill="1" applyBorder="1" applyAlignment="1">
      <alignment horizontal="right" vertical="center"/>
    </xf>
    <xf numFmtId="0" fontId="11" fillId="0" borderId="0" xfId="0" applyFont="1" applyAlignment="1">
      <alignment wrapText="1"/>
    </xf>
    <xf numFmtId="179" fontId="0" fillId="0" borderId="10" xfId="0" applyNumberFormat="1" applyFill="1" applyBorder="1"/>
    <xf numFmtId="0" fontId="36" fillId="0" borderId="0" xfId="67" applyFont="1" applyFill="1" applyBorder="1" applyAlignment="1" applyProtection="1">
      <alignment horizontal="left" vertical="center" shrinkToFit="1"/>
      <protection hidden="1"/>
    </xf>
    <xf numFmtId="0" fontId="36" fillId="0" borderId="28" xfId="67" applyFont="1" applyFill="1" applyBorder="1" applyAlignment="1" applyProtection="1">
      <alignment horizontal="left" vertical="center" shrinkToFit="1"/>
      <protection hidden="1"/>
    </xf>
    <xf numFmtId="0" fontId="0" fillId="0" borderId="10" xfId="0" applyBorder="1" applyAlignment="1">
      <alignment wrapText="1"/>
    </xf>
    <xf numFmtId="0" fontId="111" fillId="0" borderId="0" xfId="0" applyFont="1" applyAlignment="1" applyProtection="1">
      <alignment horizontal="right"/>
      <protection hidden="1"/>
    </xf>
    <xf numFmtId="0" fontId="57" fillId="0" borderId="20" xfId="0" applyFont="1" applyBorder="1" applyAlignment="1" applyProtection="1">
      <alignment vertical="center"/>
      <protection hidden="1"/>
    </xf>
    <xf numFmtId="0" fontId="0" fillId="37" borderId="0" xfId="0" applyFill="1"/>
    <xf numFmtId="49" fontId="31" fillId="0" borderId="0" xfId="0" applyNumberFormat="1" applyFont="1" applyAlignment="1" applyProtection="1">
      <alignment horizontal="left" vertical="center" shrinkToFit="1"/>
      <protection hidden="1"/>
    </xf>
    <xf numFmtId="0" fontId="31" fillId="0" borderId="0" xfId="0" applyFont="1" applyAlignment="1" applyProtection="1">
      <alignment horizontal="left" vertical="center" shrinkToFit="1"/>
      <protection hidden="1"/>
    </xf>
    <xf numFmtId="0" fontId="63" fillId="0" borderId="0" xfId="0" applyFont="1" applyBorder="1" applyAlignment="1" applyProtection="1">
      <alignment vertical="center"/>
      <protection hidden="1"/>
    </xf>
    <xf numFmtId="0" fontId="64" fillId="0" borderId="0" xfId="0" applyFont="1" applyBorder="1" applyAlignment="1" applyProtection="1">
      <alignment vertical="center"/>
      <protection hidden="1"/>
    </xf>
    <xf numFmtId="0" fontId="5" fillId="0" borderId="0" xfId="0" applyFont="1" applyBorder="1"/>
    <xf numFmtId="0" fontId="38" fillId="0" borderId="0" xfId="0" applyFont="1" applyBorder="1"/>
    <xf numFmtId="0" fontId="38" fillId="0" borderId="0" xfId="0" applyFont="1" applyBorder="1" applyAlignment="1"/>
    <xf numFmtId="0" fontId="5" fillId="0" borderId="0" xfId="65" applyFont="1" applyBorder="1">
      <alignment vertical="center"/>
    </xf>
    <xf numFmtId="0" fontId="5" fillId="0" borderId="0" xfId="65" applyFont="1" applyBorder="1" applyAlignment="1">
      <alignment vertical="center"/>
    </xf>
    <xf numFmtId="0" fontId="53" fillId="0" borderId="0" xfId="65" applyFont="1" applyBorder="1">
      <alignment vertical="center"/>
    </xf>
    <xf numFmtId="179" fontId="11" fillId="44" borderId="10" xfId="65" applyNumberFormat="1" applyFill="1" applyBorder="1">
      <alignment vertical="center"/>
    </xf>
    <xf numFmtId="0" fontId="9" fillId="0" borderId="0" xfId="0" applyFont="1" applyFill="1" applyBorder="1"/>
    <xf numFmtId="0" fontId="63" fillId="0" borderId="0" xfId="0" applyFont="1" applyFill="1" applyBorder="1" applyAlignment="1" applyProtection="1">
      <alignment vertical="center"/>
      <protection hidden="1"/>
    </xf>
    <xf numFmtId="0" fontId="64" fillId="0" borderId="0" xfId="0" applyFont="1" applyFill="1" applyBorder="1" applyAlignment="1" applyProtection="1">
      <alignment vertical="center"/>
      <protection hidden="1"/>
    </xf>
    <xf numFmtId="0" fontId="5" fillId="0" borderId="0" xfId="0" applyFont="1" applyFill="1" applyBorder="1"/>
    <xf numFmtId="0" fontId="38" fillId="0" borderId="0" xfId="0" applyFont="1" applyFill="1" applyBorder="1"/>
    <xf numFmtId="0" fontId="38" fillId="0" borderId="0" xfId="0" applyFont="1" applyFill="1" applyBorder="1" applyAlignment="1"/>
    <xf numFmtId="0" fontId="5" fillId="0" borderId="0" xfId="65" applyFont="1" applyFill="1" applyBorder="1">
      <alignment vertical="center"/>
    </xf>
    <xf numFmtId="0" fontId="5" fillId="0" borderId="0" xfId="65" applyFont="1" applyFill="1" applyBorder="1" applyAlignment="1">
      <alignment vertical="center"/>
    </xf>
    <xf numFmtId="0" fontId="53" fillId="0" borderId="0" xfId="65" applyFont="1" applyFill="1" applyBorder="1">
      <alignment vertical="center"/>
    </xf>
    <xf numFmtId="0" fontId="0" fillId="0" borderId="0" xfId="0" applyBorder="1" applyAlignment="1">
      <alignment horizontal="right" vertical="center"/>
    </xf>
    <xf numFmtId="179" fontId="11" fillId="0" borderId="0" xfId="65" applyNumberFormat="1" applyBorder="1" applyAlignment="1">
      <alignment horizontal="center" vertical="center"/>
    </xf>
    <xf numFmtId="0" fontId="0" fillId="0" borderId="34" xfId="0" applyFill="1" applyBorder="1"/>
    <xf numFmtId="179" fontId="11" fillId="37" borderId="10" xfId="65" applyNumberFormat="1" applyFill="1" applyBorder="1">
      <alignment vertical="center"/>
    </xf>
    <xf numFmtId="179" fontId="0" fillId="37" borderId="10" xfId="0" applyNumberFormat="1" applyFill="1" applyBorder="1"/>
    <xf numFmtId="0" fontId="31" fillId="0" borderId="0" xfId="0" applyFont="1" applyFill="1" applyBorder="1" applyAlignment="1" applyProtection="1">
      <alignment horizontal="center" vertical="center" shrinkToFit="1"/>
      <protection hidden="1"/>
    </xf>
    <xf numFmtId="192" fontId="33" fillId="0" borderId="0" xfId="74" applyNumberFormat="1" applyFont="1" applyFill="1" applyBorder="1" applyAlignment="1" applyProtection="1">
      <alignment horizontal="center" vertical="center" shrinkToFit="1"/>
      <protection hidden="1"/>
    </xf>
    <xf numFmtId="0" fontId="0" fillId="0" borderId="0" xfId="0" applyBorder="1" applyAlignment="1">
      <alignment vertical="center"/>
    </xf>
    <xf numFmtId="0" fontId="0" fillId="0" borderId="0" xfId="0" applyBorder="1" applyAlignment="1">
      <alignment horizontal="center" vertical="center" shrinkToFit="1"/>
    </xf>
    <xf numFmtId="0" fontId="31" fillId="36" borderId="10" xfId="0" applyFont="1" applyFill="1" applyBorder="1" applyAlignment="1" applyProtection="1">
      <alignment horizontal="center" vertical="center" shrinkToFit="1"/>
      <protection hidden="1"/>
    </xf>
    <xf numFmtId="179" fontId="11" fillId="0" borderId="10" xfId="65" applyNumberFormat="1" applyBorder="1" applyAlignment="1">
      <alignment horizontal="right" vertical="center"/>
    </xf>
    <xf numFmtId="180" fontId="11" fillId="0" borderId="10" xfId="0" quotePrefix="1" applyNumberFormat="1" applyFont="1" applyFill="1" applyBorder="1" applyAlignment="1"/>
    <xf numFmtId="0" fontId="11" fillId="0" borderId="10" xfId="0" applyFont="1" applyBorder="1" applyAlignment="1"/>
    <xf numFmtId="0" fontId="11" fillId="0" borderId="10" xfId="0" quotePrefix="1" applyFont="1" applyBorder="1"/>
    <xf numFmtId="0" fontId="11" fillId="0" borderId="10" xfId="0" quotePrefix="1" applyFont="1" applyBorder="1" applyAlignment="1">
      <alignment horizontal="center"/>
    </xf>
    <xf numFmtId="0" fontId="11" fillId="0" borderId="10" xfId="0" quotePrefix="1" applyFont="1" applyBorder="1" applyAlignment="1">
      <alignment horizontal="center" vertical="center"/>
    </xf>
    <xf numFmtId="0" fontId="57" fillId="0" borderId="0" xfId="0" applyFont="1" applyFill="1" applyBorder="1" applyAlignment="1" applyProtection="1">
      <alignment horizontal="right" vertical="center"/>
      <protection hidden="1"/>
    </xf>
    <xf numFmtId="0" fontId="100" fillId="0" borderId="0" xfId="0" applyFont="1" applyFill="1" applyProtection="1">
      <protection hidden="1"/>
    </xf>
    <xf numFmtId="0" fontId="0" fillId="0" borderId="0" xfId="0" applyFont="1" applyFill="1" applyBorder="1" applyAlignment="1"/>
    <xf numFmtId="0" fontId="11" fillId="0" borderId="27" xfId="0" quotePrefix="1" applyFont="1" applyBorder="1"/>
    <xf numFmtId="186" fontId="57" fillId="0" borderId="0" xfId="0" applyNumberFormat="1" applyFont="1" applyBorder="1" applyAlignment="1" applyProtection="1">
      <alignment horizontal="left" vertical="center" shrinkToFit="1"/>
      <protection hidden="1"/>
    </xf>
    <xf numFmtId="187" fontId="33" fillId="0" borderId="0" xfId="0" applyNumberFormat="1" applyFont="1" applyBorder="1" applyAlignment="1" applyProtection="1">
      <alignment horizontal="center" vertical="center"/>
      <protection hidden="1"/>
    </xf>
    <xf numFmtId="191" fontId="33" fillId="0" borderId="0" xfId="0" applyNumberFormat="1" applyFont="1" applyBorder="1" applyAlignment="1" applyProtection="1">
      <alignment horizontal="center" vertical="center" shrinkToFit="1"/>
      <protection hidden="1"/>
    </xf>
    <xf numFmtId="176" fontId="33" fillId="0" borderId="0" xfId="75" applyFont="1" applyBorder="1" applyAlignment="1" applyProtection="1">
      <alignment horizontal="center" vertical="center" shrinkToFit="1"/>
      <protection hidden="1"/>
    </xf>
    <xf numFmtId="0" fontId="112" fillId="0" borderId="0" xfId="0" applyFont="1" applyFill="1" applyProtection="1">
      <protection hidden="1"/>
    </xf>
    <xf numFmtId="0" fontId="16" fillId="0" borderId="0" xfId="67" applyFont="1" applyFill="1" applyBorder="1" applyAlignment="1" applyProtection="1">
      <protection hidden="1"/>
    </xf>
    <xf numFmtId="0" fontId="50" fillId="0" borderId="20" xfId="67" applyFont="1" applyFill="1" applyBorder="1" applyAlignment="1" applyProtection="1">
      <alignment horizontal="center" vertical="center" shrinkToFit="1"/>
      <protection hidden="1"/>
    </xf>
    <xf numFmtId="0" fontId="50" fillId="0" borderId="35" xfId="67" applyFont="1" applyFill="1" applyBorder="1" applyAlignment="1" applyProtection="1">
      <alignment horizontal="center" vertical="center" shrinkToFit="1"/>
      <protection hidden="1"/>
    </xf>
    <xf numFmtId="0" fontId="113" fillId="0" borderId="36" xfId="67" applyFont="1" applyFill="1" applyBorder="1" applyAlignment="1" applyProtection="1">
      <alignment horizontal="left" vertical="center"/>
      <protection hidden="1"/>
    </xf>
    <xf numFmtId="0" fontId="16" fillId="0" borderId="36" xfId="67" applyFont="1" applyFill="1" applyBorder="1" applyAlignment="1" applyProtection="1">
      <protection hidden="1"/>
    </xf>
    <xf numFmtId="0" fontId="16" fillId="0" borderId="37" xfId="67" applyFont="1" applyFill="1" applyBorder="1" applyAlignment="1" applyProtection="1">
      <protection hidden="1"/>
    </xf>
    <xf numFmtId="0" fontId="25" fillId="25" borderId="37" xfId="67" applyFont="1" applyFill="1" applyBorder="1" applyAlignment="1" applyProtection="1">
      <alignment horizontal="center" vertical="center"/>
      <protection hidden="1"/>
    </xf>
    <xf numFmtId="0" fontId="9" fillId="0" borderId="37" xfId="67" applyFont="1" applyFill="1" applyBorder="1" applyAlignment="1" applyProtection="1">
      <alignment horizontal="center" vertical="center"/>
      <protection hidden="1"/>
    </xf>
    <xf numFmtId="0" fontId="30" fillId="0" borderId="38" xfId="67" applyFont="1" applyFill="1" applyBorder="1" applyAlignment="1" applyProtection="1">
      <alignment horizontal="center" vertical="center"/>
      <protection hidden="1"/>
    </xf>
    <xf numFmtId="0" fontId="11" fillId="0" borderId="38" xfId="67" applyFont="1" applyBorder="1" applyAlignment="1" applyProtection="1">
      <alignment vertical="center"/>
      <protection hidden="1"/>
    </xf>
    <xf numFmtId="0" fontId="21" fillId="0" borderId="37" xfId="67" applyFont="1" applyFill="1" applyBorder="1" applyAlignment="1" applyProtection="1">
      <alignment horizontal="right" vertical="center"/>
      <protection hidden="1"/>
    </xf>
    <xf numFmtId="0" fontId="17" fillId="0" borderId="38" xfId="67" applyFont="1" applyFill="1" applyBorder="1" applyAlignment="1" applyProtection="1">
      <alignment horizontal="center" vertical="center"/>
      <protection hidden="1"/>
    </xf>
    <xf numFmtId="0" fontId="30" fillId="0" borderId="38" xfId="67" applyFont="1" applyFill="1" applyBorder="1" applyAlignment="1" applyProtection="1">
      <alignment vertical="center"/>
      <protection hidden="1"/>
    </xf>
    <xf numFmtId="0" fontId="36" fillId="0" borderId="38" xfId="67" applyFont="1" applyFill="1" applyBorder="1" applyAlignment="1" applyProtection="1">
      <alignment horizontal="left" vertical="center"/>
      <protection hidden="1"/>
    </xf>
    <xf numFmtId="0" fontId="22" fillId="0" borderId="37" xfId="67" applyFont="1" applyFill="1" applyBorder="1" applyAlignment="1" applyProtection="1">
      <alignment horizontal="center" vertical="center" wrapText="1"/>
      <protection hidden="1"/>
    </xf>
    <xf numFmtId="0" fontId="21" fillId="0" borderId="37" xfId="67" applyFont="1" applyFill="1" applyBorder="1" applyAlignment="1" applyProtection="1">
      <alignment horizontal="right" vertical="center" wrapText="1"/>
      <protection hidden="1"/>
    </xf>
    <xf numFmtId="0" fontId="25" fillId="0" borderId="37" xfId="67" applyFont="1" applyFill="1" applyBorder="1" applyAlignment="1" applyProtection="1">
      <alignment horizontal="center" vertical="center"/>
      <protection hidden="1"/>
    </xf>
    <xf numFmtId="0" fontId="17" fillId="0" borderId="38" xfId="67" applyFont="1" applyFill="1" applyBorder="1" applyAlignment="1" applyProtection="1">
      <alignment horizontal="right" vertical="center"/>
      <protection hidden="1"/>
    </xf>
    <xf numFmtId="0" fontId="11" fillId="0" borderId="37" xfId="67" applyFont="1" applyBorder="1" applyAlignment="1" applyProtection="1">
      <alignment vertical="center"/>
      <protection hidden="1"/>
    </xf>
    <xf numFmtId="0" fontId="9" fillId="0" borderId="40" xfId="67" applyFont="1" applyFill="1" applyBorder="1" applyAlignment="1" applyProtection="1">
      <alignment horizontal="center" vertical="center"/>
      <protection hidden="1"/>
    </xf>
    <xf numFmtId="0" fontId="20" fillId="0" borderId="37" xfId="67" applyFont="1" applyFill="1" applyBorder="1" applyAlignment="1" applyProtection="1">
      <alignment vertical="center"/>
      <protection hidden="1"/>
    </xf>
    <xf numFmtId="0" fontId="27" fillId="25" borderId="0" xfId="67" applyFont="1" applyFill="1" applyBorder="1" applyAlignment="1" applyProtection="1">
      <alignment vertical="center"/>
      <protection hidden="1"/>
    </xf>
    <xf numFmtId="0" fontId="17" fillId="0" borderId="59" xfId="67" applyFont="1" applyFill="1" applyBorder="1" applyAlignment="1" applyProtection="1">
      <alignment horizontal="center" vertical="center"/>
      <protection hidden="1"/>
    </xf>
    <xf numFmtId="0" fontId="9" fillId="0" borderId="60" xfId="67" applyFont="1" applyFill="1" applyBorder="1" applyAlignment="1" applyProtection="1">
      <alignment horizontal="center" vertical="center"/>
      <protection hidden="1"/>
    </xf>
    <xf numFmtId="0" fontId="17" fillId="0" borderId="38" xfId="67" applyFont="1" applyFill="1" applyBorder="1" applyAlignment="1" applyProtection="1">
      <alignment horizontal="left" vertical="center"/>
      <protection hidden="1"/>
    </xf>
    <xf numFmtId="0" fontId="0" fillId="0" borderId="0" xfId="0" applyBorder="1" applyAlignment="1">
      <alignment horizontal="right" vertical="center" wrapText="1"/>
    </xf>
    <xf numFmtId="0" fontId="36" fillId="0" borderId="37" xfId="67" applyFont="1" applyFill="1" applyBorder="1" applyAlignment="1" applyProtection="1">
      <alignment horizontal="left" vertical="center" shrinkToFit="1"/>
      <protection hidden="1"/>
    </xf>
    <xf numFmtId="0" fontId="36" fillId="0" borderId="41" xfId="67" applyFont="1" applyFill="1" applyBorder="1" applyAlignment="1" applyProtection="1">
      <alignment horizontal="left" vertical="center" shrinkToFit="1"/>
      <protection hidden="1"/>
    </xf>
    <xf numFmtId="0" fontId="36" fillId="0" borderId="39" xfId="67" applyFont="1" applyFill="1" applyBorder="1" applyAlignment="1" applyProtection="1">
      <alignment horizontal="left" vertical="center" shrinkToFit="1"/>
      <protection hidden="1"/>
    </xf>
    <xf numFmtId="0" fontId="17" fillId="0" borderId="42" xfId="67" applyFont="1" applyFill="1" applyBorder="1" applyAlignment="1" applyProtection="1">
      <alignment horizontal="center" vertical="center"/>
      <protection hidden="1"/>
    </xf>
    <xf numFmtId="0" fontId="25" fillId="0" borderId="43" xfId="67" applyFont="1" applyFill="1" applyBorder="1" applyAlignment="1" applyProtection="1">
      <alignment horizontal="center" vertical="center"/>
      <protection hidden="1"/>
    </xf>
    <xf numFmtId="0" fontId="20" fillId="0" borderId="33" xfId="67" applyFont="1" applyFill="1" applyBorder="1" applyAlignment="1" applyProtection="1">
      <alignment horizontal="center" vertical="center" shrinkToFit="1"/>
      <protection hidden="1"/>
    </xf>
    <xf numFmtId="0" fontId="35" fillId="0" borderId="33" xfId="67" applyFont="1" applyFill="1" applyBorder="1" applyAlignment="1" applyProtection="1">
      <alignment vertical="center"/>
      <protection hidden="1"/>
    </xf>
    <xf numFmtId="0" fontId="36" fillId="0" borderId="33" xfId="67" applyFont="1" applyFill="1" applyBorder="1" applyAlignment="1" applyProtection="1">
      <alignment horizontal="center" vertical="center"/>
      <protection hidden="1"/>
    </xf>
    <xf numFmtId="0" fontId="25" fillId="0" borderId="44" xfId="67" applyFont="1" applyFill="1" applyBorder="1" applyAlignment="1" applyProtection="1">
      <alignment horizontal="center" vertical="center"/>
      <protection hidden="1"/>
    </xf>
    <xf numFmtId="0" fontId="114" fillId="0" borderId="0" xfId="67" applyFont="1" applyFill="1" applyBorder="1" applyAlignment="1" applyProtection="1">
      <alignment horizontal="right" vertical="center"/>
      <protection hidden="1"/>
    </xf>
    <xf numFmtId="0" fontId="115" fillId="0" borderId="0" xfId="0" applyFont="1" applyAlignment="1" applyProtection="1">
      <alignment horizontal="right"/>
      <protection hidden="1"/>
    </xf>
    <xf numFmtId="0" fontId="106" fillId="0" borderId="0" xfId="67" applyFont="1" applyBorder="1" applyAlignment="1" applyProtection="1">
      <alignment horizontal="left" vertical="center"/>
      <protection hidden="1"/>
    </xf>
    <xf numFmtId="179" fontId="11" fillId="37" borderId="0" xfId="65" applyNumberFormat="1" applyFill="1" applyAlignment="1">
      <alignment horizontal="center" vertical="center"/>
    </xf>
    <xf numFmtId="189" fontId="94" fillId="0" borderId="0" xfId="1" applyNumberFormat="1" applyFont="1"/>
    <xf numFmtId="0" fontId="95" fillId="0" borderId="7" xfId="62" applyFont="1" applyFill="1" applyBorder="1" applyAlignment="1">
      <alignment horizontal="right" wrapText="1"/>
    </xf>
    <xf numFmtId="0" fontId="94" fillId="0" borderId="0" xfId="0" applyFont="1"/>
    <xf numFmtId="0" fontId="94" fillId="0" borderId="0" xfId="1" applyFont="1" applyFill="1"/>
    <xf numFmtId="0" fontId="102" fillId="0" borderId="0" xfId="0" applyFont="1"/>
    <xf numFmtId="0" fontId="102" fillId="0" borderId="0" xfId="1" applyFont="1" applyFill="1"/>
    <xf numFmtId="0" fontId="116" fillId="0" borderId="0" xfId="62" applyFont="1" applyFill="1" applyBorder="1" applyAlignment="1">
      <alignment horizontal="center"/>
    </xf>
    <xf numFmtId="0" fontId="116" fillId="0" borderId="0" xfId="62" applyFont="1" applyFill="1" applyBorder="1" applyAlignment="1">
      <alignment horizontal="right" wrapText="1"/>
    </xf>
    <xf numFmtId="0" fontId="97" fillId="0" borderId="7" xfId="63" applyFont="1" applyFill="1" applyBorder="1" applyAlignment="1">
      <alignment wrapText="1"/>
    </xf>
    <xf numFmtId="0" fontId="97" fillId="0" borderId="7" xfId="63" applyFont="1" applyFill="1" applyBorder="1" applyAlignment="1">
      <alignment horizontal="right" wrapText="1"/>
    </xf>
    <xf numFmtId="0" fontId="96" fillId="0" borderId="0" xfId="63"/>
    <xf numFmtId="0" fontId="116" fillId="0" borderId="7" xfId="55" applyFont="1" applyFill="1" applyBorder="1" applyAlignment="1">
      <alignment wrapText="1"/>
    </xf>
    <xf numFmtId="0" fontId="116" fillId="0" borderId="7" xfId="55" applyFont="1" applyFill="1" applyBorder="1" applyAlignment="1">
      <alignment horizontal="right" wrapText="1"/>
    </xf>
    <xf numFmtId="0" fontId="99" fillId="33" borderId="45" xfId="56" applyFont="1" applyFill="1" applyBorder="1" applyAlignment="1">
      <alignment horizontal="center"/>
    </xf>
    <xf numFmtId="0" fontId="99" fillId="0" borderId="7" xfId="56" applyFont="1" applyFill="1" applyBorder="1" applyAlignment="1">
      <alignment wrapText="1"/>
    </xf>
    <xf numFmtId="0" fontId="98" fillId="0" borderId="0" xfId="56"/>
    <xf numFmtId="0" fontId="99" fillId="0" borderId="7" xfId="56" applyFont="1" applyFill="1" applyBorder="1" applyAlignment="1">
      <alignment horizontal="right" wrapText="1"/>
    </xf>
    <xf numFmtId="0" fontId="99" fillId="33" borderId="45" xfId="64" applyFont="1" applyFill="1" applyBorder="1" applyAlignment="1">
      <alignment horizontal="center"/>
    </xf>
    <xf numFmtId="0" fontId="99" fillId="0" borderId="7" xfId="64" applyFont="1" applyFill="1" applyBorder="1" applyAlignment="1">
      <alignment wrapText="1"/>
    </xf>
    <xf numFmtId="0" fontId="98" fillId="0" borderId="0" xfId="64"/>
    <xf numFmtId="0" fontId="99" fillId="0" borderId="7" xfId="64" applyFont="1" applyFill="1" applyBorder="1" applyAlignment="1">
      <alignment horizontal="right" wrapText="1"/>
    </xf>
    <xf numFmtId="0" fontId="7" fillId="0" borderId="7" xfId="56" applyFont="1" applyFill="1" applyBorder="1" applyAlignment="1">
      <alignment wrapText="1"/>
    </xf>
    <xf numFmtId="0" fontId="11" fillId="0" borderId="0" xfId="56" applyFont="1"/>
    <xf numFmtId="0" fontId="7" fillId="0" borderId="7" xfId="56" applyFont="1" applyFill="1" applyBorder="1" applyAlignment="1">
      <alignment horizontal="right" wrapText="1"/>
    </xf>
    <xf numFmtId="0" fontId="7" fillId="0" borderId="7" xfId="62" applyFont="1" applyFill="1" applyBorder="1" applyAlignment="1">
      <alignment horizontal="right" wrapText="1"/>
    </xf>
    <xf numFmtId="0" fontId="5" fillId="0" borderId="0" xfId="1" applyFont="1" applyFill="1"/>
    <xf numFmtId="0" fontId="51" fillId="33" borderId="45" xfId="57" applyFont="1" applyFill="1" applyBorder="1" applyAlignment="1">
      <alignment horizontal="center"/>
    </xf>
    <xf numFmtId="0" fontId="51" fillId="0" borderId="7" xfId="57" applyFont="1" applyFill="1" applyBorder="1" applyAlignment="1">
      <alignment wrapText="1"/>
    </xf>
    <xf numFmtId="0" fontId="51" fillId="0" borderId="7" xfId="57" applyFont="1" applyFill="1" applyBorder="1" applyAlignment="1">
      <alignment horizontal="right" wrapText="1"/>
    </xf>
    <xf numFmtId="0" fontId="51" fillId="33" borderId="45" xfId="68" applyFont="1" applyFill="1" applyBorder="1" applyAlignment="1">
      <alignment horizontal="center"/>
    </xf>
    <xf numFmtId="0" fontId="51" fillId="33" borderId="45" xfId="72" applyFont="1" applyFill="1" applyBorder="1" applyAlignment="1">
      <alignment horizontal="center"/>
    </xf>
    <xf numFmtId="0" fontId="51" fillId="0" borderId="7" xfId="72" applyFont="1" applyFill="1" applyBorder="1" applyAlignment="1">
      <alignment wrapText="1"/>
    </xf>
    <xf numFmtId="0" fontId="51" fillId="0" borderId="7" xfId="72" applyFont="1" applyFill="1" applyBorder="1" applyAlignment="1">
      <alignment horizontal="right" wrapText="1"/>
    </xf>
    <xf numFmtId="0" fontId="51" fillId="33" borderId="45" xfId="73" applyFont="1" applyFill="1" applyBorder="1" applyAlignment="1">
      <alignment horizontal="center"/>
    </xf>
    <xf numFmtId="0" fontId="51" fillId="0" borderId="7" xfId="73" applyFont="1" applyFill="1" applyBorder="1" applyAlignment="1">
      <alignment wrapText="1"/>
    </xf>
    <xf numFmtId="0" fontId="51" fillId="0" borderId="7" xfId="73" applyFont="1" applyFill="1" applyBorder="1" applyAlignment="1">
      <alignment horizontal="right" wrapText="1"/>
    </xf>
    <xf numFmtId="0" fontId="116" fillId="0" borderId="7" xfId="59" applyFont="1" applyFill="1" applyBorder="1" applyAlignment="1">
      <alignment wrapText="1"/>
    </xf>
    <xf numFmtId="0" fontId="117" fillId="0" borderId="0" xfId="59" applyFont="1"/>
    <xf numFmtId="0" fontId="116" fillId="0" borderId="7" xfId="59" applyFont="1" applyFill="1" applyBorder="1" applyAlignment="1">
      <alignment horizontal="right" wrapText="1"/>
    </xf>
    <xf numFmtId="0" fontId="116" fillId="0" borderId="7" xfId="61" applyFont="1" applyFill="1" applyBorder="1" applyAlignment="1">
      <alignment wrapText="1"/>
    </xf>
    <xf numFmtId="0" fontId="116" fillId="0" borderId="7" xfId="61" applyFont="1" applyFill="1" applyBorder="1" applyAlignment="1">
      <alignment horizontal="right" wrapText="1"/>
    </xf>
    <xf numFmtId="0" fontId="51" fillId="33" borderId="45" xfId="60" applyFont="1" applyFill="1" applyBorder="1" applyAlignment="1">
      <alignment horizontal="center"/>
    </xf>
    <xf numFmtId="0" fontId="51" fillId="0" borderId="7" xfId="60" applyFont="1" applyFill="1" applyBorder="1" applyAlignment="1">
      <alignment wrapText="1"/>
    </xf>
    <xf numFmtId="0" fontId="15" fillId="0" borderId="0" xfId="60"/>
    <xf numFmtId="0" fontId="51" fillId="0" borderId="7" xfId="60" applyFont="1" applyFill="1" applyBorder="1" applyAlignment="1">
      <alignment horizontal="right" wrapText="1"/>
    </xf>
    <xf numFmtId="0" fontId="11" fillId="45" borderId="10" xfId="0" applyFont="1" applyFill="1" applyBorder="1" applyAlignment="1">
      <alignment horizontal="center"/>
    </xf>
    <xf numFmtId="0" fontId="51" fillId="33" borderId="45" xfId="58" applyFont="1" applyFill="1" applyBorder="1" applyAlignment="1">
      <alignment horizontal="center"/>
    </xf>
    <xf numFmtId="0" fontId="51" fillId="0" borderId="7" xfId="58" applyFont="1" applyFill="1" applyBorder="1" applyAlignment="1">
      <alignment wrapText="1"/>
    </xf>
    <xf numFmtId="0" fontId="51" fillId="0" borderId="7" xfId="58" applyFont="1" applyFill="1" applyBorder="1" applyAlignment="1">
      <alignment horizontal="right" wrapText="1"/>
    </xf>
    <xf numFmtId="0" fontId="55" fillId="0" borderId="0" xfId="1" applyFont="1" applyBorder="1" applyAlignment="1" applyProtection="1">
      <alignment vertical="center"/>
      <protection hidden="1"/>
    </xf>
    <xf numFmtId="0" fontId="17" fillId="0" borderId="0" xfId="67" applyFont="1" applyFill="1" applyBorder="1" applyAlignment="1" applyProtection="1">
      <alignment horizontal="right" vertical="center"/>
      <protection hidden="1"/>
    </xf>
    <xf numFmtId="0" fontId="27" fillId="0" borderId="0" xfId="67" applyFont="1" applyFill="1" applyBorder="1" applyAlignment="1" applyProtection="1">
      <alignment horizontal="right" vertical="center"/>
      <protection hidden="1"/>
    </xf>
    <xf numFmtId="0" fontId="27" fillId="0" borderId="38" xfId="67" applyFont="1" applyFill="1" applyBorder="1" applyAlignment="1" applyProtection="1">
      <alignment horizontal="right" vertical="center"/>
      <protection hidden="1"/>
    </xf>
    <xf numFmtId="0" fontId="20" fillId="0" borderId="0" xfId="67" applyFont="1" applyFill="1" applyBorder="1" applyAlignment="1" applyProtection="1">
      <alignment horizontal="center" vertical="center"/>
      <protection hidden="1"/>
    </xf>
    <xf numFmtId="0" fontId="9" fillId="0" borderId="0" xfId="67" applyFont="1" applyFill="1" applyBorder="1" applyAlignment="1" applyProtection="1">
      <alignment horizontal="center" vertical="center"/>
      <protection hidden="1"/>
    </xf>
    <xf numFmtId="0" fontId="119" fillId="0" borderId="0" xfId="67" applyFont="1" applyBorder="1" applyAlignment="1" applyProtection="1">
      <alignment vertical="center"/>
      <protection hidden="1"/>
    </xf>
    <xf numFmtId="0" fontId="25" fillId="25" borderId="0" xfId="67" applyFont="1" applyFill="1" applyBorder="1" applyAlignment="1" applyProtection="1">
      <alignment horizontal="center" vertical="center"/>
      <protection hidden="1"/>
    </xf>
    <xf numFmtId="0" fontId="120" fillId="0" borderId="0" xfId="67" applyFont="1" applyFill="1" applyBorder="1" applyAlignment="1" applyProtection="1">
      <alignment horizontal="center" vertical="center"/>
      <protection hidden="1"/>
    </xf>
    <xf numFmtId="0" fontId="0" fillId="0" borderId="0" xfId="1" applyFont="1" applyProtection="1">
      <protection hidden="1"/>
    </xf>
    <xf numFmtId="0" fontId="9" fillId="0" borderId="64" xfId="67" applyFont="1" applyFill="1" applyBorder="1" applyAlignment="1" applyProtection="1">
      <alignment horizontal="center" vertical="center"/>
      <protection hidden="1"/>
    </xf>
    <xf numFmtId="0" fontId="27" fillId="0" borderId="33" xfId="67" applyFont="1" applyFill="1" applyBorder="1" applyAlignment="1" applyProtection="1">
      <alignment horizontal="center" vertical="center"/>
      <protection hidden="1"/>
    </xf>
    <xf numFmtId="0" fontId="0" fillId="0" borderId="0" xfId="1" applyFont="1" applyBorder="1" applyProtection="1">
      <protection hidden="1"/>
    </xf>
    <xf numFmtId="0" fontId="9" fillId="0" borderId="44" xfId="67" applyFont="1" applyFill="1" applyBorder="1" applyAlignment="1" applyProtection="1">
      <alignment horizontal="center" vertical="center"/>
      <protection hidden="1"/>
    </xf>
    <xf numFmtId="0" fontId="36" fillId="0" borderId="46" xfId="67" applyFont="1" applyFill="1" applyBorder="1" applyAlignment="1" applyProtection="1">
      <alignment horizontal="left" vertical="center"/>
      <protection hidden="1"/>
    </xf>
    <xf numFmtId="0" fontId="12" fillId="25" borderId="33" xfId="67" applyFont="1" applyFill="1" applyBorder="1" applyAlignment="1" applyProtection="1">
      <alignment vertical="center"/>
      <protection hidden="1"/>
    </xf>
    <xf numFmtId="0" fontId="10" fillId="0" borderId="0" xfId="1" applyFont="1"/>
    <xf numFmtId="0" fontId="9" fillId="0" borderId="0" xfId="1" applyFont="1" applyFill="1" applyBorder="1"/>
    <xf numFmtId="0" fontId="9" fillId="0" borderId="0" xfId="1" applyFont="1" applyFill="1" applyBorder="1" applyAlignment="1">
      <alignment horizontal="right"/>
    </xf>
    <xf numFmtId="14" fontId="11" fillId="26" borderId="10" xfId="65" applyNumberFormat="1" applyFont="1" applyFill="1" applyBorder="1" applyAlignment="1">
      <alignment horizontal="center" vertical="center"/>
    </xf>
    <xf numFmtId="181" fontId="11" fillId="0" borderId="10" xfId="65" applyNumberFormat="1" applyFont="1" applyBorder="1" applyAlignment="1">
      <alignment horizontal="center" vertical="center"/>
    </xf>
    <xf numFmtId="181" fontId="11" fillId="0" borderId="10" xfId="65" applyNumberFormat="1" applyFont="1" applyFill="1" applyBorder="1" applyAlignment="1">
      <alignment horizontal="center" vertical="center"/>
    </xf>
    <xf numFmtId="14" fontId="11" fillId="0" borderId="10" xfId="65" applyNumberFormat="1" applyFont="1" applyBorder="1" applyAlignment="1">
      <alignment horizontal="center" vertical="center"/>
    </xf>
    <xf numFmtId="0" fontId="0" fillId="42" borderId="10" xfId="0" applyFill="1" applyBorder="1"/>
    <xf numFmtId="0" fontId="11" fillId="29" borderId="10" xfId="65" applyFont="1" applyFill="1" applyBorder="1" applyAlignment="1">
      <alignment horizontal="center" vertical="center"/>
    </xf>
    <xf numFmtId="0" fontId="11" fillId="0" borderId="13" xfId="65" applyFill="1" applyBorder="1" applyAlignment="1">
      <alignment horizontal="center" vertical="center"/>
    </xf>
    <xf numFmtId="0" fontId="11" fillId="0" borderId="13" xfId="65" applyNumberFormat="1" applyFill="1" applyBorder="1" applyAlignment="1">
      <alignment horizontal="center" vertical="center"/>
    </xf>
    <xf numFmtId="0" fontId="11" fillId="0" borderId="0" xfId="65" applyFont="1" applyFill="1" applyAlignment="1">
      <alignment horizontal="center" vertical="center"/>
    </xf>
    <xf numFmtId="0" fontId="11" fillId="0" borderId="10" xfId="65" applyNumberFormat="1" applyFill="1" applyBorder="1">
      <alignment vertical="center"/>
    </xf>
    <xf numFmtId="0" fontId="11" fillId="0" borderId="10" xfId="65" applyFont="1" applyFill="1" applyBorder="1" applyAlignment="1">
      <alignment horizontal="center" vertical="center"/>
    </xf>
    <xf numFmtId="0" fontId="11" fillId="37" borderId="10" xfId="65" applyFill="1" applyBorder="1" applyAlignment="1">
      <alignment horizontal="center" vertical="center"/>
    </xf>
    <xf numFmtId="0" fontId="27" fillId="0" borderId="0" xfId="67" applyFont="1" applyFill="1" applyBorder="1" applyAlignment="1" applyProtection="1">
      <alignment horizontal="right" vertical="center"/>
      <protection hidden="1"/>
    </xf>
    <xf numFmtId="0" fontId="27" fillId="0" borderId="38" xfId="67" applyFont="1" applyFill="1" applyBorder="1" applyAlignment="1" applyProtection="1">
      <alignment horizontal="right" vertical="center"/>
      <protection hidden="1"/>
    </xf>
    <xf numFmtId="0" fontId="11" fillId="37" borderId="10" xfId="65" applyFill="1" applyBorder="1" applyProtection="1">
      <alignment vertical="center"/>
      <protection locked="0" hidden="1"/>
    </xf>
    <xf numFmtId="0" fontId="101" fillId="0" borderId="33" xfId="67" applyFont="1" applyFill="1" applyBorder="1" applyAlignment="1" applyProtection="1">
      <alignment horizontal="left" vertical="center"/>
      <protection hidden="1"/>
    </xf>
    <xf numFmtId="0" fontId="0" fillId="47" borderId="10" xfId="0" applyNumberFormat="1" applyFill="1" applyBorder="1" applyAlignment="1">
      <alignment horizontal="center"/>
    </xf>
    <xf numFmtId="0" fontId="11" fillId="47" borderId="10" xfId="65" applyNumberFormat="1" applyFill="1" applyBorder="1" applyAlignment="1">
      <alignment horizontal="center" vertical="center"/>
    </xf>
    <xf numFmtId="0" fontId="116" fillId="0" borderId="0" xfId="59" applyFont="1" applyFill="1" applyBorder="1" applyAlignment="1">
      <alignment horizontal="right" wrapText="1"/>
    </xf>
    <xf numFmtId="199" fontId="51" fillId="0" borderId="7" xfId="72" applyNumberFormat="1" applyFont="1" applyFill="1" applyBorder="1" applyAlignment="1">
      <alignment horizontal="right" wrapText="1"/>
    </xf>
    <xf numFmtId="0" fontId="15" fillId="0" borderId="0" xfId="58"/>
    <xf numFmtId="0" fontId="31" fillId="0" borderId="0" xfId="0" applyFont="1" applyAlignment="1" applyProtection="1">
      <alignment horizontal="left" vertical="center" shrinkToFit="1"/>
      <protection hidden="1"/>
    </xf>
    <xf numFmtId="0" fontId="0" fillId="0" borderId="10" xfId="0" applyBorder="1" applyAlignment="1">
      <alignment wrapText="1"/>
    </xf>
    <xf numFmtId="179" fontId="11" fillId="42" borderId="10" xfId="65" applyNumberFormat="1" applyFill="1" applyBorder="1" applyAlignment="1">
      <alignment horizontal="center" vertical="center"/>
    </xf>
    <xf numFmtId="179" fontId="11" fillId="42" borderId="10" xfId="0" applyNumberFormat="1" applyFont="1" applyFill="1" applyBorder="1" applyAlignment="1">
      <alignment vertical="center"/>
    </xf>
    <xf numFmtId="0" fontId="11" fillId="37" borderId="10" xfId="0" applyFont="1" applyFill="1" applyBorder="1" applyAlignment="1">
      <alignment horizontal="center" vertical="center"/>
    </xf>
    <xf numFmtId="0" fontId="55" fillId="0" borderId="0" xfId="0" applyFont="1" applyFill="1" applyAlignment="1" applyProtection="1">
      <alignment horizontal="right" vertical="center"/>
      <protection hidden="1"/>
    </xf>
    <xf numFmtId="0" fontId="0" fillId="0" borderId="10" xfId="65" applyFont="1" applyBorder="1">
      <alignment vertical="center"/>
    </xf>
    <xf numFmtId="0" fontId="91" fillId="35" borderId="10" xfId="0" applyFont="1" applyFill="1" applyBorder="1" applyAlignment="1" applyProtection="1">
      <alignment horizontal="center" vertical="center" wrapText="1"/>
      <protection hidden="1"/>
    </xf>
    <xf numFmtId="0" fontId="57" fillId="0" borderId="0" xfId="0" applyFont="1" applyBorder="1" applyAlignment="1" applyProtection="1">
      <alignment horizontal="left" vertical="center"/>
      <protection hidden="1"/>
    </xf>
    <xf numFmtId="0" fontId="39" fillId="0" borderId="0" xfId="0" applyFont="1" applyBorder="1" applyAlignment="1">
      <alignment horizontal="left" vertical="center" shrinkToFit="1"/>
    </xf>
    <xf numFmtId="0" fontId="57" fillId="0" borderId="0" xfId="0" applyFont="1" applyAlignment="1" applyProtection="1">
      <alignment vertical="center"/>
      <protection hidden="1"/>
    </xf>
    <xf numFmtId="0" fontId="57" fillId="0" borderId="0" xfId="0" applyFont="1" applyFill="1" applyBorder="1" applyAlignment="1" applyProtection="1">
      <alignment vertical="center"/>
      <protection hidden="1"/>
    </xf>
    <xf numFmtId="0" fontId="57" fillId="0" borderId="0" xfId="0" applyFont="1" applyFill="1" applyBorder="1" applyAlignment="1" applyProtection="1">
      <protection hidden="1"/>
    </xf>
    <xf numFmtId="0" fontId="57" fillId="0" borderId="0" xfId="0" applyFont="1" applyBorder="1" applyAlignment="1" applyProtection="1">
      <protection hidden="1"/>
    </xf>
    <xf numFmtId="0" fontId="57" fillId="0" borderId="0" xfId="0" applyFont="1" applyBorder="1" applyAlignment="1" applyProtection="1">
      <alignment shrinkToFit="1"/>
      <protection hidden="1"/>
    </xf>
    <xf numFmtId="185" fontId="57" fillId="0" borderId="0" xfId="0" applyNumberFormat="1" applyFont="1" applyBorder="1" applyAlignment="1" applyProtection="1">
      <protection hidden="1"/>
    </xf>
    <xf numFmtId="0" fontId="38" fillId="0" borderId="0" xfId="0" applyFont="1" applyAlignment="1" applyProtection="1">
      <alignment horizontal="right"/>
      <protection hidden="1"/>
    </xf>
    <xf numFmtId="0" fontId="123" fillId="0" borderId="0" xfId="0" applyFont="1" applyFill="1" applyAlignment="1" applyProtection="1">
      <alignment horizontal="right"/>
      <protection hidden="1"/>
    </xf>
    <xf numFmtId="57" fontId="38" fillId="0" borderId="0" xfId="0" applyNumberFormat="1" applyFont="1" applyAlignment="1" applyProtection="1">
      <alignment horizontal="center"/>
      <protection hidden="1"/>
    </xf>
    <xf numFmtId="0" fontId="122" fillId="39" borderId="0" xfId="0" applyNumberFormat="1" applyFont="1" applyFill="1" applyAlignment="1" applyProtection="1">
      <alignment horizontal="right"/>
      <protection hidden="1"/>
    </xf>
    <xf numFmtId="49" fontId="57" fillId="0" borderId="0" xfId="0" applyNumberFormat="1" applyFont="1" applyAlignment="1" applyProtection="1">
      <alignment horizontal="left" shrinkToFit="1"/>
      <protection hidden="1"/>
    </xf>
    <xf numFmtId="0" fontId="57" fillId="0" borderId="0" xfId="0" applyFont="1" applyAlignment="1" applyProtection="1">
      <alignment horizontal="left" shrinkToFit="1"/>
      <protection hidden="1"/>
    </xf>
    <xf numFmtId="0" fontId="57" fillId="0" borderId="0" xfId="0" applyFont="1" applyAlignment="1" applyProtection="1">
      <alignment horizontal="right" vertical="center" shrinkToFit="1"/>
      <protection hidden="1"/>
    </xf>
    <xf numFmtId="0" fontId="125" fillId="0" borderId="0" xfId="0" applyFont="1" applyBorder="1" applyProtection="1">
      <protection hidden="1"/>
    </xf>
    <xf numFmtId="0" fontId="57" fillId="0" borderId="0" xfId="0" applyFont="1" applyBorder="1" applyAlignment="1" applyProtection="1">
      <alignment horizontal="right"/>
      <protection hidden="1"/>
    </xf>
    <xf numFmtId="0" fontId="123" fillId="0" borderId="0" xfId="0" applyFont="1" applyBorder="1" applyProtection="1">
      <protection hidden="1"/>
    </xf>
    <xf numFmtId="0" fontId="126" fillId="0" borderId="0" xfId="0" applyFont="1" applyBorder="1" applyProtection="1">
      <protection hidden="1"/>
    </xf>
    <xf numFmtId="0" fontId="124" fillId="0" borderId="0" xfId="0" applyFont="1" applyBorder="1" applyAlignment="1">
      <alignment wrapText="1"/>
    </xf>
    <xf numFmtId="10" fontId="127" fillId="0" borderId="0" xfId="0" applyNumberFormat="1" applyFont="1" applyBorder="1" applyAlignment="1">
      <alignment wrapText="1"/>
    </xf>
    <xf numFmtId="0" fontId="39" fillId="0" borderId="0" xfId="0" applyFont="1" applyBorder="1" applyAlignment="1" applyProtection="1">
      <protection hidden="1"/>
    </xf>
    <xf numFmtId="0" fontId="129" fillId="25" borderId="0" xfId="67" applyFont="1" applyFill="1" applyBorder="1" applyAlignment="1" applyProtection="1">
      <alignment vertical="center"/>
      <protection hidden="1"/>
    </xf>
    <xf numFmtId="0" fontId="35" fillId="0" borderId="33" xfId="67" applyFont="1" applyFill="1" applyBorder="1" applyAlignment="1" applyProtection="1">
      <alignment horizontal="right" vertical="center"/>
      <protection hidden="1"/>
    </xf>
    <xf numFmtId="0" fontId="28" fillId="0" borderId="38" xfId="67" applyFont="1" applyFill="1" applyBorder="1" applyAlignment="1" applyProtection="1">
      <alignment horizontal="center" vertical="center"/>
      <protection hidden="1"/>
    </xf>
    <xf numFmtId="0" fontId="10" fillId="0" borderId="0" xfId="67" applyFont="1" applyBorder="1" applyAlignment="1" applyProtection="1">
      <alignment vertical="center"/>
      <protection hidden="1"/>
    </xf>
    <xf numFmtId="0" fontId="28" fillId="0" borderId="38" xfId="67" applyFont="1" applyFill="1" applyBorder="1" applyAlignment="1" applyProtection="1">
      <alignment vertical="center"/>
      <protection hidden="1"/>
    </xf>
    <xf numFmtId="0" fontId="28" fillId="0" borderId="0" xfId="67" applyFont="1" applyFill="1" applyBorder="1" applyAlignment="1" applyProtection="1">
      <alignment horizontal="center" vertical="center"/>
      <protection hidden="1"/>
    </xf>
    <xf numFmtId="0" fontId="36" fillId="0" borderId="33" xfId="67" applyFont="1" applyFill="1" applyBorder="1" applyAlignment="1" applyProtection="1">
      <alignment vertical="center"/>
      <protection hidden="1"/>
    </xf>
    <xf numFmtId="0" fontId="0" fillId="0" borderId="0" xfId="0" applyBorder="1" applyAlignment="1">
      <alignment vertical="center" shrinkToFit="1"/>
    </xf>
    <xf numFmtId="0" fontId="57" fillId="0" borderId="0" xfId="0" applyFont="1" applyBorder="1" applyAlignment="1" applyProtection="1">
      <alignment horizontal="left" vertical="center"/>
      <protection hidden="1"/>
    </xf>
    <xf numFmtId="0" fontId="39" fillId="0" borderId="0" xfId="0" applyFont="1" applyBorder="1" applyAlignment="1">
      <alignment horizontal="left" vertical="center"/>
    </xf>
    <xf numFmtId="0" fontId="0" fillId="0" borderId="22" xfId="0" applyBorder="1" applyAlignment="1">
      <alignment horizontal="center" vertical="center" wrapText="1"/>
    </xf>
    <xf numFmtId="0" fontId="11" fillId="0" borderId="10" xfId="65" applyBorder="1" applyAlignment="1">
      <alignment horizontal="left" vertical="center"/>
    </xf>
    <xf numFmtId="10" fontId="11" fillId="0" borderId="10" xfId="65" applyNumberFormat="1" applyFont="1" applyBorder="1">
      <alignment vertical="center"/>
    </xf>
    <xf numFmtId="0" fontId="0" fillId="0" borderId="27" xfId="65" applyFont="1" applyBorder="1" applyAlignment="1">
      <alignment horizontal="center" vertical="center" wrapText="1"/>
    </xf>
    <xf numFmtId="0" fontId="0" fillId="37" borderId="10" xfId="0" applyFill="1" applyBorder="1" applyAlignment="1">
      <alignment horizontal="center" vertical="center"/>
    </xf>
    <xf numFmtId="0" fontId="0" fillId="37" borderId="10" xfId="65" applyFont="1" applyFill="1" applyBorder="1" applyAlignment="1">
      <alignment horizontal="center" vertical="center" wrapText="1"/>
    </xf>
    <xf numFmtId="0" fontId="57" fillId="0" borderId="0" xfId="0" applyFont="1" applyBorder="1" applyAlignment="1" applyProtection="1">
      <alignment horizontal="right" vertical="center"/>
      <protection hidden="1"/>
    </xf>
    <xf numFmtId="0" fontId="57" fillId="0" borderId="20" xfId="0" applyFont="1" applyBorder="1" applyAlignment="1" applyProtection="1">
      <alignment horizontal="right" vertical="center"/>
      <protection hidden="1"/>
    </xf>
    <xf numFmtId="0" fontId="31" fillId="0" borderId="10" xfId="0" applyFont="1" applyFill="1" applyBorder="1" applyAlignment="1" applyProtection="1">
      <alignment horizontal="center" vertical="center"/>
      <protection hidden="1"/>
    </xf>
    <xf numFmtId="0" fontId="11" fillId="0" borderId="0" xfId="0" applyFont="1" applyFill="1"/>
    <xf numFmtId="0" fontId="11" fillId="0" borderId="0" xfId="0" applyFont="1" applyFill="1" applyAlignment="1">
      <alignment horizontal="center" vertical="center"/>
    </xf>
    <xf numFmtId="179" fontId="11" fillId="0" borderId="0" xfId="0" applyNumberFormat="1" applyFont="1" applyFill="1" applyAlignment="1">
      <alignment horizontal="center" vertical="center"/>
    </xf>
    <xf numFmtId="179" fontId="11" fillId="0" borderId="0" xfId="0" applyNumberFormat="1" applyFont="1" applyFill="1" applyAlignment="1">
      <alignment vertical="center"/>
    </xf>
    <xf numFmtId="0" fontId="11" fillId="0" borderId="10" xfId="0" applyFont="1" applyFill="1" applyBorder="1"/>
    <xf numFmtId="0" fontId="11" fillId="0" borderId="0" xfId="65" applyFill="1" applyBorder="1" applyAlignment="1">
      <alignment horizontal="center" vertical="center"/>
    </xf>
    <xf numFmtId="10" fontId="11" fillId="0" borderId="0" xfId="65" applyNumberFormat="1" applyBorder="1">
      <alignment vertical="center"/>
    </xf>
    <xf numFmtId="0" fontId="11" fillId="0" borderId="0" xfId="65" applyBorder="1" applyAlignment="1">
      <alignment horizontal="left" vertical="center"/>
    </xf>
    <xf numFmtId="10" fontId="11" fillId="0" borderId="0" xfId="65" applyNumberFormat="1" applyFont="1" applyBorder="1">
      <alignment vertical="center"/>
    </xf>
    <xf numFmtId="0" fontId="0" fillId="0" borderId="0" xfId="0" applyBorder="1" applyAlignment="1">
      <alignment horizontal="left" vertical="center" shrinkToFit="1"/>
    </xf>
    <xf numFmtId="0" fontId="28" fillId="0" borderId="0" xfId="67" applyFont="1" applyFill="1" applyBorder="1" applyAlignment="1" applyProtection="1">
      <alignment horizontal="right" vertical="center"/>
      <protection hidden="1"/>
    </xf>
    <xf numFmtId="49" fontId="31" fillId="0" borderId="0" xfId="0" applyNumberFormat="1" applyFont="1" applyAlignment="1" applyProtection="1">
      <alignment horizontal="left" vertical="center" shrinkToFit="1"/>
      <protection hidden="1"/>
    </xf>
    <xf numFmtId="0" fontId="31" fillId="0" borderId="0" xfId="0" applyFont="1" applyAlignment="1" applyProtection="1">
      <alignment horizontal="left" vertical="center" shrinkToFit="1"/>
      <protection hidden="1"/>
    </xf>
    <xf numFmtId="0" fontId="55" fillId="0" borderId="0" xfId="0" applyFont="1" applyFill="1" applyAlignment="1" applyProtection="1">
      <alignment horizontal="right" vertical="center"/>
      <protection hidden="1"/>
    </xf>
    <xf numFmtId="49" fontId="31" fillId="0" borderId="0" xfId="0" applyNumberFormat="1" applyFont="1" applyAlignment="1" applyProtection="1">
      <alignment horizontal="left" shrinkToFit="1"/>
      <protection hidden="1"/>
    </xf>
    <xf numFmtId="0" fontId="31" fillId="0" borderId="0" xfId="0" applyFont="1" applyAlignment="1" applyProtection="1">
      <alignment horizontal="left" shrinkToFit="1"/>
      <protection hidden="1"/>
    </xf>
    <xf numFmtId="189" fontId="5" fillId="0" borderId="0" xfId="1" applyNumberFormat="1" applyFont="1"/>
    <xf numFmtId="0" fontId="58" fillId="0" borderId="0" xfId="67" applyFont="1" applyFill="1" applyBorder="1" applyAlignment="1" applyProtection="1">
      <alignment horizontal="center" vertical="center" shrinkToFit="1"/>
      <protection hidden="1"/>
    </xf>
    <xf numFmtId="0" fontId="7" fillId="0" borderId="0" xfId="0" applyFont="1" applyFill="1" applyBorder="1" applyProtection="1">
      <protection hidden="1"/>
    </xf>
    <xf numFmtId="0" fontId="62" fillId="0" borderId="0" xfId="0" applyFont="1" applyAlignment="1" applyProtection="1">
      <alignment horizontal="center"/>
      <protection hidden="1"/>
    </xf>
    <xf numFmtId="0" fontId="58" fillId="0" borderId="0" xfId="0" applyFont="1" applyFill="1" applyBorder="1" applyAlignment="1" applyProtection="1">
      <alignment horizontal="center" vertical="center"/>
      <protection hidden="1"/>
    </xf>
    <xf numFmtId="49" fontId="11" fillId="0" borderId="0" xfId="0" applyNumberFormat="1" applyFont="1" applyFill="1"/>
    <xf numFmtId="0" fontId="101" fillId="0" borderId="0" xfId="67" applyFont="1" applyFill="1" applyBorder="1" applyAlignment="1" applyProtection="1">
      <alignment horizontal="center" vertical="center"/>
      <protection hidden="1"/>
    </xf>
    <xf numFmtId="49" fontId="31" fillId="0" borderId="0" xfId="0" applyNumberFormat="1" applyFont="1" applyAlignment="1" applyProtection="1">
      <alignment horizontal="left" shrinkToFit="1"/>
      <protection hidden="1"/>
    </xf>
    <xf numFmtId="0" fontId="56" fillId="0" borderId="0" xfId="85" applyFont="1" applyAlignment="1" applyProtection="1">
      <alignment vertical="center"/>
      <protection hidden="1"/>
    </xf>
    <xf numFmtId="0" fontId="11" fillId="42" borderId="20" xfId="48" applyFill="1" applyBorder="1" applyAlignment="1">
      <alignment horizontal="center" vertical="center"/>
    </xf>
    <xf numFmtId="0" fontId="33" fillId="0" borderId="0" xfId="0" applyFont="1" applyFill="1" applyBorder="1" applyAlignment="1" applyProtection="1">
      <alignment horizontal="center" vertical="center" wrapText="1"/>
      <protection hidden="1"/>
    </xf>
    <xf numFmtId="0" fontId="57" fillId="0" borderId="0" xfId="0" applyFont="1" applyFill="1" applyBorder="1" applyAlignment="1" applyProtection="1">
      <alignment horizontal="center" vertical="center" wrapText="1"/>
      <protection hidden="1"/>
    </xf>
    <xf numFmtId="0" fontId="0" fillId="37" borderId="10" xfId="0" applyFill="1" applyBorder="1" applyAlignment="1"/>
    <xf numFmtId="0" fontId="101" fillId="0" borderId="0" xfId="67" applyFont="1" applyFill="1" applyBorder="1" applyAlignment="1" applyProtection="1">
      <alignment horizontal="right" vertical="center" shrinkToFit="1"/>
      <protection hidden="1"/>
    </xf>
    <xf numFmtId="0" fontId="0" fillId="0" borderId="0" xfId="0" applyBorder="1" applyAlignment="1">
      <alignment vertical="center" shrinkToFit="1"/>
    </xf>
    <xf numFmtId="0" fontId="17" fillId="0" borderId="0" xfId="67" applyNumberFormat="1" applyFont="1" applyFill="1" applyBorder="1" applyAlignment="1" applyProtection="1">
      <alignment horizontal="center" vertical="center" shrinkToFit="1"/>
      <protection hidden="1"/>
    </xf>
    <xf numFmtId="0" fontId="121" fillId="46" borderId="48" xfId="67" applyNumberFormat="1" applyFont="1" applyFill="1" applyBorder="1" applyAlignment="1" applyProtection="1">
      <alignment horizontal="center" vertical="center"/>
      <protection locked="0" hidden="1"/>
    </xf>
    <xf numFmtId="0" fontId="121" fillId="46" borderId="49" xfId="67" applyNumberFormat="1" applyFont="1" applyFill="1" applyBorder="1" applyAlignment="1" applyProtection="1">
      <alignment horizontal="center" vertical="center"/>
      <protection locked="0" hidden="1"/>
    </xf>
    <xf numFmtId="0" fontId="121" fillId="46" borderId="50" xfId="67" applyNumberFormat="1" applyFont="1" applyFill="1" applyBorder="1" applyAlignment="1" applyProtection="1">
      <alignment horizontal="center" vertical="center"/>
      <protection locked="0" hidden="1"/>
    </xf>
    <xf numFmtId="0" fontId="118" fillId="46" borderId="48" xfId="67" applyNumberFormat="1" applyFont="1" applyFill="1" applyBorder="1" applyAlignment="1" applyProtection="1">
      <alignment horizontal="center" vertical="center" shrinkToFit="1"/>
      <protection locked="0" hidden="1"/>
    </xf>
    <xf numFmtId="0" fontId="118" fillId="46" borderId="50" xfId="67" applyNumberFormat="1" applyFont="1" applyFill="1" applyBorder="1" applyAlignment="1" applyProtection="1">
      <alignment horizontal="center" vertical="center" shrinkToFit="1"/>
      <protection locked="0" hidden="1"/>
    </xf>
    <xf numFmtId="0" fontId="11" fillId="25" borderId="0" xfId="67" applyFont="1" applyFill="1" applyBorder="1" applyAlignment="1" applyProtection="1">
      <alignment vertical="center" wrapText="1"/>
      <protection hidden="1"/>
    </xf>
    <xf numFmtId="0" fontId="0" fillId="0" borderId="0" xfId="0" applyBorder="1" applyAlignment="1">
      <alignment vertical="center" wrapText="1"/>
    </xf>
    <xf numFmtId="57" fontId="20" fillId="0" borderId="33" xfId="67" applyNumberFormat="1" applyFont="1" applyFill="1" applyBorder="1" applyAlignment="1" applyProtection="1">
      <alignment horizontal="center" vertical="center"/>
      <protection hidden="1"/>
    </xf>
    <xf numFmtId="179" fontId="24" fillId="0" borderId="0" xfId="67" applyNumberFormat="1" applyFont="1" applyFill="1" applyBorder="1" applyAlignment="1" applyProtection="1">
      <alignment horizontal="right" vertical="center" shrinkToFit="1"/>
      <protection hidden="1"/>
    </xf>
    <xf numFmtId="0" fontId="27" fillId="0" borderId="0" xfId="67" applyFont="1" applyFill="1" applyBorder="1" applyAlignment="1" applyProtection="1">
      <alignment horizontal="right" vertical="center"/>
      <protection hidden="1"/>
    </xf>
    <xf numFmtId="190" fontId="17" fillId="0" borderId="46" xfId="67" applyNumberFormat="1" applyFont="1" applyFill="1" applyBorder="1" applyAlignment="1" applyProtection="1">
      <alignment horizontal="left" vertical="center" shrinkToFit="1"/>
      <protection hidden="1"/>
    </xf>
    <xf numFmtId="190" fontId="17" fillId="0" borderId="33" xfId="67" applyNumberFormat="1" applyFont="1" applyFill="1" applyBorder="1" applyAlignment="1" applyProtection="1">
      <alignment horizontal="left" vertical="center" shrinkToFit="1"/>
      <protection hidden="1"/>
    </xf>
    <xf numFmtId="0" fontId="0" fillId="0" borderId="33" xfId="0" applyBorder="1" applyAlignment="1">
      <alignment horizontal="left" vertical="center"/>
    </xf>
    <xf numFmtId="0" fontId="35" fillId="0" borderId="0" xfId="67" applyFont="1" applyFill="1" applyBorder="1" applyAlignment="1" applyProtection="1">
      <alignment horizontal="right" vertical="center" wrapText="1"/>
      <protection hidden="1"/>
    </xf>
    <xf numFmtId="0" fontId="24" fillId="0" borderId="0" xfId="67" applyFont="1" applyFill="1" applyBorder="1" applyAlignment="1" applyProtection="1">
      <alignment horizontal="right" vertical="center" wrapText="1"/>
      <protection hidden="1"/>
    </xf>
    <xf numFmtId="0" fontId="28" fillId="0" borderId="38" xfId="67" applyFont="1" applyFill="1" applyBorder="1" applyAlignment="1" applyProtection="1">
      <alignment horizontal="right" vertical="center"/>
      <protection hidden="1"/>
    </xf>
    <xf numFmtId="0" fontId="17" fillId="0" borderId="0" xfId="67" applyFont="1" applyFill="1" applyBorder="1" applyAlignment="1" applyProtection="1">
      <alignment horizontal="right" vertical="center"/>
      <protection hidden="1"/>
    </xf>
    <xf numFmtId="0" fontId="20" fillId="0" borderId="0" xfId="67" applyFont="1" applyFill="1" applyBorder="1" applyAlignment="1" applyProtection="1">
      <alignment horizontal="left" vertical="center"/>
      <protection hidden="1"/>
    </xf>
    <xf numFmtId="0" fontId="20" fillId="0" borderId="37" xfId="67" applyFont="1" applyFill="1" applyBorder="1" applyAlignment="1" applyProtection="1">
      <alignment horizontal="left" vertical="center"/>
      <protection hidden="1"/>
    </xf>
    <xf numFmtId="179" fontId="19" fillId="38" borderId="51" xfId="67" applyNumberFormat="1" applyFont="1" applyFill="1" applyBorder="1" applyAlignment="1" applyProtection="1">
      <alignment horizontal="center" vertical="center" shrinkToFit="1"/>
      <protection locked="0" hidden="1"/>
    </xf>
    <xf numFmtId="179" fontId="19" fillId="38" borderId="52" xfId="67" applyNumberFormat="1" applyFont="1" applyFill="1" applyBorder="1" applyAlignment="1" applyProtection="1">
      <alignment horizontal="center" vertical="center" shrinkToFit="1"/>
      <protection locked="0" hidden="1"/>
    </xf>
    <xf numFmtId="179" fontId="19" fillId="38" borderId="53" xfId="67" applyNumberFormat="1" applyFont="1" applyFill="1" applyBorder="1" applyAlignment="1" applyProtection="1">
      <alignment horizontal="center" vertical="center" shrinkToFit="1"/>
      <protection locked="0" hidden="1"/>
    </xf>
    <xf numFmtId="0" fontId="19" fillId="40" borderId="48" xfId="67" applyFont="1" applyFill="1" applyBorder="1" applyAlignment="1" applyProtection="1">
      <alignment horizontal="center" vertical="center"/>
      <protection locked="0" hidden="1"/>
    </xf>
    <xf numFmtId="0" fontId="0" fillId="40" borderId="49" xfId="0" applyFill="1" applyBorder="1" applyAlignment="1" applyProtection="1">
      <alignment horizontal="center" vertical="center"/>
      <protection locked="0" hidden="1"/>
    </xf>
    <xf numFmtId="0" fontId="0" fillId="40" borderId="50" xfId="0" applyFill="1" applyBorder="1" applyAlignment="1" applyProtection="1">
      <alignment horizontal="center" vertical="center"/>
      <protection locked="0" hidden="1"/>
    </xf>
    <xf numFmtId="196" fontId="121" fillId="38" borderId="61" xfId="67" applyNumberFormat="1" applyFont="1" applyFill="1" applyBorder="1" applyAlignment="1" applyProtection="1">
      <alignment horizontal="center" vertical="center"/>
      <protection locked="0" hidden="1"/>
    </xf>
    <xf numFmtId="196" fontId="121" fillId="38" borderId="62" xfId="67" applyNumberFormat="1" applyFont="1" applyFill="1" applyBorder="1" applyAlignment="1" applyProtection="1">
      <alignment horizontal="center" vertical="center"/>
      <protection locked="0" hidden="1"/>
    </xf>
    <xf numFmtId="0" fontId="20" fillId="0" borderId="47" xfId="67" applyNumberFormat="1" applyFont="1" applyFill="1" applyBorder="1" applyAlignment="1" applyProtection="1">
      <alignment horizontal="left" vertical="center" shrinkToFit="1"/>
      <protection hidden="1"/>
    </xf>
    <xf numFmtId="0" fontId="20" fillId="0" borderId="0" xfId="67" applyNumberFormat="1" applyFont="1" applyFill="1" applyBorder="1" applyAlignment="1" applyProtection="1">
      <alignment horizontal="left" vertical="center" shrinkToFit="1"/>
      <protection hidden="1"/>
    </xf>
    <xf numFmtId="0" fontId="101" fillId="0" borderId="41" xfId="67" applyFont="1" applyFill="1" applyBorder="1" applyAlignment="1" applyProtection="1">
      <alignment horizontal="center" vertical="center"/>
      <protection hidden="1"/>
    </xf>
    <xf numFmtId="0" fontId="101" fillId="0" borderId="28" xfId="67" applyFont="1" applyFill="1" applyBorder="1" applyAlignment="1" applyProtection="1">
      <alignment horizontal="center" vertical="center"/>
      <protection hidden="1"/>
    </xf>
    <xf numFmtId="0" fontId="101" fillId="0" borderId="39" xfId="67" applyFont="1" applyFill="1" applyBorder="1" applyAlignment="1" applyProtection="1">
      <alignment horizontal="center" vertical="center"/>
      <protection hidden="1"/>
    </xf>
    <xf numFmtId="0" fontId="20" fillId="0" borderId="0" xfId="67" applyFont="1" applyFill="1" applyBorder="1" applyAlignment="1" applyProtection="1">
      <alignment horizontal="left" vertical="center" shrinkToFit="1"/>
      <protection hidden="1"/>
    </xf>
    <xf numFmtId="0" fontId="128" fillId="38" borderId="51" xfId="67" applyFont="1" applyFill="1" applyBorder="1" applyAlignment="1" applyProtection="1">
      <alignment horizontal="center" vertical="center" shrinkToFit="1"/>
      <protection locked="0" hidden="1"/>
    </xf>
    <xf numFmtId="0" fontId="128" fillId="38" borderId="53" xfId="67" applyFont="1" applyFill="1" applyBorder="1" applyAlignment="1" applyProtection="1">
      <alignment horizontal="center" vertical="center" shrinkToFit="1"/>
      <protection locked="0" hidden="1"/>
    </xf>
    <xf numFmtId="0" fontId="62" fillId="0" borderId="0" xfId="67" applyFont="1" applyFill="1" applyBorder="1" applyAlignment="1" applyProtection="1">
      <alignment horizontal="right" vertical="center" shrinkToFit="1"/>
      <protection hidden="1"/>
    </xf>
    <xf numFmtId="0" fontId="39" fillId="0" borderId="0" xfId="0" applyFont="1" applyBorder="1" applyAlignment="1">
      <alignment horizontal="right" vertical="center" shrinkToFit="1"/>
    </xf>
    <xf numFmtId="0" fontId="27" fillId="0" borderId="33" xfId="67" applyFont="1" applyFill="1" applyBorder="1" applyAlignment="1" applyProtection="1">
      <alignment horizontal="right" vertical="center"/>
      <protection hidden="1"/>
    </xf>
    <xf numFmtId="0" fontId="28" fillId="0" borderId="0" xfId="67" applyFont="1" applyFill="1" applyBorder="1" applyAlignment="1" applyProtection="1">
      <alignment horizontal="right" vertical="center"/>
      <protection hidden="1"/>
    </xf>
    <xf numFmtId="0" fontId="0" fillId="0" borderId="0" xfId="0" applyBorder="1" applyAlignment="1">
      <alignment horizontal="right" vertical="center" shrinkToFit="1"/>
    </xf>
    <xf numFmtId="0" fontId="118" fillId="38" borderId="61" xfId="67" applyNumberFormat="1" applyFont="1" applyFill="1" applyBorder="1" applyAlignment="1" applyProtection="1">
      <alignment horizontal="center" vertical="center" shrinkToFit="1"/>
      <protection locked="0" hidden="1"/>
    </xf>
    <xf numFmtId="0" fontId="118" fillId="38" borderId="63" xfId="67" applyNumberFormat="1" applyFont="1" applyFill="1" applyBorder="1" applyAlignment="1" applyProtection="1">
      <alignment horizontal="center" vertical="center" shrinkToFit="1"/>
      <protection locked="0" hidden="1"/>
    </xf>
    <xf numFmtId="0" fontId="118" fillId="38" borderId="62" xfId="67" applyNumberFormat="1" applyFont="1" applyFill="1" applyBorder="1" applyAlignment="1" applyProtection="1">
      <alignment horizontal="center" vertical="center" shrinkToFit="1"/>
      <protection locked="0" hidden="1"/>
    </xf>
    <xf numFmtId="0" fontId="20" fillId="0" borderId="0" xfId="67" applyFont="1" applyFill="1" applyBorder="1" applyAlignment="1" applyProtection="1">
      <alignment horizontal="center" vertical="center"/>
      <protection hidden="1"/>
    </xf>
    <xf numFmtId="0" fontId="19" fillId="38" borderId="48" xfId="67" applyFont="1" applyFill="1" applyBorder="1" applyAlignment="1" applyProtection="1">
      <alignment horizontal="center" vertical="center" shrinkToFit="1"/>
      <protection locked="0"/>
    </xf>
    <xf numFmtId="0" fontId="19" fillId="38" borderId="49" xfId="67" applyFont="1" applyFill="1" applyBorder="1" applyAlignment="1" applyProtection="1">
      <alignment horizontal="center" vertical="center" shrinkToFit="1"/>
      <protection locked="0"/>
    </xf>
    <xf numFmtId="0" fontId="19" fillId="38" borderId="50" xfId="67" applyFont="1" applyFill="1" applyBorder="1" applyAlignment="1" applyProtection="1">
      <alignment horizontal="center" vertical="center" shrinkToFit="1"/>
      <protection locked="0"/>
    </xf>
    <xf numFmtId="0" fontId="49" fillId="32" borderId="48" xfId="67" applyFont="1" applyFill="1" applyBorder="1" applyAlignment="1" applyProtection="1">
      <alignment horizontal="center" vertical="center" shrinkToFit="1"/>
      <protection hidden="1"/>
    </xf>
    <xf numFmtId="0" fontId="50" fillId="32" borderId="49" xfId="67" applyFont="1" applyFill="1" applyBorder="1" applyAlignment="1" applyProtection="1">
      <alignment horizontal="center" vertical="center" shrinkToFit="1"/>
      <protection hidden="1"/>
    </xf>
    <xf numFmtId="0" fontId="50" fillId="32" borderId="50" xfId="67" applyFont="1" applyFill="1" applyBorder="1" applyAlignment="1" applyProtection="1">
      <alignment horizontal="center" vertical="center" shrinkToFit="1"/>
      <protection hidden="1"/>
    </xf>
    <xf numFmtId="185" fontId="17" fillId="0" borderId="31" xfId="67" applyNumberFormat="1" applyFont="1" applyFill="1" applyBorder="1" applyAlignment="1" applyProtection="1">
      <alignment horizontal="center" vertical="center" shrinkToFit="1"/>
      <protection hidden="1"/>
    </xf>
    <xf numFmtId="185" fontId="17" fillId="0" borderId="0" xfId="67" applyNumberFormat="1" applyFont="1" applyFill="1" applyBorder="1" applyAlignment="1" applyProtection="1">
      <alignment horizontal="center" vertical="center" shrinkToFit="1"/>
      <protection hidden="1"/>
    </xf>
    <xf numFmtId="0" fontId="128" fillId="38" borderId="51" xfId="67" applyFont="1" applyFill="1" applyBorder="1" applyAlignment="1" applyProtection="1">
      <alignment horizontal="center" vertical="center"/>
      <protection locked="0" hidden="1"/>
    </xf>
    <xf numFmtId="0" fontId="128" fillId="38" borderId="52" xfId="67" applyFont="1" applyFill="1" applyBorder="1" applyAlignment="1" applyProtection="1">
      <alignment horizontal="center" vertical="center"/>
      <protection locked="0" hidden="1"/>
    </xf>
    <xf numFmtId="0" fontId="128" fillId="38" borderId="53" xfId="67" applyFont="1" applyFill="1" applyBorder="1" applyAlignment="1" applyProtection="1">
      <alignment horizontal="center" vertical="center"/>
      <protection locked="0" hidden="1"/>
    </xf>
    <xf numFmtId="0" fontId="29" fillId="0" borderId="38" xfId="67" applyFont="1" applyFill="1" applyBorder="1" applyAlignment="1" applyProtection="1">
      <alignment horizontal="right" vertical="center"/>
      <protection hidden="1"/>
    </xf>
    <xf numFmtId="0" fontId="30" fillId="0" borderId="0" xfId="67" applyFont="1" applyFill="1" applyBorder="1" applyAlignment="1" applyProtection="1">
      <alignment horizontal="right" vertical="center"/>
      <protection hidden="1"/>
    </xf>
    <xf numFmtId="0" fontId="30" fillId="0" borderId="38" xfId="67" applyFont="1" applyFill="1" applyBorder="1" applyAlignment="1" applyProtection="1">
      <alignment horizontal="right" vertical="center"/>
      <protection hidden="1"/>
    </xf>
    <xf numFmtId="0" fontId="10" fillId="0" borderId="0" xfId="67" applyFont="1" applyFill="1" applyBorder="1" applyAlignment="1" applyProtection="1">
      <alignment horizontal="center" vertical="center"/>
      <protection hidden="1"/>
    </xf>
    <xf numFmtId="0" fontId="9" fillId="0" borderId="0" xfId="67" applyFont="1" applyFill="1" applyBorder="1" applyAlignment="1" applyProtection="1">
      <alignment horizontal="center" vertical="center"/>
      <protection hidden="1"/>
    </xf>
    <xf numFmtId="0" fontId="0" fillId="0" borderId="0" xfId="0" applyBorder="1" applyAlignment="1">
      <alignment vertical="center"/>
    </xf>
    <xf numFmtId="0" fontId="17" fillId="0" borderId="0" xfId="67" applyFont="1" applyFill="1" applyBorder="1" applyAlignment="1" applyProtection="1">
      <alignment horizontal="left" vertical="center"/>
      <protection hidden="1"/>
    </xf>
    <xf numFmtId="0" fontId="39" fillId="0" borderId="0" xfId="0" applyFont="1" applyBorder="1" applyAlignment="1">
      <alignment horizontal="right" vertical="center"/>
    </xf>
    <xf numFmtId="0" fontId="128" fillId="38" borderId="48" xfId="67" applyFont="1" applyFill="1" applyBorder="1" applyAlignment="1" applyProtection="1">
      <alignment horizontal="center" vertical="center"/>
      <protection locked="0" hidden="1"/>
    </xf>
    <xf numFmtId="0" fontId="39" fillId="38" borderId="49" xfId="0" applyFont="1" applyFill="1" applyBorder="1" applyAlignment="1" applyProtection="1">
      <alignment horizontal="center" vertical="center"/>
      <protection locked="0" hidden="1"/>
    </xf>
    <xf numFmtId="0" fontId="39" fillId="38" borderId="50" xfId="0" applyFont="1" applyFill="1" applyBorder="1" applyAlignment="1" applyProtection="1">
      <alignment horizontal="center" vertical="center"/>
      <protection locked="0" hidden="1"/>
    </xf>
    <xf numFmtId="0" fontId="37" fillId="0" borderId="0" xfId="67" applyFont="1" applyFill="1" applyBorder="1" applyAlignment="1" applyProtection="1">
      <alignment horizontal="center" vertical="center"/>
      <protection hidden="1"/>
    </xf>
    <xf numFmtId="0" fontId="19" fillId="0" borderId="0" xfId="67" applyFont="1" applyFill="1" applyBorder="1" applyAlignment="1" applyProtection="1">
      <alignment horizontal="center" vertical="center"/>
      <protection hidden="1"/>
    </xf>
    <xf numFmtId="0" fontId="121" fillId="38" borderId="65" xfId="67" applyFont="1" applyFill="1" applyBorder="1" applyAlignment="1" applyProtection="1">
      <alignment horizontal="center" vertical="center"/>
      <protection locked="0" hidden="1"/>
    </xf>
    <xf numFmtId="0" fontId="118" fillId="38" borderId="67" xfId="67" applyFont="1" applyFill="1" applyBorder="1" applyAlignment="1" applyProtection="1">
      <alignment horizontal="center" vertical="center"/>
      <protection locked="0" hidden="1"/>
    </xf>
    <xf numFmtId="0" fontId="17" fillId="0" borderId="0" xfId="67" applyFont="1" applyFill="1" applyBorder="1" applyAlignment="1" applyProtection="1">
      <alignment horizontal="center" vertical="center"/>
      <protection hidden="1"/>
    </xf>
    <xf numFmtId="0" fontId="17" fillId="0" borderId="0" xfId="67" applyFont="1" applyFill="1" applyBorder="1" applyAlignment="1" applyProtection="1">
      <alignment horizontal="left" vertical="center" shrinkToFit="1"/>
      <protection hidden="1"/>
    </xf>
    <xf numFmtId="0" fontId="131" fillId="0" borderId="0" xfId="67" applyFont="1" applyFill="1" applyBorder="1" applyAlignment="1" applyProtection="1">
      <alignment horizontal="center" vertical="center"/>
      <protection hidden="1"/>
    </xf>
    <xf numFmtId="0" fontId="132" fillId="0" borderId="0" xfId="0" applyFont="1" applyFill="1" applyBorder="1" applyAlignment="1" applyProtection="1">
      <alignment horizontal="center" vertical="center"/>
      <protection hidden="1"/>
    </xf>
    <xf numFmtId="197" fontId="17" fillId="0" borderId="0" xfId="67" applyNumberFormat="1" applyFont="1" applyFill="1" applyBorder="1" applyAlignment="1" applyProtection="1">
      <alignment horizontal="left" vertical="center" shrinkToFit="1"/>
      <protection hidden="1"/>
    </xf>
    <xf numFmtId="0" fontId="0" fillId="0" borderId="0" xfId="0" applyBorder="1" applyAlignment="1">
      <alignment horizontal="left" vertical="center" shrinkToFit="1"/>
    </xf>
    <xf numFmtId="0" fontId="128" fillId="38" borderId="65" xfId="67" applyFont="1" applyFill="1" applyBorder="1" applyAlignment="1" applyProtection="1">
      <alignment horizontal="center" vertical="center"/>
      <protection locked="0" hidden="1"/>
    </xf>
    <xf numFmtId="0" fontId="128" fillId="38" borderId="66" xfId="67" applyFont="1" applyFill="1" applyBorder="1" applyAlignment="1" applyProtection="1">
      <alignment horizontal="center" vertical="center"/>
      <protection locked="0" hidden="1"/>
    </xf>
    <xf numFmtId="0" fontId="128" fillId="38" borderId="67" xfId="67" applyFont="1" applyFill="1" applyBorder="1" applyAlignment="1" applyProtection="1">
      <alignment horizontal="center" vertical="center"/>
      <protection locked="0" hidden="1"/>
    </xf>
    <xf numFmtId="186" fontId="57" fillId="0" borderId="10" xfId="0" applyNumberFormat="1" applyFont="1" applyBorder="1" applyAlignment="1" applyProtection="1">
      <alignment horizontal="left" vertical="center" shrinkToFit="1"/>
      <protection hidden="1"/>
    </xf>
    <xf numFmtId="0" fontId="7" fillId="0" borderId="10" xfId="0" applyFont="1" applyBorder="1" applyAlignment="1">
      <alignment shrinkToFit="1"/>
    </xf>
    <xf numFmtId="0" fontId="65" fillId="0" borderId="20" xfId="0" applyFont="1" applyBorder="1" applyAlignment="1" applyProtection="1">
      <alignment horizontal="center" vertical="center"/>
      <protection hidden="1"/>
    </xf>
    <xf numFmtId="0" fontId="0" fillId="0" borderId="20" xfId="0" applyBorder="1" applyAlignment="1">
      <alignment horizontal="center" vertical="center"/>
    </xf>
    <xf numFmtId="0" fontId="57" fillId="0" borderId="20" xfId="0" applyNumberFormat="1" applyFont="1" applyBorder="1" applyAlignment="1" applyProtection="1">
      <alignment horizontal="left" vertical="center"/>
      <protection hidden="1"/>
    </xf>
    <xf numFmtId="0" fontId="0" fillId="0" borderId="20" xfId="0" applyBorder="1" applyAlignment="1">
      <alignment horizontal="left" vertical="center"/>
    </xf>
    <xf numFmtId="185" fontId="57" fillId="0" borderId="20" xfId="0" applyNumberFormat="1" applyFont="1" applyBorder="1" applyAlignment="1" applyProtection="1">
      <alignment horizontal="left" vertical="center"/>
      <protection hidden="1"/>
    </xf>
    <xf numFmtId="0" fontId="0" fillId="0" borderId="20" xfId="0" applyBorder="1" applyAlignment="1">
      <alignment horizontal="left"/>
    </xf>
    <xf numFmtId="193" fontId="57" fillId="0" borderId="10" xfId="0" applyNumberFormat="1" applyFont="1" applyBorder="1" applyAlignment="1" applyProtection="1">
      <alignment horizontal="center" vertical="center"/>
      <protection hidden="1"/>
    </xf>
    <xf numFmtId="0" fontId="7" fillId="0" borderId="10" xfId="0" applyFont="1" applyBorder="1" applyAlignment="1">
      <alignment horizontal="center" vertical="center"/>
    </xf>
    <xf numFmtId="176" fontId="33" fillId="0" borderId="10" xfId="75" applyFont="1" applyBorder="1" applyAlignment="1" applyProtection="1">
      <alignment horizontal="center" vertical="center"/>
      <protection hidden="1"/>
    </xf>
    <xf numFmtId="187" fontId="33" fillId="0" borderId="10" xfId="0" applyNumberFormat="1" applyFont="1" applyBorder="1" applyAlignment="1" applyProtection="1">
      <alignment horizontal="center" vertical="center"/>
      <protection hidden="1"/>
    </xf>
    <xf numFmtId="193" fontId="33" fillId="0" borderId="10" xfId="0" applyNumberFormat="1" applyFont="1" applyBorder="1" applyAlignment="1" applyProtection="1">
      <alignment horizontal="center" vertical="center"/>
      <protection hidden="1"/>
    </xf>
    <xf numFmtId="192" fontId="33" fillId="0" borderId="27" xfId="74" applyNumberFormat="1" applyFont="1" applyFill="1" applyBorder="1" applyAlignment="1" applyProtection="1">
      <alignment horizontal="center" vertical="center" shrinkToFit="1"/>
      <protection hidden="1"/>
    </xf>
    <xf numFmtId="0" fontId="7" fillId="0" borderId="22" xfId="0" applyFont="1" applyBorder="1" applyAlignment="1">
      <alignment horizontal="center" vertical="center" shrinkToFit="1"/>
    </xf>
    <xf numFmtId="192" fontId="33" fillId="36" borderId="10" xfId="74" applyNumberFormat="1" applyFont="1" applyFill="1" applyBorder="1" applyAlignment="1" applyProtection="1">
      <alignment horizontal="center" vertical="center" shrinkToFit="1"/>
      <protection hidden="1"/>
    </xf>
    <xf numFmtId="0" fontId="0" fillId="36" borderId="10" xfId="0" applyFill="1" applyBorder="1" applyAlignment="1">
      <alignment horizontal="center" vertical="center" shrinkToFit="1"/>
    </xf>
    <xf numFmtId="0" fontId="42" fillId="35" borderId="27" xfId="0" applyFont="1" applyFill="1" applyBorder="1" applyAlignment="1" applyProtection="1">
      <alignment horizontal="center" vertical="center"/>
      <protection hidden="1"/>
    </xf>
    <xf numFmtId="0" fontId="43" fillId="0" borderId="22" xfId="0" applyFont="1" applyBorder="1" applyAlignment="1">
      <alignment horizontal="center" vertical="center"/>
    </xf>
    <xf numFmtId="0" fontId="0" fillId="0" borderId="17" xfId="0" applyBorder="1" applyAlignment="1">
      <alignment vertical="center"/>
    </xf>
    <xf numFmtId="0" fontId="0" fillId="0" borderId="22" xfId="0" applyBorder="1" applyAlignment="1">
      <alignment vertical="center"/>
    </xf>
    <xf numFmtId="192" fontId="33" fillId="0" borderId="10" xfId="74" applyNumberFormat="1" applyFont="1" applyFill="1" applyBorder="1" applyAlignment="1" applyProtection="1">
      <alignment horizontal="center" vertical="center" shrinkToFit="1"/>
      <protection hidden="1"/>
    </xf>
    <xf numFmtId="0" fontId="0" fillId="0" borderId="10" xfId="0" applyBorder="1" applyAlignment="1">
      <alignment horizontal="center" vertical="center" shrinkToFit="1"/>
    </xf>
    <xf numFmtId="192" fontId="33" fillId="36" borderId="27" xfId="74" applyNumberFormat="1" applyFont="1" applyFill="1" applyBorder="1" applyAlignment="1" applyProtection="1">
      <alignment horizontal="center" vertical="center" shrinkToFit="1"/>
      <protection hidden="1"/>
    </xf>
    <xf numFmtId="0" fontId="0" fillId="36" borderId="17" xfId="0" applyFill="1" applyBorder="1" applyAlignment="1">
      <alignment vertical="center"/>
    </xf>
    <xf numFmtId="0" fontId="0" fillId="36" borderId="22" xfId="0" applyFill="1" applyBorder="1" applyAlignment="1">
      <alignment vertical="center"/>
    </xf>
    <xf numFmtId="0" fontId="57" fillId="35" borderId="27" xfId="0" applyFont="1" applyFill="1" applyBorder="1" applyAlignment="1" applyProtection="1">
      <alignment horizontal="center" vertical="center"/>
      <protection hidden="1"/>
    </xf>
    <xf numFmtId="0" fontId="39" fillId="35" borderId="17" xfId="0" applyFont="1" applyFill="1" applyBorder="1" applyAlignment="1">
      <alignment horizontal="center" vertical="center"/>
    </xf>
    <xf numFmtId="0" fontId="39" fillId="35" borderId="22" xfId="0" applyFont="1" applyFill="1" applyBorder="1" applyAlignment="1">
      <alignment horizontal="center" vertical="center"/>
    </xf>
    <xf numFmtId="179" fontId="33" fillId="0" borderId="27" xfId="0" applyNumberFormat="1" applyFont="1" applyFill="1" applyBorder="1" applyAlignment="1" applyProtection="1">
      <alignment horizontal="right" vertical="center"/>
      <protection hidden="1"/>
    </xf>
    <xf numFmtId="0" fontId="8" fillId="0" borderId="17" xfId="0" applyFont="1" applyBorder="1" applyAlignment="1">
      <alignment horizontal="right" vertical="center"/>
    </xf>
    <xf numFmtId="0" fontId="8" fillId="0" borderId="22" xfId="0" applyFont="1" applyBorder="1" applyAlignment="1">
      <alignment horizontal="right" vertical="center"/>
    </xf>
    <xf numFmtId="0" fontId="33" fillId="0" borderId="27" xfId="0" applyFont="1" applyFill="1" applyBorder="1" applyAlignment="1" applyProtection="1">
      <alignment horizontal="right" vertical="center"/>
      <protection hidden="1"/>
    </xf>
    <xf numFmtId="0" fontId="33" fillId="0" borderId="27" xfId="0" applyFont="1" applyFill="1" applyBorder="1" applyAlignment="1" applyProtection="1">
      <alignment horizontal="center" vertical="center"/>
      <protection hidden="1"/>
    </xf>
    <xf numFmtId="0" fontId="8" fillId="0" borderId="17" xfId="0" applyFont="1" applyBorder="1" applyAlignment="1">
      <alignment horizontal="center" vertical="center"/>
    </xf>
    <xf numFmtId="0" fontId="8" fillId="0" borderId="22" xfId="0" applyFont="1" applyBorder="1" applyAlignment="1">
      <alignment horizontal="center" vertical="center"/>
    </xf>
    <xf numFmtId="0" fontId="91" fillId="35" borderId="27" xfId="0" applyFont="1" applyFill="1" applyBorder="1" applyAlignment="1" applyProtection="1">
      <alignment horizontal="center" vertical="center"/>
      <protection hidden="1"/>
    </xf>
    <xf numFmtId="0" fontId="124" fillId="0" borderId="22" xfId="0" applyFont="1" applyBorder="1" applyAlignment="1">
      <alignment horizontal="center" vertical="center"/>
    </xf>
    <xf numFmtId="0" fontId="91" fillId="0" borderId="10" xfId="0" applyFont="1" applyFill="1" applyBorder="1" applyAlignment="1" applyProtection="1">
      <alignment horizontal="center" vertical="center"/>
      <protection hidden="1"/>
    </xf>
    <xf numFmtId="0" fontId="92" fillId="0" borderId="10" xfId="0" applyFont="1" applyBorder="1" applyAlignment="1">
      <alignment horizontal="center" vertical="center"/>
    </xf>
    <xf numFmtId="192" fontId="91" fillId="35" borderId="10" xfId="74" applyNumberFormat="1" applyFont="1" applyFill="1" applyBorder="1" applyAlignment="1" applyProtection="1">
      <alignment horizontal="center" vertical="center"/>
      <protection hidden="1"/>
    </xf>
    <xf numFmtId="0" fontId="124" fillId="35" borderId="10" xfId="0" applyFont="1" applyFill="1" applyBorder="1" applyAlignment="1">
      <alignment vertical="center"/>
    </xf>
    <xf numFmtId="0" fontId="7" fillId="0" borderId="10" xfId="0" applyFont="1" applyBorder="1" applyAlignment="1">
      <alignment vertical="center" shrinkToFit="1"/>
    </xf>
    <xf numFmtId="49" fontId="31" fillId="0" borderId="0" xfId="0" applyNumberFormat="1" applyFont="1" applyAlignment="1" applyProtection="1">
      <alignment horizontal="left" shrinkToFit="1"/>
      <protection hidden="1"/>
    </xf>
    <xf numFmtId="0" fontId="31" fillId="0" borderId="0" xfId="0" applyFont="1" applyAlignment="1" applyProtection="1">
      <alignment horizontal="left" shrinkToFit="1"/>
      <protection hidden="1"/>
    </xf>
    <xf numFmtId="0" fontId="55" fillId="0" borderId="0" xfId="0" applyFont="1" applyFill="1" applyAlignment="1" applyProtection="1">
      <alignment horizontal="right" vertical="center"/>
      <protection hidden="1"/>
    </xf>
    <xf numFmtId="0" fontId="31" fillId="0" borderId="0" xfId="0" applyFont="1" applyAlignment="1" applyProtection="1">
      <alignment horizontal="left" vertical="center" shrinkToFit="1"/>
      <protection hidden="1"/>
    </xf>
    <xf numFmtId="0" fontId="62" fillId="0" borderId="0" xfId="0" applyFont="1" applyAlignment="1" applyProtection="1">
      <alignment horizontal="center"/>
      <protection hidden="1"/>
    </xf>
    <xf numFmtId="179" fontId="33" fillId="0" borderId="10" xfId="0" applyNumberFormat="1" applyFont="1" applyFill="1" applyBorder="1" applyAlignment="1">
      <alignment horizontal="right" vertical="center"/>
    </xf>
    <xf numFmtId="0" fontId="0" fillId="0" borderId="10" xfId="0" applyBorder="1" applyAlignment="1">
      <alignment vertical="center"/>
    </xf>
    <xf numFmtId="0" fontId="57" fillId="0" borderId="10" xfId="0" applyFont="1" applyFill="1" applyBorder="1" applyAlignment="1" applyProtection="1">
      <alignment horizontal="left" vertical="center" wrapText="1"/>
      <protection hidden="1"/>
    </xf>
    <xf numFmtId="0" fontId="39" fillId="0" borderId="10" xfId="0" applyFont="1" applyBorder="1" applyAlignment="1">
      <alignment vertical="center" wrapText="1"/>
    </xf>
    <xf numFmtId="0" fontId="91" fillId="35" borderId="27" xfId="0" applyFont="1" applyFill="1" applyBorder="1" applyAlignment="1" applyProtection="1">
      <alignment horizontal="center" vertical="center" wrapText="1" shrinkToFit="1"/>
      <protection hidden="1"/>
    </xf>
    <xf numFmtId="0" fontId="39" fillId="0" borderId="22" xfId="0" applyFont="1" applyBorder="1" applyAlignment="1">
      <alignment horizontal="center" vertical="center" wrapText="1"/>
    </xf>
    <xf numFmtId="0" fontId="57" fillId="44" borderId="27" xfId="0" applyFont="1" applyFill="1" applyBorder="1" applyAlignment="1" applyProtection="1">
      <protection hidden="1"/>
    </xf>
    <xf numFmtId="0" fontId="39" fillId="44" borderId="17" xfId="0" applyFont="1" applyFill="1" applyBorder="1" applyAlignment="1"/>
    <xf numFmtId="0" fontId="39" fillId="44" borderId="22" xfId="0" applyFont="1" applyFill="1" applyBorder="1" applyAlignment="1"/>
    <xf numFmtId="10" fontId="32" fillId="0" borderId="27" xfId="0" applyNumberFormat="1" applyFont="1" applyBorder="1" applyAlignment="1">
      <alignment horizontal="center" vertical="center" wrapText="1"/>
    </xf>
    <xf numFmtId="0" fontId="0" fillId="0" borderId="22" xfId="0" applyBorder="1" applyAlignment="1">
      <alignment horizontal="center" vertical="center" wrapText="1"/>
    </xf>
    <xf numFmtId="0" fontId="58" fillId="32" borderId="27" xfId="67" applyFont="1" applyFill="1" applyBorder="1" applyAlignment="1" applyProtection="1">
      <alignment horizontal="center" vertical="center" shrinkToFit="1"/>
      <protection hidden="1"/>
    </xf>
    <xf numFmtId="0" fontId="58" fillId="32" borderId="17" xfId="67" applyFont="1" applyFill="1" applyBorder="1" applyAlignment="1" applyProtection="1">
      <alignment horizontal="center" vertical="center" shrinkToFit="1"/>
      <protection hidden="1"/>
    </xf>
    <xf numFmtId="0" fontId="58" fillId="32" borderId="22" xfId="67" applyFont="1" applyFill="1" applyBorder="1" applyAlignment="1" applyProtection="1">
      <alignment horizontal="center" vertical="center" shrinkToFit="1"/>
      <protection hidden="1"/>
    </xf>
    <xf numFmtId="0" fontId="57" fillId="25" borderId="0" xfId="0" applyFont="1" applyFill="1" applyAlignment="1" applyProtection="1">
      <alignment horizontal="right" vertical="center"/>
      <protection hidden="1"/>
    </xf>
    <xf numFmtId="0" fontId="57" fillId="35" borderId="10" xfId="0" applyFont="1" applyFill="1" applyBorder="1" applyAlignment="1" applyProtection="1">
      <alignment horizontal="center" vertical="center" wrapText="1"/>
      <protection hidden="1"/>
    </xf>
    <xf numFmtId="0" fontId="57" fillId="35" borderId="10" xfId="0" applyFont="1" applyFill="1" applyBorder="1" applyAlignment="1" applyProtection="1">
      <alignment horizontal="center" vertical="center"/>
      <protection hidden="1"/>
    </xf>
    <xf numFmtId="0" fontId="7" fillId="0" borderId="10" xfId="0" applyFont="1" applyBorder="1" applyAlignment="1"/>
    <xf numFmtId="0" fontId="7" fillId="0" borderId="10" xfId="0" applyFont="1" applyBorder="1" applyAlignment="1">
      <alignment horizontal="center" vertical="center" wrapText="1"/>
    </xf>
    <xf numFmtId="0" fontId="57" fillId="0" borderId="10" xfId="0" applyFont="1" applyBorder="1" applyAlignment="1" applyProtection="1">
      <alignment horizontal="center" vertical="center"/>
      <protection hidden="1"/>
    </xf>
    <xf numFmtId="0" fontId="38" fillId="0" borderId="10" xfId="0" applyFont="1" applyBorder="1" applyAlignment="1">
      <alignment horizontal="center" vertical="center"/>
    </xf>
    <xf numFmtId="186" fontId="57" fillId="0" borderId="10" xfId="0" applyNumberFormat="1" applyFont="1" applyBorder="1" applyAlignment="1" applyProtection="1">
      <alignment horizontal="left" vertical="center"/>
      <protection hidden="1"/>
    </xf>
    <xf numFmtId="0" fontId="8" fillId="0" borderId="17" xfId="0" applyFont="1" applyFill="1" applyBorder="1" applyAlignment="1">
      <alignment horizontal="center" vertical="center"/>
    </xf>
    <xf numFmtId="0" fontId="8" fillId="0" borderId="22" xfId="0" applyFont="1" applyFill="1" applyBorder="1" applyAlignment="1">
      <alignment horizontal="center" vertical="center"/>
    </xf>
    <xf numFmtId="0" fontId="38" fillId="0" borderId="27" xfId="0" applyFont="1" applyBorder="1" applyAlignment="1">
      <alignment horizontal="center" vertical="center" wrapText="1"/>
    </xf>
    <xf numFmtId="0" fontId="0" fillId="0" borderId="17" xfId="0" applyBorder="1" applyAlignment="1">
      <alignment horizontal="center" vertical="center" wrapText="1"/>
    </xf>
    <xf numFmtId="179" fontId="57" fillId="0" borderId="10" xfId="0" applyNumberFormat="1" applyFont="1" applyFill="1" applyBorder="1" applyAlignment="1">
      <alignment horizontal="left" vertical="center" wrapText="1"/>
    </xf>
    <xf numFmtId="0" fontId="57" fillId="44" borderId="13" xfId="0" applyFont="1" applyFill="1" applyBorder="1" applyAlignment="1">
      <alignment horizontal="center" vertical="center" wrapText="1"/>
    </xf>
    <xf numFmtId="0" fontId="39" fillId="44" borderId="34" xfId="0" applyFont="1" applyFill="1" applyBorder="1" applyAlignment="1">
      <alignment horizontal="center" vertical="center" wrapText="1"/>
    </xf>
    <xf numFmtId="0" fontId="39" fillId="44" borderId="16" xfId="0" applyFont="1" applyFill="1" applyBorder="1" applyAlignment="1">
      <alignment horizontal="center" vertical="center" wrapText="1"/>
    </xf>
    <xf numFmtId="0" fontId="57" fillId="44" borderId="10" xfId="0" applyFont="1" applyFill="1" applyBorder="1" applyAlignment="1">
      <alignment horizontal="left" vertical="center"/>
    </xf>
    <xf numFmtId="0" fontId="39" fillId="44" borderId="10" xfId="0" applyFont="1" applyFill="1" applyBorder="1" applyAlignment="1"/>
    <xf numFmtId="0" fontId="0" fillId="0" borderId="10" xfId="0" applyBorder="1" applyAlignment="1">
      <alignment vertical="center" wrapText="1"/>
    </xf>
    <xf numFmtId="0" fontId="39" fillId="0" borderId="10" xfId="0" applyFont="1" applyBorder="1" applyAlignment="1">
      <alignment wrapText="1"/>
    </xf>
    <xf numFmtId="0" fontId="33" fillId="0" borderId="0" xfId="0" applyFont="1" applyAlignment="1" applyProtection="1">
      <alignment horizontal="right" vertical="center"/>
      <protection hidden="1"/>
    </xf>
    <xf numFmtId="0" fontId="57" fillId="35" borderId="10" xfId="0" applyFont="1" applyFill="1" applyBorder="1" applyAlignment="1">
      <alignment horizontal="center" vertical="center"/>
    </xf>
    <xf numFmtId="0" fontId="39" fillId="0" borderId="10" xfId="0" applyFont="1" applyBorder="1" applyAlignment="1">
      <alignment horizontal="center" vertical="center"/>
    </xf>
    <xf numFmtId="192" fontId="33" fillId="0" borderId="10" xfId="74" applyNumberFormat="1" applyFont="1" applyFill="1" applyBorder="1" applyAlignment="1" applyProtection="1">
      <alignment horizontal="center" vertical="center"/>
      <protection hidden="1"/>
    </xf>
    <xf numFmtId="0" fontId="0" fillId="0" borderId="10" xfId="0" applyBorder="1" applyAlignment="1">
      <alignment horizontal="center" vertical="center"/>
    </xf>
    <xf numFmtId="0" fontId="58" fillId="32" borderId="10" xfId="67" applyFont="1" applyFill="1" applyBorder="1" applyAlignment="1" applyProtection="1">
      <alignment horizontal="center" vertical="center" shrinkToFit="1"/>
      <protection hidden="1"/>
    </xf>
    <xf numFmtId="192" fontId="33" fillId="0" borderId="27" xfId="74" applyNumberFormat="1" applyFont="1" applyFill="1" applyBorder="1" applyAlignment="1" applyProtection="1">
      <alignment horizontal="center" vertical="center"/>
      <protection hidden="1"/>
    </xf>
    <xf numFmtId="192" fontId="33" fillId="0" borderId="22" xfId="74" applyNumberFormat="1" applyFont="1" applyFill="1" applyBorder="1" applyAlignment="1" applyProtection="1">
      <alignment horizontal="center" vertical="center"/>
      <protection hidden="1"/>
    </xf>
    <xf numFmtId="0" fontId="57" fillId="0" borderId="0" xfId="0" applyFont="1" applyBorder="1" applyAlignment="1" applyProtection="1">
      <alignment horizontal="left" vertical="center" shrinkToFit="1"/>
      <protection hidden="1"/>
    </xf>
    <xf numFmtId="0" fontId="39" fillId="0" borderId="0" xfId="0" applyFont="1" applyBorder="1" applyAlignment="1">
      <alignment horizontal="left" vertical="center" shrinkToFit="1"/>
    </xf>
    <xf numFmtId="0" fontId="91" fillId="35" borderId="13" xfId="0" applyFont="1" applyFill="1" applyBorder="1" applyAlignment="1" applyProtection="1">
      <alignment horizontal="center" vertical="center" wrapText="1"/>
      <protection hidden="1"/>
    </xf>
    <xf numFmtId="0" fontId="0" fillId="0" borderId="16" xfId="0" applyBorder="1" applyAlignment="1">
      <alignment horizontal="center" vertical="center" wrapText="1"/>
    </xf>
    <xf numFmtId="0" fontId="91" fillId="35" borderId="18" xfId="0" applyFont="1" applyFill="1" applyBorder="1" applyAlignment="1" applyProtection="1">
      <alignment horizontal="center" vertical="center" wrapText="1"/>
      <protection hidden="1"/>
    </xf>
    <xf numFmtId="0" fontId="39" fillId="0" borderId="14" xfId="0" applyFont="1" applyBorder="1" applyAlignment="1">
      <alignment horizontal="center" vertical="center" wrapText="1"/>
    </xf>
    <xf numFmtId="0" fontId="0" fillId="0" borderId="19" xfId="0" applyBorder="1" applyAlignment="1">
      <alignment horizontal="center" vertical="center" wrapText="1"/>
    </xf>
    <xf numFmtId="0" fontId="0" fillId="0" borderId="15" xfId="0" applyBorder="1" applyAlignment="1">
      <alignment horizontal="center" vertical="center" wrapText="1"/>
    </xf>
    <xf numFmtId="0" fontId="54" fillId="38" borderId="10" xfId="0" applyFont="1" applyFill="1" applyBorder="1" applyAlignment="1" applyProtection="1">
      <alignment horizontal="center" vertical="center"/>
      <protection hidden="1"/>
    </xf>
    <xf numFmtId="0" fontId="0" fillId="0" borderId="10" xfId="0" applyBorder="1" applyAlignment="1"/>
    <xf numFmtId="10" fontId="130" fillId="0" borderId="10" xfId="0" applyNumberFormat="1" applyFont="1" applyFill="1" applyBorder="1" applyAlignment="1" applyProtection="1">
      <alignment horizontal="center" vertical="center"/>
      <protection hidden="1"/>
    </xf>
    <xf numFmtId="0" fontId="57" fillId="0" borderId="10" xfId="0" applyFont="1" applyBorder="1" applyAlignment="1" applyProtection="1">
      <alignment horizontal="left" vertical="center"/>
      <protection hidden="1"/>
    </xf>
    <xf numFmtId="0" fontId="38" fillId="0" borderId="10" xfId="0" applyFont="1" applyBorder="1" applyAlignment="1">
      <alignment horizontal="left" vertical="center"/>
    </xf>
    <xf numFmtId="0" fontId="0" fillId="0" borderId="22" xfId="0" applyBorder="1" applyAlignment="1">
      <alignment horizontal="center" vertical="center"/>
    </xf>
    <xf numFmtId="0" fontId="57" fillId="0" borderId="0" xfId="0" applyFont="1" applyBorder="1" applyAlignment="1" applyProtection="1">
      <alignment horizontal="left" vertical="center"/>
      <protection hidden="1"/>
    </xf>
    <xf numFmtId="0" fontId="39" fillId="0" borderId="0" xfId="0" applyFont="1" applyBorder="1" applyAlignment="1">
      <alignment horizontal="left" vertical="center"/>
    </xf>
    <xf numFmtId="0" fontId="58" fillId="32" borderId="10" xfId="0" applyFont="1" applyFill="1" applyBorder="1" applyAlignment="1" applyProtection="1">
      <alignment horizontal="center" vertical="center"/>
      <protection hidden="1"/>
    </xf>
    <xf numFmtId="179" fontId="33" fillId="0" borderId="10" xfId="0" applyNumberFormat="1" applyFont="1" applyBorder="1" applyAlignment="1">
      <alignment horizontal="right" vertical="center"/>
    </xf>
    <xf numFmtId="0" fontId="0" fillId="0" borderId="10" xfId="0" applyBorder="1" applyAlignment="1">
      <alignment horizontal="right"/>
    </xf>
    <xf numFmtId="0" fontId="91" fillId="35" borderId="10" xfId="0" applyFont="1" applyFill="1" applyBorder="1" applyAlignment="1" applyProtection="1">
      <alignment horizontal="center" vertical="center" wrapText="1"/>
      <protection hidden="1"/>
    </xf>
    <xf numFmtId="0" fontId="91" fillId="35" borderId="10" xfId="0" applyFont="1" applyFill="1" applyBorder="1" applyAlignment="1">
      <alignment horizontal="center" vertical="center" wrapText="1"/>
    </xf>
    <xf numFmtId="0" fontId="67" fillId="0" borderId="0" xfId="0" applyFont="1" applyAlignment="1">
      <alignment horizontal="center" vertical="center"/>
    </xf>
    <xf numFmtId="0" fontId="39" fillId="0" borderId="10" xfId="0" applyFont="1" applyBorder="1" applyAlignment="1">
      <alignment horizontal="left" vertical="center" wrapText="1"/>
    </xf>
    <xf numFmtId="0" fontId="57" fillId="0" borderId="10" xfId="0" applyFont="1" applyBorder="1" applyAlignment="1" applyProtection="1">
      <alignment horizontal="left" vertical="center" wrapText="1"/>
      <protection hidden="1"/>
    </xf>
    <xf numFmtId="0" fontId="0" fillId="0" borderId="10" xfId="0" applyBorder="1" applyAlignment="1">
      <alignment horizontal="left" vertical="center" wrapText="1"/>
    </xf>
    <xf numFmtId="0" fontId="14" fillId="44" borderId="27" xfId="0" applyFont="1" applyFill="1" applyBorder="1" applyAlignment="1" applyProtection="1">
      <alignment horizontal="center" vertical="center" wrapText="1"/>
      <protection hidden="1"/>
    </xf>
    <xf numFmtId="0" fontId="14" fillId="44" borderId="17" xfId="0" applyFont="1" applyFill="1" applyBorder="1" applyAlignment="1" applyProtection="1">
      <alignment horizontal="center" vertical="center" wrapText="1"/>
      <protection hidden="1"/>
    </xf>
    <xf numFmtId="0" fontId="0" fillId="44" borderId="17" xfId="0" applyFill="1" applyBorder="1" applyAlignment="1">
      <alignment vertical="center" wrapText="1"/>
    </xf>
    <xf numFmtId="0" fontId="57" fillId="35" borderId="27" xfId="0" applyFont="1" applyFill="1" applyBorder="1" applyAlignment="1">
      <alignment horizontal="center" vertical="center"/>
    </xf>
    <xf numFmtId="0" fontId="39" fillId="0" borderId="17" xfId="0" applyFont="1" applyBorder="1" applyAlignment="1">
      <alignment horizontal="center" vertical="center"/>
    </xf>
    <xf numFmtId="0" fontId="39" fillId="0" borderId="22" xfId="0" applyFont="1" applyBorder="1" applyAlignment="1">
      <alignment horizontal="center" vertical="center"/>
    </xf>
    <xf numFmtId="0" fontId="33" fillId="0" borderId="27" xfId="0" applyFont="1" applyBorder="1" applyAlignment="1">
      <alignment horizontal="right" vertical="center" shrinkToFit="1"/>
    </xf>
    <xf numFmtId="0" fontId="8" fillId="0" borderId="17" xfId="0" applyFont="1" applyBorder="1" applyAlignment="1">
      <alignment vertical="center" shrinkToFit="1"/>
    </xf>
    <xf numFmtId="0" fontId="8" fillId="0" borderId="22" xfId="0" applyFont="1" applyBorder="1" applyAlignment="1">
      <alignment vertical="center" shrinkToFit="1"/>
    </xf>
    <xf numFmtId="0" fontId="39" fillId="44" borderId="10" xfId="0" applyFont="1" applyFill="1" applyBorder="1" applyAlignment="1">
      <alignment horizontal="left" vertical="center"/>
    </xf>
    <xf numFmtId="0" fontId="57" fillId="44" borderId="27" xfId="0" applyNumberFormat="1" applyFont="1" applyFill="1" applyBorder="1" applyAlignment="1">
      <alignment vertical="center"/>
    </xf>
    <xf numFmtId="0" fontId="39" fillId="44" borderId="17" xfId="0" applyFont="1" applyFill="1" applyBorder="1" applyAlignment="1">
      <alignment vertical="center"/>
    </xf>
    <xf numFmtId="0" fontId="39" fillId="44" borderId="22" xfId="0" applyFont="1" applyFill="1" applyBorder="1" applyAlignment="1">
      <alignment vertical="center"/>
    </xf>
    <xf numFmtId="0" fontId="33" fillId="0" borderId="10" xfId="0" applyFont="1" applyFill="1" applyBorder="1" applyAlignment="1" applyProtection="1">
      <alignment horizontal="right" vertical="center" wrapText="1"/>
      <protection hidden="1"/>
    </xf>
    <xf numFmtId="0" fontId="57" fillId="44" borderId="18" xfId="0" applyFont="1" applyFill="1" applyBorder="1" applyAlignment="1" applyProtection="1">
      <alignment horizontal="center" vertical="center" wrapText="1"/>
      <protection hidden="1"/>
    </xf>
    <xf numFmtId="0" fontId="39" fillId="0" borderId="25" xfId="0" applyFont="1" applyBorder="1" applyAlignment="1">
      <alignment horizontal="center" vertical="center" wrapText="1"/>
    </xf>
    <xf numFmtId="0" fontId="39" fillId="0" borderId="19" xfId="0" applyFont="1" applyBorder="1" applyAlignment="1">
      <alignment vertical="center"/>
    </xf>
    <xf numFmtId="0" fontId="39" fillId="0" borderId="20" xfId="0" applyFont="1" applyBorder="1" applyAlignment="1">
      <alignment vertical="center"/>
    </xf>
    <xf numFmtId="0" fontId="57" fillId="44" borderId="27" xfId="0" applyFont="1" applyFill="1" applyBorder="1" applyAlignment="1" applyProtection="1">
      <alignment horizontal="center" vertical="center" wrapText="1"/>
      <protection hidden="1"/>
    </xf>
    <xf numFmtId="0" fontId="57" fillId="44" borderId="17" xfId="0" applyFont="1" applyFill="1" applyBorder="1" applyAlignment="1" applyProtection="1">
      <alignment horizontal="center" vertical="center" wrapText="1"/>
      <protection hidden="1"/>
    </xf>
    <xf numFmtId="0" fontId="57" fillId="44" borderId="22" xfId="0" applyFont="1" applyFill="1" applyBorder="1" applyAlignment="1" applyProtection="1">
      <alignment horizontal="center" vertical="center" wrapText="1"/>
      <protection hidden="1"/>
    </xf>
    <xf numFmtId="0" fontId="57" fillId="44" borderId="10" xfId="0" applyFont="1" applyFill="1" applyBorder="1" applyAlignment="1" applyProtection="1">
      <alignment horizontal="center" vertical="center" wrapText="1"/>
      <protection hidden="1"/>
    </xf>
    <xf numFmtId="0" fontId="39" fillId="44" borderId="10" xfId="0" applyFont="1" applyFill="1" applyBorder="1" applyAlignment="1">
      <alignment vertical="center" wrapText="1"/>
    </xf>
    <xf numFmtId="0" fontId="57" fillId="0" borderId="27" xfId="0" applyFont="1" applyFill="1" applyBorder="1" applyAlignment="1" applyProtection="1">
      <alignment horizontal="left" vertical="center" wrapText="1"/>
      <protection hidden="1"/>
    </xf>
    <xf numFmtId="0" fontId="0" fillId="0" borderId="17" xfId="0" applyBorder="1" applyAlignment="1">
      <alignment vertical="center" wrapText="1"/>
    </xf>
    <xf numFmtId="0" fontId="0" fillId="0" borderId="22" xfId="0" applyBorder="1" applyAlignment="1">
      <alignment vertical="center" wrapText="1"/>
    </xf>
    <xf numFmtId="0" fontId="57" fillId="0" borderId="18" xfId="0" applyFont="1" applyFill="1" applyBorder="1" applyAlignment="1" applyProtection="1">
      <alignment horizontal="left" vertical="center" wrapText="1"/>
      <protection hidden="1"/>
    </xf>
    <xf numFmtId="0" fontId="0" fillId="0" borderId="25" xfId="0" applyBorder="1" applyAlignment="1">
      <alignment vertical="center" wrapText="1"/>
    </xf>
    <xf numFmtId="0" fontId="0" fillId="0" borderId="14" xfId="0" applyBorder="1" applyAlignment="1">
      <alignment vertical="center" wrapText="1"/>
    </xf>
    <xf numFmtId="0" fontId="0" fillId="0" borderId="54" xfId="0" applyBorder="1" applyAlignment="1">
      <alignment vertical="center" wrapText="1"/>
    </xf>
    <xf numFmtId="0" fontId="0" fillId="0" borderId="0" xfId="0" applyAlignment="1">
      <alignment vertical="center" wrapText="1"/>
    </xf>
    <xf numFmtId="0" fontId="0" fillId="0" borderId="55"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15" xfId="0" applyBorder="1" applyAlignment="1">
      <alignment vertical="center" wrapText="1"/>
    </xf>
    <xf numFmtId="0" fontId="39" fillId="0" borderId="25" xfId="0" applyFont="1" applyBorder="1" applyAlignment="1">
      <alignment wrapText="1"/>
    </xf>
    <xf numFmtId="0" fontId="39" fillId="0" borderId="14" xfId="0" applyFont="1" applyBorder="1" applyAlignment="1">
      <alignment wrapText="1"/>
    </xf>
    <xf numFmtId="0" fontId="39" fillId="0" borderId="19" xfId="0" applyFont="1" applyBorder="1" applyAlignment="1">
      <alignment wrapText="1"/>
    </xf>
    <xf numFmtId="0" fontId="39" fillId="0" borderId="20" xfId="0" applyFont="1" applyBorder="1" applyAlignment="1">
      <alignment wrapText="1"/>
    </xf>
    <xf numFmtId="0" fontId="39" fillId="0" borderId="15" xfId="0" applyFont="1" applyBorder="1" applyAlignment="1">
      <alignment wrapText="1"/>
    </xf>
    <xf numFmtId="0" fontId="57" fillId="44" borderId="27" xfId="0" applyFont="1" applyFill="1" applyBorder="1" applyAlignment="1">
      <alignment horizontal="left" vertical="center" wrapText="1"/>
    </xf>
    <xf numFmtId="0" fontId="39" fillId="44" borderId="17" xfId="0" applyFont="1" applyFill="1" applyBorder="1" applyAlignment="1">
      <alignment horizontal="left" wrapText="1"/>
    </xf>
    <xf numFmtId="0" fontId="39" fillId="44" borderId="22" xfId="0" applyFont="1" applyFill="1" applyBorder="1" applyAlignment="1">
      <alignment horizontal="left" wrapText="1"/>
    </xf>
    <xf numFmtId="0" fontId="39" fillId="44" borderId="17" xfId="0" applyFont="1" applyFill="1" applyBorder="1" applyAlignment="1">
      <alignment wrapText="1"/>
    </xf>
    <xf numFmtId="0" fontId="39" fillId="44" borderId="22" xfId="0" applyFont="1" applyFill="1" applyBorder="1" applyAlignment="1">
      <alignment wrapText="1"/>
    </xf>
    <xf numFmtId="0" fontId="57" fillId="44" borderId="18" xfId="0" applyNumberFormat="1" applyFont="1" applyFill="1" applyBorder="1" applyAlignment="1" applyProtection="1">
      <alignment horizontal="center" vertical="center" wrapText="1"/>
      <protection hidden="1"/>
    </xf>
    <xf numFmtId="0" fontId="39" fillId="44" borderId="25" xfId="0" applyFont="1" applyFill="1" applyBorder="1" applyAlignment="1">
      <alignment horizontal="center" vertical="center" wrapText="1"/>
    </xf>
    <xf numFmtId="0" fontId="39" fillId="44" borderId="14" xfId="0" applyFont="1" applyFill="1" applyBorder="1" applyAlignment="1">
      <alignment horizontal="center" vertical="center" wrapText="1"/>
    </xf>
    <xf numFmtId="0" fontId="39" fillId="44" borderId="54" xfId="0" applyFont="1" applyFill="1" applyBorder="1" applyAlignment="1">
      <alignment horizontal="center" vertical="center" wrapText="1"/>
    </xf>
    <xf numFmtId="0" fontId="39" fillId="44" borderId="0" xfId="0" applyFont="1" applyFill="1" applyAlignment="1">
      <alignment horizontal="center" vertical="center" wrapText="1"/>
    </xf>
    <xf numFmtId="0" fontId="39" fillId="44" borderId="55" xfId="0" applyFont="1" applyFill="1" applyBorder="1" applyAlignment="1">
      <alignment horizontal="center" vertical="center" wrapText="1"/>
    </xf>
    <xf numFmtId="0" fontId="39" fillId="44" borderId="19" xfId="0" applyFont="1" applyFill="1" applyBorder="1" applyAlignment="1">
      <alignment horizontal="center" vertical="center" wrapText="1"/>
    </xf>
    <xf numFmtId="0" fontId="39" fillId="44" borderId="20" xfId="0" applyFont="1" applyFill="1" applyBorder="1" applyAlignment="1">
      <alignment horizontal="center" vertical="center" wrapText="1"/>
    </xf>
    <xf numFmtId="0" fontId="39" fillId="44" borderId="15" xfId="0" applyFont="1" applyFill="1" applyBorder="1" applyAlignment="1">
      <alignment horizontal="center" vertical="center" wrapText="1"/>
    </xf>
    <xf numFmtId="0" fontId="57" fillId="44" borderId="27" xfId="0" applyNumberFormat="1" applyFont="1" applyFill="1" applyBorder="1" applyAlignment="1" applyProtection="1">
      <alignment horizontal="left" vertical="center"/>
      <protection hidden="1"/>
    </xf>
    <xf numFmtId="0" fontId="57" fillId="44" borderId="27" xfId="0" applyFont="1" applyFill="1" applyBorder="1" applyAlignment="1">
      <alignment horizontal="left" vertical="center"/>
    </xf>
    <xf numFmtId="0" fontId="0" fillId="0" borderId="17" xfId="0" applyBorder="1" applyAlignment="1">
      <alignment horizontal="left" vertical="center"/>
    </xf>
    <xf numFmtId="0" fontId="0" fillId="0" borderId="22" xfId="0" applyBorder="1" applyAlignment="1">
      <alignment horizontal="left" vertical="center"/>
    </xf>
    <xf numFmtId="0" fontId="39" fillId="0" borderId="10" xfId="0" applyFont="1" applyBorder="1" applyAlignment="1"/>
    <xf numFmtId="179" fontId="33" fillId="0" borderId="27" xfId="0" applyNumberFormat="1" applyFont="1" applyFill="1" applyBorder="1" applyAlignment="1">
      <alignment horizontal="right" vertical="center"/>
    </xf>
    <xf numFmtId="179" fontId="57" fillId="0" borderId="27" xfId="0" applyNumberFormat="1" applyFont="1" applyFill="1"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54" fillId="38" borderId="10" xfId="0" applyFont="1" applyFill="1" applyBorder="1" applyAlignment="1" applyProtection="1">
      <alignment horizontal="left" vertical="center"/>
      <protection hidden="1"/>
    </xf>
    <xf numFmtId="0" fontId="0" fillId="0" borderId="10" xfId="0" applyBorder="1" applyAlignment="1">
      <alignment horizontal="left" vertical="center"/>
    </xf>
    <xf numFmtId="0" fontId="57" fillId="0" borderId="27" xfId="0" applyFont="1" applyBorder="1" applyAlignment="1" applyProtection="1">
      <alignment horizontal="left" vertical="center" wrapText="1"/>
      <protection hidden="1"/>
    </xf>
    <xf numFmtId="0" fontId="57" fillId="35" borderId="27" xfId="0" applyFont="1" applyFill="1" applyBorder="1" applyAlignment="1" applyProtection="1">
      <alignment horizontal="center"/>
      <protection hidden="1"/>
    </xf>
    <xf numFmtId="0" fontId="39" fillId="35" borderId="17" xfId="0" applyFont="1" applyFill="1" applyBorder="1" applyAlignment="1">
      <alignment horizontal="center"/>
    </xf>
    <xf numFmtId="0" fontId="39" fillId="35" borderId="22" xfId="0" applyFont="1" applyFill="1" applyBorder="1" applyAlignment="1">
      <alignment horizontal="center"/>
    </xf>
    <xf numFmtId="0" fontId="0" fillId="0" borderId="0" xfId="0" applyAlignment="1"/>
    <xf numFmtId="0" fontId="0" fillId="0" borderId="0" xfId="0" applyAlignment="1">
      <alignment horizontal="right" vertical="center"/>
    </xf>
  </cellXfs>
  <cellStyles count="86">
    <cellStyle name="_x000e__x0008__x000a_" xfId="1"/>
    <cellStyle name="_x000e__x0008__x000a_ 2" xfId="2"/>
    <cellStyle name="_x000e__x0008__x000a_ 2 2" xfId="3"/>
    <cellStyle name="_x000e__x0008__x000a_ 3" xfId="85"/>
    <cellStyle name="_x000a_386grabber=v" xfId="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SPMDE" xfId="43"/>
    <cellStyle name="Title" xfId="44"/>
    <cellStyle name="Total" xfId="45"/>
    <cellStyle name="Warning Text" xfId="46"/>
    <cellStyle name="一般" xfId="0" builtinId="0"/>
    <cellStyle name="一般 2" xfId="47"/>
    <cellStyle name="一般 2 2" xfId="48"/>
    <cellStyle name="一般 3" xfId="49"/>
    <cellStyle name="一般 4" xfId="50"/>
    <cellStyle name="一般 4 3" xfId="83"/>
    <cellStyle name="一般 5" xfId="51"/>
    <cellStyle name="一般 6" xfId="52"/>
    <cellStyle name="一般 8 3" xfId="81"/>
    <cellStyle name="一般 8 3 2 2" xfId="82"/>
    <cellStyle name="一般 8 3 2 2 2" xfId="84"/>
    <cellStyle name="一般_data" xfId="53"/>
    <cellStyle name="一般_OP 2" xfId="54"/>
    <cellStyle name="一般_PDATA" xfId="55"/>
    <cellStyle name="一般_PDATA_2" xfId="56"/>
    <cellStyle name="一般_PDATA_3" xfId="57"/>
    <cellStyle name="一般_PDATA1" xfId="58"/>
    <cellStyle name="一般_RDATA" xfId="59"/>
    <cellStyle name="一般_RDATA_1" xfId="60"/>
    <cellStyle name="一般_RDATA_3" xfId="61"/>
    <cellStyle name="一般_XWO0701" xfId="62"/>
    <cellStyle name="一般_工作表1" xfId="63"/>
    <cellStyle name="一般_工作表1_1" xfId="64"/>
    <cellStyle name="一般_我用的-年齡計算函數e" xfId="65"/>
    <cellStyle name="一般_我用的-年齡計算函數e 2" xfId="66"/>
    <cellStyle name="一般_頁面" xfId="67"/>
    <cellStyle name="一般_揭露" xfId="68"/>
    <cellStyle name="一般_揭露_1" xfId="69"/>
    <cellStyle name="一般_揭露_2" xfId="70"/>
    <cellStyle name="一般_揭露1" xfId="71"/>
    <cellStyle name="一般_揭露1_1" xfId="72"/>
    <cellStyle name="一般_揭露AOR" xfId="73"/>
    <cellStyle name="千分位" xfId="74" builtinId="3"/>
    <cellStyle name="千分位[0]" xfId="75" builtinId="6"/>
    <cellStyle name="好_ANZIB 書面分析報告_20150519_壽險_Edit" xfId="76"/>
    <cellStyle name="超連結 2" xfId="77"/>
    <cellStyle name="樣式 1" xfId="78"/>
    <cellStyle name="樣式 2" xfId="79"/>
    <cellStyle name="壞_ANZIB 書面分析報告_20150519_壽險_Edit" xfId="80"/>
  </cellStyles>
  <dxfs count="71">
    <dxf>
      <font>
        <strike val="0"/>
        <condense val="0"/>
        <extend val="0"/>
        <color indexed="9"/>
      </font>
      <border>
        <left/>
        <right/>
        <top/>
        <bottom/>
      </border>
    </dxf>
    <dxf>
      <font>
        <strike val="0"/>
        <color theme="0"/>
      </font>
      <fill>
        <patternFill patternType="none">
          <bgColor indexed="65"/>
        </patternFill>
      </fill>
      <border>
        <left/>
        <right/>
        <top/>
        <bottom/>
      </border>
    </dxf>
    <dxf>
      <font>
        <b/>
        <i val="0"/>
        <color rgb="FFFF0000"/>
      </font>
    </dxf>
    <dxf>
      <font>
        <b/>
        <i val="0"/>
        <strike val="0"/>
        <u/>
        <color rgb="FFFF0000"/>
      </font>
      <fill>
        <patternFill patternType="none">
          <bgColor indexed="65"/>
        </patternFill>
      </fill>
    </dxf>
    <dxf>
      <font>
        <strike val="0"/>
        <color theme="0"/>
      </font>
      <fill>
        <patternFill patternType="none">
          <bgColor auto="1"/>
        </patternFill>
      </fill>
      <border>
        <left/>
        <right/>
        <top/>
        <bottom/>
        <vertical/>
        <horizontal/>
      </border>
    </dxf>
    <dxf>
      <font>
        <strike val="0"/>
        <condense val="0"/>
        <extend val="0"/>
        <color indexed="9"/>
      </font>
      <border>
        <left/>
        <right/>
        <top/>
        <bottom/>
      </border>
    </dxf>
    <dxf>
      <font>
        <strike val="0"/>
        <condense val="0"/>
        <extend val="0"/>
        <color indexed="9"/>
      </font>
      <border>
        <left/>
        <right/>
        <top/>
        <bottom/>
      </border>
    </dxf>
    <dxf>
      <font>
        <strike val="0"/>
        <color theme="0"/>
      </font>
      <fill>
        <patternFill>
          <bgColor theme="0"/>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ndense val="0"/>
        <extend val="0"/>
        <color indexed="9"/>
      </font>
      <border>
        <left/>
        <right/>
        <top/>
        <bottom/>
      </border>
    </dxf>
    <dxf>
      <font>
        <strike val="0"/>
        <condense val="0"/>
        <extend val="0"/>
        <color indexed="9"/>
      </font>
      <border>
        <left/>
        <right/>
        <top/>
        <bottom/>
      </border>
    </dxf>
    <dxf>
      <font>
        <strike val="0"/>
        <condense val="0"/>
        <extend val="0"/>
        <color indexed="9"/>
      </font>
      <border>
        <left/>
        <right/>
        <top/>
        <bottom/>
      </border>
    </dxf>
    <dxf>
      <font>
        <strike val="0"/>
        <condense val="0"/>
        <extend val="0"/>
        <color indexed="9"/>
      </font>
      <border>
        <left/>
        <right/>
        <top/>
        <bottom/>
      </border>
    </dxf>
    <dxf>
      <font>
        <strike val="0"/>
        <condense val="0"/>
        <extend val="0"/>
        <color indexed="9"/>
      </font>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font>
      <fill>
        <patternFill patternType="none">
          <bgColor indexed="65"/>
        </patternFill>
      </fill>
      <border>
        <left/>
        <right/>
        <top/>
        <bottom/>
      </border>
    </dxf>
    <dxf>
      <font>
        <strike val="0"/>
        <color theme="0"/>
        <name val="新細明體"/>
        <scheme val="none"/>
      </font>
      <fill>
        <patternFill patternType="none">
          <bgColor indexed="65"/>
        </patternFill>
      </fill>
      <border>
        <left/>
        <right/>
        <top/>
        <bottom/>
      </border>
    </dxf>
    <dxf>
      <font>
        <strike val="0"/>
        <color theme="0"/>
        <name val="新細明體"/>
        <scheme val="none"/>
      </font>
      <fill>
        <patternFill patternType="none">
          <bgColor indexed="65"/>
        </patternFill>
      </fill>
      <border>
        <left/>
        <right/>
        <top/>
        <bottom/>
      </border>
    </dxf>
    <dxf>
      <font>
        <color theme="0"/>
      </font>
      <fill>
        <patternFill>
          <fgColor indexed="64"/>
          <bgColor theme="0"/>
        </patternFill>
      </fill>
      <border>
        <left/>
        <right/>
      </border>
    </dxf>
    <dxf>
      <font>
        <color theme="0"/>
      </font>
      <fill>
        <patternFill>
          <bgColor theme="0"/>
        </patternFill>
      </fill>
      <border>
        <left/>
        <right/>
        <top/>
        <bottom/>
        <vertical/>
        <horizontal/>
      </border>
    </dxf>
    <dxf>
      <font>
        <b/>
        <i val="0"/>
        <strike/>
        <condense val="0"/>
        <extend val="0"/>
        <color indexed="9"/>
      </font>
      <fill>
        <patternFill>
          <bgColor indexed="10"/>
        </patternFill>
      </fill>
    </dxf>
    <dxf>
      <font>
        <color theme="0"/>
      </font>
      <fill>
        <patternFill>
          <bgColor theme="0"/>
        </patternFill>
      </fill>
      <border>
        <left/>
        <right/>
        <top/>
        <bottom/>
        <vertical/>
        <horizontal/>
      </border>
    </dxf>
    <dxf>
      <font>
        <strike val="0"/>
        <color theme="0"/>
      </font>
      <fill>
        <patternFill>
          <bgColor theme="0"/>
        </patternFill>
      </fill>
      <border>
        <left/>
        <right/>
        <top/>
        <bottom/>
        <vertical/>
        <horizontal/>
      </border>
    </dxf>
    <dxf>
      <font>
        <condense val="0"/>
        <extend val="0"/>
        <color indexed="12"/>
      </font>
    </dxf>
    <dxf>
      <font>
        <condense val="0"/>
        <extend val="0"/>
        <color indexed="9"/>
      </font>
      <fill>
        <patternFill>
          <bgColor indexed="9"/>
        </patternFill>
      </fill>
      <border>
        <left/>
        <right/>
        <top/>
        <bottom/>
      </border>
    </dxf>
    <dxf>
      <font>
        <b/>
        <i val="0"/>
        <condense val="0"/>
        <extend val="0"/>
        <color indexed="9"/>
      </font>
      <fill>
        <patternFill>
          <bgColor indexed="53"/>
        </patternFill>
      </fill>
      <border>
        <left style="thin">
          <color indexed="9"/>
        </left>
        <bottom style="thin">
          <color indexed="64"/>
        </bottom>
      </border>
    </dxf>
    <dxf>
      <font>
        <b/>
        <i val="0"/>
        <condense val="0"/>
        <extend val="0"/>
        <color indexed="12"/>
      </font>
    </dxf>
    <dxf>
      <font>
        <b/>
        <i val="0"/>
        <color theme="0"/>
      </font>
      <fill>
        <patternFill>
          <bgColor rgb="FFFF0000"/>
        </patternFill>
      </fill>
    </dxf>
    <dxf>
      <font>
        <strike val="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font>
      <fill>
        <patternFill>
          <bgColor rgb="FFFF0000"/>
        </patternFill>
      </fill>
    </dxf>
    <dxf>
      <font>
        <strike/>
        <color theme="0"/>
        <name val="新細明體"/>
        <scheme val="none"/>
      </font>
      <fill>
        <patternFill patternType="solid">
          <bgColor rgb="FFFF0000"/>
        </patternFill>
      </fill>
      <border>
        <left/>
        <right/>
        <top/>
        <bottom/>
      </border>
    </dxf>
    <dxf>
      <fill>
        <patternFill>
          <bgColor indexed="10"/>
        </patternFill>
      </fill>
    </dxf>
    <dxf>
      <fill>
        <patternFill>
          <bgColor indexed="10"/>
        </patternFill>
      </fill>
    </dxf>
    <dxf>
      <fill>
        <patternFill>
          <bgColor indexed="10"/>
        </patternFill>
      </fill>
    </dxf>
    <dxf>
      <font>
        <b/>
        <i val="0"/>
        <strike/>
        <condense val="0"/>
        <extend val="0"/>
        <color indexed="9"/>
      </font>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ont>
        <b/>
        <i val="0"/>
        <strike/>
        <color theme="0"/>
      </font>
      <fill>
        <patternFill>
          <bgColor indexed="10"/>
        </patternFill>
      </fill>
    </dxf>
    <dxf>
      <fill>
        <patternFill>
          <bgColor indexed="10"/>
        </patternFill>
      </fill>
    </dxf>
    <dxf>
      <font>
        <b/>
        <i val="0"/>
        <strike/>
        <condense val="0"/>
        <extend val="0"/>
        <color indexed="9"/>
      </font>
      <fill>
        <patternFill>
          <bgColor indexed="10"/>
        </patternFill>
      </fill>
    </dxf>
    <dxf>
      <fill>
        <patternFill>
          <bgColor indexed="10"/>
        </patternFill>
      </fill>
    </dxf>
    <dxf>
      <font>
        <b/>
        <i val="0"/>
        <condense val="0"/>
        <extend val="0"/>
        <color indexed="9"/>
      </font>
      <fill>
        <patternFill>
          <bgColor indexed="10"/>
        </patternFill>
      </fill>
    </dxf>
    <dxf>
      <font>
        <condense val="0"/>
        <extend val="0"/>
        <color auto="1"/>
      </font>
      <fill>
        <patternFill>
          <bgColor indexed="10"/>
        </patternFill>
      </fill>
    </dxf>
    <dxf>
      <fill>
        <patternFill>
          <bgColor indexed="10"/>
        </patternFill>
      </fill>
    </dxf>
    <dxf>
      <font>
        <b/>
        <i val="0"/>
        <condense val="0"/>
        <extend val="0"/>
        <color indexed="12"/>
      </font>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7D7D8"/>
      <rgbColor rgb="004DFFF9"/>
      <rgbColor rgb="0088A9D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B2:K190"/>
  <sheetViews>
    <sheetView topLeftCell="XFD1048576" workbookViewId="0"/>
  </sheetViews>
  <sheetFormatPr defaultColWidth="0" defaultRowHeight="14.25" zeroHeight="1"/>
  <cols>
    <col min="1" max="16384" width="9.33203125" hidden="1"/>
  </cols>
  <sheetData>
    <row r="2" spans="2:11" hidden="1">
      <c r="B2" s="487" t="s">
        <v>163</v>
      </c>
      <c r="C2" s="487" t="s">
        <v>20</v>
      </c>
      <c r="D2" s="487" t="s">
        <v>657</v>
      </c>
      <c r="E2" s="487" t="s">
        <v>717</v>
      </c>
      <c r="F2" s="487" t="s">
        <v>718</v>
      </c>
      <c r="G2" s="487" t="s">
        <v>24</v>
      </c>
      <c r="H2" s="487" t="s">
        <v>719</v>
      </c>
      <c r="I2" s="487" t="s">
        <v>21</v>
      </c>
      <c r="J2" s="487" t="s">
        <v>838</v>
      </c>
      <c r="K2" s="487" t="s">
        <v>164</v>
      </c>
    </row>
    <row r="3" spans="2:11" ht="16.5" hidden="1">
      <c r="B3" s="488" t="s">
        <v>720</v>
      </c>
      <c r="C3" s="488" t="s">
        <v>617</v>
      </c>
      <c r="D3" s="488" t="s">
        <v>721</v>
      </c>
      <c r="E3" s="489"/>
      <c r="F3" s="488" t="s">
        <v>721</v>
      </c>
      <c r="G3" s="488" t="s">
        <v>25</v>
      </c>
      <c r="H3" s="489"/>
      <c r="I3" s="490">
        <v>15</v>
      </c>
      <c r="J3" s="488" t="s">
        <v>721</v>
      </c>
      <c r="K3" s="490">
        <v>50</v>
      </c>
    </row>
    <row r="4" spans="2:11" ht="16.5" hidden="1">
      <c r="B4" s="488" t="s">
        <v>720</v>
      </c>
      <c r="C4" s="488" t="s">
        <v>617</v>
      </c>
      <c r="D4" s="488" t="s">
        <v>721</v>
      </c>
      <c r="E4" s="489"/>
      <c r="F4" s="488" t="s">
        <v>721</v>
      </c>
      <c r="G4" s="488" t="s">
        <v>25</v>
      </c>
      <c r="H4" s="489"/>
      <c r="I4" s="490">
        <v>16</v>
      </c>
      <c r="J4" s="488" t="s">
        <v>721</v>
      </c>
      <c r="K4" s="490">
        <v>51</v>
      </c>
    </row>
    <row r="5" spans="2:11" ht="16.5" hidden="1">
      <c r="B5" s="488" t="s">
        <v>720</v>
      </c>
      <c r="C5" s="488" t="s">
        <v>617</v>
      </c>
      <c r="D5" s="488" t="s">
        <v>721</v>
      </c>
      <c r="E5" s="489"/>
      <c r="F5" s="488" t="s">
        <v>721</v>
      </c>
      <c r="G5" s="488" t="s">
        <v>25</v>
      </c>
      <c r="H5" s="489"/>
      <c r="I5" s="490">
        <v>17</v>
      </c>
      <c r="J5" s="488" t="s">
        <v>721</v>
      </c>
      <c r="K5" s="490">
        <v>52</v>
      </c>
    </row>
    <row r="6" spans="2:11" ht="16.5" hidden="1">
      <c r="B6" s="488" t="s">
        <v>720</v>
      </c>
      <c r="C6" s="488" t="s">
        <v>617</v>
      </c>
      <c r="D6" s="488" t="s">
        <v>721</v>
      </c>
      <c r="E6" s="489"/>
      <c r="F6" s="488" t="s">
        <v>721</v>
      </c>
      <c r="G6" s="488" t="s">
        <v>25</v>
      </c>
      <c r="H6" s="489"/>
      <c r="I6" s="490">
        <v>18</v>
      </c>
      <c r="J6" s="488" t="s">
        <v>721</v>
      </c>
      <c r="K6" s="490">
        <v>53</v>
      </c>
    </row>
    <row r="7" spans="2:11" ht="16.5" hidden="1">
      <c r="B7" s="488" t="s">
        <v>720</v>
      </c>
      <c r="C7" s="488" t="s">
        <v>617</v>
      </c>
      <c r="D7" s="488" t="s">
        <v>721</v>
      </c>
      <c r="E7" s="489"/>
      <c r="F7" s="488" t="s">
        <v>721</v>
      </c>
      <c r="G7" s="488" t="s">
        <v>25</v>
      </c>
      <c r="H7" s="489"/>
      <c r="I7" s="490">
        <v>19</v>
      </c>
      <c r="J7" s="488" t="s">
        <v>721</v>
      </c>
      <c r="K7" s="490">
        <v>54</v>
      </c>
    </row>
    <row r="8" spans="2:11" ht="16.5" hidden="1">
      <c r="B8" s="488" t="s">
        <v>720</v>
      </c>
      <c r="C8" s="488" t="s">
        <v>617</v>
      </c>
      <c r="D8" s="488" t="s">
        <v>721</v>
      </c>
      <c r="E8" s="489"/>
      <c r="F8" s="488" t="s">
        <v>721</v>
      </c>
      <c r="G8" s="488" t="s">
        <v>25</v>
      </c>
      <c r="H8" s="489"/>
      <c r="I8" s="490">
        <v>20</v>
      </c>
      <c r="J8" s="488" t="s">
        <v>721</v>
      </c>
      <c r="K8" s="490">
        <v>55</v>
      </c>
    </row>
    <row r="9" spans="2:11" ht="16.5" hidden="1">
      <c r="B9" s="488" t="s">
        <v>720</v>
      </c>
      <c r="C9" s="488" t="s">
        <v>617</v>
      </c>
      <c r="D9" s="488" t="s">
        <v>721</v>
      </c>
      <c r="E9" s="489"/>
      <c r="F9" s="488" t="s">
        <v>721</v>
      </c>
      <c r="G9" s="488" t="s">
        <v>25</v>
      </c>
      <c r="H9" s="489"/>
      <c r="I9" s="490">
        <v>21</v>
      </c>
      <c r="J9" s="488" t="s">
        <v>721</v>
      </c>
      <c r="K9" s="490">
        <v>56</v>
      </c>
    </row>
    <row r="10" spans="2:11" ht="16.5" hidden="1">
      <c r="B10" s="488" t="s">
        <v>720</v>
      </c>
      <c r="C10" s="488" t="s">
        <v>617</v>
      </c>
      <c r="D10" s="488" t="s">
        <v>721</v>
      </c>
      <c r="E10" s="489"/>
      <c r="F10" s="488" t="s">
        <v>721</v>
      </c>
      <c r="G10" s="488" t="s">
        <v>25</v>
      </c>
      <c r="H10" s="489"/>
      <c r="I10" s="490">
        <v>22</v>
      </c>
      <c r="J10" s="488" t="s">
        <v>721</v>
      </c>
      <c r="K10" s="490">
        <v>57</v>
      </c>
    </row>
    <row r="11" spans="2:11" ht="16.5" hidden="1">
      <c r="B11" s="488" t="s">
        <v>720</v>
      </c>
      <c r="C11" s="488" t="s">
        <v>617</v>
      </c>
      <c r="D11" s="488" t="s">
        <v>721</v>
      </c>
      <c r="E11" s="489"/>
      <c r="F11" s="488" t="s">
        <v>721</v>
      </c>
      <c r="G11" s="488" t="s">
        <v>25</v>
      </c>
      <c r="H11" s="489"/>
      <c r="I11" s="490">
        <v>23</v>
      </c>
      <c r="J11" s="488" t="s">
        <v>721</v>
      </c>
      <c r="K11" s="490">
        <v>58</v>
      </c>
    </row>
    <row r="12" spans="2:11" ht="16.5" hidden="1">
      <c r="B12" s="488" t="s">
        <v>720</v>
      </c>
      <c r="C12" s="488" t="s">
        <v>617</v>
      </c>
      <c r="D12" s="488" t="s">
        <v>721</v>
      </c>
      <c r="E12" s="489"/>
      <c r="F12" s="488" t="s">
        <v>721</v>
      </c>
      <c r="G12" s="488" t="s">
        <v>25</v>
      </c>
      <c r="H12" s="489"/>
      <c r="I12" s="490">
        <v>24</v>
      </c>
      <c r="J12" s="488" t="s">
        <v>721</v>
      </c>
      <c r="K12" s="490">
        <v>59</v>
      </c>
    </row>
    <row r="13" spans="2:11" ht="16.5" hidden="1">
      <c r="B13" s="488" t="s">
        <v>720</v>
      </c>
      <c r="C13" s="488" t="s">
        <v>617</v>
      </c>
      <c r="D13" s="488" t="s">
        <v>721</v>
      </c>
      <c r="E13" s="489"/>
      <c r="F13" s="488" t="s">
        <v>721</v>
      </c>
      <c r="G13" s="488" t="s">
        <v>25</v>
      </c>
      <c r="H13" s="489"/>
      <c r="I13" s="490">
        <v>25</v>
      </c>
      <c r="J13" s="488" t="s">
        <v>721</v>
      </c>
      <c r="K13" s="490">
        <v>60</v>
      </c>
    </row>
    <row r="14" spans="2:11" ht="16.5" hidden="1">
      <c r="B14" s="488" t="s">
        <v>720</v>
      </c>
      <c r="C14" s="488" t="s">
        <v>617</v>
      </c>
      <c r="D14" s="488" t="s">
        <v>721</v>
      </c>
      <c r="E14" s="489"/>
      <c r="F14" s="488" t="s">
        <v>721</v>
      </c>
      <c r="G14" s="488" t="s">
        <v>25</v>
      </c>
      <c r="H14" s="489"/>
      <c r="I14" s="490">
        <v>26</v>
      </c>
      <c r="J14" s="488" t="s">
        <v>721</v>
      </c>
      <c r="K14" s="490">
        <v>61</v>
      </c>
    </row>
    <row r="15" spans="2:11" ht="16.5" hidden="1">
      <c r="B15" s="488" t="s">
        <v>720</v>
      </c>
      <c r="C15" s="488" t="s">
        <v>617</v>
      </c>
      <c r="D15" s="488" t="s">
        <v>721</v>
      </c>
      <c r="E15" s="489"/>
      <c r="F15" s="488" t="s">
        <v>721</v>
      </c>
      <c r="G15" s="488" t="s">
        <v>25</v>
      </c>
      <c r="H15" s="489"/>
      <c r="I15" s="490">
        <v>27</v>
      </c>
      <c r="J15" s="488" t="s">
        <v>721</v>
      </c>
      <c r="K15" s="490">
        <v>62</v>
      </c>
    </row>
    <row r="16" spans="2:11" ht="16.5" hidden="1">
      <c r="B16" s="488" t="s">
        <v>720</v>
      </c>
      <c r="C16" s="488" t="s">
        <v>617</v>
      </c>
      <c r="D16" s="488" t="s">
        <v>721</v>
      </c>
      <c r="E16" s="489"/>
      <c r="F16" s="488" t="s">
        <v>721</v>
      </c>
      <c r="G16" s="488" t="s">
        <v>25</v>
      </c>
      <c r="H16" s="489"/>
      <c r="I16" s="490">
        <v>28</v>
      </c>
      <c r="J16" s="488" t="s">
        <v>721</v>
      </c>
      <c r="K16" s="490">
        <v>63</v>
      </c>
    </row>
    <row r="17" spans="2:11" ht="16.5" hidden="1">
      <c r="B17" s="488" t="s">
        <v>720</v>
      </c>
      <c r="C17" s="488" t="s">
        <v>617</v>
      </c>
      <c r="D17" s="488" t="s">
        <v>721</v>
      </c>
      <c r="E17" s="489"/>
      <c r="F17" s="488" t="s">
        <v>721</v>
      </c>
      <c r="G17" s="488" t="s">
        <v>25</v>
      </c>
      <c r="H17" s="489"/>
      <c r="I17" s="490">
        <v>29</v>
      </c>
      <c r="J17" s="488" t="s">
        <v>721</v>
      </c>
      <c r="K17" s="490">
        <v>65</v>
      </c>
    </row>
    <row r="18" spans="2:11" ht="16.5" hidden="1">
      <c r="B18" s="488" t="s">
        <v>720</v>
      </c>
      <c r="C18" s="488" t="s">
        <v>617</v>
      </c>
      <c r="D18" s="488" t="s">
        <v>721</v>
      </c>
      <c r="E18" s="489"/>
      <c r="F18" s="488" t="s">
        <v>721</v>
      </c>
      <c r="G18" s="488" t="s">
        <v>25</v>
      </c>
      <c r="H18" s="489"/>
      <c r="I18" s="490">
        <v>30</v>
      </c>
      <c r="J18" s="488" t="s">
        <v>721</v>
      </c>
      <c r="K18" s="490">
        <v>67</v>
      </c>
    </row>
    <row r="19" spans="2:11" ht="16.5" hidden="1">
      <c r="B19" s="488" t="s">
        <v>720</v>
      </c>
      <c r="C19" s="488" t="s">
        <v>617</v>
      </c>
      <c r="D19" s="488" t="s">
        <v>721</v>
      </c>
      <c r="E19" s="489"/>
      <c r="F19" s="488" t="s">
        <v>721</v>
      </c>
      <c r="G19" s="488" t="s">
        <v>25</v>
      </c>
      <c r="H19" s="489"/>
      <c r="I19" s="490">
        <v>31</v>
      </c>
      <c r="J19" s="488" t="s">
        <v>721</v>
      </c>
      <c r="K19" s="490">
        <v>69</v>
      </c>
    </row>
    <row r="20" spans="2:11" ht="16.5" hidden="1">
      <c r="B20" s="488" t="s">
        <v>720</v>
      </c>
      <c r="C20" s="488" t="s">
        <v>617</v>
      </c>
      <c r="D20" s="488" t="s">
        <v>721</v>
      </c>
      <c r="E20" s="489"/>
      <c r="F20" s="488" t="s">
        <v>721</v>
      </c>
      <c r="G20" s="488" t="s">
        <v>25</v>
      </c>
      <c r="H20" s="489"/>
      <c r="I20" s="490">
        <v>32</v>
      </c>
      <c r="J20" s="488" t="s">
        <v>721</v>
      </c>
      <c r="K20" s="490">
        <v>71</v>
      </c>
    </row>
    <row r="21" spans="2:11" ht="16.5" hidden="1">
      <c r="B21" s="488" t="s">
        <v>720</v>
      </c>
      <c r="C21" s="488" t="s">
        <v>617</v>
      </c>
      <c r="D21" s="488" t="s">
        <v>721</v>
      </c>
      <c r="E21" s="489"/>
      <c r="F21" s="488" t="s">
        <v>721</v>
      </c>
      <c r="G21" s="488" t="s">
        <v>25</v>
      </c>
      <c r="H21" s="489"/>
      <c r="I21" s="490">
        <v>33</v>
      </c>
      <c r="J21" s="488" t="s">
        <v>721</v>
      </c>
      <c r="K21" s="490">
        <v>73</v>
      </c>
    </row>
    <row r="22" spans="2:11" ht="16.5" hidden="1">
      <c r="B22" s="488" t="s">
        <v>720</v>
      </c>
      <c r="C22" s="488" t="s">
        <v>617</v>
      </c>
      <c r="D22" s="488" t="s">
        <v>721</v>
      </c>
      <c r="E22" s="489"/>
      <c r="F22" s="488" t="s">
        <v>721</v>
      </c>
      <c r="G22" s="488" t="s">
        <v>25</v>
      </c>
      <c r="H22" s="489"/>
      <c r="I22" s="490">
        <v>34</v>
      </c>
      <c r="J22" s="488" t="s">
        <v>721</v>
      </c>
      <c r="K22" s="490">
        <v>75</v>
      </c>
    </row>
    <row r="23" spans="2:11" ht="16.5" hidden="1">
      <c r="B23" s="488" t="s">
        <v>720</v>
      </c>
      <c r="C23" s="488" t="s">
        <v>617</v>
      </c>
      <c r="D23" s="488" t="s">
        <v>721</v>
      </c>
      <c r="E23" s="489"/>
      <c r="F23" s="488" t="s">
        <v>721</v>
      </c>
      <c r="G23" s="488" t="s">
        <v>25</v>
      </c>
      <c r="H23" s="489"/>
      <c r="I23" s="490">
        <v>35</v>
      </c>
      <c r="J23" s="488" t="s">
        <v>721</v>
      </c>
      <c r="K23" s="490">
        <v>77</v>
      </c>
    </row>
    <row r="24" spans="2:11" ht="16.5" hidden="1">
      <c r="B24" s="488" t="s">
        <v>720</v>
      </c>
      <c r="C24" s="488" t="s">
        <v>617</v>
      </c>
      <c r="D24" s="488" t="s">
        <v>721</v>
      </c>
      <c r="E24" s="489"/>
      <c r="F24" s="488" t="s">
        <v>721</v>
      </c>
      <c r="G24" s="488" t="s">
        <v>25</v>
      </c>
      <c r="H24" s="489"/>
      <c r="I24" s="490">
        <v>36</v>
      </c>
      <c r="J24" s="488" t="s">
        <v>721</v>
      </c>
      <c r="K24" s="490">
        <v>80</v>
      </c>
    </row>
    <row r="25" spans="2:11" ht="16.5" hidden="1">
      <c r="B25" s="488" t="s">
        <v>720</v>
      </c>
      <c r="C25" s="488" t="s">
        <v>617</v>
      </c>
      <c r="D25" s="488" t="s">
        <v>721</v>
      </c>
      <c r="E25" s="489"/>
      <c r="F25" s="488" t="s">
        <v>721</v>
      </c>
      <c r="G25" s="488" t="s">
        <v>25</v>
      </c>
      <c r="H25" s="489"/>
      <c r="I25" s="490">
        <v>37</v>
      </c>
      <c r="J25" s="488" t="s">
        <v>721</v>
      </c>
      <c r="K25" s="490">
        <v>83</v>
      </c>
    </row>
    <row r="26" spans="2:11" ht="16.5" hidden="1">
      <c r="B26" s="488" t="s">
        <v>720</v>
      </c>
      <c r="C26" s="488" t="s">
        <v>617</v>
      </c>
      <c r="D26" s="488" t="s">
        <v>721</v>
      </c>
      <c r="E26" s="489"/>
      <c r="F26" s="488" t="s">
        <v>721</v>
      </c>
      <c r="G26" s="488" t="s">
        <v>25</v>
      </c>
      <c r="H26" s="489"/>
      <c r="I26" s="490">
        <v>38</v>
      </c>
      <c r="J26" s="488" t="s">
        <v>721</v>
      </c>
      <c r="K26" s="490">
        <v>86</v>
      </c>
    </row>
    <row r="27" spans="2:11" ht="16.5" hidden="1">
      <c r="B27" s="488" t="s">
        <v>720</v>
      </c>
      <c r="C27" s="488" t="s">
        <v>617</v>
      </c>
      <c r="D27" s="488" t="s">
        <v>721</v>
      </c>
      <c r="E27" s="489"/>
      <c r="F27" s="488" t="s">
        <v>721</v>
      </c>
      <c r="G27" s="488" t="s">
        <v>25</v>
      </c>
      <c r="H27" s="489"/>
      <c r="I27" s="490">
        <v>39</v>
      </c>
      <c r="J27" s="488" t="s">
        <v>721</v>
      </c>
      <c r="K27" s="490">
        <v>90</v>
      </c>
    </row>
    <row r="28" spans="2:11" ht="16.5" hidden="1">
      <c r="B28" s="488" t="s">
        <v>720</v>
      </c>
      <c r="C28" s="488" t="s">
        <v>617</v>
      </c>
      <c r="D28" s="488" t="s">
        <v>721</v>
      </c>
      <c r="E28" s="489"/>
      <c r="F28" s="488" t="s">
        <v>721</v>
      </c>
      <c r="G28" s="488" t="s">
        <v>25</v>
      </c>
      <c r="H28" s="489"/>
      <c r="I28" s="490">
        <v>40</v>
      </c>
      <c r="J28" s="488" t="s">
        <v>721</v>
      </c>
      <c r="K28" s="490">
        <v>95</v>
      </c>
    </row>
    <row r="29" spans="2:11" ht="16.5" hidden="1">
      <c r="B29" s="488" t="s">
        <v>720</v>
      </c>
      <c r="C29" s="488" t="s">
        <v>617</v>
      </c>
      <c r="D29" s="488" t="s">
        <v>721</v>
      </c>
      <c r="E29" s="489"/>
      <c r="F29" s="488" t="s">
        <v>721</v>
      </c>
      <c r="G29" s="488" t="s">
        <v>25</v>
      </c>
      <c r="H29" s="489"/>
      <c r="I29" s="490">
        <v>41</v>
      </c>
      <c r="J29" s="488" t="s">
        <v>721</v>
      </c>
      <c r="K29" s="490">
        <v>100</v>
      </c>
    </row>
    <row r="30" spans="2:11" ht="16.5" hidden="1">
      <c r="B30" s="488" t="s">
        <v>720</v>
      </c>
      <c r="C30" s="488" t="s">
        <v>617</v>
      </c>
      <c r="D30" s="488" t="s">
        <v>721</v>
      </c>
      <c r="E30" s="489"/>
      <c r="F30" s="488" t="s">
        <v>721</v>
      </c>
      <c r="G30" s="488" t="s">
        <v>25</v>
      </c>
      <c r="H30" s="489"/>
      <c r="I30" s="490">
        <v>42</v>
      </c>
      <c r="J30" s="488" t="s">
        <v>721</v>
      </c>
      <c r="K30" s="490">
        <v>105</v>
      </c>
    </row>
    <row r="31" spans="2:11" ht="16.5" hidden="1">
      <c r="B31" s="488" t="s">
        <v>720</v>
      </c>
      <c r="C31" s="488" t="s">
        <v>617</v>
      </c>
      <c r="D31" s="488" t="s">
        <v>721</v>
      </c>
      <c r="E31" s="489"/>
      <c r="F31" s="488" t="s">
        <v>721</v>
      </c>
      <c r="G31" s="488" t="s">
        <v>25</v>
      </c>
      <c r="H31" s="489"/>
      <c r="I31" s="490">
        <v>43</v>
      </c>
      <c r="J31" s="488" t="s">
        <v>721</v>
      </c>
      <c r="K31" s="490">
        <v>110</v>
      </c>
    </row>
    <row r="32" spans="2:11" ht="16.5" hidden="1">
      <c r="B32" s="488" t="s">
        <v>720</v>
      </c>
      <c r="C32" s="488" t="s">
        <v>617</v>
      </c>
      <c r="D32" s="488" t="s">
        <v>721</v>
      </c>
      <c r="E32" s="489"/>
      <c r="F32" s="488" t="s">
        <v>721</v>
      </c>
      <c r="G32" s="488" t="s">
        <v>25</v>
      </c>
      <c r="H32" s="489"/>
      <c r="I32" s="490">
        <v>44</v>
      </c>
      <c r="J32" s="488" t="s">
        <v>721</v>
      </c>
      <c r="K32" s="490">
        <v>116</v>
      </c>
    </row>
    <row r="33" spans="2:11" ht="16.5" hidden="1">
      <c r="B33" s="488" t="s">
        <v>720</v>
      </c>
      <c r="C33" s="488" t="s">
        <v>617</v>
      </c>
      <c r="D33" s="488" t="s">
        <v>721</v>
      </c>
      <c r="E33" s="489"/>
      <c r="F33" s="488" t="s">
        <v>721</v>
      </c>
      <c r="G33" s="488" t="s">
        <v>25</v>
      </c>
      <c r="H33" s="489"/>
      <c r="I33" s="490">
        <v>45</v>
      </c>
      <c r="J33" s="488" t="s">
        <v>721</v>
      </c>
      <c r="K33" s="490">
        <v>122</v>
      </c>
    </row>
    <row r="34" spans="2:11" ht="16.5" hidden="1">
      <c r="B34" s="488" t="s">
        <v>720</v>
      </c>
      <c r="C34" s="488" t="s">
        <v>617</v>
      </c>
      <c r="D34" s="488" t="s">
        <v>721</v>
      </c>
      <c r="E34" s="489"/>
      <c r="F34" s="488" t="s">
        <v>721</v>
      </c>
      <c r="G34" s="488" t="s">
        <v>25</v>
      </c>
      <c r="H34" s="489"/>
      <c r="I34" s="490">
        <v>46</v>
      </c>
      <c r="J34" s="488" t="s">
        <v>721</v>
      </c>
      <c r="K34" s="490">
        <v>129</v>
      </c>
    </row>
    <row r="35" spans="2:11" ht="16.5" hidden="1">
      <c r="B35" s="488" t="s">
        <v>720</v>
      </c>
      <c r="C35" s="488" t="s">
        <v>617</v>
      </c>
      <c r="D35" s="488" t="s">
        <v>721</v>
      </c>
      <c r="E35" s="489"/>
      <c r="F35" s="488" t="s">
        <v>721</v>
      </c>
      <c r="G35" s="488" t="s">
        <v>25</v>
      </c>
      <c r="H35" s="489"/>
      <c r="I35" s="490">
        <v>47</v>
      </c>
      <c r="J35" s="488" t="s">
        <v>721</v>
      </c>
      <c r="K35" s="490">
        <v>136</v>
      </c>
    </row>
    <row r="36" spans="2:11" ht="16.5" hidden="1">
      <c r="B36" s="488" t="s">
        <v>720</v>
      </c>
      <c r="C36" s="488" t="s">
        <v>617</v>
      </c>
      <c r="D36" s="488" t="s">
        <v>721</v>
      </c>
      <c r="E36" s="489"/>
      <c r="F36" s="488" t="s">
        <v>721</v>
      </c>
      <c r="G36" s="488" t="s">
        <v>25</v>
      </c>
      <c r="H36" s="489"/>
      <c r="I36" s="490">
        <v>48</v>
      </c>
      <c r="J36" s="488" t="s">
        <v>721</v>
      </c>
      <c r="K36" s="490">
        <v>144</v>
      </c>
    </row>
    <row r="37" spans="2:11" ht="16.5" hidden="1">
      <c r="B37" s="488" t="s">
        <v>720</v>
      </c>
      <c r="C37" s="488" t="s">
        <v>617</v>
      </c>
      <c r="D37" s="488" t="s">
        <v>721</v>
      </c>
      <c r="E37" s="489"/>
      <c r="F37" s="488" t="s">
        <v>721</v>
      </c>
      <c r="G37" s="488" t="s">
        <v>25</v>
      </c>
      <c r="H37" s="489"/>
      <c r="I37" s="490">
        <v>49</v>
      </c>
      <c r="J37" s="488" t="s">
        <v>721</v>
      </c>
      <c r="K37" s="490">
        <v>153</v>
      </c>
    </row>
    <row r="38" spans="2:11" ht="16.5" hidden="1">
      <c r="B38" s="488" t="s">
        <v>720</v>
      </c>
      <c r="C38" s="488" t="s">
        <v>617</v>
      </c>
      <c r="D38" s="488" t="s">
        <v>721</v>
      </c>
      <c r="E38" s="489"/>
      <c r="F38" s="488" t="s">
        <v>721</v>
      </c>
      <c r="G38" s="488" t="s">
        <v>25</v>
      </c>
      <c r="H38" s="489"/>
      <c r="I38" s="490">
        <v>50</v>
      </c>
      <c r="J38" s="488" t="s">
        <v>721</v>
      </c>
      <c r="K38" s="490">
        <v>162</v>
      </c>
    </row>
    <row r="39" spans="2:11" ht="16.5" hidden="1">
      <c r="B39" s="488" t="s">
        <v>720</v>
      </c>
      <c r="C39" s="488" t="s">
        <v>617</v>
      </c>
      <c r="D39" s="488" t="s">
        <v>721</v>
      </c>
      <c r="E39" s="489"/>
      <c r="F39" s="488" t="s">
        <v>721</v>
      </c>
      <c r="G39" s="488" t="s">
        <v>25</v>
      </c>
      <c r="H39" s="489"/>
      <c r="I39" s="490">
        <v>51</v>
      </c>
      <c r="J39" s="488" t="s">
        <v>721</v>
      </c>
      <c r="K39" s="490">
        <v>172</v>
      </c>
    </row>
    <row r="40" spans="2:11" ht="16.5" hidden="1">
      <c r="B40" s="488" t="s">
        <v>720</v>
      </c>
      <c r="C40" s="488" t="s">
        <v>617</v>
      </c>
      <c r="D40" s="488" t="s">
        <v>721</v>
      </c>
      <c r="E40" s="489"/>
      <c r="F40" s="488" t="s">
        <v>721</v>
      </c>
      <c r="G40" s="488" t="s">
        <v>25</v>
      </c>
      <c r="H40" s="489"/>
      <c r="I40" s="490">
        <v>52</v>
      </c>
      <c r="J40" s="488" t="s">
        <v>721</v>
      </c>
      <c r="K40" s="490">
        <v>184</v>
      </c>
    </row>
    <row r="41" spans="2:11" ht="16.5" hidden="1">
      <c r="B41" s="488" t="s">
        <v>720</v>
      </c>
      <c r="C41" s="488" t="s">
        <v>617</v>
      </c>
      <c r="D41" s="488" t="s">
        <v>721</v>
      </c>
      <c r="E41" s="489"/>
      <c r="F41" s="488" t="s">
        <v>721</v>
      </c>
      <c r="G41" s="488" t="s">
        <v>25</v>
      </c>
      <c r="H41" s="489"/>
      <c r="I41" s="490">
        <v>53</v>
      </c>
      <c r="J41" s="488" t="s">
        <v>721</v>
      </c>
      <c r="K41" s="490">
        <v>196</v>
      </c>
    </row>
    <row r="42" spans="2:11" ht="16.5" hidden="1">
      <c r="B42" s="488" t="s">
        <v>720</v>
      </c>
      <c r="C42" s="488" t="s">
        <v>617</v>
      </c>
      <c r="D42" s="488" t="s">
        <v>721</v>
      </c>
      <c r="E42" s="489"/>
      <c r="F42" s="488" t="s">
        <v>721</v>
      </c>
      <c r="G42" s="488" t="s">
        <v>25</v>
      </c>
      <c r="H42" s="489"/>
      <c r="I42" s="490">
        <v>54</v>
      </c>
      <c r="J42" s="488" t="s">
        <v>721</v>
      </c>
      <c r="K42" s="490">
        <v>208</v>
      </c>
    </row>
    <row r="43" spans="2:11" ht="16.5" hidden="1">
      <c r="B43" s="488" t="s">
        <v>720</v>
      </c>
      <c r="C43" s="488" t="s">
        <v>617</v>
      </c>
      <c r="D43" s="488" t="s">
        <v>721</v>
      </c>
      <c r="E43" s="489"/>
      <c r="F43" s="488" t="s">
        <v>721</v>
      </c>
      <c r="G43" s="488" t="s">
        <v>25</v>
      </c>
      <c r="H43" s="489"/>
      <c r="I43" s="490">
        <v>55</v>
      </c>
      <c r="J43" s="488" t="s">
        <v>721</v>
      </c>
      <c r="K43" s="490">
        <v>221</v>
      </c>
    </row>
    <row r="44" spans="2:11" ht="16.5" hidden="1">
      <c r="B44" s="488" t="s">
        <v>720</v>
      </c>
      <c r="C44" s="488" t="s">
        <v>617</v>
      </c>
      <c r="D44" s="488" t="s">
        <v>721</v>
      </c>
      <c r="E44" s="489"/>
      <c r="F44" s="488" t="s">
        <v>721</v>
      </c>
      <c r="G44" s="488" t="s">
        <v>25</v>
      </c>
      <c r="H44" s="489"/>
      <c r="I44" s="490">
        <v>56</v>
      </c>
      <c r="J44" s="488" t="s">
        <v>721</v>
      </c>
      <c r="K44" s="490">
        <v>240</v>
      </c>
    </row>
    <row r="45" spans="2:11" ht="16.5" hidden="1">
      <c r="B45" s="488" t="s">
        <v>720</v>
      </c>
      <c r="C45" s="488" t="s">
        <v>617</v>
      </c>
      <c r="D45" s="488" t="s">
        <v>721</v>
      </c>
      <c r="E45" s="489"/>
      <c r="F45" s="488" t="s">
        <v>721</v>
      </c>
      <c r="G45" s="488" t="s">
        <v>25</v>
      </c>
      <c r="H45" s="489"/>
      <c r="I45" s="490">
        <v>57</v>
      </c>
      <c r="J45" s="488" t="s">
        <v>721</v>
      </c>
      <c r="K45" s="490">
        <v>260</v>
      </c>
    </row>
    <row r="46" spans="2:11" ht="16.5" hidden="1">
      <c r="B46" s="488" t="s">
        <v>720</v>
      </c>
      <c r="C46" s="488" t="s">
        <v>617</v>
      </c>
      <c r="D46" s="488" t="s">
        <v>721</v>
      </c>
      <c r="E46" s="489"/>
      <c r="F46" s="488" t="s">
        <v>721</v>
      </c>
      <c r="G46" s="488" t="s">
        <v>25</v>
      </c>
      <c r="H46" s="489"/>
      <c r="I46" s="490">
        <v>58</v>
      </c>
      <c r="J46" s="488" t="s">
        <v>721</v>
      </c>
      <c r="K46" s="490">
        <v>280</v>
      </c>
    </row>
    <row r="47" spans="2:11" ht="16.5" hidden="1">
      <c r="B47" s="488" t="s">
        <v>720</v>
      </c>
      <c r="C47" s="488" t="s">
        <v>617</v>
      </c>
      <c r="D47" s="488" t="s">
        <v>721</v>
      </c>
      <c r="E47" s="489"/>
      <c r="F47" s="488" t="s">
        <v>721</v>
      </c>
      <c r="G47" s="488" t="s">
        <v>25</v>
      </c>
      <c r="H47" s="489"/>
      <c r="I47" s="490">
        <v>59</v>
      </c>
      <c r="J47" s="488" t="s">
        <v>721</v>
      </c>
      <c r="K47" s="490">
        <v>300</v>
      </c>
    </row>
    <row r="48" spans="2:11" ht="16.5" hidden="1">
      <c r="B48" s="488" t="s">
        <v>720</v>
      </c>
      <c r="C48" s="488" t="s">
        <v>617</v>
      </c>
      <c r="D48" s="488" t="s">
        <v>721</v>
      </c>
      <c r="E48" s="489"/>
      <c r="F48" s="488" t="s">
        <v>721</v>
      </c>
      <c r="G48" s="488" t="s">
        <v>25</v>
      </c>
      <c r="H48" s="489"/>
      <c r="I48" s="490">
        <v>60</v>
      </c>
      <c r="J48" s="488" t="s">
        <v>721</v>
      </c>
      <c r="K48" s="490">
        <v>322</v>
      </c>
    </row>
    <row r="49" spans="2:11" ht="16.5" hidden="1">
      <c r="B49" s="488" t="s">
        <v>720</v>
      </c>
      <c r="C49" s="488" t="s">
        <v>617</v>
      </c>
      <c r="D49" s="488" t="s">
        <v>721</v>
      </c>
      <c r="E49" s="489"/>
      <c r="F49" s="488" t="s">
        <v>721</v>
      </c>
      <c r="G49" s="488" t="s">
        <v>25</v>
      </c>
      <c r="H49" s="489"/>
      <c r="I49" s="490">
        <v>61</v>
      </c>
      <c r="J49" s="488" t="s">
        <v>721</v>
      </c>
      <c r="K49" s="490">
        <v>348</v>
      </c>
    </row>
    <row r="50" spans="2:11" ht="16.5" hidden="1">
      <c r="B50" s="488" t="s">
        <v>720</v>
      </c>
      <c r="C50" s="488" t="s">
        <v>617</v>
      </c>
      <c r="D50" s="488" t="s">
        <v>721</v>
      </c>
      <c r="E50" s="489"/>
      <c r="F50" s="488" t="s">
        <v>721</v>
      </c>
      <c r="G50" s="488" t="s">
        <v>25</v>
      </c>
      <c r="H50" s="489"/>
      <c r="I50" s="490">
        <v>62</v>
      </c>
      <c r="J50" s="488" t="s">
        <v>721</v>
      </c>
      <c r="K50" s="490">
        <v>376</v>
      </c>
    </row>
    <row r="51" spans="2:11" ht="16.5" hidden="1">
      <c r="B51" s="488" t="s">
        <v>720</v>
      </c>
      <c r="C51" s="488" t="s">
        <v>617</v>
      </c>
      <c r="D51" s="488" t="s">
        <v>721</v>
      </c>
      <c r="E51" s="489"/>
      <c r="F51" s="488" t="s">
        <v>721</v>
      </c>
      <c r="G51" s="488" t="s">
        <v>25</v>
      </c>
      <c r="H51" s="489"/>
      <c r="I51" s="490">
        <v>63</v>
      </c>
      <c r="J51" s="488" t="s">
        <v>721</v>
      </c>
      <c r="K51" s="490">
        <v>406</v>
      </c>
    </row>
    <row r="52" spans="2:11" ht="16.5" hidden="1">
      <c r="B52" s="488" t="s">
        <v>720</v>
      </c>
      <c r="C52" s="488" t="s">
        <v>617</v>
      </c>
      <c r="D52" s="488" t="s">
        <v>721</v>
      </c>
      <c r="E52" s="489"/>
      <c r="F52" s="488" t="s">
        <v>721</v>
      </c>
      <c r="G52" s="488" t="s">
        <v>25</v>
      </c>
      <c r="H52" s="489"/>
      <c r="I52" s="490">
        <v>64</v>
      </c>
      <c r="J52" s="488" t="s">
        <v>721</v>
      </c>
      <c r="K52" s="490">
        <v>435</v>
      </c>
    </row>
    <row r="53" spans="2:11" ht="16.5" hidden="1">
      <c r="B53" s="488" t="s">
        <v>720</v>
      </c>
      <c r="C53" s="488" t="s">
        <v>617</v>
      </c>
      <c r="D53" s="488" t="s">
        <v>721</v>
      </c>
      <c r="E53" s="489"/>
      <c r="F53" s="488" t="s">
        <v>721</v>
      </c>
      <c r="G53" s="488" t="s">
        <v>25</v>
      </c>
      <c r="H53" s="489"/>
      <c r="I53" s="490">
        <v>65</v>
      </c>
      <c r="J53" s="488" t="s">
        <v>721</v>
      </c>
      <c r="K53" s="490">
        <v>468</v>
      </c>
    </row>
    <row r="54" spans="2:11" ht="16.5" hidden="1">
      <c r="B54" s="488" t="s">
        <v>720</v>
      </c>
      <c r="C54" s="488" t="s">
        <v>617</v>
      </c>
      <c r="D54" s="488" t="s">
        <v>721</v>
      </c>
      <c r="E54" s="489"/>
      <c r="F54" s="488" t="s">
        <v>721</v>
      </c>
      <c r="G54" s="488" t="s">
        <v>25</v>
      </c>
      <c r="H54" s="489"/>
      <c r="I54" s="490">
        <v>66</v>
      </c>
      <c r="J54" s="488" t="s">
        <v>721</v>
      </c>
      <c r="K54" s="490">
        <v>502</v>
      </c>
    </row>
    <row r="55" spans="2:11" ht="16.5" hidden="1">
      <c r="B55" s="488" t="s">
        <v>720</v>
      </c>
      <c r="C55" s="488" t="s">
        <v>617</v>
      </c>
      <c r="D55" s="488" t="s">
        <v>721</v>
      </c>
      <c r="E55" s="489"/>
      <c r="F55" s="488" t="s">
        <v>721</v>
      </c>
      <c r="G55" s="488" t="s">
        <v>25</v>
      </c>
      <c r="H55" s="489"/>
      <c r="I55" s="490">
        <v>67</v>
      </c>
      <c r="J55" s="488" t="s">
        <v>721</v>
      </c>
      <c r="K55" s="490">
        <v>535</v>
      </c>
    </row>
    <row r="56" spans="2:11" ht="16.5" hidden="1">
      <c r="B56" s="488" t="s">
        <v>720</v>
      </c>
      <c r="C56" s="488" t="s">
        <v>617</v>
      </c>
      <c r="D56" s="488" t="s">
        <v>721</v>
      </c>
      <c r="E56" s="489"/>
      <c r="F56" s="488" t="s">
        <v>721</v>
      </c>
      <c r="G56" s="488" t="s">
        <v>25</v>
      </c>
      <c r="H56" s="489"/>
      <c r="I56" s="490">
        <v>68</v>
      </c>
      <c r="J56" s="488" t="s">
        <v>721</v>
      </c>
      <c r="K56" s="490">
        <v>569</v>
      </c>
    </row>
    <row r="57" spans="2:11" ht="16.5" hidden="1">
      <c r="B57" s="488" t="s">
        <v>720</v>
      </c>
      <c r="C57" s="488" t="s">
        <v>617</v>
      </c>
      <c r="D57" s="488" t="s">
        <v>721</v>
      </c>
      <c r="E57" s="489"/>
      <c r="F57" s="488" t="s">
        <v>721</v>
      </c>
      <c r="G57" s="488" t="s">
        <v>25</v>
      </c>
      <c r="H57" s="489"/>
      <c r="I57" s="490">
        <v>69</v>
      </c>
      <c r="J57" s="488" t="s">
        <v>721</v>
      </c>
      <c r="K57" s="490">
        <v>607</v>
      </c>
    </row>
    <row r="58" spans="2:11" ht="16.5" hidden="1">
      <c r="B58" s="488" t="s">
        <v>720</v>
      </c>
      <c r="C58" s="488" t="s">
        <v>617</v>
      </c>
      <c r="D58" s="488" t="s">
        <v>721</v>
      </c>
      <c r="E58" s="489"/>
      <c r="F58" s="488" t="s">
        <v>721</v>
      </c>
      <c r="G58" s="488" t="s">
        <v>25</v>
      </c>
      <c r="H58" s="489"/>
      <c r="I58" s="490">
        <v>70</v>
      </c>
      <c r="J58" s="488" t="s">
        <v>721</v>
      </c>
      <c r="K58" s="490">
        <v>647</v>
      </c>
    </row>
    <row r="59" spans="2:11" ht="16.5" hidden="1">
      <c r="B59" s="488" t="s">
        <v>720</v>
      </c>
      <c r="C59" s="488" t="s">
        <v>617</v>
      </c>
      <c r="D59" s="488" t="s">
        <v>721</v>
      </c>
      <c r="E59" s="489"/>
      <c r="F59" s="488" t="s">
        <v>721</v>
      </c>
      <c r="G59" s="488" t="s">
        <v>25</v>
      </c>
      <c r="H59" s="489"/>
      <c r="I59" s="490">
        <v>71</v>
      </c>
      <c r="J59" s="488" t="s">
        <v>721</v>
      </c>
      <c r="K59" s="490">
        <v>687</v>
      </c>
    </row>
    <row r="60" spans="2:11" ht="16.5" hidden="1">
      <c r="B60" s="488" t="s">
        <v>720</v>
      </c>
      <c r="C60" s="488" t="s">
        <v>617</v>
      </c>
      <c r="D60" s="488" t="s">
        <v>721</v>
      </c>
      <c r="E60" s="489"/>
      <c r="F60" s="488" t="s">
        <v>721</v>
      </c>
      <c r="G60" s="488" t="s">
        <v>26</v>
      </c>
      <c r="H60" s="489"/>
      <c r="I60" s="490">
        <v>15</v>
      </c>
      <c r="J60" s="488" t="s">
        <v>721</v>
      </c>
      <c r="K60" s="490">
        <v>41</v>
      </c>
    </row>
    <row r="61" spans="2:11" ht="16.5" hidden="1">
      <c r="B61" s="488" t="s">
        <v>720</v>
      </c>
      <c r="C61" s="488" t="s">
        <v>617</v>
      </c>
      <c r="D61" s="488" t="s">
        <v>721</v>
      </c>
      <c r="E61" s="489"/>
      <c r="F61" s="488" t="s">
        <v>721</v>
      </c>
      <c r="G61" s="488" t="s">
        <v>26</v>
      </c>
      <c r="H61" s="489"/>
      <c r="I61" s="490">
        <v>16</v>
      </c>
      <c r="J61" s="488" t="s">
        <v>721</v>
      </c>
      <c r="K61" s="490">
        <v>41</v>
      </c>
    </row>
    <row r="62" spans="2:11" ht="16.5" hidden="1">
      <c r="B62" s="488" t="s">
        <v>720</v>
      </c>
      <c r="C62" s="488" t="s">
        <v>617</v>
      </c>
      <c r="D62" s="488" t="s">
        <v>721</v>
      </c>
      <c r="E62" s="489"/>
      <c r="F62" s="488" t="s">
        <v>721</v>
      </c>
      <c r="G62" s="488" t="s">
        <v>26</v>
      </c>
      <c r="H62" s="489"/>
      <c r="I62" s="490">
        <v>17</v>
      </c>
      <c r="J62" s="488" t="s">
        <v>721</v>
      </c>
      <c r="K62" s="490">
        <v>42</v>
      </c>
    </row>
    <row r="63" spans="2:11" ht="16.5" hidden="1">
      <c r="B63" s="488" t="s">
        <v>720</v>
      </c>
      <c r="C63" s="488" t="s">
        <v>617</v>
      </c>
      <c r="D63" s="488" t="s">
        <v>721</v>
      </c>
      <c r="E63" s="489"/>
      <c r="F63" s="488" t="s">
        <v>721</v>
      </c>
      <c r="G63" s="488" t="s">
        <v>26</v>
      </c>
      <c r="H63" s="489"/>
      <c r="I63" s="490">
        <v>18</v>
      </c>
      <c r="J63" s="488" t="s">
        <v>721</v>
      </c>
      <c r="K63" s="490">
        <v>42</v>
      </c>
    </row>
    <row r="64" spans="2:11" ht="16.5" hidden="1">
      <c r="B64" s="488" t="s">
        <v>720</v>
      </c>
      <c r="C64" s="488" t="s">
        <v>617</v>
      </c>
      <c r="D64" s="488" t="s">
        <v>721</v>
      </c>
      <c r="E64" s="489"/>
      <c r="F64" s="488" t="s">
        <v>721</v>
      </c>
      <c r="G64" s="488" t="s">
        <v>26</v>
      </c>
      <c r="H64" s="489"/>
      <c r="I64" s="490">
        <v>19</v>
      </c>
      <c r="J64" s="488" t="s">
        <v>721</v>
      </c>
      <c r="K64" s="490">
        <v>43</v>
      </c>
    </row>
    <row r="65" spans="2:11" ht="16.5" hidden="1">
      <c r="B65" s="488" t="s">
        <v>720</v>
      </c>
      <c r="C65" s="488" t="s">
        <v>617</v>
      </c>
      <c r="D65" s="488" t="s">
        <v>721</v>
      </c>
      <c r="E65" s="489"/>
      <c r="F65" s="488" t="s">
        <v>721</v>
      </c>
      <c r="G65" s="488" t="s">
        <v>26</v>
      </c>
      <c r="H65" s="489"/>
      <c r="I65" s="490">
        <v>20</v>
      </c>
      <c r="J65" s="488" t="s">
        <v>721</v>
      </c>
      <c r="K65" s="490">
        <v>44</v>
      </c>
    </row>
    <row r="66" spans="2:11" ht="16.5" hidden="1">
      <c r="B66" s="488" t="s">
        <v>720</v>
      </c>
      <c r="C66" s="488" t="s">
        <v>617</v>
      </c>
      <c r="D66" s="488" t="s">
        <v>721</v>
      </c>
      <c r="E66" s="489"/>
      <c r="F66" s="488" t="s">
        <v>721</v>
      </c>
      <c r="G66" s="488" t="s">
        <v>26</v>
      </c>
      <c r="H66" s="489"/>
      <c r="I66" s="490">
        <v>21</v>
      </c>
      <c r="J66" s="488" t="s">
        <v>721</v>
      </c>
      <c r="K66" s="490">
        <v>45</v>
      </c>
    </row>
    <row r="67" spans="2:11" ht="16.5" hidden="1">
      <c r="B67" s="488" t="s">
        <v>720</v>
      </c>
      <c r="C67" s="488" t="s">
        <v>617</v>
      </c>
      <c r="D67" s="488" t="s">
        <v>721</v>
      </c>
      <c r="E67" s="489"/>
      <c r="F67" s="488" t="s">
        <v>721</v>
      </c>
      <c r="G67" s="488" t="s">
        <v>26</v>
      </c>
      <c r="H67" s="489"/>
      <c r="I67" s="490">
        <v>22</v>
      </c>
      <c r="J67" s="488" t="s">
        <v>721</v>
      </c>
      <c r="K67" s="490">
        <v>46</v>
      </c>
    </row>
    <row r="68" spans="2:11" ht="16.5" hidden="1">
      <c r="B68" s="488" t="s">
        <v>720</v>
      </c>
      <c r="C68" s="488" t="s">
        <v>617</v>
      </c>
      <c r="D68" s="488" t="s">
        <v>721</v>
      </c>
      <c r="E68" s="489"/>
      <c r="F68" s="488" t="s">
        <v>721</v>
      </c>
      <c r="G68" s="488" t="s">
        <v>26</v>
      </c>
      <c r="H68" s="489"/>
      <c r="I68" s="490">
        <v>23</v>
      </c>
      <c r="J68" s="488" t="s">
        <v>721</v>
      </c>
      <c r="K68" s="490">
        <v>47</v>
      </c>
    </row>
    <row r="69" spans="2:11" ht="16.5" hidden="1">
      <c r="B69" s="488" t="s">
        <v>720</v>
      </c>
      <c r="C69" s="488" t="s">
        <v>617</v>
      </c>
      <c r="D69" s="488" t="s">
        <v>721</v>
      </c>
      <c r="E69" s="489"/>
      <c r="F69" s="488" t="s">
        <v>721</v>
      </c>
      <c r="G69" s="488" t="s">
        <v>26</v>
      </c>
      <c r="H69" s="489"/>
      <c r="I69" s="490">
        <v>24</v>
      </c>
      <c r="J69" s="488" t="s">
        <v>721</v>
      </c>
      <c r="K69" s="490">
        <v>48</v>
      </c>
    </row>
    <row r="70" spans="2:11" ht="16.5" hidden="1">
      <c r="B70" s="488" t="s">
        <v>720</v>
      </c>
      <c r="C70" s="488" t="s">
        <v>617</v>
      </c>
      <c r="D70" s="488" t="s">
        <v>721</v>
      </c>
      <c r="E70" s="489"/>
      <c r="F70" s="488" t="s">
        <v>721</v>
      </c>
      <c r="G70" s="488" t="s">
        <v>26</v>
      </c>
      <c r="H70" s="489"/>
      <c r="I70" s="490">
        <v>25</v>
      </c>
      <c r="J70" s="488" t="s">
        <v>721</v>
      </c>
      <c r="K70" s="490">
        <v>49</v>
      </c>
    </row>
    <row r="71" spans="2:11" ht="16.5" hidden="1">
      <c r="B71" s="488" t="s">
        <v>720</v>
      </c>
      <c r="C71" s="488" t="s">
        <v>617</v>
      </c>
      <c r="D71" s="488" t="s">
        <v>721</v>
      </c>
      <c r="E71" s="489"/>
      <c r="F71" s="488" t="s">
        <v>721</v>
      </c>
      <c r="G71" s="488" t="s">
        <v>26</v>
      </c>
      <c r="H71" s="489"/>
      <c r="I71" s="490">
        <v>26</v>
      </c>
      <c r="J71" s="488" t="s">
        <v>721</v>
      </c>
      <c r="K71" s="490">
        <v>50</v>
      </c>
    </row>
    <row r="72" spans="2:11" ht="16.5" hidden="1">
      <c r="B72" s="488" t="s">
        <v>720</v>
      </c>
      <c r="C72" s="488" t="s">
        <v>617</v>
      </c>
      <c r="D72" s="488" t="s">
        <v>721</v>
      </c>
      <c r="E72" s="489"/>
      <c r="F72" s="488" t="s">
        <v>721</v>
      </c>
      <c r="G72" s="488" t="s">
        <v>26</v>
      </c>
      <c r="H72" s="489"/>
      <c r="I72" s="490">
        <v>27</v>
      </c>
      <c r="J72" s="488" t="s">
        <v>721</v>
      </c>
      <c r="K72" s="490">
        <v>51</v>
      </c>
    </row>
    <row r="73" spans="2:11" ht="16.5" hidden="1">
      <c r="B73" s="488" t="s">
        <v>720</v>
      </c>
      <c r="C73" s="488" t="s">
        <v>617</v>
      </c>
      <c r="D73" s="488" t="s">
        <v>721</v>
      </c>
      <c r="E73" s="489"/>
      <c r="F73" s="488" t="s">
        <v>721</v>
      </c>
      <c r="G73" s="488" t="s">
        <v>26</v>
      </c>
      <c r="H73" s="489"/>
      <c r="I73" s="490">
        <v>28</v>
      </c>
      <c r="J73" s="488" t="s">
        <v>721</v>
      </c>
      <c r="K73" s="490">
        <v>52</v>
      </c>
    </row>
    <row r="74" spans="2:11" ht="16.5" hidden="1">
      <c r="B74" s="488" t="s">
        <v>720</v>
      </c>
      <c r="C74" s="488" t="s">
        <v>617</v>
      </c>
      <c r="D74" s="488" t="s">
        <v>721</v>
      </c>
      <c r="E74" s="489"/>
      <c r="F74" s="488" t="s">
        <v>721</v>
      </c>
      <c r="G74" s="488" t="s">
        <v>26</v>
      </c>
      <c r="H74" s="489"/>
      <c r="I74" s="490">
        <v>29</v>
      </c>
      <c r="J74" s="488" t="s">
        <v>721</v>
      </c>
      <c r="K74" s="490">
        <v>53</v>
      </c>
    </row>
    <row r="75" spans="2:11" ht="16.5" hidden="1">
      <c r="B75" s="488" t="s">
        <v>720</v>
      </c>
      <c r="C75" s="488" t="s">
        <v>617</v>
      </c>
      <c r="D75" s="488" t="s">
        <v>721</v>
      </c>
      <c r="E75" s="489"/>
      <c r="F75" s="488" t="s">
        <v>721</v>
      </c>
      <c r="G75" s="488" t="s">
        <v>26</v>
      </c>
      <c r="H75" s="489"/>
      <c r="I75" s="490">
        <v>30</v>
      </c>
      <c r="J75" s="488" t="s">
        <v>721</v>
      </c>
      <c r="K75" s="490">
        <v>54</v>
      </c>
    </row>
    <row r="76" spans="2:11" ht="16.5" hidden="1">
      <c r="B76" s="488" t="s">
        <v>720</v>
      </c>
      <c r="C76" s="488" t="s">
        <v>617</v>
      </c>
      <c r="D76" s="488" t="s">
        <v>721</v>
      </c>
      <c r="E76" s="489"/>
      <c r="F76" s="488" t="s">
        <v>721</v>
      </c>
      <c r="G76" s="488" t="s">
        <v>26</v>
      </c>
      <c r="H76" s="489"/>
      <c r="I76" s="490">
        <v>31</v>
      </c>
      <c r="J76" s="488" t="s">
        <v>721</v>
      </c>
      <c r="K76" s="490">
        <v>55</v>
      </c>
    </row>
    <row r="77" spans="2:11" ht="16.5" hidden="1">
      <c r="B77" s="488" t="s">
        <v>720</v>
      </c>
      <c r="C77" s="488" t="s">
        <v>617</v>
      </c>
      <c r="D77" s="488" t="s">
        <v>721</v>
      </c>
      <c r="E77" s="489"/>
      <c r="F77" s="488" t="s">
        <v>721</v>
      </c>
      <c r="G77" s="488" t="s">
        <v>26</v>
      </c>
      <c r="H77" s="489"/>
      <c r="I77" s="490">
        <v>32</v>
      </c>
      <c r="J77" s="488" t="s">
        <v>721</v>
      </c>
      <c r="K77" s="490">
        <v>56</v>
      </c>
    </row>
    <row r="78" spans="2:11" ht="16.5" hidden="1">
      <c r="B78" s="488" t="s">
        <v>720</v>
      </c>
      <c r="C78" s="488" t="s">
        <v>617</v>
      </c>
      <c r="D78" s="488" t="s">
        <v>721</v>
      </c>
      <c r="E78" s="489"/>
      <c r="F78" s="488" t="s">
        <v>721</v>
      </c>
      <c r="G78" s="488" t="s">
        <v>26</v>
      </c>
      <c r="H78" s="489"/>
      <c r="I78" s="490">
        <v>33</v>
      </c>
      <c r="J78" s="488" t="s">
        <v>721</v>
      </c>
      <c r="K78" s="490">
        <v>57</v>
      </c>
    </row>
    <row r="79" spans="2:11" ht="16.5" hidden="1">
      <c r="B79" s="488" t="s">
        <v>720</v>
      </c>
      <c r="C79" s="488" t="s">
        <v>617</v>
      </c>
      <c r="D79" s="488" t="s">
        <v>721</v>
      </c>
      <c r="E79" s="489"/>
      <c r="F79" s="488" t="s">
        <v>721</v>
      </c>
      <c r="G79" s="488" t="s">
        <v>26</v>
      </c>
      <c r="H79" s="489"/>
      <c r="I79" s="490">
        <v>34</v>
      </c>
      <c r="J79" s="488" t="s">
        <v>721</v>
      </c>
      <c r="K79" s="490">
        <v>58</v>
      </c>
    </row>
    <row r="80" spans="2:11" ht="16.5" hidden="1">
      <c r="B80" s="488" t="s">
        <v>720</v>
      </c>
      <c r="C80" s="488" t="s">
        <v>617</v>
      </c>
      <c r="D80" s="488" t="s">
        <v>721</v>
      </c>
      <c r="E80" s="489"/>
      <c r="F80" s="488" t="s">
        <v>721</v>
      </c>
      <c r="G80" s="488" t="s">
        <v>26</v>
      </c>
      <c r="H80" s="489"/>
      <c r="I80" s="490">
        <v>35</v>
      </c>
      <c r="J80" s="488" t="s">
        <v>721</v>
      </c>
      <c r="K80" s="490">
        <v>59</v>
      </c>
    </row>
    <row r="81" spans="2:11" ht="16.5" hidden="1">
      <c r="B81" s="488" t="s">
        <v>720</v>
      </c>
      <c r="C81" s="488" t="s">
        <v>617</v>
      </c>
      <c r="D81" s="488" t="s">
        <v>721</v>
      </c>
      <c r="E81" s="489"/>
      <c r="F81" s="488" t="s">
        <v>721</v>
      </c>
      <c r="G81" s="488" t="s">
        <v>26</v>
      </c>
      <c r="H81" s="489"/>
      <c r="I81" s="490">
        <v>36</v>
      </c>
      <c r="J81" s="488" t="s">
        <v>721</v>
      </c>
      <c r="K81" s="490">
        <v>60</v>
      </c>
    </row>
    <row r="82" spans="2:11" ht="16.5" hidden="1">
      <c r="B82" s="488" t="s">
        <v>720</v>
      </c>
      <c r="C82" s="488" t="s">
        <v>617</v>
      </c>
      <c r="D82" s="488" t="s">
        <v>721</v>
      </c>
      <c r="E82" s="489"/>
      <c r="F82" s="488" t="s">
        <v>721</v>
      </c>
      <c r="G82" s="488" t="s">
        <v>26</v>
      </c>
      <c r="H82" s="489"/>
      <c r="I82" s="490">
        <v>37</v>
      </c>
      <c r="J82" s="488" t="s">
        <v>721</v>
      </c>
      <c r="K82" s="490">
        <v>62</v>
      </c>
    </row>
    <row r="83" spans="2:11" ht="16.5" hidden="1">
      <c r="B83" s="488" t="s">
        <v>720</v>
      </c>
      <c r="C83" s="488" t="s">
        <v>617</v>
      </c>
      <c r="D83" s="488" t="s">
        <v>721</v>
      </c>
      <c r="E83" s="489"/>
      <c r="F83" s="488" t="s">
        <v>721</v>
      </c>
      <c r="G83" s="488" t="s">
        <v>26</v>
      </c>
      <c r="H83" s="489"/>
      <c r="I83" s="490">
        <v>38</v>
      </c>
      <c r="J83" s="488" t="s">
        <v>721</v>
      </c>
      <c r="K83" s="490">
        <v>64</v>
      </c>
    </row>
    <row r="84" spans="2:11" ht="16.5" hidden="1">
      <c r="B84" s="488" t="s">
        <v>720</v>
      </c>
      <c r="C84" s="488" t="s">
        <v>617</v>
      </c>
      <c r="D84" s="488" t="s">
        <v>721</v>
      </c>
      <c r="E84" s="489"/>
      <c r="F84" s="488" t="s">
        <v>721</v>
      </c>
      <c r="G84" s="488" t="s">
        <v>26</v>
      </c>
      <c r="H84" s="489"/>
      <c r="I84" s="490">
        <v>39</v>
      </c>
      <c r="J84" s="488" t="s">
        <v>721</v>
      </c>
      <c r="K84" s="490">
        <v>66</v>
      </c>
    </row>
    <row r="85" spans="2:11" ht="16.5" hidden="1">
      <c r="B85" s="488" t="s">
        <v>720</v>
      </c>
      <c r="C85" s="488" t="s">
        <v>617</v>
      </c>
      <c r="D85" s="488" t="s">
        <v>721</v>
      </c>
      <c r="E85" s="489"/>
      <c r="F85" s="488" t="s">
        <v>721</v>
      </c>
      <c r="G85" s="488" t="s">
        <v>26</v>
      </c>
      <c r="H85" s="489"/>
      <c r="I85" s="490">
        <v>40</v>
      </c>
      <c r="J85" s="488" t="s">
        <v>721</v>
      </c>
      <c r="K85" s="490">
        <v>68</v>
      </c>
    </row>
    <row r="86" spans="2:11" ht="16.5" hidden="1">
      <c r="B86" s="488" t="s">
        <v>720</v>
      </c>
      <c r="C86" s="488" t="s">
        <v>617</v>
      </c>
      <c r="D86" s="488" t="s">
        <v>721</v>
      </c>
      <c r="E86" s="489"/>
      <c r="F86" s="488" t="s">
        <v>721</v>
      </c>
      <c r="G86" s="488" t="s">
        <v>26</v>
      </c>
      <c r="H86" s="489"/>
      <c r="I86" s="490">
        <v>41</v>
      </c>
      <c r="J86" s="488" t="s">
        <v>721</v>
      </c>
      <c r="K86" s="490">
        <v>70</v>
      </c>
    </row>
    <row r="87" spans="2:11" ht="16.5" hidden="1">
      <c r="B87" s="488" t="s">
        <v>720</v>
      </c>
      <c r="C87" s="488" t="s">
        <v>617</v>
      </c>
      <c r="D87" s="488" t="s">
        <v>721</v>
      </c>
      <c r="E87" s="489"/>
      <c r="F87" s="488" t="s">
        <v>721</v>
      </c>
      <c r="G87" s="488" t="s">
        <v>26</v>
      </c>
      <c r="H87" s="489"/>
      <c r="I87" s="490">
        <v>42</v>
      </c>
      <c r="J87" s="488" t="s">
        <v>721</v>
      </c>
      <c r="K87" s="490">
        <v>73</v>
      </c>
    </row>
    <row r="88" spans="2:11" ht="16.5" hidden="1">
      <c r="B88" s="488" t="s">
        <v>720</v>
      </c>
      <c r="C88" s="488" t="s">
        <v>617</v>
      </c>
      <c r="D88" s="488" t="s">
        <v>721</v>
      </c>
      <c r="E88" s="489"/>
      <c r="F88" s="488" t="s">
        <v>721</v>
      </c>
      <c r="G88" s="488" t="s">
        <v>26</v>
      </c>
      <c r="H88" s="489"/>
      <c r="I88" s="490">
        <v>43</v>
      </c>
      <c r="J88" s="488" t="s">
        <v>721</v>
      </c>
      <c r="K88" s="490">
        <v>76</v>
      </c>
    </row>
    <row r="89" spans="2:11" ht="16.5" hidden="1">
      <c r="B89" s="488" t="s">
        <v>720</v>
      </c>
      <c r="C89" s="488" t="s">
        <v>617</v>
      </c>
      <c r="D89" s="488" t="s">
        <v>721</v>
      </c>
      <c r="E89" s="489"/>
      <c r="F89" s="488" t="s">
        <v>721</v>
      </c>
      <c r="G89" s="488" t="s">
        <v>26</v>
      </c>
      <c r="H89" s="489"/>
      <c r="I89" s="490">
        <v>44</v>
      </c>
      <c r="J89" s="488" t="s">
        <v>721</v>
      </c>
      <c r="K89" s="490">
        <v>79</v>
      </c>
    </row>
    <row r="90" spans="2:11" ht="16.5" hidden="1">
      <c r="B90" s="488" t="s">
        <v>720</v>
      </c>
      <c r="C90" s="488" t="s">
        <v>617</v>
      </c>
      <c r="D90" s="488" t="s">
        <v>721</v>
      </c>
      <c r="E90" s="489"/>
      <c r="F90" s="488" t="s">
        <v>721</v>
      </c>
      <c r="G90" s="488" t="s">
        <v>26</v>
      </c>
      <c r="H90" s="489"/>
      <c r="I90" s="490">
        <v>45</v>
      </c>
      <c r="J90" s="488" t="s">
        <v>721</v>
      </c>
      <c r="K90" s="490">
        <v>82</v>
      </c>
    </row>
    <row r="91" spans="2:11" ht="16.5" hidden="1">
      <c r="B91" s="488" t="s">
        <v>720</v>
      </c>
      <c r="C91" s="488" t="s">
        <v>617</v>
      </c>
      <c r="D91" s="488" t="s">
        <v>721</v>
      </c>
      <c r="E91" s="489"/>
      <c r="F91" s="488" t="s">
        <v>721</v>
      </c>
      <c r="G91" s="488" t="s">
        <v>26</v>
      </c>
      <c r="H91" s="489"/>
      <c r="I91" s="490">
        <v>46</v>
      </c>
      <c r="J91" s="488" t="s">
        <v>721</v>
      </c>
      <c r="K91" s="490">
        <v>87</v>
      </c>
    </row>
    <row r="92" spans="2:11" ht="16.5" hidden="1">
      <c r="B92" s="488" t="s">
        <v>720</v>
      </c>
      <c r="C92" s="488" t="s">
        <v>617</v>
      </c>
      <c r="D92" s="488" t="s">
        <v>721</v>
      </c>
      <c r="E92" s="489"/>
      <c r="F92" s="488" t="s">
        <v>721</v>
      </c>
      <c r="G92" s="488" t="s">
        <v>26</v>
      </c>
      <c r="H92" s="489"/>
      <c r="I92" s="490">
        <v>47</v>
      </c>
      <c r="J92" s="488" t="s">
        <v>721</v>
      </c>
      <c r="K92" s="490">
        <v>93</v>
      </c>
    </row>
    <row r="93" spans="2:11" ht="16.5" hidden="1">
      <c r="B93" s="488" t="s">
        <v>720</v>
      </c>
      <c r="C93" s="488" t="s">
        <v>617</v>
      </c>
      <c r="D93" s="488" t="s">
        <v>721</v>
      </c>
      <c r="E93" s="489"/>
      <c r="F93" s="488" t="s">
        <v>721</v>
      </c>
      <c r="G93" s="488" t="s">
        <v>26</v>
      </c>
      <c r="H93" s="489"/>
      <c r="I93" s="490">
        <v>48</v>
      </c>
      <c r="J93" s="488" t="s">
        <v>721</v>
      </c>
      <c r="K93" s="490">
        <v>99</v>
      </c>
    </row>
    <row r="94" spans="2:11" ht="16.5" hidden="1">
      <c r="B94" s="488" t="s">
        <v>720</v>
      </c>
      <c r="C94" s="488" t="s">
        <v>617</v>
      </c>
      <c r="D94" s="488" t="s">
        <v>721</v>
      </c>
      <c r="E94" s="489"/>
      <c r="F94" s="488" t="s">
        <v>721</v>
      </c>
      <c r="G94" s="488" t="s">
        <v>26</v>
      </c>
      <c r="H94" s="489"/>
      <c r="I94" s="490">
        <v>49</v>
      </c>
      <c r="J94" s="488" t="s">
        <v>721</v>
      </c>
      <c r="K94" s="490">
        <v>105</v>
      </c>
    </row>
    <row r="95" spans="2:11" ht="16.5" hidden="1">
      <c r="B95" s="488" t="s">
        <v>720</v>
      </c>
      <c r="C95" s="488" t="s">
        <v>617</v>
      </c>
      <c r="D95" s="488" t="s">
        <v>721</v>
      </c>
      <c r="E95" s="489"/>
      <c r="F95" s="488" t="s">
        <v>721</v>
      </c>
      <c r="G95" s="488" t="s">
        <v>26</v>
      </c>
      <c r="H95" s="489"/>
      <c r="I95" s="490">
        <v>50</v>
      </c>
      <c r="J95" s="488" t="s">
        <v>721</v>
      </c>
      <c r="K95" s="490">
        <v>111</v>
      </c>
    </row>
    <row r="96" spans="2:11" ht="16.5" hidden="1">
      <c r="B96" s="488" t="s">
        <v>720</v>
      </c>
      <c r="C96" s="488" t="s">
        <v>617</v>
      </c>
      <c r="D96" s="488" t="s">
        <v>721</v>
      </c>
      <c r="E96" s="489"/>
      <c r="F96" s="488" t="s">
        <v>721</v>
      </c>
      <c r="G96" s="488" t="s">
        <v>26</v>
      </c>
      <c r="H96" s="489"/>
      <c r="I96" s="490">
        <v>51</v>
      </c>
      <c r="J96" s="488" t="s">
        <v>721</v>
      </c>
      <c r="K96" s="490">
        <v>117</v>
      </c>
    </row>
    <row r="97" spans="2:11" ht="16.5" hidden="1">
      <c r="B97" s="488" t="s">
        <v>720</v>
      </c>
      <c r="C97" s="488" t="s">
        <v>617</v>
      </c>
      <c r="D97" s="488" t="s">
        <v>721</v>
      </c>
      <c r="E97" s="489"/>
      <c r="F97" s="488" t="s">
        <v>721</v>
      </c>
      <c r="G97" s="488" t="s">
        <v>26</v>
      </c>
      <c r="H97" s="489"/>
      <c r="I97" s="490">
        <v>52</v>
      </c>
      <c r="J97" s="488" t="s">
        <v>721</v>
      </c>
      <c r="K97" s="490">
        <v>123</v>
      </c>
    </row>
    <row r="98" spans="2:11" ht="16.5" hidden="1">
      <c r="B98" s="488" t="s">
        <v>720</v>
      </c>
      <c r="C98" s="488" t="s">
        <v>617</v>
      </c>
      <c r="D98" s="488" t="s">
        <v>721</v>
      </c>
      <c r="E98" s="489"/>
      <c r="F98" s="488" t="s">
        <v>721</v>
      </c>
      <c r="G98" s="488" t="s">
        <v>26</v>
      </c>
      <c r="H98" s="489"/>
      <c r="I98" s="490">
        <v>53</v>
      </c>
      <c r="J98" s="488" t="s">
        <v>721</v>
      </c>
      <c r="K98" s="490">
        <v>130</v>
      </c>
    </row>
    <row r="99" spans="2:11" ht="16.5" hidden="1">
      <c r="B99" s="488" t="s">
        <v>720</v>
      </c>
      <c r="C99" s="488" t="s">
        <v>617</v>
      </c>
      <c r="D99" s="488" t="s">
        <v>721</v>
      </c>
      <c r="E99" s="489"/>
      <c r="F99" s="488" t="s">
        <v>721</v>
      </c>
      <c r="G99" s="488" t="s">
        <v>26</v>
      </c>
      <c r="H99" s="489"/>
      <c r="I99" s="490">
        <v>54</v>
      </c>
      <c r="J99" s="488" t="s">
        <v>721</v>
      </c>
      <c r="K99" s="490">
        <v>139</v>
      </c>
    </row>
    <row r="100" spans="2:11" ht="16.5" hidden="1">
      <c r="B100" s="488" t="s">
        <v>720</v>
      </c>
      <c r="C100" s="488" t="s">
        <v>617</v>
      </c>
      <c r="D100" s="488" t="s">
        <v>721</v>
      </c>
      <c r="E100" s="489"/>
      <c r="F100" s="488" t="s">
        <v>721</v>
      </c>
      <c r="G100" s="488" t="s">
        <v>26</v>
      </c>
      <c r="H100" s="489"/>
      <c r="I100" s="490">
        <v>55</v>
      </c>
      <c r="J100" s="488" t="s">
        <v>721</v>
      </c>
      <c r="K100" s="490">
        <v>149</v>
      </c>
    </row>
    <row r="101" spans="2:11" ht="16.5" hidden="1">
      <c r="B101" s="488" t="s">
        <v>720</v>
      </c>
      <c r="C101" s="488" t="s">
        <v>617</v>
      </c>
      <c r="D101" s="488" t="s">
        <v>721</v>
      </c>
      <c r="E101" s="489"/>
      <c r="F101" s="488" t="s">
        <v>721</v>
      </c>
      <c r="G101" s="488" t="s">
        <v>26</v>
      </c>
      <c r="H101" s="489"/>
      <c r="I101" s="490">
        <v>56</v>
      </c>
      <c r="J101" s="488" t="s">
        <v>721</v>
      </c>
      <c r="K101" s="490">
        <v>159</v>
      </c>
    </row>
    <row r="102" spans="2:11" ht="16.5" hidden="1">
      <c r="B102" s="488" t="s">
        <v>720</v>
      </c>
      <c r="C102" s="488" t="s">
        <v>617</v>
      </c>
      <c r="D102" s="488" t="s">
        <v>721</v>
      </c>
      <c r="E102" s="489"/>
      <c r="F102" s="488" t="s">
        <v>721</v>
      </c>
      <c r="G102" s="488" t="s">
        <v>26</v>
      </c>
      <c r="H102" s="489"/>
      <c r="I102" s="490">
        <v>57</v>
      </c>
      <c r="J102" s="488" t="s">
        <v>721</v>
      </c>
      <c r="K102" s="490">
        <v>171</v>
      </c>
    </row>
    <row r="103" spans="2:11" ht="16.5" hidden="1">
      <c r="B103" s="488" t="s">
        <v>720</v>
      </c>
      <c r="C103" s="488" t="s">
        <v>617</v>
      </c>
      <c r="D103" s="488" t="s">
        <v>721</v>
      </c>
      <c r="E103" s="489"/>
      <c r="F103" s="488" t="s">
        <v>721</v>
      </c>
      <c r="G103" s="488" t="s">
        <v>26</v>
      </c>
      <c r="H103" s="489"/>
      <c r="I103" s="490">
        <v>58</v>
      </c>
      <c r="J103" s="488" t="s">
        <v>721</v>
      </c>
      <c r="K103" s="490">
        <v>183</v>
      </c>
    </row>
    <row r="104" spans="2:11" ht="16.5" hidden="1">
      <c r="B104" s="488" t="s">
        <v>720</v>
      </c>
      <c r="C104" s="488" t="s">
        <v>617</v>
      </c>
      <c r="D104" s="488" t="s">
        <v>721</v>
      </c>
      <c r="E104" s="489"/>
      <c r="F104" s="488" t="s">
        <v>721</v>
      </c>
      <c r="G104" s="488" t="s">
        <v>26</v>
      </c>
      <c r="H104" s="489"/>
      <c r="I104" s="490">
        <v>59</v>
      </c>
      <c r="J104" s="488" t="s">
        <v>721</v>
      </c>
      <c r="K104" s="490">
        <v>196</v>
      </c>
    </row>
    <row r="105" spans="2:11" ht="16.5" hidden="1">
      <c r="B105" s="488" t="s">
        <v>720</v>
      </c>
      <c r="C105" s="488" t="s">
        <v>617</v>
      </c>
      <c r="D105" s="488" t="s">
        <v>721</v>
      </c>
      <c r="E105" s="489"/>
      <c r="F105" s="488" t="s">
        <v>721</v>
      </c>
      <c r="G105" s="488" t="s">
        <v>26</v>
      </c>
      <c r="H105" s="489"/>
      <c r="I105" s="490">
        <v>60</v>
      </c>
      <c r="J105" s="488" t="s">
        <v>721</v>
      </c>
      <c r="K105" s="490">
        <v>210</v>
      </c>
    </row>
    <row r="106" spans="2:11" ht="16.5" hidden="1">
      <c r="B106" s="488" t="s">
        <v>720</v>
      </c>
      <c r="C106" s="488" t="s">
        <v>617</v>
      </c>
      <c r="D106" s="488" t="s">
        <v>721</v>
      </c>
      <c r="E106" s="489"/>
      <c r="F106" s="488" t="s">
        <v>721</v>
      </c>
      <c r="G106" s="488" t="s">
        <v>26</v>
      </c>
      <c r="H106" s="489"/>
      <c r="I106" s="490">
        <v>61</v>
      </c>
      <c r="J106" s="488" t="s">
        <v>721</v>
      </c>
      <c r="K106" s="490">
        <v>226</v>
      </c>
    </row>
    <row r="107" spans="2:11" ht="16.5" hidden="1">
      <c r="B107" s="488" t="s">
        <v>720</v>
      </c>
      <c r="C107" s="488" t="s">
        <v>617</v>
      </c>
      <c r="D107" s="488" t="s">
        <v>721</v>
      </c>
      <c r="E107" s="489"/>
      <c r="F107" s="488" t="s">
        <v>721</v>
      </c>
      <c r="G107" s="488" t="s">
        <v>26</v>
      </c>
      <c r="H107" s="489"/>
      <c r="I107" s="490">
        <v>62</v>
      </c>
      <c r="J107" s="488" t="s">
        <v>721</v>
      </c>
      <c r="K107" s="490">
        <v>242</v>
      </c>
    </row>
    <row r="108" spans="2:11" ht="16.5" hidden="1">
      <c r="B108" s="488" t="s">
        <v>720</v>
      </c>
      <c r="C108" s="488" t="s">
        <v>617</v>
      </c>
      <c r="D108" s="488" t="s">
        <v>721</v>
      </c>
      <c r="E108" s="489"/>
      <c r="F108" s="488" t="s">
        <v>721</v>
      </c>
      <c r="G108" s="488" t="s">
        <v>26</v>
      </c>
      <c r="H108" s="489"/>
      <c r="I108" s="490">
        <v>63</v>
      </c>
      <c r="J108" s="488" t="s">
        <v>721</v>
      </c>
      <c r="K108" s="490">
        <v>262</v>
      </c>
    </row>
    <row r="109" spans="2:11" ht="16.5" hidden="1">
      <c r="B109" s="488" t="s">
        <v>720</v>
      </c>
      <c r="C109" s="488" t="s">
        <v>617</v>
      </c>
      <c r="D109" s="488" t="s">
        <v>721</v>
      </c>
      <c r="E109" s="489"/>
      <c r="F109" s="488" t="s">
        <v>721</v>
      </c>
      <c r="G109" s="488" t="s">
        <v>26</v>
      </c>
      <c r="H109" s="489"/>
      <c r="I109" s="490">
        <v>64</v>
      </c>
      <c r="J109" s="488" t="s">
        <v>721</v>
      </c>
      <c r="K109" s="490">
        <v>284</v>
      </c>
    </row>
    <row r="110" spans="2:11" ht="16.5" hidden="1">
      <c r="B110" s="488" t="s">
        <v>720</v>
      </c>
      <c r="C110" s="488" t="s">
        <v>617</v>
      </c>
      <c r="D110" s="488" t="s">
        <v>721</v>
      </c>
      <c r="E110" s="489"/>
      <c r="F110" s="488" t="s">
        <v>721</v>
      </c>
      <c r="G110" s="488" t="s">
        <v>26</v>
      </c>
      <c r="H110" s="489"/>
      <c r="I110" s="490">
        <v>65</v>
      </c>
      <c r="J110" s="488" t="s">
        <v>721</v>
      </c>
      <c r="K110" s="490">
        <v>308</v>
      </c>
    </row>
    <row r="111" spans="2:11" ht="16.5" hidden="1">
      <c r="B111" s="488" t="s">
        <v>720</v>
      </c>
      <c r="C111" s="488" t="s">
        <v>617</v>
      </c>
      <c r="D111" s="488" t="s">
        <v>721</v>
      </c>
      <c r="E111" s="489"/>
      <c r="F111" s="488" t="s">
        <v>721</v>
      </c>
      <c r="G111" s="488" t="s">
        <v>26</v>
      </c>
      <c r="H111" s="489"/>
      <c r="I111" s="490">
        <v>66</v>
      </c>
      <c r="J111" s="488" t="s">
        <v>721</v>
      </c>
      <c r="K111" s="490">
        <v>332</v>
      </c>
    </row>
    <row r="112" spans="2:11" ht="16.5" hidden="1">
      <c r="B112" s="488" t="s">
        <v>720</v>
      </c>
      <c r="C112" s="488" t="s">
        <v>617</v>
      </c>
      <c r="D112" s="488" t="s">
        <v>721</v>
      </c>
      <c r="E112" s="489"/>
      <c r="F112" s="488" t="s">
        <v>721</v>
      </c>
      <c r="G112" s="488" t="s">
        <v>26</v>
      </c>
      <c r="H112" s="489"/>
      <c r="I112" s="490">
        <v>67</v>
      </c>
      <c r="J112" s="488" t="s">
        <v>721</v>
      </c>
      <c r="K112" s="490">
        <v>362</v>
      </c>
    </row>
    <row r="113" spans="2:11" ht="16.5" hidden="1">
      <c r="B113" s="488" t="s">
        <v>720</v>
      </c>
      <c r="C113" s="488" t="s">
        <v>617</v>
      </c>
      <c r="D113" s="488" t="s">
        <v>721</v>
      </c>
      <c r="E113" s="489"/>
      <c r="F113" s="488" t="s">
        <v>721</v>
      </c>
      <c r="G113" s="488" t="s">
        <v>26</v>
      </c>
      <c r="H113" s="489"/>
      <c r="I113" s="490">
        <v>68</v>
      </c>
      <c r="J113" s="488" t="s">
        <v>721</v>
      </c>
      <c r="K113" s="490">
        <v>395</v>
      </c>
    </row>
    <row r="114" spans="2:11" ht="16.5" hidden="1">
      <c r="B114" s="488" t="s">
        <v>720</v>
      </c>
      <c r="C114" s="488" t="s">
        <v>617</v>
      </c>
      <c r="D114" s="488" t="s">
        <v>721</v>
      </c>
      <c r="E114" s="489"/>
      <c r="F114" s="488" t="s">
        <v>721</v>
      </c>
      <c r="G114" s="488" t="s">
        <v>26</v>
      </c>
      <c r="H114" s="489"/>
      <c r="I114" s="490">
        <v>69</v>
      </c>
      <c r="J114" s="488" t="s">
        <v>721</v>
      </c>
      <c r="K114" s="490">
        <v>430</v>
      </c>
    </row>
    <row r="115" spans="2:11" ht="16.5" hidden="1">
      <c r="B115" s="488" t="s">
        <v>720</v>
      </c>
      <c r="C115" s="488" t="s">
        <v>617</v>
      </c>
      <c r="D115" s="488" t="s">
        <v>721</v>
      </c>
      <c r="E115" s="489"/>
      <c r="F115" s="488" t="s">
        <v>721</v>
      </c>
      <c r="G115" s="488" t="s">
        <v>26</v>
      </c>
      <c r="H115" s="489"/>
      <c r="I115" s="490">
        <v>70</v>
      </c>
      <c r="J115" s="488" t="s">
        <v>721</v>
      </c>
      <c r="K115" s="490">
        <v>465</v>
      </c>
    </row>
    <row r="116" spans="2:11" ht="16.5" hidden="1">
      <c r="B116" s="488" t="s">
        <v>720</v>
      </c>
      <c r="C116" s="488" t="s">
        <v>617</v>
      </c>
      <c r="D116" s="488" t="s">
        <v>721</v>
      </c>
      <c r="E116" s="489"/>
      <c r="F116" s="488" t="s">
        <v>721</v>
      </c>
      <c r="G116" s="488" t="s">
        <v>26</v>
      </c>
      <c r="H116" s="489"/>
      <c r="I116" s="490">
        <v>71</v>
      </c>
      <c r="J116" s="488" t="s">
        <v>721</v>
      </c>
      <c r="K116" s="490">
        <v>500</v>
      </c>
    </row>
    <row r="117" spans="2:11" ht="16.5" hidden="1">
      <c r="B117" s="478"/>
      <c r="C117" s="478"/>
      <c r="D117" s="478"/>
      <c r="E117" s="479"/>
      <c r="F117" s="478"/>
      <c r="G117" s="478"/>
      <c r="H117" s="480"/>
      <c r="I117" s="479"/>
      <c r="J117" s="478"/>
      <c r="K117" s="479"/>
    </row>
    <row r="118" spans="2:11" ht="16.5" hidden="1">
      <c r="B118" s="478"/>
      <c r="C118" s="478"/>
      <c r="D118" s="478"/>
      <c r="E118" s="479"/>
      <c r="F118" s="478"/>
      <c r="G118" s="478"/>
      <c r="H118" s="480"/>
      <c r="I118" s="479"/>
      <c r="J118" s="478"/>
      <c r="K118" s="479"/>
    </row>
    <row r="119" spans="2:11" ht="16.5" hidden="1">
      <c r="B119" s="478"/>
      <c r="C119" s="478"/>
      <c r="D119" s="478"/>
      <c r="E119" s="479"/>
      <c r="F119" s="478"/>
      <c r="G119" s="478"/>
      <c r="H119" s="480"/>
      <c r="I119" s="479"/>
      <c r="J119" s="478"/>
      <c r="K119" s="479"/>
    </row>
    <row r="120" spans="2:11" ht="16.5" hidden="1">
      <c r="B120" s="478"/>
      <c r="C120" s="478"/>
      <c r="D120" s="478"/>
      <c r="E120" s="479"/>
      <c r="F120" s="478"/>
      <c r="G120" s="478"/>
      <c r="H120" s="480"/>
      <c r="I120" s="479"/>
      <c r="J120" s="478"/>
      <c r="K120" s="479"/>
    </row>
    <row r="121" spans="2:11" ht="16.5" hidden="1">
      <c r="B121" s="478"/>
      <c r="C121" s="478"/>
      <c r="D121" s="478"/>
      <c r="E121" s="479"/>
      <c r="F121" s="478"/>
      <c r="G121" s="478"/>
      <c r="H121" s="480"/>
      <c r="I121" s="479"/>
      <c r="J121" s="478"/>
      <c r="K121" s="479"/>
    </row>
    <row r="122" spans="2:11" ht="16.5" hidden="1">
      <c r="B122" s="478"/>
      <c r="C122" s="478"/>
      <c r="D122" s="478"/>
      <c r="E122" s="479"/>
      <c r="F122" s="478"/>
      <c r="G122" s="478"/>
      <c r="H122" s="480"/>
      <c r="I122" s="479"/>
      <c r="J122" s="478"/>
      <c r="K122" s="479"/>
    </row>
    <row r="123" spans="2:11" ht="16.5" hidden="1">
      <c r="B123" s="478"/>
      <c r="C123" s="478"/>
      <c r="D123" s="478"/>
      <c r="E123" s="479"/>
      <c r="F123" s="478"/>
      <c r="G123" s="478"/>
      <c r="H123" s="480"/>
      <c r="I123" s="479"/>
      <c r="J123" s="478"/>
      <c r="K123" s="479"/>
    </row>
    <row r="124" spans="2:11" ht="16.5" hidden="1">
      <c r="B124" s="478"/>
      <c r="C124" s="478"/>
      <c r="D124" s="478"/>
      <c r="E124" s="479"/>
      <c r="F124" s="478"/>
      <c r="G124" s="478"/>
      <c r="H124" s="480"/>
      <c r="I124" s="479"/>
      <c r="J124" s="478"/>
      <c r="K124" s="479"/>
    </row>
    <row r="125" spans="2:11" ht="16.5" hidden="1">
      <c r="B125" s="478"/>
      <c r="C125" s="478"/>
      <c r="D125" s="478"/>
      <c r="E125" s="479"/>
      <c r="F125" s="478"/>
      <c r="G125" s="478"/>
      <c r="H125" s="480"/>
      <c r="I125" s="479"/>
      <c r="J125" s="478"/>
      <c r="K125" s="479"/>
    </row>
    <row r="126" spans="2:11" ht="16.5" hidden="1">
      <c r="B126" s="478"/>
      <c r="C126" s="478"/>
      <c r="D126" s="478"/>
      <c r="E126" s="479"/>
      <c r="F126" s="478"/>
      <c r="G126" s="478"/>
      <c r="H126" s="480"/>
      <c r="I126" s="479"/>
      <c r="J126" s="478"/>
      <c r="K126" s="479"/>
    </row>
    <row r="127" spans="2:11" ht="16.5" hidden="1">
      <c r="B127" s="478"/>
      <c r="C127" s="478"/>
      <c r="D127" s="478"/>
      <c r="E127" s="479"/>
      <c r="F127" s="478"/>
      <c r="G127" s="478"/>
      <c r="H127" s="480"/>
      <c r="I127" s="479"/>
      <c r="J127" s="478"/>
      <c r="K127" s="479"/>
    </row>
    <row r="128" spans="2:11" ht="16.5" hidden="1">
      <c r="B128" s="478"/>
      <c r="C128" s="478"/>
      <c r="D128" s="478"/>
      <c r="E128" s="479"/>
      <c r="F128" s="478"/>
      <c r="G128" s="478"/>
      <c r="H128" s="480"/>
      <c r="I128" s="479"/>
      <c r="J128" s="478"/>
      <c r="K128" s="479"/>
    </row>
    <row r="129" spans="2:11" ht="16.5" hidden="1">
      <c r="B129" s="478"/>
      <c r="C129" s="478"/>
      <c r="D129" s="478"/>
      <c r="E129" s="479"/>
      <c r="F129" s="478"/>
      <c r="G129" s="478"/>
      <c r="H129" s="480"/>
      <c r="I129" s="479"/>
      <c r="J129" s="478"/>
      <c r="K129" s="479"/>
    </row>
    <row r="130" spans="2:11" ht="16.5" hidden="1">
      <c r="B130" s="478"/>
      <c r="C130" s="478"/>
      <c r="D130" s="478"/>
      <c r="E130" s="479"/>
      <c r="F130" s="478"/>
      <c r="G130" s="478"/>
      <c r="H130" s="480"/>
      <c r="I130" s="479"/>
      <c r="J130" s="478"/>
      <c r="K130" s="479"/>
    </row>
    <row r="131" spans="2:11" ht="16.5" hidden="1">
      <c r="B131" s="478"/>
      <c r="C131" s="478"/>
      <c r="D131" s="478"/>
      <c r="E131" s="479"/>
      <c r="F131" s="478"/>
      <c r="G131" s="478"/>
      <c r="H131" s="480"/>
      <c r="I131" s="479"/>
      <c r="J131" s="478"/>
      <c r="K131" s="479"/>
    </row>
    <row r="132" spans="2:11" ht="16.5" hidden="1">
      <c r="B132" s="478"/>
      <c r="C132" s="478"/>
      <c r="D132" s="478"/>
      <c r="E132" s="479"/>
      <c r="F132" s="478"/>
      <c r="G132" s="478"/>
      <c r="H132" s="480"/>
      <c r="I132" s="479"/>
      <c r="J132" s="478"/>
      <c r="K132" s="479"/>
    </row>
    <row r="133" spans="2:11" ht="16.5" hidden="1">
      <c r="B133" s="478"/>
      <c r="C133" s="478"/>
      <c r="D133" s="478"/>
      <c r="E133" s="479"/>
      <c r="F133" s="478"/>
      <c r="G133" s="478"/>
      <c r="H133" s="480"/>
      <c r="I133" s="479"/>
      <c r="J133" s="478"/>
      <c r="K133" s="479"/>
    </row>
    <row r="134" spans="2:11" ht="16.5" hidden="1">
      <c r="B134" s="478"/>
      <c r="C134" s="478"/>
      <c r="D134" s="478"/>
      <c r="E134" s="479"/>
      <c r="F134" s="478"/>
      <c r="G134" s="478"/>
      <c r="H134" s="480"/>
      <c r="I134" s="479"/>
      <c r="J134" s="478"/>
      <c r="K134" s="479"/>
    </row>
    <row r="135" spans="2:11" ht="16.5" hidden="1">
      <c r="B135" s="478"/>
      <c r="C135" s="478"/>
      <c r="D135" s="478"/>
      <c r="E135" s="479"/>
      <c r="F135" s="478"/>
      <c r="G135" s="478"/>
      <c r="H135" s="480"/>
      <c r="I135" s="479"/>
      <c r="J135" s="478"/>
      <c r="K135" s="479"/>
    </row>
    <row r="136" spans="2:11" ht="16.5" hidden="1">
      <c r="B136" s="478"/>
      <c r="C136" s="478"/>
      <c r="D136" s="478"/>
      <c r="E136" s="479"/>
      <c r="F136" s="478"/>
      <c r="G136" s="478"/>
      <c r="H136" s="480"/>
      <c r="I136" s="479"/>
      <c r="J136" s="478"/>
      <c r="K136" s="479"/>
    </row>
    <row r="137" spans="2:11" ht="16.5" hidden="1">
      <c r="B137" s="478"/>
      <c r="C137" s="478"/>
      <c r="D137" s="478"/>
      <c r="E137" s="479"/>
      <c r="F137" s="478"/>
      <c r="G137" s="478"/>
      <c r="H137" s="480"/>
      <c r="I137" s="479"/>
      <c r="J137" s="478"/>
      <c r="K137" s="479"/>
    </row>
    <row r="138" spans="2:11" ht="16.5" hidden="1">
      <c r="B138" s="478"/>
      <c r="C138" s="478"/>
      <c r="D138" s="478"/>
      <c r="E138" s="479"/>
      <c r="F138" s="478"/>
      <c r="G138" s="478"/>
      <c r="H138" s="480"/>
      <c r="I138" s="479"/>
      <c r="J138" s="478"/>
      <c r="K138" s="479"/>
    </row>
    <row r="139" spans="2:11" ht="16.5" hidden="1">
      <c r="B139" s="478"/>
      <c r="C139" s="478"/>
      <c r="D139" s="478"/>
      <c r="E139" s="479"/>
      <c r="F139" s="478"/>
      <c r="G139" s="478"/>
      <c r="H139" s="480"/>
      <c r="I139" s="479"/>
      <c r="J139" s="478"/>
      <c r="K139" s="479"/>
    </row>
    <row r="140" spans="2:11" ht="16.5" hidden="1">
      <c r="B140" s="478"/>
      <c r="C140" s="478"/>
      <c r="D140" s="478"/>
      <c r="E140" s="479"/>
      <c r="F140" s="478"/>
      <c r="G140" s="478"/>
      <c r="H140" s="480"/>
      <c r="I140" s="479"/>
      <c r="J140" s="478"/>
      <c r="K140" s="479"/>
    </row>
    <row r="141" spans="2:11" ht="16.5" hidden="1">
      <c r="B141" s="478"/>
      <c r="C141" s="478"/>
      <c r="D141" s="478"/>
      <c r="E141" s="479"/>
      <c r="F141" s="478"/>
      <c r="G141" s="478"/>
      <c r="H141" s="480"/>
      <c r="I141" s="479"/>
      <c r="J141" s="478"/>
      <c r="K141" s="479"/>
    </row>
    <row r="142" spans="2:11" ht="16.5" hidden="1">
      <c r="B142" s="478"/>
      <c r="C142" s="478"/>
      <c r="D142" s="478"/>
      <c r="E142" s="479"/>
      <c r="F142" s="478"/>
      <c r="G142" s="478"/>
      <c r="H142" s="480"/>
      <c r="I142" s="479"/>
      <c r="J142" s="478"/>
      <c r="K142" s="479"/>
    </row>
    <row r="143" spans="2:11" ht="16.5" hidden="1">
      <c r="B143" s="478"/>
      <c r="C143" s="478"/>
      <c r="D143" s="478"/>
      <c r="E143" s="479"/>
      <c r="F143" s="478"/>
      <c r="G143" s="478"/>
      <c r="H143" s="480"/>
      <c r="I143" s="479"/>
      <c r="J143" s="478"/>
      <c r="K143" s="479"/>
    </row>
    <row r="144" spans="2:11" ht="16.5" hidden="1">
      <c r="B144" s="478"/>
      <c r="C144" s="478"/>
      <c r="D144" s="478"/>
      <c r="E144" s="479"/>
      <c r="F144" s="478"/>
      <c r="G144" s="478"/>
      <c r="H144" s="480"/>
      <c r="I144" s="479"/>
      <c r="J144" s="478"/>
      <c r="K144" s="479"/>
    </row>
    <row r="145" spans="2:11" ht="16.5" hidden="1">
      <c r="B145" s="478"/>
      <c r="C145" s="478"/>
      <c r="D145" s="478"/>
      <c r="E145" s="479"/>
      <c r="F145" s="478"/>
      <c r="G145" s="478"/>
      <c r="H145" s="480"/>
      <c r="I145" s="479"/>
      <c r="J145" s="478"/>
      <c r="K145" s="479"/>
    </row>
    <row r="146" spans="2:11" ht="16.5" hidden="1">
      <c r="B146" s="478"/>
      <c r="C146" s="478"/>
      <c r="D146" s="478"/>
      <c r="E146" s="479"/>
      <c r="F146" s="478"/>
      <c r="G146" s="478"/>
      <c r="H146" s="480"/>
      <c r="I146" s="479"/>
      <c r="J146" s="478"/>
      <c r="K146" s="479"/>
    </row>
    <row r="147" spans="2:11" ht="16.5" hidden="1">
      <c r="B147" s="478"/>
      <c r="C147" s="478"/>
      <c r="D147" s="478"/>
      <c r="E147" s="479"/>
      <c r="F147" s="478"/>
      <c r="G147" s="478"/>
      <c r="H147" s="480"/>
      <c r="I147" s="479"/>
      <c r="J147" s="478"/>
      <c r="K147" s="479"/>
    </row>
    <row r="148" spans="2:11" ht="16.5" hidden="1">
      <c r="B148" s="478"/>
      <c r="C148" s="478"/>
      <c r="D148" s="478"/>
      <c r="E148" s="479"/>
      <c r="F148" s="478"/>
      <c r="G148" s="478"/>
      <c r="H148" s="480"/>
      <c r="I148" s="479"/>
      <c r="J148" s="478"/>
      <c r="K148" s="479"/>
    </row>
    <row r="149" spans="2:11" ht="16.5" hidden="1">
      <c r="B149" s="478"/>
      <c r="C149" s="478"/>
      <c r="D149" s="478"/>
      <c r="E149" s="479"/>
      <c r="F149" s="478"/>
      <c r="G149" s="478"/>
      <c r="H149" s="480"/>
      <c r="I149" s="479"/>
      <c r="J149" s="478"/>
      <c r="K149" s="479"/>
    </row>
    <row r="150" spans="2:11" ht="16.5" hidden="1">
      <c r="B150" s="478"/>
      <c r="C150" s="478"/>
      <c r="D150" s="478"/>
      <c r="E150" s="479"/>
      <c r="F150" s="478"/>
      <c r="G150" s="478"/>
      <c r="H150" s="480"/>
      <c r="I150" s="479"/>
      <c r="J150" s="478"/>
      <c r="K150" s="479"/>
    </row>
    <row r="151" spans="2:11" ht="16.5" hidden="1">
      <c r="B151" s="478"/>
      <c r="C151" s="478"/>
      <c r="D151" s="478"/>
      <c r="E151" s="479"/>
      <c r="F151" s="478"/>
      <c r="G151" s="478"/>
      <c r="H151" s="480"/>
      <c r="I151" s="479"/>
      <c r="J151" s="478"/>
      <c r="K151" s="479"/>
    </row>
    <row r="152" spans="2:11" ht="16.5" hidden="1">
      <c r="B152" s="478"/>
      <c r="C152" s="478"/>
      <c r="D152" s="478"/>
      <c r="E152" s="479"/>
      <c r="F152" s="478"/>
      <c r="G152" s="478"/>
      <c r="H152" s="480"/>
      <c r="I152" s="479"/>
      <c r="J152" s="478"/>
      <c r="K152" s="479"/>
    </row>
    <row r="153" spans="2:11" ht="16.5" hidden="1">
      <c r="B153" s="478"/>
      <c r="C153" s="478"/>
      <c r="D153" s="478"/>
      <c r="E153" s="479"/>
      <c r="F153" s="478"/>
      <c r="G153" s="478"/>
      <c r="H153" s="480"/>
      <c r="I153" s="479"/>
      <c r="J153" s="478"/>
      <c r="K153" s="479"/>
    </row>
    <row r="154" spans="2:11" ht="16.5" hidden="1">
      <c r="B154" s="478"/>
      <c r="C154" s="478"/>
      <c r="D154" s="478"/>
      <c r="E154" s="479"/>
      <c r="F154" s="478"/>
      <c r="G154" s="478"/>
      <c r="H154" s="480"/>
      <c r="I154" s="479"/>
      <c r="J154" s="478"/>
      <c r="K154" s="479"/>
    </row>
    <row r="155" spans="2:11" ht="16.5" hidden="1">
      <c r="B155" s="478"/>
      <c r="C155" s="478"/>
      <c r="D155" s="478"/>
      <c r="E155" s="479"/>
      <c r="F155" s="478"/>
      <c r="G155" s="478"/>
      <c r="H155" s="480"/>
      <c r="I155" s="479"/>
      <c r="J155" s="478"/>
      <c r="K155" s="479"/>
    </row>
    <row r="156" spans="2:11" ht="16.5" hidden="1">
      <c r="B156" s="478"/>
      <c r="C156" s="478"/>
      <c r="D156" s="478"/>
      <c r="E156" s="479"/>
      <c r="F156" s="478"/>
      <c r="G156" s="478"/>
      <c r="H156" s="480"/>
      <c r="I156" s="479"/>
      <c r="J156" s="478"/>
      <c r="K156" s="479"/>
    </row>
    <row r="157" spans="2:11" ht="16.5" hidden="1">
      <c r="B157" s="478"/>
      <c r="C157" s="478"/>
      <c r="D157" s="478"/>
      <c r="E157" s="479"/>
      <c r="F157" s="478"/>
      <c r="G157" s="478"/>
      <c r="H157" s="480"/>
      <c r="I157" s="479"/>
      <c r="J157" s="478"/>
      <c r="K157" s="479"/>
    </row>
    <row r="158" spans="2:11" ht="16.5" hidden="1">
      <c r="B158" s="478"/>
      <c r="C158" s="478"/>
      <c r="D158" s="478"/>
      <c r="E158" s="479"/>
      <c r="F158" s="478"/>
      <c r="G158" s="478"/>
      <c r="H158" s="480"/>
      <c r="I158" s="479"/>
      <c r="J158" s="478"/>
      <c r="K158" s="479"/>
    </row>
    <row r="159" spans="2:11" ht="16.5" hidden="1">
      <c r="B159" s="478"/>
      <c r="C159" s="478"/>
      <c r="D159" s="478"/>
      <c r="E159" s="479"/>
      <c r="F159" s="478"/>
      <c r="G159" s="478"/>
      <c r="H159" s="480"/>
      <c r="I159" s="479"/>
      <c r="J159" s="478"/>
      <c r="K159" s="479"/>
    </row>
    <row r="160" spans="2:11" ht="16.5" hidden="1">
      <c r="B160" s="478"/>
      <c r="C160" s="478"/>
      <c r="D160" s="478"/>
      <c r="E160" s="479"/>
      <c r="F160" s="478"/>
      <c r="G160" s="478"/>
      <c r="H160" s="480"/>
      <c r="I160" s="479"/>
      <c r="J160" s="478"/>
      <c r="K160" s="479"/>
    </row>
    <row r="161" spans="2:11" ht="16.5" hidden="1">
      <c r="B161" s="478"/>
      <c r="C161" s="478"/>
      <c r="D161" s="478"/>
      <c r="E161" s="479"/>
      <c r="F161" s="478"/>
      <c r="G161" s="478"/>
      <c r="H161" s="480"/>
      <c r="I161" s="479"/>
      <c r="J161" s="478"/>
      <c r="K161" s="479"/>
    </row>
    <row r="162" spans="2:11" ht="16.5" hidden="1">
      <c r="B162" s="478"/>
      <c r="C162" s="478"/>
      <c r="D162" s="478"/>
      <c r="E162" s="479"/>
      <c r="F162" s="478"/>
      <c r="G162" s="478"/>
      <c r="H162" s="480"/>
      <c r="I162" s="479"/>
      <c r="J162" s="478"/>
      <c r="K162" s="479"/>
    </row>
    <row r="163" spans="2:11" ht="16.5" hidden="1">
      <c r="B163" s="478"/>
      <c r="C163" s="478"/>
      <c r="D163" s="478"/>
      <c r="E163" s="479"/>
      <c r="F163" s="478"/>
      <c r="G163" s="478"/>
      <c r="H163" s="480"/>
      <c r="I163" s="479"/>
      <c r="J163" s="478"/>
      <c r="K163" s="479"/>
    </row>
    <row r="164" spans="2:11" ht="16.5" hidden="1">
      <c r="B164" s="478"/>
      <c r="C164" s="478"/>
      <c r="D164" s="478"/>
      <c r="E164" s="479"/>
      <c r="F164" s="478"/>
      <c r="G164" s="478"/>
      <c r="H164" s="480"/>
      <c r="I164" s="479"/>
      <c r="J164" s="478"/>
      <c r="K164" s="479"/>
    </row>
    <row r="165" spans="2:11" ht="16.5" hidden="1">
      <c r="B165" s="478"/>
      <c r="C165" s="478"/>
      <c r="D165" s="478"/>
      <c r="E165" s="479"/>
      <c r="F165" s="478"/>
      <c r="G165" s="478"/>
      <c r="H165" s="480"/>
      <c r="I165" s="479"/>
      <c r="J165" s="478"/>
      <c r="K165" s="479"/>
    </row>
    <row r="166" spans="2:11" ht="16.5" hidden="1">
      <c r="B166" s="478"/>
      <c r="C166" s="478"/>
      <c r="D166" s="478"/>
      <c r="E166" s="479"/>
      <c r="F166" s="478"/>
      <c r="G166" s="478"/>
      <c r="H166" s="480"/>
      <c r="I166" s="479"/>
      <c r="J166" s="478"/>
      <c r="K166" s="479"/>
    </row>
    <row r="167" spans="2:11" ht="16.5" hidden="1">
      <c r="B167" s="478"/>
      <c r="C167" s="478"/>
      <c r="D167" s="478"/>
      <c r="E167" s="479"/>
      <c r="F167" s="478"/>
      <c r="G167" s="478"/>
      <c r="H167" s="480"/>
      <c r="I167" s="479"/>
      <c r="J167" s="478"/>
      <c r="K167" s="479"/>
    </row>
    <row r="168" spans="2:11" ht="16.5" hidden="1">
      <c r="B168" s="478"/>
      <c r="C168" s="478"/>
      <c r="D168" s="478"/>
      <c r="E168" s="479"/>
      <c r="F168" s="478"/>
      <c r="G168" s="478"/>
      <c r="H168" s="480"/>
      <c r="I168" s="479"/>
      <c r="J168" s="478"/>
      <c r="K168" s="479"/>
    </row>
    <row r="169" spans="2:11" ht="16.5" hidden="1">
      <c r="B169" s="478"/>
      <c r="C169" s="478"/>
      <c r="D169" s="478"/>
      <c r="E169" s="479"/>
      <c r="F169" s="478"/>
      <c r="G169" s="478"/>
      <c r="H169" s="480"/>
      <c r="I169" s="479"/>
      <c r="J169" s="478"/>
      <c r="K169" s="479"/>
    </row>
    <row r="170" spans="2:11" ht="16.5" hidden="1">
      <c r="B170" s="478"/>
      <c r="C170" s="478"/>
      <c r="D170" s="478"/>
      <c r="E170" s="479"/>
      <c r="F170" s="478"/>
      <c r="G170" s="478"/>
      <c r="H170" s="480"/>
      <c r="I170" s="479"/>
      <c r="J170" s="478"/>
      <c r="K170" s="479"/>
    </row>
    <row r="171" spans="2:11" ht="16.5" hidden="1">
      <c r="B171" s="478"/>
      <c r="C171" s="478"/>
      <c r="D171" s="478"/>
      <c r="E171" s="479"/>
      <c r="F171" s="478"/>
      <c r="G171" s="478"/>
      <c r="H171" s="480"/>
      <c r="I171" s="479"/>
      <c r="J171" s="478"/>
      <c r="K171" s="479"/>
    </row>
    <row r="172" spans="2:11" ht="16.5" hidden="1">
      <c r="B172" s="478"/>
      <c r="C172" s="478"/>
      <c r="D172" s="478"/>
      <c r="E172" s="479"/>
      <c r="F172" s="478"/>
      <c r="G172" s="478"/>
      <c r="H172" s="480"/>
      <c r="I172" s="479"/>
      <c r="J172" s="478"/>
      <c r="K172" s="479"/>
    </row>
    <row r="173" spans="2:11" ht="16.5" hidden="1">
      <c r="B173" s="478"/>
      <c r="C173" s="478"/>
      <c r="D173" s="478"/>
      <c r="E173" s="479"/>
      <c r="F173" s="478"/>
      <c r="G173" s="478"/>
      <c r="H173" s="480"/>
      <c r="I173" s="479"/>
      <c r="J173" s="478"/>
      <c r="K173" s="479"/>
    </row>
    <row r="174" spans="2:11" ht="16.5" hidden="1">
      <c r="B174" s="478"/>
      <c r="C174" s="478"/>
      <c r="D174" s="478"/>
      <c r="E174" s="479"/>
      <c r="F174" s="478"/>
      <c r="G174" s="478"/>
      <c r="H174" s="480"/>
      <c r="I174" s="479"/>
      <c r="J174" s="478"/>
      <c r="K174" s="479"/>
    </row>
    <row r="175" spans="2:11" ht="16.5" hidden="1">
      <c r="B175" s="478"/>
      <c r="C175" s="478"/>
      <c r="D175" s="478"/>
      <c r="E175" s="479"/>
      <c r="F175" s="478"/>
      <c r="G175" s="478"/>
      <c r="H175" s="480"/>
      <c r="I175" s="479"/>
      <c r="J175" s="478"/>
      <c r="K175" s="479"/>
    </row>
    <row r="176" spans="2:11" ht="16.5" hidden="1">
      <c r="B176" s="478"/>
      <c r="C176" s="478"/>
      <c r="D176" s="478"/>
      <c r="E176" s="479"/>
      <c r="F176" s="478"/>
      <c r="G176" s="478"/>
      <c r="H176" s="480"/>
      <c r="I176" s="479"/>
      <c r="J176" s="478"/>
      <c r="K176" s="479"/>
    </row>
    <row r="177" spans="2:11" ht="16.5" hidden="1">
      <c r="B177" s="478"/>
      <c r="C177" s="478"/>
      <c r="D177" s="478"/>
      <c r="E177" s="479"/>
      <c r="F177" s="478"/>
      <c r="G177" s="478"/>
      <c r="H177" s="480"/>
      <c r="I177" s="479"/>
      <c r="J177" s="478"/>
      <c r="K177" s="479"/>
    </row>
    <row r="178" spans="2:11" ht="16.5" hidden="1">
      <c r="B178" s="478"/>
      <c r="C178" s="478"/>
      <c r="D178" s="478"/>
      <c r="E178" s="479"/>
      <c r="F178" s="478"/>
      <c r="G178" s="478"/>
      <c r="H178" s="480"/>
      <c r="I178" s="479"/>
      <c r="J178" s="478"/>
      <c r="K178" s="479"/>
    </row>
    <row r="179" spans="2:11" ht="16.5" hidden="1">
      <c r="B179" s="478"/>
      <c r="C179" s="478"/>
      <c r="D179" s="478"/>
      <c r="E179" s="479"/>
      <c r="F179" s="478"/>
      <c r="G179" s="478"/>
      <c r="H179" s="480"/>
      <c r="I179" s="479"/>
      <c r="J179" s="478"/>
      <c r="K179" s="479"/>
    </row>
    <row r="180" spans="2:11" ht="16.5" hidden="1">
      <c r="B180" s="478"/>
      <c r="C180" s="478"/>
      <c r="D180" s="478"/>
      <c r="E180" s="479"/>
      <c r="F180" s="478"/>
      <c r="G180" s="478"/>
      <c r="H180" s="480"/>
      <c r="I180" s="479"/>
      <c r="J180" s="478"/>
      <c r="K180" s="479"/>
    </row>
    <row r="181" spans="2:11" ht="16.5" hidden="1">
      <c r="B181" s="478"/>
      <c r="C181" s="478"/>
      <c r="D181" s="478"/>
      <c r="E181" s="479"/>
      <c r="F181" s="478"/>
      <c r="G181" s="478"/>
      <c r="H181" s="480"/>
      <c r="I181" s="479"/>
      <c r="J181" s="478"/>
      <c r="K181" s="479"/>
    </row>
    <row r="182" spans="2:11" ht="16.5" hidden="1">
      <c r="B182" s="478"/>
      <c r="C182" s="478"/>
      <c r="D182" s="478"/>
      <c r="E182" s="479"/>
      <c r="F182" s="478"/>
      <c r="G182" s="478"/>
      <c r="H182" s="480"/>
      <c r="I182" s="479"/>
      <c r="J182" s="478"/>
      <c r="K182" s="479"/>
    </row>
    <row r="183" spans="2:11" ht="16.5" hidden="1">
      <c r="B183" s="478"/>
      <c r="C183" s="478"/>
      <c r="D183" s="478"/>
      <c r="E183" s="479"/>
      <c r="F183" s="478"/>
      <c r="G183" s="478"/>
      <c r="H183" s="480"/>
      <c r="I183" s="479"/>
      <c r="J183" s="478"/>
      <c r="K183" s="479"/>
    </row>
    <row r="184" spans="2:11" ht="16.5" hidden="1">
      <c r="B184" s="478"/>
      <c r="C184" s="478"/>
      <c r="D184" s="478"/>
      <c r="E184" s="479"/>
      <c r="F184" s="478"/>
      <c r="G184" s="478"/>
      <c r="H184" s="480"/>
      <c r="I184" s="479"/>
      <c r="J184" s="478"/>
      <c r="K184" s="479"/>
    </row>
    <row r="185" spans="2:11" ht="16.5" hidden="1">
      <c r="B185" s="478"/>
      <c r="C185" s="478"/>
      <c r="D185" s="478"/>
      <c r="E185" s="479"/>
      <c r="F185" s="478"/>
      <c r="G185" s="478"/>
      <c r="H185" s="480"/>
      <c r="I185" s="479"/>
      <c r="J185" s="478"/>
      <c r="K185" s="479"/>
    </row>
    <row r="186" spans="2:11" ht="16.5" hidden="1">
      <c r="B186" s="478"/>
      <c r="C186" s="478"/>
      <c r="D186" s="478"/>
      <c r="E186" s="479"/>
      <c r="F186" s="478"/>
      <c r="G186" s="478"/>
      <c r="H186" s="480"/>
      <c r="I186" s="479"/>
      <c r="J186" s="478"/>
      <c r="K186" s="479"/>
    </row>
    <row r="187" spans="2:11" ht="16.5" hidden="1">
      <c r="B187" s="478"/>
      <c r="C187" s="478"/>
      <c r="D187" s="478"/>
      <c r="E187" s="479"/>
      <c r="F187" s="478"/>
      <c r="G187" s="478"/>
      <c r="H187" s="480"/>
      <c r="I187" s="479"/>
      <c r="J187" s="478"/>
      <c r="K187" s="479"/>
    </row>
    <row r="188" spans="2:11" ht="16.5" hidden="1">
      <c r="B188" s="478"/>
      <c r="C188" s="478"/>
      <c r="D188" s="478"/>
      <c r="E188" s="479"/>
      <c r="F188" s="478"/>
      <c r="G188" s="478"/>
      <c r="H188" s="480"/>
      <c r="I188" s="479"/>
      <c r="J188" s="478"/>
      <c r="K188" s="479"/>
    </row>
    <row r="189" spans="2:11" ht="16.5" hidden="1">
      <c r="B189" s="478"/>
      <c r="C189" s="478"/>
      <c r="D189" s="478"/>
      <c r="E189" s="479"/>
      <c r="F189" s="478"/>
      <c r="G189" s="478"/>
      <c r="H189" s="480"/>
      <c r="I189" s="479"/>
      <c r="J189" s="478"/>
      <c r="K189" s="479"/>
    </row>
    <row r="190" spans="2:11" ht="16.5" hidden="1">
      <c r="B190" s="478"/>
      <c r="C190" s="478"/>
      <c r="D190" s="478"/>
      <c r="E190" s="479"/>
      <c r="F190" s="478"/>
      <c r="G190" s="478"/>
      <c r="H190" s="480"/>
      <c r="I190" s="479"/>
      <c r="J190" s="478"/>
      <c r="K190" s="479"/>
    </row>
  </sheetData>
  <sheetProtection algorithmName="SHA-512" hashValue="PhD9KM6WwN2959n2QQnMkCUpiGxU99wvWxkdUuwSBumUgRwcMUU7HufJRHhqNF2m3aWykJh/sN+9SWQ8V2tapQ==" saltValue="qhfAhehy0BQ3+/dUXcyQCA==" spinCount="100000" sheet="1" objects="1" scenarios="1"/>
  <sortState ref="B2:K190">
    <sortCondition ref="C3:C190"/>
    <sortCondition ref="E3:E190"/>
    <sortCondition ref="G3:G190"/>
    <sortCondition ref="I3:I190"/>
  </sortState>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IK194"/>
  <sheetViews>
    <sheetView topLeftCell="XFD1048576" workbookViewId="0"/>
  </sheetViews>
  <sheetFormatPr defaultColWidth="0" defaultRowHeight="14.25" zeroHeight="1"/>
  <cols>
    <col min="1" max="9" width="9.33203125" style="474" hidden="1"/>
    <col min="10" max="10" width="15.6640625" style="474" hidden="1"/>
    <col min="11" max="16" width="9.33203125" style="474" hidden="1"/>
    <col min="17" max="17" width="14.6640625" style="474" hidden="1"/>
    <col min="18" max="128" width="9.33203125" style="474" hidden="1"/>
    <col min="129" max="129" width="9.33203125" style="475" hidden="1"/>
    <col min="130" max="133" width="9.33203125" style="474" hidden="1"/>
    <col min="134" max="134" width="14.33203125" style="474" hidden="1"/>
    <col min="135" max="152" width="9.33203125" style="474" hidden="1"/>
    <col min="153" max="153" width="10.33203125" style="474" hidden="1"/>
    <col min="154" max="16384" width="9.33203125" style="474" hidden="1"/>
  </cols>
  <sheetData>
    <row r="1" spans="1:245" s="298" customFormat="1" hidden="1">
      <c r="A1" s="298" t="s">
        <v>270</v>
      </c>
      <c r="B1" s="624">
        <v>42338</v>
      </c>
      <c r="J1" s="494" t="str">
        <f>B1&amp;TEXT(F1,"00")&amp;TEXT(H1,"00")</f>
        <v>423380000</v>
      </c>
      <c r="M1" s="50" t="s">
        <v>271</v>
      </c>
      <c r="N1" s="50"/>
      <c r="O1" s="50">
        <v>1050122</v>
      </c>
      <c r="P1" s="50"/>
      <c r="Q1" s="494" t="str">
        <f>N1&amp;TEXT(O1,"00")&amp;TEXT(P1,"00")</f>
        <v>105012200</v>
      </c>
      <c r="DY1" s="495"/>
      <c r="DZ1" s="298" t="s">
        <v>272</v>
      </c>
      <c r="ED1" s="494" t="str">
        <f t="shared" ref="ED1:ED64" si="0">EA1&amp;TEXT(EB1,"00")&amp;TEXT(EC1,"00")</f>
        <v>0000</v>
      </c>
    </row>
    <row r="2" spans="1:245" ht="24" hidden="1">
      <c r="A2" s="516" t="s">
        <v>163</v>
      </c>
      <c r="B2" s="516" t="s">
        <v>20</v>
      </c>
      <c r="C2" s="516" t="s">
        <v>657</v>
      </c>
      <c r="D2" s="516" t="s">
        <v>717</v>
      </c>
      <c r="E2" s="516" t="s">
        <v>718</v>
      </c>
      <c r="F2" s="516" t="s">
        <v>24</v>
      </c>
      <c r="G2" s="516" t="s">
        <v>719</v>
      </c>
      <c r="H2" s="516" t="s">
        <v>21</v>
      </c>
      <c r="I2" s="516" t="s">
        <v>1007</v>
      </c>
      <c r="J2" s="494" t="str">
        <f t="shared" ref="J2:J65" si="1">B2&amp;TEXT(F2,"00")&amp;TEXT(H2,"00")</f>
        <v>商品代號性別年齡</v>
      </c>
      <c r="K2" s="516" t="s">
        <v>1008</v>
      </c>
      <c r="M2" s="516" t="s">
        <v>163</v>
      </c>
      <c r="N2" s="516" t="s">
        <v>20</v>
      </c>
      <c r="O2" s="516" t="s">
        <v>24</v>
      </c>
      <c r="P2" s="516" t="s">
        <v>21</v>
      </c>
      <c r="Q2" s="494" t="str">
        <f t="shared" ref="Q2:Q65" si="2">N2&amp;TEXT(O2,"00")&amp;TEXT(P2,"00")</f>
        <v>商品代號性別年齡</v>
      </c>
      <c r="R2" s="516" t="s">
        <v>273</v>
      </c>
      <c r="S2" s="516" t="s">
        <v>274</v>
      </c>
      <c r="T2" s="516" t="s">
        <v>275</v>
      </c>
      <c r="U2" s="516" t="s">
        <v>276</v>
      </c>
      <c r="V2" s="516" t="s">
        <v>277</v>
      </c>
      <c r="W2" s="516" t="s">
        <v>278</v>
      </c>
      <c r="X2" s="516" t="s">
        <v>279</v>
      </c>
      <c r="Y2" s="516" t="s">
        <v>280</v>
      </c>
      <c r="Z2" s="516" t="s">
        <v>281</v>
      </c>
      <c r="AA2" s="516" t="s">
        <v>282</v>
      </c>
      <c r="AB2" s="516" t="s">
        <v>283</v>
      </c>
      <c r="AC2" s="516" t="s">
        <v>284</v>
      </c>
      <c r="AD2" s="516" t="s">
        <v>285</v>
      </c>
      <c r="AE2" s="516" t="s">
        <v>286</v>
      </c>
      <c r="AF2" s="516" t="s">
        <v>287</v>
      </c>
      <c r="AG2" s="516" t="s">
        <v>288</v>
      </c>
      <c r="AH2" s="516" t="s">
        <v>289</v>
      </c>
      <c r="AI2" s="516" t="s">
        <v>290</v>
      </c>
      <c r="AJ2" s="516" t="s">
        <v>291</v>
      </c>
      <c r="AK2" s="516" t="s">
        <v>292</v>
      </c>
      <c r="AL2" s="516" t="s">
        <v>293</v>
      </c>
      <c r="AM2" s="516" t="s">
        <v>294</v>
      </c>
      <c r="AN2" s="516" t="s">
        <v>295</v>
      </c>
      <c r="AO2" s="516" t="s">
        <v>296</v>
      </c>
      <c r="AP2" s="516" t="s">
        <v>297</v>
      </c>
      <c r="AQ2" s="516" t="s">
        <v>298</v>
      </c>
      <c r="AR2" s="516" t="s">
        <v>299</v>
      </c>
      <c r="AS2" s="516" t="s">
        <v>300</v>
      </c>
      <c r="AT2" s="516" t="s">
        <v>301</v>
      </c>
      <c r="AU2" s="516" t="s">
        <v>302</v>
      </c>
      <c r="AV2" s="516" t="s">
        <v>303</v>
      </c>
      <c r="AW2" s="516" t="s">
        <v>304</v>
      </c>
      <c r="AX2" s="516" t="s">
        <v>305</v>
      </c>
      <c r="AY2" s="516" t="s">
        <v>306</v>
      </c>
      <c r="AZ2" s="516" t="s">
        <v>307</v>
      </c>
      <c r="BA2" s="516" t="s">
        <v>308</v>
      </c>
      <c r="BB2" s="516" t="s">
        <v>309</v>
      </c>
      <c r="BC2" s="516" t="s">
        <v>310</v>
      </c>
      <c r="BD2" s="516" t="s">
        <v>311</v>
      </c>
      <c r="BE2" s="516" t="s">
        <v>312</v>
      </c>
      <c r="BF2" s="516" t="s">
        <v>313</v>
      </c>
      <c r="BG2" s="516" t="s">
        <v>314</v>
      </c>
      <c r="BH2" s="516" t="s">
        <v>315</v>
      </c>
      <c r="BI2" s="516" t="s">
        <v>316</v>
      </c>
      <c r="BJ2" s="516" t="s">
        <v>317</v>
      </c>
      <c r="BK2" s="516" t="s">
        <v>318</v>
      </c>
      <c r="BL2" s="516" t="s">
        <v>319</v>
      </c>
      <c r="BM2" s="516" t="s">
        <v>320</v>
      </c>
      <c r="BN2" s="516" t="s">
        <v>321</v>
      </c>
      <c r="BO2" s="516" t="s">
        <v>322</v>
      </c>
      <c r="BP2" s="516" t="s">
        <v>323</v>
      </c>
      <c r="BQ2" s="516" t="s">
        <v>324</v>
      </c>
      <c r="BR2" s="516" t="s">
        <v>325</v>
      </c>
      <c r="BS2" s="516" t="s">
        <v>326</v>
      </c>
      <c r="BT2" s="516" t="s">
        <v>327</v>
      </c>
      <c r="BU2" s="516" t="s">
        <v>328</v>
      </c>
      <c r="BV2" s="516" t="s">
        <v>329</v>
      </c>
      <c r="BW2" s="516" t="s">
        <v>330</v>
      </c>
      <c r="BX2" s="516" t="s">
        <v>331</v>
      </c>
      <c r="BY2" s="516" t="s">
        <v>332</v>
      </c>
      <c r="BZ2" s="516" t="s">
        <v>333</v>
      </c>
      <c r="CA2" s="516" t="s">
        <v>334</v>
      </c>
      <c r="CB2" s="516" t="s">
        <v>335</v>
      </c>
      <c r="CC2" s="516" t="s">
        <v>336</v>
      </c>
      <c r="CD2" s="516" t="s">
        <v>337</v>
      </c>
      <c r="CE2" s="516" t="s">
        <v>338</v>
      </c>
      <c r="CF2" s="516" t="s">
        <v>339</v>
      </c>
      <c r="CG2" s="516" t="s">
        <v>340</v>
      </c>
      <c r="CH2" s="516" t="s">
        <v>341</v>
      </c>
      <c r="CI2" s="516" t="s">
        <v>342</v>
      </c>
      <c r="CJ2" s="516" t="s">
        <v>343</v>
      </c>
      <c r="CK2" s="516" t="s">
        <v>344</v>
      </c>
      <c r="CL2" s="516" t="s">
        <v>345</v>
      </c>
      <c r="CM2" s="516" t="s">
        <v>346</v>
      </c>
      <c r="CN2" s="516" t="s">
        <v>347</v>
      </c>
      <c r="CO2" s="516" t="s">
        <v>348</v>
      </c>
      <c r="CP2" s="516" t="s">
        <v>349</v>
      </c>
      <c r="CQ2" s="516" t="s">
        <v>350</v>
      </c>
      <c r="CR2" s="516" t="s">
        <v>351</v>
      </c>
      <c r="CS2" s="516" t="s">
        <v>352</v>
      </c>
      <c r="CT2" s="516" t="s">
        <v>353</v>
      </c>
      <c r="CU2" s="516" t="s">
        <v>354</v>
      </c>
      <c r="CV2" s="516" t="s">
        <v>355</v>
      </c>
      <c r="CW2" s="516" t="s">
        <v>356</v>
      </c>
      <c r="CX2" s="516" t="s">
        <v>357</v>
      </c>
      <c r="CY2" s="516" t="s">
        <v>358</v>
      </c>
      <c r="CZ2" s="516" t="s">
        <v>359</v>
      </c>
      <c r="DA2" s="516" t="s">
        <v>360</v>
      </c>
      <c r="DB2" s="516" t="s">
        <v>361</v>
      </c>
      <c r="DC2" s="516" t="s">
        <v>362</v>
      </c>
      <c r="DD2" s="516" t="s">
        <v>363</v>
      </c>
      <c r="DE2" s="516" t="s">
        <v>364</v>
      </c>
      <c r="DF2" s="516" t="s">
        <v>365</v>
      </c>
      <c r="DG2" s="516" t="s">
        <v>366</v>
      </c>
      <c r="DH2" s="516" t="s">
        <v>367</v>
      </c>
      <c r="DI2" s="516" t="s">
        <v>368</v>
      </c>
      <c r="DJ2" s="516" t="s">
        <v>369</v>
      </c>
      <c r="DK2" s="516" t="s">
        <v>370</v>
      </c>
      <c r="DL2" s="516" t="s">
        <v>371</v>
      </c>
      <c r="DM2" s="516" t="s">
        <v>372</v>
      </c>
      <c r="DN2" s="516" t="s">
        <v>373</v>
      </c>
      <c r="DO2" s="516" t="s">
        <v>374</v>
      </c>
      <c r="DP2" s="516" t="s">
        <v>375</v>
      </c>
      <c r="DQ2" s="516" t="s">
        <v>376</v>
      </c>
      <c r="DR2" s="516" t="s">
        <v>377</v>
      </c>
      <c r="DS2" s="516" t="s">
        <v>378</v>
      </c>
      <c r="DT2" s="516" t="s">
        <v>379</v>
      </c>
      <c r="DU2" s="516" t="s">
        <v>380</v>
      </c>
      <c r="DV2" s="516" t="s">
        <v>381</v>
      </c>
      <c r="DW2" s="516" t="s">
        <v>382</v>
      </c>
      <c r="DX2" s="516" t="s">
        <v>383</v>
      </c>
      <c r="DY2" s="476"/>
      <c r="DZ2" s="516" t="s">
        <v>163</v>
      </c>
      <c r="EA2" s="516" t="s">
        <v>20</v>
      </c>
      <c r="EB2" s="516" t="s">
        <v>24</v>
      </c>
      <c r="EC2" s="516" t="s">
        <v>21</v>
      </c>
      <c r="ED2" s="494" t="str">
        <f t="shared" si="0"/>
        <v>商品代號性別年齡</v>
      </c>
      <c r="EE2" s="516" t="s">
        <v>384</v>
      </c>
      <c r="EF2" s="516" t="s">
        <v>385</v>
      </c>
      <c r="EG2" s="516" t="s">
        <v>386</v>
      </c>
      <c r="EH2" s="516" t="s">
        <v>387</v>
      </c>
      <c r="EI2" s="516" t="s">
        <v>388</v>
      </c>
      <c r="EJ2" s="516" t="s">
        <v>389</v>
      </c>
      <c r="EK2" s="516" t="s">
        <v>390</v>
      </c>
      <c r="EL2" s="516" t="s">
        <v>391</v>
      </c>
      <c r="EM2" s="516" t="s">
        <v>392</v>
      </c>
      <c r="EN2" s="516" t="s">
        <v>393</v>
      </c>
      <c r="EO2" s="516" t="s">
        <v>394</v>
      </c>
      <c r="EP2" s="516" t="s">
        <v>395</v>
      </c>
      <c r="EQ2" s="516" t="s">
        <v>396</v>
      </c>
      <c r="ER2" s="516" t="s">
        <v>397</v>
      </c>
      <c r="ES2" s="516" t="s">
        <v>398</v>
      </c>
      <c r="ET2" s="516" t="s">
        <v>399</v>
      </c>
      <c r="EU2" s="516" t="s">
        <v>400</v>
      </c>
      <c r="EV2" s="516" t="s">
        <v>401</v>
      </c>
      <c r="EW2" s="516" t="s">
        <v>402</v>
      </c>
      <c r="EX2" s="516" t="s">
        <v>403</v>
      </c>
      <c r="EY2" s="516" t="s">
        <v>404</v>
      </c>
      <c r="EZ2" s="516" t="s">
        <v>405</v>
      </c>
      <c r="FA2" s="516" t="s">
        <v>406</v>
      </c>
      <c r="FB2" s="516" t="s">
        <v>407</v>
      </c>
      <c r="FC2" s="516" t="s">
        <v>408</v>
      </c>
      <c r="FD2" s="516" t="s">
        <v>409</v>
      </c>
      <c r="FE2" s="516" t="s">
        <v>410</v>
      </c>
      <c r="FF2" s="516" t="s">
        <v>411</v>
      </c>
      <c r="FG2" s="516" t="s">
        <v>412</v>
      </c>
      <c r="FH2" s="516" t="s">
        <v>413</v>
      </c>
      <c r="FI2" s="516" t="s">
        <v>414</v>
      </c>
      <c r="FJ2" s="516" t="s">
        <v>415</v>
      </c>
      <c r="FK2" s="516" t="s">
        <v>416</v>
      </c>
      <c r="FL2" s="516" t="s">
        <v>417</v>
      </c>
      <c r="FM2" s="516" t="s">
        <v>418</v>
      </c>
      <c r="FN2" s="516" t="s">
        <v>419</v>
      </c>
      <c r="FO2" s="516" t="s">
        <v>420</v>
      </c>
      <c r="FP2" s="516" t="s">
        <v>421</v>
      </c>
      <c r="FQ2" s="516" t="s">
        <v>422</v>
      </c>
      <c r="FR2" s="516" t="s">
        <v>423</v>
      </c>
      <c r="FS2" s="516" t="s">
        <v>424</v>
      </c>
      <c r="FT2" s="516" t="s">
        <v>425</v>
      </c>
      <c r="FU2" s="516" t="s">
        <v>426</v>
      </c>
      <c r="FV2" s="516" t="s">
        <v>427</v>
      </c>
      <c r="FW2" s="516" t="s">
        <v>428</v>
      </c>
      <c r="FX2" s="516" t="s">
        <v>429</v>
      </c>
      <c r="FY2" s="516" t="s">
        <v>430</v>
      </c>
      <c r="FZ2" s="516" t="s">
        <v>431</v>
      </c>
      <c r="GA2" s="516" t="s">
        <v>432</v>
      </c>
      <c r="GB2" s="516" t="s">
        <v>433</v>
      </c>
      <c r="GC2" s="516" t="s">
        <v>434</v>
      </c>
      <c r="GD2" s="516" t="s">
        <v>435</v>
      </c>
      <c r="GE2" s="516" t="s">
        <v>436</v>
      </c>
      <c r="GF2" s="516" t="s">
        <v>437</v>
      </c>
      <c r="GG2" s="516" t="s">
        <v>438</v>
      </c>
      <c r="GH2" s="516" t="s">
        <v>439</v>
      </c>
      <c r="GI2" s="516" t="s">
        <v>440</v>
      </c>
      <c r="GJ2" s="516" t="s">
        <v>441</v>
      </c>
      <c r="GK2" s="516" t="s">
        <v>442</v>
      </c>
      <c r="GL2" s="516" t="s">
        <v>443</v>
      </c>
      <c r="GM2" s="516" t="s">
        <v>444</v>
      </c>
      <c r="GN2" s="516" t="s">
        <v>445</v>
      </c>
      <c r="GO2" s="516" t="s">
        <v>446</v>
      </c>
      <c r="GP2" s="516" t="s">
        <v>447</v>
      </c>
      <c r="GQ2" s="516" t="s">
        <v>448</v>
      </c>
      <c r="GR2" s="516" t="s">
        <v>449</v>
      </c>
      <c r="GS2" s="516" t="s">
        <v>450</v>
      </c>
      <c r="GT2" s="516" t="s">
        <v>451</v>
      </c>
      <c r="GU2" s="516" t="s">
        <v>452</v>
      </c>
      <c r="GV2" s="516" t="s">
        <v>453</v>
      </c>
      <c r="GW2" s="516" t="s">
        <v>454</v>
      </c>
      <c r="GX2" s="516" t="s">
        <v>455</v>
      </c>
      <c r="GY2" s="516" t="s">
        <v>456</v>
      </c>
      <c r="GZ2" s="516" t="s">
        <v>457</v>
      </c>
      <c r="HA2" s="516" t="s">
        <v>458</v>
      </c>
      <c r="HB2" s="516" t="s">
        <v>459</v>
      </c>
      <c r="HC2" s="516" t="s">
        <v>460</v>
      </c>
      <c r="HD2" s="516" t="s">
        <v>461</v>
      </c>
      <c r="HE2" s="516" t="s">
        <v>462</v>
      </c>
      <c r="HF2" s="516" t="s">
        <v>463</v>
      </c>
      <c r="HG2" s="516" t="s">
        <v>464</v>
      </c>
      <c r="HH2" s="516" t="s">
        <v>465</v>
      </c>
      <c r="HI2" s="516" t="s">
        <v>466</v>
      </c>
      <c r="HJ2" s="516" t="s">
        <v>467</v>
      </c>
      <c r="HK2" s="516" t="s">
        <v>468</v>
      </c>
      <c r="HL2" s="516" t="s">
        <v>469</v>
      </c>
      <c r="HM2" s="516" t="s">
        <v>470</v>
      </c>
      <c r="HN2" s="516" t="s">
        <v>471</v>
      </c>
      <c r="HO2" s="516" t="s">
        <v>472</v>
      </c>
      <c r="HP2" s="516" t="s">
        <v>473</v>
      </c>
      <c r="HQ2" s="516" t="s">
        <v>474</v>
      </c>
      <c r="HR2" s="516" t="s">
        <v>475</v>
      </c>
      <c r="HS2" s="516" t="s">
        <v>476</v>
      </c>
      <c r="HT2" s="516" t="s">
        <v>477</v>
      </c>
      <c r="HU2" s="516" t="s">
        <v>478</v>
      </c>
      <c r="HV2" s="516" t="s">
        <v>479</v>
      </c>
      <c r="HW2" s="516" t="s">
        <v>480</v>
      </c>
      <c r="HX2" s="516" t="s">
        <v>481</v>
      </c>
      <c r="HY2" s="516" t="s">
        <v>482</v>
      </c>
      <c r="HZ2" s="516" t="s">
        <v>483</v>
      </c>
      <c r="IA2" s="516" t="s">
        <v>484</v>
      </c>
      <c r="IB2" s="516" t="s">
        <v>485</v>
      </c>
      <c r="IC2" s="516" t="s">
        <v>486</v>
      </c>
      <c r="ID2" s="516" t="s">
        <v>487</v>
      </c>
      <c r="IE2" s="516" t="s">
        <v>488</v>
      </c>
      <c r="IF2" s="516" t="s">
        <v>489</v>
      </c>
      <c r="IG2" s="516" t="s">
        <v>490</v>
      </c>
      <c r="IH2" s="516" t="s">
        <v>491</v>
      </c>
      <c r="II2" s="516" t="s">
        <v>492</v>
      </c>
      <c r="IJ2" s="516" t="s">
        <v>493</v>
      </c>
      <c r="IK2" s="516" t="s">
        <v>494</v>
      </c>
    </row>
    <row r="3" spans="1:245" ht="16.5" hidden="1">
      <c r="A3" s="517" t="s">
        <v>721</v>
      </c>
      <c r="B3" s="517" t="s">
        <v>1101</v>
      </c>
      <c r="C3" s="517" t="s">
        <v>721</v>
      </c>
      <c r="D3" s="558"/>
      <c r="E3" s="517" t="s">
        <v>721</v>
      </c>
      <c r="F3" s="517" t="s">
        <v>25</v>
      </c>
      <c r="G3" s="558"/>
      <c r="H3" s="518">
        <v>15</v>
      </c>
      <c r="I3" s="558"/>
      <c r="J3" s="494" t="str">
        <f t="shared" si="1"/>
        <v>SWUC100115</v>
      </c>
      <c r="K3" s="518">
        <v>42</v>
      </c>
      <c r="M3" s="517" t="s">
        <v>721</v>
      </c>
      <c r="N3" s="517" t="s">
        <v>1101</v>
      </c>
      <c r="O3" s="517" t="s">
        <v>25</v>
      </c>
      <c r="P3" s="518">
        <v>15</v>
      </c>
      <c r="Q3" s="494" t="str">
        <f t="shared" si="2"/>
        <v>SWUC100115</v>
      </c>
      <c r="R3" s="518">
        <v>0</v>
      </c>
      <c r="S3" s="518">
        <v>4</v>
      </c>
      <c r="T3" s="518">
        <v>8</v>
      </c>
      <c r="U3" s="518">
        <v>11</v>
      </c>
      <c r="V3" s="518">
        <v>14</v>
      </c>
      <c r="W3" s="518">
        <v>19</v>
      </c>
      <c r="X3" s="518">
        <v>24</v>
      </c>
      <c r="Y3" s="518">
        <v>30</v>
      </c>
      <c r="Z3" s="518">
        <v>35</v>
      </c>
      <c r="AA3" s="518">
        <v>0</v>
      </c>
      <c r="AB3" s="518">
        <v>0</v>
      </c>
      <c r="AC3" s="518">
        <v>0</v>
      </c>
      <c r="AD3" s="518">
        <v>0</v>
      </c>
      <c r="AE3" s="518">
        <v>0</v>
      </c>
      <c r="AF3" s="518">
        <v>0</v>
      </c>
      <c r="AG3" s="518">
        <v>0</v>
      </c>
      <c r="AH3" s="518">
        <v>0</v>
      </c>
      <c r="AI3" s="518">
        <v>0</v>
      </c>
      <c r="AJ3" s="518">
        <v>0</v>
      </c>
      <c r="AK3" s="518">
        <v>0</v>
      </c>
      <c r="AL3" s="518">
        <v>0</v>
      </c>
      <c r="AM3" s="518">
        <v>0</v>
      </c>
      <c r="AN3" s="518">
        <v>0</v>
      </c>
      <c r="AO3" s="518">
        <v>0</v>
      </c>
      <c r="AP3" s="518">
        <v>0</v>
      </c>
      <c r="AQ3" s="518">
        <v>0</v>
      </c>
      <c r="AR3" s="518">
        <v>0</v>
      </c>
      <c r="AS3" s="518">
        <v>0</v>
      </c>
      <c r="AT3" s="518">
        <v>0</v>
      </c>
      <c r="AU3" s="518">
        <v>0</v>
      </c>
      <c r="AV3" s="518">
        <v>0</v>
      </c>
      <c r="AW3" s="518">
        <v>0</v>
      </c>
      <c r="AX3" s="518">
        <v>0</v>
      </c>
      <c r="AY3" s="518">
        <v>0</v>
      </c>
      <c r="AZ3" s="518">
        <v>0</v>
      </c>
      <c r="BA3" s="518">
        <v>0</v>
      </c>
      <c r="BB3" s="518">
        <v>0</v>
      </c>
      <c r="BC3" s="518">
        <v>0</v>
      </c>
      <c r="BD3" s="518">
        <v>0</v>
      </c>
      <c r="BE3" s="518">
        <v>0</v>
      </c>
      <c r="BF3" s="518">
        <v>0</v>
      </c>
      <c r="BG3" s="518">
        <v>0</v>
      </c>
      <c r="BH3" s="518">
        <v>0</v>
      </c>
      <c r="BI3" s="518">
        <v>0</v>
      </c>
      <c r="BJ3" s="518">
        <v>0</v>
      </c>
      <c r="BK3" s="518">
        <v>0</v>
      </c>
      <c r="BL3" s="518">
        <v>0</v>
      </c>
      <c r="BM3" s="518">
        <v>0</v>
      </c>
      <c r="BN3" s="518">
        <v>0</v>
      </c>
      <c r="BO3" s="518">
        <v>0</v>
      </c>
      <c r="BP3" s="518">
        <v>0</v>
      </c>
      <c r="BQ3" s="518">
        <v>0</v>
      </c>
      <c r="BR3" s="518">
        <v>0</v>
      </c>
      <c r="BS3" s="518">
        <v>0</v>
      </c>
      <c r="BT3" s="518">
        <v>0</v>
      </c>
      <c r="BU3" s="518">
        <v>0</v>
      </c>
      <c r="BV3" s="518">
        <v>0</v>
      </c>
      <c r="BW3" s="518">
        <v>0</v>
      </c>
      <c r="BX3" s="518">
        <v>0</v>
      </c>
      <c r="BY3" s="518">
        <v>0</v>
      </c>
      <c r="BZ3" s="518">
        <v>0</v>
      </c>
      <c r="CA3" s="518">
        <v>0</v>
      </c>
      <c r="CB3" s="518">
        <v>0</v>
      </c>
      <c r="CC3" s="518">
        <v>0</v>
      </c>
      <c r="CD3" s="518">
        <v>0</v>
      </c>
      <c r="CE3" s="518">
        <v>0</v>
      </c>
      <c r="CF3" s="518">
        <v>0</v>
      </c>
      <c r="CG3" s="518">
        <v>0</v>
      </c>
      <c r="CH3" s="518">
        <v>0</v>
      </c>
      <c r="CI3" s="518">
        <v>0</v>
      </c>
      <c r="CJ3" s="518">
        <v>0</v>
      </c>
      <c r="CK3" s="518">
        <v>0</v>
      </c>
      <c r="CL3" s="518">
        <v>0</v>
      </c>
      <c r="CM3" s="518">
        <v>0</v>
      </c>
      <c r="CN3" s="518">
        <v>0</v>
      </c>
      <c r="CO3" s="518">
        <v>0</v>
      </c>
      <c r="CP3" s="518">
        <v>0</v>
      </c>
      <c r="CQ3" s="518">
        <v>0</v>
      </c>
      <c r="CR3" s="518">
        <v>0</v>
      </c>
      <c r="CS3" s="518">
        <v>0</v>
      </c>
      <c r="CT3" s="518">
        <v>0</v>
      </c>
      <c r="CU3" s="518">
        <v>0</v>
      </c>
      <c r="CV3" s="518">
        <v>0</v>
      </c>
      <c r="CW3" s="518">
        <v>0</v>
      </c>
      <c r="CX3" s="518">
        <v>0</v>
      </c>
      <c r="CY3" s="518">
        <v>0</v>
      </c>
      <c r="CZ3" s="518">
        <v>0</v>
      </c>
      <c r="DA3" s="518">
        <v>0</v>
      </c>
      <c r="DB3" s="518">
        <v>0</v>
      </c>
      <c r="DC3" s="518">
        <v>0</v>
      </c>
      <c r="DD3" s="518">
        <v>0</v>
      </c>
      <c r="DE3" s="518">
        <v>0</v>
      </c>
      <c r="DF3" s="518">
        <v>0</v>
      </c>
      <c r="DG3" s="518">
        <v>0</v>
      </c>
      <c r="DH3" s="518">
        <v>0</v>
      </c>
      <c r="DI3" s="518">
        <v>0</v>
      </c>
      <c r="DJ3" s="518">
        <v>0</v>
      </c>
      <c r="DK3" s="518">
        <v>0</v>
      </c>
      <c r="DL3" s="518">
        <v>0</v>
      </c>
      <c r="DM3" s="518">
        <v>0</v>
      </c>
      <c r="DN3" s="518">
        <v>0</v>
      </c>
      <c r="DO3" s="518">
        <v>0</v>
      </c>
      <c r="DP3" s="518">
        <v>0</v>
      </c>
      <c r="DQ3" s="518">
        <v>0</v>
      </c>
      <c r="DR3" s="518">
        <v>0</v>
      </c>
      <c r="DS3" s="518">
        <v>0</v>
      </c>
      <c r="DT3" s="518">
        <v>0</v>
      </c>
      <c r="DU3" s="518">
        <v>0</v>
      </c>
      <c r="DV3" s="518">
        <v>0</v>
      </c>
      <c r="DW3" s="518">
        <v>0</v>
      </c>
      <c r="DX3" s="518">
        <v>0</v>
      </c>
      <c r="DY3" s="477"/>
      <c r="DZ3" s="517" t="s">
        <v>721</v>
      </c>
      <c r="EA3" s="517" t="s">
        <v>1101</v>
      </c>
      <c r="EB3" s="517" t="s">
        <v>25</v>
      </c>
      <c r="EC3" s="518">
        <v>15</v>
      </c>
      <c r="ED3" s="494" t="str">
        <f t="shared" si="0"/>
        <v>SWUC100115</v>
      </c>
      <c r="EE3" s="518">
        <v>10000</v>
      </c>
      <c r="EF3" s="518">
        <v>10000</v>
      </c>
      <c r="EG3" s="518">
        <v>10000</v>
      </c>
      <c r="EH3" s="518">
        <v>10000</v>
      </c>
      <c r="EI3" s="518">
        <v>10000</v>
      </c>
      <c r="EJ3" s="518">
        <v>10000</v>
      </c>
      <c r="EK3" s="518">
        <v>10000</v>
      </c>
      <c r="EL3" s="518">
        <v>10000</v>
      </c>
      <c r="EM3" s="518">
        <v>10000</v>
      </c>
      <c r="EN3" s="518">
        <v>10000</v>
      </c>
      <c r="EO3" s="518">
        <v>0</v>
      </c>
      <c r="EP3" s="518">
        <v>0</v>
      </c>
      <c r="EQ3" s="518">
        <v>0</v>
      </c>
      <c r="ER3" s="518">
        <v>0</v>
      </c>
      <c r="ES3" s="518">
        <v>0</v>
      </c>
      <c r="ET3" s="518">
        <v>0</v>
      </c>
      <c r="EU3" s="518">
        <v>0</v>
      </c>
      <c r="EV3" s="518">
        <v>0</v>
      </c>
      <c r="EW3" s="518">
        <v>0</v>
      </c>
      <c r="EX3" s="518">
        <v>0</v>
      </c>
      <c r="EY3" s="518">
        <v>0</v>
      </c>
      <c r="EZ3" s="518">
        <v>0</v>
      </c>
      <c r="FA3" s="518">
        <v>0</v>
      </c>
      <c r="FB3" s="518">
        <v>0</v>
      </c>
      <c r="FC3" s="518">
        <v>0</v>
      </c>
      <c r="FD3" s="518">
        <v>0</v>
      </c>
      <c r="FE3" s="518">
        <v>0</v>
      </c>
      <c r="FF3" s="518">
        <v>0</v>
      </c>
      <c r="FG3" s="518">
        <v>0</v>
      </c>
      <c r="FH3" s="518">
        <v>0</v>
      </c>
      <c r="FI3" s="518">
        <v>0</v>
      </c>
      <c r="FJ3" s="518">
        <v>0</v>
      </c>
      <c r="FK3" s="518">
        <v>0</v>
      </c>
      <c r="FL3" s="518">
        <v>0</v>
      </c>
      <c r="FM3" s="518">
        <v>0</v>
      </c>
      <c r="FN3" s="518">
        <v>0</v>
      </c>
      <c r="FO3" s="518">
        <v>0</v>
      </c>
      <c r="FP3" s="518">
        <v>0</v>
      </c>
      <c r="FQ3" s="518">
        <v>0</v>
      </c>
      <c r="FR3" s="518">
        <v>0</v>
      </c>
      <c r="FS3" s="518">
        <v>0</v>
      </c>
      <c r="FT3" s="518">
        <v>0</v>
      </c>
      <c r="FU3" s="518">
        <v>0</v>
      </c>
      <c r="FV3" s="518">
        <v>0</v>
      </c>
      <c r="FW3" s="518">
        <v>0</v>
      </c>
      <c r="FX3" s="518">
        <v>0</v>
      </c>
      <c r="FY3" s="518">
        <v>0</v>
      </c>
      <c r="FZ3" s="518">
        <v>0</v>
      </c>
      <c r="GA3" s="518">
        <v>0</v>
      </c>
      <c r="GB3" s="518">
        <v>0</v>
      </c>
      <c r="GC3" s="518">
        <v>0</v>
      </c>
      <c r="GD3" s="518">
        <v>0</v>
      </c>
      <c r="GE3" s="518">
        <v>0</v>
      </c>
      <c r="GF3" s="518">
        <v>0</v>
      </c>
      <c r="GG3" s="518">
        <v>0</v>
      </c>
      <c r="GH3" s="518">
        <v>0</v>
      </c>
      <c r="GI3" s="518">
        <v>0</v>
      </c>
      <c r="GJ3" s="518">
        <v>0</v>
      </c>
      <c r="GK3" s="518">
        <v>0</v>
      </c>
      <c r="GL3" s="518">
        <v>0</v>
      </c>
      <c r="GM3" s="518">
        <v>0</v>
      </c>
      <c r="GN3" s="518">
        <v>0</v>
      </c>
      <c r="GO3" s="518">
        <v>0</v>
      </c>
      <c r="GP3" s="518">
        <v>0</v>
      </c>
      <c r="GQ3" s="518">
        <v>0</v>
      </c>
      <c r="GR3" s="518">
        <v>0</v>
      </c>
      <c r="GS3" s="518">
        <v>0</v>
      </c>
      <c r="GT3" s="518">
        <v>0</v>
      </c>
      <c r="GU3" s="518">
        <v>0</v>
      </c>
      <c r="GV3" s="518">
        <v>0</v>
      </c>
      <c r="GW3" s="518">
        <v>0</v>
      </c>
      <c r="GX3" s="518">
        <v>0</v>
      </c>
      <c r="GY3" s="518">
        <v>0</v>
      </c>
      <c r="GZ3" s="518">
        <v>0</v>
      </c>
      <c r="HA3" s="518">
        <v>0</v>
      </c>
      <c r="HB3" s="518">
        <v>0</v>
      </c>
      <c r="HC3" s="518">
        <v>0</v>
      </c>
      <c r="HD3" s="518">
        <v>0</v>
      </c>
      <c r="HE3" s="518">
        <v>0</v>
      </c>
      <c r="HF3" s="518">
        <v>0</v>
      </c>
      <c r="HG3" s="518">
        <v>0</v>
      </c>
      <c r="HH3" s="518">
        <v>0</v>
      </c>
      <c r="HI3" s="518">
        <v>0</v>
      </c>
      <c r="HJ3" s="518">
        <v>0</v>
      </c>
      <c r="HK3" s="518">
        <v>0</v>
      </c>
      <c r="HL3" s="518">
        <v>0</v>
      </c>
      <c r="HM3" s="518">
        <v>0</v>
      </c>
      <c r="HN3" s="518">
        <v>0</v>
      </c>
      <c r="HO3" s="518">
        <v>0</v>
      </c>
      <c r="HP3" s="518">
        <v>0</v>
      </c>
      <c r="HQ3" s="518">
        <v>0</v>
      </c>
      <c r="HR3" s="518">
        <v>0</v>
      </c>
      <c r="HS3" s="518">
        <v>0</v>
      </c>
      <c r="HT3" s="518">
        <v>0</v>
      </c>
      <c r="HU3" s="518">
        <v>0</v>
      </c>
      <c r="HV3" s="518">
        <v>0</v>
      </c>
      <c r="HW3" s="518">
        <v>0</v>
      </c>
      <c r="HX3" s="518">
        <v>0</v>
      </c>
      <c r="HY3" s="518">
        <v>0</v>
      </c>
      <c r="HZ3" s="518">
        <v>0</v>
      </c>
      <c r="IA3" s="518">
        <v>0</v>
      </c>
      <c r="IB3" s="518">
        <v>0</v>
      </c>
      <c r="IC3" s="518">
        <v>0</v>
      </c>
      <c r="ID3" s="518">
        <v>0</v>
      </c>
      <c r="IE3" s="518">
        <v>0</v>
      </c>
      <c r="IF3" s="518">
        <v>0</v>
      </c>
      <c r="IG3" s="518">
        <v>0</v>
      </c>
      <c r="IH3" s="518">
        <v>0</v>
      </c>
      <c r="II3" s="518">
        <v>0</v>
      </c>
      <c r="IJ3" s="518">
        <v>0</v>
      </c>
      <c r="IK3" s="518">
        <v>0</v>
      </c>
    </row>
    <row r="4" spans="1:245" ht="16.5" hidden="1">
      <c r="A4" s="517" t="s">
        <v>721</v>
      </c>
      <c r="B4" s="517" t="s">
        <v>1101</v>
      </c>
      <c r="C4" s="517" t="s">
        <v>721</v>
      </c>
      <c r="D4" s="558"/>
      <c r="E4" s="517" t="s">
        <v>721</v>
      </c>
      <c r="F4" s="517" t="s">
        <v>25</v>
      </c>
      <c r="G4" s="558"/>
      <c r="H4" s="518">
        <v>16</v>
      </c>
      <c r="I4" s="558"/>
      <c r="J4" s="494" t="str">
        <f t="shared" si="1"/>
        <v>SWUC100116</v>
      </c>
      <c r="K4" s="518">
        <v>44</v>
      </c>
      <c r="M4" s="517" t="s">
        <v>721</v>
      </c>
      <c r="N4" s="517" t="s">
        <v>1101</v>
      </c>
      <c r="O4" s="517" t="s">
        <v>25</v>
      </c>
      <c r="P4" s="518">
        <v>16</v>
      </c>
      <c r="Q4" s="494" t="str">
        <f t="shared" si="2"/>
        <v>SWUC100116</v>
      </c>
      <c r="R4" s="518">
        <v>0</v>
      </c>
      <c r="S4" s="518">
        <v>4</v>
      </c>
      <c r="T4" s="518">
        <v>8</v>
      </c>
      <c r="U4" s="518">
        <v>11</v>
      </c>
      <c r="V4" s="518">
        <v>15</v>
      </c>
      <c r="W4" s="518">
        <v>20</v>
      </c>
      <c r="X4" s="518">
        <v>25</v>
      </c>
      <c r="Y4" s="518">
        <v>31</v>
      </c>
      <c r="Z4" s="518">
        <v>37</v>
      </c>
      <c r="AA4" s="518">
        <v>0</v>
      </c>
      <c r="AB4" s="518">
        <v>0</v>
      </c>
      <c r="AC4" s="518">
        <v>0</v>
      </c>
      <c r="AD4" s="518">
        <v>0</v>
      </c>
      <c r="AE4" s="518">
        <v>0</v>
      </c>
      <c r="AF4" s="518">
        <v>0</v>
      </c>
      <c r="AG4" s="518">
        <v>0</v>
      </c>
      <c r="AH4" s="518">
        <v>0</v>
      </c>
      <c r="AI4" s="518">
        <v>0</v>
      </c>
      <c r="AJ4" s="518">
        <v>0</v>
      </c>
      <c r="AK4" s="518">
        <v>0</v>
      </c>
      <c r="AL4" s="518">
        <v>0</v>
      </c>
      <c r="AM4" s="518">
        <v>0</v>
      </c>
      <c r="AN4" s="518">
        <v>0</v>
      </c>
      <c r="AO4" s="518">
        <v>0</v>
      </c>
      <c r="AP4" s="518">
        <v>0</v>
      </c>
      <c r="AQ4" s="518">
        <v>0</v>
      </c>
      <c r="AR4" s="518">
        <v>0</v>
      </c>
      <c r="AS4" s="518">
        <v>0</v>
      </c>
      <c r="AT4" s="518">
        <v>0</v>
      </c>
      <c r="AU4" s="518">
        <v>0</v>
      </c>
      <c r="AV4" s="518">
        <v>0</v>
      </c>
      <c r="AW4" s="518">
        <v>0</v>
      </c>
      <c r="AX4" s="518">
        <v>0</v>
      </c>
      <c r="AY4" s="518">
        <v>0</v>
      </c>
      <c r="AZ4" s="518">
        <v>0</v>
      </c>
      <c r="BA4" s="518">
        <v>0</v>
      </c>
      <c r="BB4" s="518">
        <v>0</v>
      </c>
      <c r="BC4" s="518">
        <v>0</v>
      </c>
      <c r="BD4" s="518">
        <v>0</v>
      </c>
      <c r="BE4" s="518">
        <v>0</v>
      </c>
      <c r="BF4" s="518">
        <v>0</v>
      </c>
      <c r="BG4" s="518">
        <v>0</v>
      </c>
      <c r="BH4" s="518">
        <v>0</v>
      </c>
      <c r="BI4" s="518">
        <v>0</v>
      </c>
      <c r="BJ4" s="518">
        <v>0</v>
      </c>
      <c r="BK4" s="518">
        <v>0</v>
      </c>
      <c r="BL4" s="518">
        <v>0</v>
      </c>
      <c r="BM4" s="518">
        <v>0</v>
      </c>
      <c r="BN4" s="518">
        <v>0</v>
      </c>
      <c r="BO4" s="518">
        <v>0</v>
      </c>
      <c r="BP4" s="518">
        <v>0</v>
      </c>
      <c r="BQ4" s="518">
        <v>0</v>
      </c>
      <c r="BR4" s="518">
        <v>0</v>
      </c>
      <c r="BS4" s="518">
        <v>0</v>
      </c>
      <c r="BT4" s="518">
        <v>0</v>
      </c>
      <c r="BU4" s="518">
        <v>0</v>
      </c>
      <c r="BV4" s="518">
        <v>0</v>
      </c>
      <c r="BW4" s="518">
        <v>0</v>
      </c>
      <c r="BX4" s="518">
        <v>0</v>
      </c>
      <c r="BY4" s="518">
        <v>0</v>
      </c>
      <c r="BZ4" s="518">
        <v>0</v>
      </c>
      <c r="CA4" s="518">
        <v>0</v>
      </c>
      <c r="CB4" s="518">
        <v>0</v>
      </c>
      <c r="CC4" s="518">
        <v>0</v>
      </c>
      <c r="CD4" s="518">
        <v>0</v>
      </c>
      <c r="CE4" s="518">
        <v>0</v>
      </c>
      <c r="CF4" s="518">
        <v>0</v>
      </c>
      <c r="CG4" s="518">
        <v>0</v>
      </c>
      <c r="CH4" s="518">
        <v>0</v>
      </c>
      <c r="CI4" s="518">
        <v>0</v>
      </c>
      <c r="CJ4" s="518">
        <v>0</v>
      </c>
      <c r="CK4" s="518">
        <v>0</v>
      </c>
      <c r="CL4" s="518">
        <v>0</v>
      </c>
      <c r="CM4" s="518">
        <v>0</v>
      </c>
      <c r="CN4" s="518">
        <v>0</v>
      </c>
      <c r="CO4" s="518">
        <v>0</v>
      </c>
      <c r="CP4" s="518">
        <v>0</v>
      </c>
      <c r="CQ4" s="518">
        <v>0</v>
      </c>
      <c r="CR4" s="518">
        <v>0</v>
      </c>
      <c r="CS4" s="518">
        <v>0</v>
      </c>
      <c r="CT4" s="518">
        <v>0</v>
      </c>
      <c r="CU4" s="518">
        <v>0</v>
      </c>
      <c r="CV4" s="518">
        <v>0</v>
      </c>
      <c r="CW4" s="518">
        <v>0</v>
      </c>
      <c r="CX4" s="518">
        <v>0</v>
      </c>
      <c r="CY4" s="518">
        <v>0</v>
      </c>
      <c r="CZ4" s="518">
        <v>0</v>
      </c>
      <c r="DA4" s="518">
        <v>0</v>
      </c>
      <c r="DB4" s="518">
        <v>0</v>
      </c>
      <c r="DC4" s="518">
        <v>0</v>
      </c>
      <c r="DD4" s="518">
        <v>0</v>
      </c>
      <c r="DE4" s="518">
        <v>0</v>
      </c>
      <c r="DF4" s="518">
        <v>0</v>
      </c>
      <c r="DG4" s="518">
        <v>0</v>
      </c>
      <c r="DH4" s="518">
        <v>0</v>
      </c>
      <c r="DI4" s="518">
        <v>0</v>
      </c>
      <c r="DJ4" s="518">
        <v>0</v>
      </c>
      <c r="DK4" s="518">
        <v>0</v>
      </c>
      <c r="DL4" s="518">
        <v>0</v>
      </c>
      <c r="DM4" s="518">
        <v>0</v>
      </c>
      <c r="DN4" s="518">
        <v>0</v>
      </c>
      <c r="DO4" s="518">
        <v>0</v>
      </c>
      <c r="DP4" s="518">
        <v>0</v>
      </c>
      <c r="DQ4" s="518">
        <v>0</v>
      </c>
      <c r="DR4" s="518">
        <v>0</v>
      </c>
      <c r="DS4" s="518">
        <v>0</v>
      </c>
      <c r="DT4" s="518">
        <v>0</v>
      </c>
      <c r="DU4" s="518">
        <v>0</v>
      </c>
      <c r="DV4" s="518">
        <v>0</v>
      </c>
      <c r="DW4" s="518">
        <v>0</v>
      </c>
      <c r="DX4" s="518">
        <v>0</v>
      </c>
      <c r="DY4" s="477"/>
      <c r="DZ4" s="517" t="s">
        <v>721</v>
      </c>
      <c r="EA4" s="517" t="s">
        <v>1101</v>
      </c>
      <c r="EB4" s="517" t="s">
        <v>25</v>
      </c>
      <c r="EC4" s="518">
        <v>16</v>
      </c>
      <c r="ED4" s="494" t="str">
        <f t="shared" si="0"/>
        <v>SWUC100116</v>
      </c>
      <c r="EE4" s="518">
        <v>10000</v>
      </c>
      <c r="EF4" s="518">
        <v>10000</v>
      </c>
      <c r="EG4" s="518">
        <v>10000</v>
      </c>
      <c r="EH4" s="518">
        <v>10000</v>
      </c>
      <c r="EI4" s="518">
        <v>10000</v>
      </c>
      <c r="EJ4" s="518">
        <v>10000</v>
      </c>
      <c r="EK4" s="518">
        <v>10000</v>
      </c>
      <c r="EL4" s="518">
        <v>10000</v>
      </c>
      <c r="EM4" s="518">
        <v>10000</v>
      </c>
      <c r="EN4" s="518">
        <v>10000</v>
      </c>
      <c r="EO4" s="518">
        <v>0</v>
      </c>
      <c r="EP4" s="518">
        <v>0</v>
      </c>
      <c r="EQ4" s="518">
        <v>0</v>
      </c>
      <c r="ER4" s="518">
        <v>0</v>
      </c>
      <c r="ES4" s="518">
        <v>0</v>
      </c>
      <c r="ET4" s="518">
        <v>0</v>
      </c>
      <c r="EU4" s="518">
        <v>0</v>
      </c>
      <c r="EV4" s="518">
        <v>0</v>
      </c>
      <c r="EW4" s="518">
        <v>0</v>
      </c>
      <c r="EX4" s="518">
        <v>0</v>
      </c>
      <c r="EY4" s="518">
        <v>0</v>
      </c>
      <c r="EZ4" s="518">
        <v>0</v>
      </c>
      <c r="FA4" s="518">
        <v>0</v>
      </c>
      <c r="FB4" s="518">
        <v>0</v>
      </c>
      <c r="FC4" s="518">
        <v>0</v>
      </c>
      <c r="FD4" s="518">
        <v>0</v>
      </c>
      <c r="FE4" s="518">
        <v>0</v>
      </c>
      <c r="FF4" s="518">
        <v>0</v>
      </c>
      <c r="FG4" s="518">
        <v>0</v>
      </c>
      <c r="FH4" s="518">
        <v>0</v>
      </c>
      <c r="FI4" s="518">
        <v>0</v>
      </c>
      <c r="FJ4" s="518">
        <v>0</v>
      </c>
      <c r="FK4" s="518">
        <v>0</v>
      </c>
      <c r="FL4" s="518">
        <v>0</v>
      </c>
      <c r="FM4" s="518">
        <v>0</v>
      </c>
      <c r="FN4" s="518">
        <v>0</v>
      </c>
      <c r="FO4" s="518">
        <v>0</v>
      </c>
      <c r="FP4" s="518">
        <v>0</v>
      </c>
      <c r="FQ4" s="518">
        <v>0</v>
      </c>
      <c r="FR4" s="518">
        <v>0</v>
      </c>
      <c r="FS4" s="518">
        <v>0</v>
      </c>
      <c r="FT4" s="518">
        <v>0</v>
      </c>
      <c r="FU4" s="518">
        <v>0</v>
      </c>
      <c r="FV4" s="518">
        <v>0</v>
      </c>
      <c r="FW4" s="518">
        <v>0</v>
      </c>
      <c r="FX4" s="518">
        <v>0</v>
      </c>
      <c r="FY4" s="518">
        <v>0</v>
      </c>
      <c r="FZ4" s="518">
        <v>0</v>
      </c>
      <c r="GA4" s="518">
        <v>0</v>
      </c>
      <c r="GB4" s="518">
        <v>0</v>
      </c>
      <c r="GC4" s="518">
        <v>0</v>
      </c>
      <c r="GD4" s="518">
        <v>0</v>
      </c>
      <c r="GE4" s="518">
        <v>0</v>
      </c>
      <c r="GF4" s="518">
        <v>0</v>
      </c>
      <c r="GG4" s="518">
        <v>0</v>
      </c>
      <c r="GH4" s="518">
        <v>0</v>
      </c>
      <c r="GI4" s="518">
        <v>0</v>
      </c>
      <c r="GJ4" s="518">
        <v>0</v>
      </c>
      <c r="GK4" s="518">
        <v>0</v>
      </c>
      <c r="GL4" s="518">
        <v>0</v>
      </c>
      <c r="GM4" s="518">
        <v>0</v>
      </c>
      <c r="GN4" s="518">
        <v>0</v>
      </c>
      <c r="GO4" s="518">
        <v>0</v>
      </c>
      <c r="GP4" s="518">
        <v>0</v>
      </c>
      <c r="GQ4" s="518">
        <v>0</v>
      </c>
      <c r="GR4" s="518">
        <v>0</v>
      </c>
      <c r="GS4" s="518">
        <v>0</v>
      </c>
      <c r="GT4" s="518">
        <v>0</v>
      </c>
      <c r="GU4" s="518">
        <v>0</v>
      </c>
      <c r="GV4" s="518">
        <v>0</v>
      </c>
      <c r="GW4" s="518">
        <v>0</v>
      </c>
      <c r="GX4" s="518">
        <v>0</v>
      </c>
      <c r="GY4" s="518">
        <v>0</v>
      </c>
      <c r="GZ4" s="518">
        <v>0</v>
      </c>
      <c r="HA4" s="518">
        <v>0</v>
      </c>
      <c r="HB4" s="518">
        <v>0</v>
      </c>
      <c r="HC4" s="518">
        <v>0</v>
      </c>
      <c r="HD4" s="518">
        <v>0</v>
      </c>
      <c r="HE4" s="518">
        <v>0</v>
      </c>
      <c r="HF4" s="518">
        <v>0</v>
      </c>
      <c r="HG4" s="518">
        <v>0</v>
      </c>
      <c r="HH4" s="518">
        <v>0</v>
      </c>
      <c r="HI4" s="518">
        <v>0</v>
      </c>
      <c r="HJ4" s="518">
        <v>0</v>
      </c>
      <c r="HK4" s="518">
        <v>0</v>
      </c>
      <c r="HL4" s="518">
        <v>0</v>
      </c>
      <c r="HM4" s="518">
        <v>0</v>
      </c>
      <c r="HN4" s="518">
        <v>0</v>
      </c>
      <c r="HO4" s="518">
        <v>0</v>
      </c>
      <c r="HP4" s="518">
        <v>0</v>
      </c>
      <c r="HQ4" s="518">
        <v>0</v>
      </c>
      <c r="HR4" s="518">
        <v>0</v>
      </c>
      <c r="HS4" s="518">
        <v>0</v>
      </c>
      <c r="HT4" s="518">
        <v>0</v>
      </c>
      <c r="HU4" s="518">
        <v>0</v>
      </c>
      <c r="HV4" s="518">
        <v>0</v>
      </c>
      <c r="HW4" s="518">
        <v>0</v>
      </c>
      <c r="HX4" s="518">
        <v>0</v>
      </c>
      <c r="HY4" s="518">
        <v>0</v>
      </c>
      <c r="HZ4" s="518">
        <v>0</v>
      </c>
      <c r="IA4" s="518">
        <v>0</v>
      </c>
      <c r="IB4" s="518">
        <v>0</v>
      </c>
      <c r="IC4" s="518">
        <v>0</v>
      </c>
      <c r="ID4" s="518">
        <v>0</v>
      </c>
      <c r="IE4" s="518">
        <v>0</v>
      </c>
      <c r="IF4" s="518">
        <v>0</v>
      </c>
      <c r="IG4" s="518">
        <v>0</v>
      </c>
      <c r="IH4" s="518">
        <v>0</v>
      </c>
      <c r="II4" s="518">
        <v>0</v>
      </c>
      <c r="IJ4" s="518">
        <v>0</v>
      </c>
      <c r="IK4" s="518">
        <v>0</v>
      </c>
    </row>
    <row r="5" spans="1:245" ht="16.5" hidden="1">
      <c r="A5" s="517" t="s">
        <v>721</v>
      </c>
      <c r="B5" s="517" t="s">
        <v>1101</v>
      </c>
      <c r="C5" s="517" t="s">
        <v>721</v>
      </c>
      <c r="D5" s="558"/>
      <c r="E5" s="517" t="s">
        <v>721</v>
      </c>
      <c r="F5" s="517" t="s">
        <v>25</v>
      </c>
      <c r="G5" s="558"/>
      <c r="H5" s="518">
        <v>17</v>
      </c>
      <c r="I5" s="558"/>
      <c r="J5" s="494" t="str">
        <f t="shared" si="1"/>
        <v>SWUC100117</v>
      </c>
      <c r="K5" s="518">
        <v>48</v>
      </c>
      <c r="M5" s="517" t="s">
        <v>721</v>
      </c>
      <c r="N5" s="517" t="s">
        <v>1101</v>
      </c>
      <c r="O5" s="517" t="s">
        <v>25</v>
      </c>
      <c r="P5" s="518">
        <v>17</v>
      </c>
      <c r="Q5" s="494" t="str">
        <f t="shared" si="2"/>
        <v>SWUC100117</v>
      </c>
      <c r="R5" s="518">
        <v>0</v>
      </c>
      <c r="S5" s="518">
        <v>4</v>
      </c>
      <c r="T5" s="518">
        <v>8</v>
      </c>
      <c r="U5" s="518">
        <v>12</v>
      </c>
      <c r="V5" s="518">
        <v>16</v>
      </c>
      <c r="W5" s="518">
        <v>22</v>
      </c>
      <c r="X5" s="518">
        <v>27</v>
      </c>
      <c r="Y5" s="518">
        <v>33</v>
      </c>
      <c r="Z5" s="518">
        <v>40</v>
      </c>
      <c r="AA5" s="518">
        <v>0</v>
      </c>
      <c r="AB5" s="518">
        <v>0</v>
      </c>
      <c r="AC5" s="518">
        <v>0</v>
      </c>
      <c r="AD5" s="518">
        <v>0</v>
      </c>
      <c r="AE5" s="518">
        <v>0</v>
      </c>
      <c r="AF5" s="518">
        <v>0</v>
      </c>
      <c r="AG5" s="518">
        <v>0</v>
      </c>
      <c r="AH5" s="518">
        <v>0</v>
      </c>
      <c r="AI5" s="518">
        <v>0</v>
      </c>
      <c r="AJ5" s="518">
        <v>0</v>
      </c>
      <c r="AK5" s="518">
        <v>0</v>
      </c>
      <c r="AL5" s="518">
        <v>0</v>
      </c>
      <c r="AM5" s="518">
        <v>0</v>
      </c>
      <c r="AN5" s="518">
        <v>0</v>
      </c>
      <c r="AO5" s="518">
        <v>0</v>
      </c>
      <c r="AP5" s="518">
        <v>0</v>
      </c>
      <c r="AQ5" s="518">
        <v>0</v>
      </c>
      <c r="AR5" s="518">
        <v>0</v>
      </c>
      <c r="AS5" s="518">
        <v>0</v>
      </c>
      <c r="AT5" s="518">
        <v>0</v>
      </c>
      <c r="AU5" s="518">
        <v>0</v>
      </c>
      <c r="AV5" s="518">
        <v>0</v>
      </c>
      <c r="AW5" s="518">
        <v>0</v>
      </c>
      <c r="AX5" s="518">
        <v>0</v>
      </c>
      <c r="AY5" s="518">
        <v>0</v>
      </c>
      <c r="AZ5" s="518">
        <v>0</v>
      </c>
      <c r="BA5" s="518">
        <v>0</v>
      </c>
      <c r="BB5" s="518">
        <v>0</v>
      </c>
      <c r="BC5" s="518">
        <v>0</v>
      </c>
      <c r="BD5" s="518">
        <v>0</v>
      </c>
      <c r="BE5" s="518">
        <v>0</v>
      </c>
      <c r="BF5" s="518">
        <v>0</v>
      </c>
      <c r="BG5" s="518">
        <v>0</v>
      </c>
      <c r="BH5" s="518">
        <v>0</v>
      </c>
      <c r="BI5" s="518">
        <v>0</v>
      </c>
      <c r="BJ5" s="518">
        <v>0</v>
      </c>
      <c r="BK5" s="518">
        <v>0</v>
      </c>
      <c r="BL5" s="518">
        <v>0</v>
      </c>
      <c r="BM5" s="518">
        <v>0</v>
      </c>
      <c r="BN5" s="518">
        <v>0</v>
      </c>
      <c r="BO5" s="518">
        <v>0</v>
      </c>
      <c r="BP5" s="518">
        <v>0</v>
      </c>
      <c r="BQ5" s="518">
        <v>0</v>
      </c>
      <c r="BR5" s="518">
        <v>0</v>
      </c>
      <c r="BS5" s="518">
        <v>0</v>
      </c>
      <c r="BT5" s="518">
        <v>0</v>
      </c>
      <c r="BU5" s="518">
        <v>0</v>
      </c>
      <c r="BV5" s="518">
        <v>0</v>
      </c>
      <c r="BW5" s="518">
        <v>0</v>
      </c>
      <c r="BX5" s="518">
        <v>0</v>
      </c>
      <c r="BY5" s="518">
        <v>0</v>
      </c>
      <c r="BZ5" s="518">
        <v>0</v>
      </c>
      <c r="CA5" s="518">
        <v>0</v>
      </c>
      <c r="CB5" s="518">
        <v>0</v>
      </c>
      <c r="CC5" s="518">
        <v>0</v>
      </c>
      <c r="CD5" s="518">
        <v>0</v>
      </c>
      <c r="CE5" s="518">
        <v>0</v>
      </c>
      <c r="CF5" s="518">
        <v>0</v>
      </c>
      <c r="CG5" s="518">
        <v>0</v>
      </c>
      <c r="CH5" s="518">
        <v>0</v>
      </c>
      <c r="CI5" s="518">
        <v>0</v>
      </c>
      <c r="CJ5" s="518">
        <v>0</v>
      </c>
      <c r="CK5" s="518">
        <v>0</v>
      </c>
      <c r="CL5" s="518">
        <v>0</v>
      </c>
      <c r="CM5" s="518">
        <v>0</v>
      </c>
      <c r="CN5" s="518">
        <v>0</v>
      </c>
      <c r="CO5" s="518">
        <v>0</v>
      </c>
      <c r="CP5" s="518">
        <v>0</v>
      </c>
      <c r="CQ5" s="518">
        <v>0</v>
      </c>
      <c r="CR5" s="518">
        <v>0</v>
      </c>
      <c r="CS5" s="518">
        <v>0</v>
      </c>
      <c r="CT5" s="518">
        <v>0</v>
      </c>
      <c r="CU5" s="518">
        <v>0</v>
      </c>
      <c r="CV5" s="518">
        <v>0</v>
      </c>
      <c r="CW5" s="518">
        <v>0</v>
      </c>
      <c r="CX5" s="518">
        <v>0</v>
      </c>
      <c r="CY5" s="518">
        <v>0</v>
      </c>
      <c r="CZ5" s="518">
        <v>0</v>
      </c>
      <c r="DA5" s="518">
        <v>0</v>
      </c>
      <c r="DB5" s="518">
        <v>0</v>
      </c>
      <c r="DC5" s="518">
        <v>0</v>
      </c>
      <c r="DD5" s="518">
        <v>0</v>
      </c>
      <c r="DE5" s="518">
        <v>0</v>
      </c>
      <c r="DF5" s="518">
        <v>0</v>
      </c>
      <c r="DG5" s="518">
        <v>0</v>
      </c>
      <c r="DH5" s="518">
        <v>0</v>
      </c>
      <c r="DI5" s="518">
        <v>0</v>
      </c>
      <c r="DJ5" s="518">
        <v>0</v>
      </c>
      <c r="DK5" s="518">
        <v>0</v>
      </c>
      <c r="DL5" s="518">
        <v>0</v>
      </c>
      <c r="DM5" s="518">
        <v>0</v>
      </c>
      <c r="DN5" s="518">
        <v>0</v>
      </c>
      <c r="DO5" s="518">
        <v>0</v>
      </c>
      <c r="DP5" s="518">
        <v>0</v>
      </c>
      <c r="DQ5" s="518">
        <v>0</v>
      </c>
      <c r="DR5" s="518">
        <v>0</v>
      </c>
      <c r="DS5" s="518">
        <v>0</v>
      </c>
      <c r="DT5" s="518">
        <v>0</v>
      </c>
      <c r="DU5" s="518">
        <v>0</v>
      </c>
      <c r="DV5" s="518">
        <v>0</v>
      </c>
      <c r="DW5" s="518">
        <v>0</v>
      </c>
      <c r="DX5" s="518">
        <v>0</v>
      </c>
      <c r="DY5" s="477"/>
      <c r="DZ5" s="517" t="s">
        <v>721</v>
      </c>
      <c r="EA5" s="517" t="s">
        <v>1101</v>
      </c>
      <c r="EB5" s="517" t="s">
        <v>25</v>
      </c>
      <c r="EC5" s="518">
        <v>17</v>
      </c>
      <c r="ED5" s="494" t="str">
        <f t="shared" si="0"/>
        <v>SWUC100117</v>
      </c>
      <c r="EE5" s="518">
        <v>10000</v>
      </c>
      <c r="EF5" s="518">
        <v>10000</v>
      </c>
      <c r="EG5" s="518">
        <v>10000</v>
      </c>
      <c r="EH5" s="518">
        <v>10000</v>
      </c>
      <c r="EI5" s="518">
        <v>10000</v>
      </c>
      <c r="EJ5" s="518">
        <v>10000</v>
      </c>
      <c r="EK5" s="518">
        <v>10000</v>
      </c>
      <c r="EL5" s="518">
        <v>10000</v>
      </c>
      <c r="EM5" s="518">
        <v>10000</v>
      </c>
      <c r="EN5" s="518">
        <v>10000</v>
      </c>
      <c r="EO5" s="518">
        <v>0</v>
      </c>
      <c r="EP5" s="518">
        <v>0</v>
      </c>
      <c r="EQ5" s="518">
        <v>0</v>
      </c>
      <c r="ER5" s="518">
        <v>0</v>
      </c>
      <c r="ES5" s="518">
        <v>0</v>
      </c>
      <c r="ET5" s="518">
        <v>0</v>
      </c>
      <c r="EU5" s="518">
        <v>0</v>
      </c>
      <c r="EV5" s="518">
        <v>0</v>
      </c>
      <c r="EW5" s="518">
        <v>0</v>
      </c>
      <c r="EX5" s="518">
        <v>0</v>
      </c>
      <c r="EY5" s="518">
        <v>0</v>
      </c>
      <c r="EZ5" s="518">
        <v>0</v>
      </c>
      <c r="FA5" s="518">
        <v>0</v>
      </c>
      <c r="FB5" s="518">
        <v>0</v>
      </c>
      <c r="FC5" s="518">
        <v>0</v>
      </c>
      <c r="FD5" s="518">
        <v>0</v>
      </c>
      <c r="FE5" s="518">
        <v>0</v>
      </c>
      <c r="FF5" s="518">
        <v>0</v>
      </c>
      <c r="FG5" s="518">
        <v>0</v>
      </c>
      <c r="FH5" s="518">
        <v>0</v>
      </c>
      <c r="FI5" s="518">
        <v>0</v>
      </c>
      <c r="FJ5" s="518">
        <v>0</v>
      </c>
      <c r="FK5" s="518">
        <v>0</v>
      </c>
      <c r="FL5" s="518">
        <v>0</v>
      </c>
      <c r="FM5" s="518">
        <v>0</v>
      </c>
      <c r="FN5" s="518">
        <v>0</v>
      </c>
      <c r="FO5" s="518">
        <v>0</v>
      </c>
      <c r="FP5" s="518">
        <v>0</v>
      </c>
      <c r="FQ5" s="518">
        <v>0</v>
      </c>
      <c r="FR5" s="518">
        <v>0</v>
      </c>
      <c r="FS5" s="518">
        <v>0</v>
      </c>
      <c r="FT5" s="518">
        <v>0</v>
      </c>
      <c r="FU5" s="518">
        <v>0</v>
      </c>
      <c r="FV5" s="518">
        <v>0</v>
      </c>
      <c r="FW5" s="518">
        <v>0</v>
      </c>
      <c r="FX5" s="518">
        <v>0</v>
      </c>
      <c r="FY5" s="518">
        <v>0</v>
      </c>
      <c r="FZ5" s="518">
        <v>0</v>
      </c>
      <c r="GA5" s="518">
        <v>0</v>
      </c>
      <c r="GB5" s="518">
        <v>0</v>
      </c>
      <c r="GC5" s="518">
        <v>0</v>
      </c>
      <c r="GD5" s="518">
        <v>0</v>
      </c>
      <c r="GE5" s="518">
        <v>0</v>
      </c>
      <c r="GF5" s="518">
        <v>0</v>
      </c>
      <c r="GG5" s="518">
        <v>0</v>
      </c>
      <c r="GH5" s="518">
        <v>0</v>
      </c>
      <c r="GI5" s="518">
        <v>0</v>
      </c>
      <c r="GJ5" s="518">
        <v>0</v>
      </c>
      <c r="GK5" s="518">
        <v>0</v>
      </c>
      <c r="GL5" s="518">
        <v>0</v>
      </c>
      <c r="GM5" s="518">
        <v>0</v>
      </c>
      <c r="GN5" s="518">
        <v>0</v>
      </c>
      <c r="GO5" s="518">
        <v>0</v>
      </c>
      <c r="GP5" s="518">
        <v>0</v>
      </c>
      <c r="GQ5" s="518">
        <v>0</v>
      </c>
      <c r="GR5" s="518">
        <v>0</v>
      </c>
      <c r="GS5" s="518">
        <v>0</v>
      </c>
      <c r="GT5" s="518">
        <v>0</v>
      </c>
      <c r="GU5" s="518">
        <v>0</v>
      </c>
      <c r="GV5" s="518">
        <v>0</v>
      </c>
      <c r="GW5" s="518">
        <v>0</v>
      </c>
      <c r="GX5" s="518">
        <v>0</v>
      </c>
      <c r="GY5" s="518">
        <v>0</v>
      </c>
      <c r="GZ5" s="518">
        <v>0</v>
      </c>
      <c r="HA5" s="518">
        <v>0</v>
      </c>
      <c r="HB5" s="518">
        <v>0</v>
      </c>
      <c r="HC5" s="518">
        <v>0</v>
      </c>
      <c r="HD5" s="518">
        <v>0</v>
      </c>
      <c r="HE5" s="518">
        <v>0</v>
      </c>
      <c r="HF5" s="518">
        <v>0</v>
      </c>
      <c r="HG5" s="518">
        <v>0</v>
      </c>
      <c r="HH5" s="518">
        <v>0</v>
      </c>
      <c r="HI5" s="518">
        <v>0</v>
      </c>
      <c r="HJ5" s="518">
        <v>0</v>
      </c>
      <c r="HK5" s="518">
        <v>0</v>
      </c>
      <c r="HL5" s="518">
        <v>0</v>
      </c>
      <c r="HM5" s="518">
        <v>0</v>
      </c>
      <c r="HN5" s="518">
        <v>0</v>
      </c>
      <c r="HO5" s="518">
        <v>0</v>
      </c>
      <c r="HP5" s="518">
        <v>0</v>
      </c>
      <c r="HQ5" s="518">
        <v>0</v>
      </c>
      <c r="HR5" s="518">
        <v>0</v>
      </c>
      <c r="HS5" s="518">
        <v>0</v>
      </c>
      <c r="HT5" s="518">
        <v>0</v>
      </c>
      <c r="HU5" s="518">
        <v>0</v>
      </c>
      <c r="HV5" s="518">
        <v>0</v>
      </c>
      <c r="HW5" s="518">
        <v>0</v>
      </c>
      <c r="HX5" s="518">
        <v>0</v>
      </c>
      <c r="HY5" s="518">
        <v>0</v>
      </c>
      <c r="HZ5" s="518">
        <v>0</v>
      </c>
      <c r="IA5" s="518">
        <v>0</v>
      </c>
      <c r="IB5" s="518">
        <v>0</v>
      </c>
      <c r="IC5" s="518">
        <v>0</v>
      </c>
      <c r="ID5" s="518">
        <v>0</v>
      </c>
      <c r="IE5" s="518">
        <v>0</v>
      </c>
      <c r="IF5" s="518">
        <v>0</v>
      </c>
      <c r="IG5" s="518">
        <v>0</v>
      </c>
      <c r="IH5" s="518">
        <v>0</v>
      </c>
      <c r="II5" s="518">
        <v>0</v>
      </c>
      <c r="IJ5" s="518">
        <v>0</v>
      </c>
      <c r="IK5" s="518">
        <v>0</v>
      </c>
    </row>
    <row r="6" spans="1:245" ht="16.5" hidden="1">
      <c r="A6" s="517" t="s">
        <v>721</v>
      </c>
      <c r="B6" s="517" t="s">
        <v>1101</v>
      </c>
      <c r="C6" s="517" t="s">
        <v>721</v>
      </c>
      <c r="D6" s="558"/>
      <c r="E6" s="517" t="s">
        <v>721</v>
      </c>
      <c r="F6" s="517" t="s">
        <v>25</v>
      </c>
      <c r="G6" s="558"/>
      <c r="H6" s="518">
        <v>18</v>
      </c>
      <c r="I6" s="558"/>
      <c r="J6" s="494" t="str">
        <f t="shared" si="1"/>
        <v>SWUC100118</v>
      </c>
      <c r="K6" s="518">
        <v>52</v>
      </c>
      <c r="M6" s="517" t="s">
        <v>721</v>
      </c>
      <c r="N6" s="517" t="s">
        <v>1101</v>
      </c>
      <c r="O6" s="517" t="s">
        <v>25</v>
      </c>
      <c r="P6" s="518">
        <v>18</v>
      </c>
      <c r="Q6" s="494" t="str">
        <f t="shared" si="2"/>
        <v>SWUC100118</v>
      </c>
      <c r="R6" s="518">
        <v>0</v>
      </c>
      <c r="S6" s="518">
        <v>5</v>
      </c>
      <c r="T6" s="518">
        <v>9</v>
      </c>
      <c r="U6" s="518">
        <v>13</v>
      </c>
      <c r="V6" s="518">
        <v>17</v>
      </c>
      <c r="W6" s="518">
        <v>23</v>
      </c>
      <c r="X6" s="518">
        <v>29</v>
      </c>
      <c r="Y6" s="518">
        <v>36</v>
      </c>
      <c r="Z6" s="518">
        <v>44</v>
      </c>
      <c r="AA6" s="518">
        <v>0</v>
      </c>
      <c r="AB6" s="518">
        <v>0</v>
      </c>
      <c r="AC6" s="518">
        <v>0</v>
      </c>
      <c r="AD6" s="518">
        <v>0</v>
      </c>
      <c r="AE6" s="518">
        <v>0</v>
      </c>
      <c r="AF6" s="518">
        <v>0</v>
      </c>
      <c r="AG6" s="518">
        <v>0</v>
      </c>
      <c r="AH6" s="518">
        <v>0</v>
      </c>
      <c r="AI6" s="518">
        <v>0</v>
      </c>
      <c r="AJ6" s="518">
        <v>0</v>
      </c>
      <c r="AK6" s="518">
        <v>0</v>
      </c>
      <c r="AL6" s="518">
        <v>0</v>
      </c>
      <c r="AM6" s="518">
        <v>0</v>
      </c>
      <c r="AN6" s="518">
        <v>0</v>
      </c>
      <c r="AO6" s="518">
        <v>0</v>
      </c>
      <c r="AP6" s="518">
        <v>0</v>
      </c>
      <c r="AQ6" s="518">
        <v>0</v>
      </c>
      <c r="AR6" s="518">
        <v>0</v>
      </c>
      <c r="AS6" s="518">
        <v>0</v>
      </c>
      <c r="AT6" s="518">
        <v>0</v>
      </c>
      <c r="AU6" s="518">
        <v>0</v>
      </c>
      <c r="AV6" s="518">
        <v>0</v>
      </c>
      <c r="AW6" s="518">
        <v>0</v>
      </c>
      <c r="AX6" s="518">
        <v>0</v>
      </c>
      <c r="AY6" s="518">
        <v>0</v>
      </c>
      <c r="AZ6" s="518">
        <v>0</v>
      </c>
      <c r="BA6" s="518">
        <v>0</v>
      </c>
      <c r="BB6" s="518">
        <v>0</v>
      </c>
      <c r="BC6" s="518">
        <v>0</v>
      </c>
      <c r="BD6" s="518">
        <v>0</v>
      </c>
      <c r="BE6" s="518">
        <v>0</v>
      </c>
      <c r="BF6" s="518">
        <v>0</v>
      </c>
      <c r="BG6" s="518">
        <v>0</v>
      </c>
      <c r="BH6" s="518">
        <v>0</v>
      </c>
      <c r="BI6" s="518">
        <v>0</v>
      </c>
      <c r="BJ6" s="518">
        <v>0</v>
      </c>
      <c r="BK6" s="518">
        <v>0</v>
      </c>
      <c r="BL6" s="518">
        <v>0</v>
      </c>
      <c r="BM6" s="518">
        <v>0</v>
      </c>
      <c r="BN6" s="518">
        <v>0</v>
      </c>
      <c r="BO6" s="518">
        <v>0</v>
      </c>
      <c r="BP6" s="518">
        <v>0</v>
      </c>
      <c r="BQ6" s="518">
        <v>0</v>
      </c>
      <c r="BR6" s="518">
        <v>0</v>
      </c>
      <c r="BS6" s="518">
        <v>0</v>
      </c>
      <c r="BT6" s="518">
        <v>0</v>
      </c>
      <c r="BU6" s="518">
        <v>0</v>
      </c>
      <c r="BV6" s="518">
        <v>0</v>
      </c>
      <c r="BW6" s="518">
        <v>0</v>
      </c>
      <c r="BX6" s="518">
        <v>0</v>
      </c>
      <c r="BY6" s="518">
        <v>0</v>
      </c>
      <c r="BZ6" s="518">
        <v>0</v>
      </c>
      <c r="CA6" s="518">
        <v>0</v>
      </c>
      <c r="CB6" s="518">
        <v>0</v>
      </c>
      <c r="CC6" s="518">
        <v>0</v>
      </c>
      <c r="CD6" s="518">
        <v>0</v>
      </c>
      <c r="CE6" s="518">
        <v>0</v>
      </c>
      <c r="CF6" s="518">
        <v>0</v>
      </c>
      <c r="CG6" s="518">
        <v>0</v>
      </c>
      <c r="CH6" s="518">
        <v>0</v>
      </c>
      <c r="CI6" s="518">
        <v>0</v>
      </c>
      <c r="CJ6" s="518">
        <v>0</v>
      </c>
      <c r="CK6" s="518">
        <v>0</v>
      </c>
      <c r="CL6" s="518">
        <v>0</v>
      </c>
      <c r="CM6" s="518">
        <v>0</v>
      </c>
      <c r="CN6" s="518">
        <v>0</v>
      </c>
      <c r="CO6" s="518">
        <v>0</v>
      </c>
      <c r="CP6" s="518">
        <v>0</v>
      </c>
      <c r="CQ6" s="518">
        <v>0</v>
      </c>
      <c r="CR6" s="518">
        <v>0</v>
      </c>
      <c r="CS6" s="518">
        <v>0</v>
      </c>
      <c r="CT6" s="518">
        <v>0</v>
      </c>
      <c r="CU6" s="518">
        <v>0</v>
      </c>
      <c r="CV6" s="518">
        <v>0</v>
      </c>
      <c r="CW6" s="518">
        <v>0</v>
      </c>
      <c r="CX6" s="518">
        <v>0</v>
      </c>
      <c r="CY6" s="518">
        <v>0</v>
      </c>
      <c r="CZ6" s="518">
        <v>0</v>
      </c>
      <c r="DA6" s="518">
        <v>0</v>
      </c>
      <c r="DB6" s="518">
        <v>0</v>
      </c>
      <c r="DC6" s="518">
        <v>0</v>
      </c>
      <c r="DD6" s="518">
        <v>0</v>
      </c>
      <c r="DE6" s="518">
        <v>0</v>
      </c>
      <c r="DF6" s="518">
        <v>0</v>
      </c>
      <c r="DG6" s="518">
        <v>0</v>
      </c>
      <c r="DH6" s="518">
        <v>0</v>
      </c>
      <c r="DI6" s="518">
        <v>0</v>
      </c>
      <c r="DJ6" s="518">
        <v>0</v>
      </c>
      <c r="DK6" s="518">
        <v>0</v>
      </c>
      <c r="DL6" s="518">
        <v>0</v>
      </c>
      <c r="DM6" s="518">
        <v>0</v>
      </c>
      <c r="DN6" s="518">
        <v>0</v>
      </c>
      <c r="DO6" s="518">
        <v>0</v>
      </c>
      <c r="DP6" s="518">
        <v>0</v>
      </c>
      <c r="DQ6" s="518">
        <v>0</v>
      </c>
      <c r="DR6" s="518">
        <v>0</v>
      </c>
      <c r="DS6" s="518">
        <v>0</v>
      </c>
      <c r="DT6" s="518">
        <v>0</v>
      </c>
      <c r="DU6" s="518">
        <v>0</v>
      </c>
      <c r="DV6" s="518">
        <v>0</v>
      </c>
      <c r="DW6" s="518">
        <v>0</v>
      </c>
      <c r="DX6" s="518">
        <v>0</v>
      </c>
      <c r="DY6" s="477"/>
      <c r="DZ6" s="517" t="s">
        <v>721</v>
      </c>
      <c r="EA6" s="517" t="s">
        <v>1101</v>
      </c>
      <c r="EB6" s="517" t="s">
        <v>25</v>
      </c>
      <c r="EC6" s="518">
        <v>18</v>
      </c>
      <c r="ED6" s="494" t="str">
        <f t="shared" si="0"/>
        <v>SWUC100118</v>
      </c>
      <c r="EE6" s="518">
        <v>10000</v>
      </c>
      <c r="EF6" s="518">
        <v>10000</v>
      </c>
      <c r="EG6" s="518">
        <v>10000</v>
      </c>
      <c r="EH6" s="518">
        <v>10000</v>
      </c>
      <c r="EI6" s="518">
        <v>10000</v>
      </c>
      <c r="EJ6" s="518">
        <v>10000</v>
      </c>
      <c r="EK6" s="518">
        <v>10000</v>
      </c>
      <c r="EL6" s="518">
        <v>10000</v>
      </c>
      <c r="EM6" s="518">
        <v>10000</v>
      </c>
      <c r="EN6" s="518">
        <v>10000</v>
      </c>
      <c r="EO6" s="518">
        <v>0</v>
      </c>
      <c r="EP6" s="518">
        <v>0</v>
      </c>
      <c r="EQ6" s="518">
        <v>0</v>
      </c>
      <c r="ER6" s="518">
        <v>0</v>
      </c>
      <c r="ES6" s="518">
        <v>0</v>
      </c>
      <c r="ET6" s="518">
        <v>0</v>
      </c>
      <c r="EU6" s="518">
        <v>0</v>
      </c>
      <c r="EV6" s="518">
        <v>0</v>
      </c>
      <c r="EW6" s="518">
        <v>0</v>
      </c>
      <c r="EX6" s="518">
        <v>0</v>
      </c>
      <c r="EY6" s="518">
        <v>0</v>
      </c>
      <c r="EZ6" s="518">
        <v>0</v>
      </c>
      <c r="FA6" s="518">
        <v>0</v>
      </c>
      <c r="FB6" s="518">
        <v>0</v>
      </c>
      <c r="FC6" s="518">
        <v>0</v>
      </c>
      <c r="FD6" s="518">
        <v>0</v>
      </c>
      <c r="FE6" s="518">
        <v>0</v>
      </c>
      <c r="FF6" s="518">
        <v>0</v>
      </c>
      <c r="FG6" s="518">
        <v>0</v>
      </c>
      <c r="FH6" s="518">
        <v>0</v>
      </c>
      <c r="FI6" s="518">
        <v>0</v>
      </c>
      <c r="FJ6" s="518">
        <v>0</v>
      </c>
      <c r="FK6" s="518">
        <v>0</v>
      </c>
      <c r="FL6" s="518">
        <v>0</v>
      </c>
      <c r="FM6" s="518">
        <v>0</v>
      </c>
      <c r="FN6" s="518">
        <v>0</v>
      </c>
      <c r="FO6" s="518">
        <v>0</v>
      </c>
      <c r="FP6" s="518">
        <v>0</v>
      </c>
      <c r="FQ6" s="518">
        <v>0</v>
      </c>
      <c r="FR6" s="518">
        <v>0</v>
      </c>
      <c r="FS6" s="518">
        <v>0</v>
      </c>
      <c r="FT6" s="518">
        <v>0</v>
      </c>
      <c r="FU6" s="518">
        <v>0</v>
      </c>
      <c r="FV6" s="518">
        <v>0</v>
      </c>
      <c r="FW6" s="518">
        <v>0</v>
      </c>
      <c r="FX6" s="518">
        <v>0</v>
      </c>
      <c r="FY6" s="518">
        <v>0</v>
      </c>
      <c r="FZ6" s="518">
        <v>0</v>
      </c>
      <c r="GA6" s="518">
        <v>0</v>
      </c>
      <c r="GB6" s="518">
        <v>0</v>
      </c>
      <c r="GC6" s="518">
        <v>0</v>
      </c>
      <c r="GD6" s="518">
        <v>0</v>
      </c>
      <c r="GE6" s="518">
        <v>0</v>
      </c>
      <c r="GF6" s="518">
        <v>0</v>
      </c>
      <c r="GG6" s="518">
        <v>0</v>
      </c>
      <c r="GH6" s="518">
        <v>0</v>
      </c>
      <c r="GI6" s="518">
        <v>0</v>
      </c>
      <c r="GJ6" s="518">
        <v>0</v>
      </c>
      <c r="GK6" s="518">
        <v>0</v>
      </c>
      <c r="GL6" s="518">
        <v>0</v>
      </c>
      <c r="GM6" s="518">
        <v>0</v>
      </c>
      <c r="GN6" s="518">
        <v>0</v>
      </c>
      <c r="GO6" s="518">
        <v>0</v>
      </c>
      <c r="GP6" s="518">
        <v>0</v>
      </c>
      <c r="GQ6" s="518">
        <v>0</v>
      </c>
      <c r="GR6" s="518">
        <v>0</v>
      </c>
      <c r="GS6" s="518">
        <v>0</v>
      </c>
      <c r="GT6" s="518">
        <v>0</v>
      </c>
      <c r="GU6" s="518">
        <v>0</v>
      </c>
      <c r="GV6" s="518">
        <v>0</v>
      </c>
      <c r="GW6" s="518">
        <v>0</v>
      </c>
      <c r="GX6" s="518">
        <v>0</v>
      </c>
      <c r="GY6" s="518">
        <v>0</v>
      </c>
      <c r="GZ6" s="518">
        <v>0</v>
      </c>
      <c r="HA6" s="518">
        <v>0</v>
      </c>
      <c r="HB6" s="518">
        <v>0</v>
      </c>
      <c r="HC6" s="518">
        <v>0</v>
      </c>
      <c r="HD6" s="518">
        <v>0</v>
      </c>
      <c r="HE6" s="518">
        <v>0</v>
      </c>
      <c r="HF6" s="518">
        <v>0</v>
      </c>
      <c r="HG6" s="518">
        <v>0</v>
      </c>
      <c r="HH6" s="518">
        <v>0</v>
      </c>
      <c r="HI6" s="518">
        <v>0</v>
      </c>
      <c r="HJ6" s="518">
        <v>0</v>
      </c>
      <c r="HK6" s="518">
        <v>0</v>
      </c>
      <c r="HL6" s="518">
        <v>0</v>
      </c>
      <c r="HM6" s="518">
        <v>0</v>
      </c>
      <c r="HN6" s="518">
        <v>0</v>
      </c>
      <c r="HO6" s="518">
        <v>0</v>
      </c>
      <c r="HP6" s="518">
        <v>0</v>
      </c>
      <c r="HQ6" s="518">
        <v>0</v>
      </c>
      <c r="HR6" s="518">
        <v>0</v>
      </c>
      <c r="HS6" s="518">
        <v>0</v>
      </c>
      <c r="HT6" s="518">
        <v>0</v>
      </c>
      <c r="HU6" s="518">
        <v>0</v>
      </c>
      <c r="HV6" s="518">
        <v>0</v>
      </c>
      <c r="HW6" s="518">
        <v>0</v>
      </c>
      <c r="HX6" s="518">
        <v>0</v>
      </c>
      <c r="HY6" s="518">
        <v>0</v>
      </c>
      <c r="HZ6" s="518">
        <v>0</v>
      </c>
      <c r="IA6" s="518">
        <v>0</v>
      </c>
      <c r="IB6" s="518">
        <v>0</v>
      </c>
      <c r="IC6" s="518">
        <v>0</v>
      </c>
      <c r="ID6" s="518">
        <v>0</v>
      </c>
      <c r="IE6" s="518">
        <v>0</v>
      </c>
      <c r="IF6" s="518">
        <v>0</v>
      </c>
      <c r="IG6" s="518">
        <v>0</v>
      </c>
      <c r="IH6" s="518">
        <v>0</v>
      </c>
      <c r="II6" s="518">
        <v>0</v>
      </c>
      <c r="IJ6" s="518">
        <v>0</v>
      </c>
      <c r="IK6" s="518">
        <v>0</v>
      </c>
    </row>
    <row r="7" spans="1:245" ht="16.5" hidden="1">
      <c r="A7" s="517" t="s">
        <v>721</v>
      </c>
      <c r="B7" s="517" t="s">
        <v>1101</v>
      </c>
      <c r="C7" s="517" t="s">
        <v>721</v>
      </c>
      <c r="D7" s="558"/>
      <c r="E7" s="517" t="s">
        <v>721</v>
      </c>
      <c r="F7" s="517" t="s">
        <v>25</v>
      </c>
      <c r="G7" s="558"/>
      <c r="H7" s="518">
        <v>19</v>
      </c>
      <c r="I7" s="558"/>
      <c r="J7" s="494" t="str">
        <f t="shared" si="1"/>
        <v>SWUC100119</v>
      </c>
      <c r="K7" s="518">
        <v>56</v>
      </c>
      <c r="M7" s="517" t="s">
        <v>721</v>
      </c>
      <c r="N7" s="517" t="s">
        <v>1101</v>
      </c>
      <c r="O7" s="517" t="s">
        <v>25</v>
      </c>
      <c r="P7" s="518">
        <v>19</v>
      </c>
      <c r="Q7" s="494" t="str">
        <f t="shared" si="2"/>
        <v>SWUC100119</v>
      </c>
      <c r="R7" s="518">
        <v>0</v>
      </c>
      <c r="S7" s="518">
        <v>5</v>
      </c>
      <c r="T7" s="518">
        <v>9</v>
      </c>
      <c r="U7" s="518">
        <v>14</v>
      </c>
      <c r="V7" s="518">
        <v>19</v>
      </c>
      <c r="W7" s="518">
        <v>25</v>
      </c>
      <c r="X7" s="518">
        <v>31</v>
      </c>
      <c r="Y7" s="518">
        <v>39</v>
      </c>
      <c r="Z7" s="518">
        <v>47</v>
      </c>
      <c r="AA7" s="518">
        <v>0</v>
      </c>
      <c r="AB7" s="518">
        <v>0</v>
      </c>
      <c r="AC7" s="518">
        <v>0</v>
      </c>
      <c r="AD7" s="518">
        <v>0</v>
      </c>
      <c r="AE7" s="518">
        <v>0</v>
      </c>
      <c r="AF7" s="518">
        <v>0</v>
      </c>
      <c r="AG7" s="518">
        <v>0</v>
      </c>
      <c r="AH7" s="518">
        <v>0</v>
      </c>
      <c r="AI7" s="518">
        <v>0</v>
      </c>
      <c r="AJ7" s="518">
        <v>0</v>
      </c>
      <c r="AK7" s="518">
        <v>0</v>
      </c>
      <c r="AL7" s="518">
        <v>0</v>
      </c>
      <c r="AM7" s="518">
        <v>0</v>
      </c>
      <c r="AN7" s="518">
        <v>0</v>
      </c>
      <c r="AO7" s="518">
        <v>0</v>
      </c>
      <c r="AP7" s="518">
        <v>0</v>
      </c>
      <c r="AQ7" s="518">
        <v>0</v>
      </c>
      <c r="AR7" s="518">
        <v>0</v>
      </c>
      <c r="AS7" s="518">
        <v>0</v>
      </c>
      <c r="AT7" s="518">
        <v>0</v>
      </c>
      <c r="AU7" s="518">
        <v>0</v>
      </c>
      <c r="AV7" s="518">
        <v>0</v>
      </c>
      <c r="AW7" s="518">
        <v>0</v>
      </c>
      <c r="AX7" s="518">
        <v>0</v>
      </c>
      <c r="AY7" s="518">
        <v>0</v>
      </c>
      <c r="AZ7" s="518">
        <v>0</v>
      </c>
      <c r="BA7" s="518">
        <v>0</v>
      </c>
      <c r="BB7" s="518">
        <v>0</v>
      </c>
      <c r="BC7" s="518">
        <v>0</v>
      </c>
      <c r="BD7" s="518">
        <v>0</v>
      </c>
      <c r="BE7" s="518">
        <v>0</v>
      </c>
      <c r="BF7" s="518">
        <v>0</v>
      </c>
      <c r="BG7" s="518">
        <v>0</v>
      </c>
      <c r="BH7" s="518">
        <v>0</v>
      </c>
      <c r="BI7" s="518">
        <v>0</v>
      </c>
      <c r="BJ7" s="518">
        <v>0</v>
      </c>
      <c r="BK7" s="518">
        <v>0</v>
      </c>
      <c r="BL7" s="518">
        <v>0</v>
      </c>
      <c r="BM7" s="518">
        <v>0</v>
      </c>
      <c r="BN7" s="518">
        <v>0</v>
      </c>
      <c r="BO7" s="518">
        <v>0</v>
      </c>
      <c r="BP7" s="518">
        <v>0</v>
      </c>
      <c r="BQ7" s="518">
        <v>0</v>
      </c>
      <c r="BR7" s="518">
        <v>0</v>
      </c>
      <c r="BS7" s="518">
        <v>0</v>
      </c>
      <c r="BT7" s="518">
        <v>0</v>
      </c>
      <c r="BU7" s="518">
        <v>0</v>
      </c>
      <c r="BV7" s="518">
        <v>0</v>
      </c>
      <c r="BW7" s="518">
        <v>0</v>
      </c>
      <c r="BX7" s="518">
        <v>0</v>
      </c>
      <c r="BY7" s="518">
        <v>0</v>
      </c>
      <c r="BZ7" s="518">
        <v>0</v>
      </c>
      <c r="CA7" s="518">
        <v>0</v>
      </c>
      <c r="CB7" s="518">
        <v>0</v>
      </c>
      <c r="CC7" s="518">
        <v>0</v>
      </c>
      <c r="CD7" s="518">
        <v>0</v>
      </c>
      <c r="CE7" s="518">
        <v>0</v>
      </c>
      <c r="CF7" s="518">
        <v>0</v>
      </c>
      <c r="CG7" s="518">
        <v>0</v>
      </c>
      <c r="CH7" s="518">
        <v>0</v>
      </c>
      <c r="CI7" s="518">
        <v>0</v>
      </c>
      <c r="CJ7" s="518">
        <v>0</v>
      </c>
      <c r="CK7" s="518">
        <v>0</v>
      </c>
      <c r="CL7" s="518">
        <v>0</v>
      </c>
      <c r="CM7" s="518">
        <v>0</v>
      </c>
      <c r="CN7" s="518">
        <v>0</v>
      </c>
      <c r="CO7" s="518">
        <v>0</v>
      </c>
      <c r="CP7" s="518">
        <v>0</v>
      </c>
      <c r="CQ7" s="518">
        <v>0</v>
      </c>
      <c r="CR7" s="518">
        <v>0</v>
      </c>
      <c r="CS7" s="518">
        <v>0</v>
      </c>
      <c r="CT7" s="518">
        <v>0</v>
      </c>
      <c r="CU7" s="518">
        <v>0</v>
      </c>
      <c r="CV7" s="518">
        <v>0</v>
      </c>
      <c r="CW7" s="518">
        <v>0</v>
      </c>
      <c r="CX7" s="518">
        <v>0</v>
      </c>
      <c r="CY7" s="518">
        <v>0</v>
      </c>
      <c r="CZ7" s="518">
        <v>0</v>
      </c>
      <c r="DA7" s="518">
        <v>0</v>
      </c>
      <c r="DB7" s="518">
        <v>0</v>
      </c>
      <c r="DC7" s="518">
        <v>0</v>
      </c>
      <c r="DD7" s="518">
        <v>0</v>
      </c>
      <c r="DE7" s="518">
        <v>0</v>
      </c>
      <c r="DF7" s="518">
        <v>0</v>
      </c>
      <c r="DG7" s="518">
        <v>0</v>
      </c>
      <c r="DH7" s="518">
        <v>0</v>
      </c>
      <c r="DI7" s="518">
        <v>0</v>
      </c>
      <c r="DJ7" s="518">
        <v>0</v>
      </c>
      <c r="DK7" s="518">
        <v>0</v>
      </c>
      <c r="DL7" s="518">
        <v>0</v>
      </c>
      <c r="DM7" s="518">
        <v>0</v>
      </c>
      <c r="DN7" s="518">
        <v>0</v>
      </c>
      <c r="DO7" s="518">
        <v>0</v>
      </c>
      <c r="DP7" s="518">
        <v>0</v>
      </c>
      <c r="DQ7" s="518">
        <v>0</v>
      </c>
      <c r="DR7" s="518">
        <v>0</v>
      </c>
      <c r="DS7" s="518">
        <v>0</v>
      </c>
      <c r="DT7" s="518">
        <v>0</v>
      </c>
      <c r="DU7" s="518">
        <v>0</v>
      </c>
      <c r="DV7" s="518">
        <v>0</v>
      </c>
      <c r="DW7" s="518">
        <v>0</v>
      </c>
      <c r="DX7" s="518">
        <v>0</v>
      </c>
      <c r="DY7" s="477"/>
      <c r="DZ7" s="517" t="s">
        <v>721</v>
      </c>
      <c r="EA7" s="517" t="s">
        <v>1101</v>
      </c>
      <c r="EB7" s="517" t="s">
        <v>25</v>
      </c>
      <c r="EC7" s="518">
        <v>19</v>
      </c>
      <c r="ED7" s="494" t="str">
        <f t="shared" si="0"/>
        <v>SWUC100119</v>
      </c>
      <c r="EE7" s="518">
        <v>10000</v>
      </c>
      <c r="EF7" s="518">
        <v>10000</v>
      </c>
      <c r="EG7" s="518">
        <v>10000</v>
      </c>
      <c r="EH7" s="518">
        <v>10000</v>
      </c>
      <c r="EI7" s="518">
        <v>10000</v>
      </c>
      <c r="EJ7" s="518">
        <v>10000</v>
      </c>
      <c r="EK7" s="518">
        <v>10000</v>
      </c>
      <c r="EL7" s="518">
        <v>10000</v>
      </c>
      <c r="EM7" s="518">
        <v>10000</v>
      </c>
      <c r="EN7" s="518">
        <v>10000</v>
      </c>
      <c r="EO7" s="518">
        <v>0</v>
      </c>
      <c r="EP7" s="518">
        <v>0</v>
      </c>
      <c r="EQ7" s="518">
        <v>0</v>
      </c>
      <c r="ER7" s="518">
        <v>0</v>
      </c>
      <c r="ES7" s="518">
        <v>0</v>
      </c>
      <c r="ET7" s="518">
        <v>0</v>
      </c>
      <c r="EU7" s="518">
        <v>0</v>
      </c>
      <c r="EV7" s="518">
        <v>0</v>
      </c>
      <c r="EW7" s="518">
        <v>0</v>
      </c>
      <c r="EX7" s="518">
        <v>0</v>
      </c>
      <c r="EY7" s="518">
        <v>0</v>
      </c>
      <c r="EZ7" s="518">
        <v>0</v>
      </c>
      <c r="FA7" s="518">
        <v>0</v>
      </c>
      <c r="FB7" s="518">
        <v>0</v>
      </c>
      <c r="FC7" s="518">
        <v>0</v>
      </c>
      <c r="FD7" s="518">
        <v>0</v>
      </c>
      <c r="FE7" s="518">
        <v>0</v>
      </c>
      <c r="FF7" s="518">
        <v>0</v>
      </c>
      <c r="FG7" s="518">
        <v>0</v>
      </c>
      <c r="FH7" s="518">
        <v>0</v>
      </c>
      <c r="FI7" s="518">
        <v>0</v>
      </c>
      <c r="FJ7" s="518">
        <v>0</v>
      </c>
      <c r="FK7" s="518">
        <v>0</v>
      </c>
      <c r="FL7" s="518">
        <v>0</v>
      </c>
      <c r="FM7" s="518">
        <v>0</v>
      </c>
      <c r="FN7" s="518">
        <v>0</v>
      </c>
      <c r="FO7" s="518">
        <v>0</v>
      </c>
      <c r="FP7" s="518">
        <v>0</v>
      </c>
      <c r="FQ7" s="518">
        <v>0</v>
      </c>
      <c r="FR7" s="518">
        <v>0</v>
      </c>
      <c r="FS7" s="518">
        <v>0</v>
      </c>
      <c r="FT7" s="518">
        <v>0</v>
      </c>
      <c r="FU7" s="518">
        <v>0</v>
      </c>
      <c r="FV7" s="518">
        <v>0</v>
      </c>
      <c r="FW7" s="518">
        <v>0</v>
      </c>
      <c r="FX7" s="518">
        <v>0</v>
      </c>
      <c r="FY7" s="518">
        <v>0</v>
      </c>
      <c r="FZ7" s="518">
        <v>0</v>
      </c>
      <c r="GA7" s="518">
        <v>0</v>
      </c>
      <c r="GB7" s="518">
        <v>0</v>
      </c>
      <c r="GC7" s="518">
        <v>0</v>
      </c>
      <c r="GD7" s="518">
        <v>0</v>
      </c>
      <c r="GE7" s="518">
        <v>0</v>
      </c>
      <c r="GF7" s="518">
        <v>0</v>
      </c>
      <c r="GG7" s="518">
        <v>0</v>
      </c>
      <c r="GH7" s="518">
        <v>0</v>
      </c>
      <c r="GI7" s="518">
        <v>0</v>
      </c>
      <c r="GJ7" s="518">
        <v>0</v>
      </c>
      <c r="GK7" s="518">
        <v>0</v>
      </c>
      <c r="GL7" s="518">
        <v>0</v>
      </c>
      <c r="GM7" s="518">
        <v>0</v>
      </c>
      <c r="GN7" s="518">
        <v>0</v>
      </c>
      <c r="GO7" s="518">
        <v>0</v>
      </c>
      <c r="GP7" s="518">
        <v>0</v>
      </c>
      <c r="GQ7" s="518">
        <v>0</v>
      </c>
      <c r="GR7" s="518">
        <v>0</v>
      </c>
      <c r="GS7" s="518">
        <v>0</v>
      </c>
      <c r="GT7" s="518">
        <v>0</v>
      </c>
      <c r="GU7" s="518">
        <v>0</v>
      </c>
      <c r="GV7" s="518">
        <v>0</v>
      </c>
      <c r="GW7" s="518">
        <v>0</v>
      </c>
      <c r="GX7" s="518">
        <v>0</v>
      </c>
      <c r="GY7" s="518">
        <v>0</v>
      </c>
      <c r="GZ7" s="518">
        <v>0</v>
      </c>
      <c r="HA7" s="518">
        <v>0</v>
      </c>
      <c r="HB7" s="518">
        <v>0</v>
      </c>
      <c r="HC7" s="518">
        <v>0</v>
      </c>
      <c r="HD7" s="518">
        <v>0</v>
      </c>
      <c r="HE7" s="518">
        <v>0</v>
      </c>
      <c r="HF7" s="518">
        <v>0</v>
      </c>
      <c r="HG7" s="518">
        <v>0</v>
      </c>
      <c r="HH7" s="518">
        <v>0</v>
      </c>
      <c r="HI7" s="518">
        <v>0</v>
      </c>
      <c r="HJ7" s="518">
        <v>0</v>
      </c>
      <c r="HK7" s="518">
        <v>0</v>
      </c>
      <c r="HL7" s="518">
        <v>0</v>
      </c>
      <c r="HM7" s="518">
        <v>0</v>
      </c>
      <c r="HN7" s="518">
        <v>0</v>
      </c>
      <c r="HO7" s="518">
        <v>0</v>
      </c>
      <c r="HP7" s="518">
        <v>0</v>
      </c>
      <c r="HQ7" s="518">
        <v>0</v>
      </c>
      <c r="HR7" s="518">
        <v>0</v>
      </c>
      <c r="HS7" s="518">
        <v>0</v>
      </c>
      <c r="HT7" s="518">
        <v>0</v>
      </c>
      <c r="HU7" s="518">
        <v>0</v>
      </c>
      <c r="HV7" s="518">
        <v>0</v>
      </c>
      <c r="HW7" s="518">
        <v>0</v>
      </c>
      <c r="HX7" s="518">
        <v>0</v>
      </c>
      <c r="HY7" s="518">
        <v>0</v>
      </c>
      <c r="HZ7" s="518">
        <v>0</v>
      </c>
      <c r="IA7" s="518">
        <v>0</v>
      </c>
      <c r="IB7" s="518">
        <v>0</v>
      </c>
      <c r="IC7" s="518">
        <v>0</v>
      </c>
      <c r="ID7" s="518">
        <v>0</v>
      </c>
      <c r="IE7" s="518">
        <v>0</v>
      </c>
      <c r="IF7" s="518">
        <v>0</v>
      </c>
      <c r="IG7" s="518">
        <v>0</v>
      </c>
      <c r="IH7" s="518">
        <v>0</v>
      </c>
      <c r="II7" s="518">
        <v>0</v>
      </c>
      <c r="IJ7" s="518">
        <v>0</v>
      </c>
      <c r="IK7" s="518">
        <v>0</v>
      </c>
    </row>
    <row r="8" spans="1:245" ht="16.5" hidden="1">
      <c r="A8" s="517" t="s">
        <v>721</v>
      </c>
      <c r="B8" s="517" t="s">
        <v>1101</v>
      </c>
      <c r="C8" s="517" t="s">
        <v>721</v>
      </c>
      <c r="D8" s="558"/>
      <c r="E8" s="517" t="s">
        <v>721</v>
      </c>
      <c r="F8" s="517" t="s">
        <v>25</v>
      </c>
      <c r="G8" s="558"/>
      <c r="H8" s="518">
        <v>20</v>
      </c>
      <c r="I8" s="558"/>
      <c r="J8" s="494" t="str">
        <f t="shared" si="1"/>
        <v>SWUC100120</v>
      </c>
      <c r="K8" s="518">
        <v>58</v>
      </c>
      <c r="M8" s="517" t="s">
        <v>721</v>
      </c>
      <c r="N8" s="517" t="s">
        <v>1101</v>
      </c>
      <c r="O8" s="517" t="s">
        <v>25</v>
      </c>
      <c r="P8" s="518">
        <v>20</v>
      </c>
      <c r="Q8" s="494" t="str">
        <f t="shared" si="2"/>
        <v>SWUC100120</v>
      </c>
      <c r="R8" s="518">
        <v>0</v>
      </c>
      <c r="S8" s="518">
        <v>5</v>
      </c>
      <c r="T8" s="518">
        <v>10</v>
      </c>
      <c r="U8" s="518">
        <v>14</v>
      </c>
      <c r="V8" s="518">
        <v>19</v>
      </c>
      <c r="W8" s="518">
        <v>26</v>
      </c>
      <c r="X8" s="518">
        <v>32</v>
      </c>
      <c r="Y8" s="518">
        <v>41</v>
      </c>
      <c r="Z8" s="518">
        <v>48</v>
      </c>
      <c r="AA8" s="518">
        <v>0</v>
      </c>
      <c r="AB8" s="518">
        <v>0</v>
      </c>
      <c r="AC8" s="518">
        <v>0</v>
      </c>
      <c r="AD8" s="518">
        <v>0</v>
      </c>
      <c r="AE8" s="518">
        <v>0</v>
      </c>
      <c r="AF8" s="518">
        <v>0</v>
      </c>
      <c r="AG8" s="518">
        <v>0</v>
      </c>
      <c r="AH8" s="518">
        <v>0</v>
      </c>
      <c r="AI8" s="518">
        <v>0</v>
      </c>
      <c r="AJ8" s="518">
        <v>0</v>
      </c>
      <c r="AK8" s="518">
        <v>0</v>
      </c>
      <c r="AL8" s="518">
        <v>0</v>
      </c>
      <c r="AM8" s="518">
        <v>0</v>
      </c>
      <c r="AN8" s="518">
        <v>0</v>
      </c>
      <c r="AO8" s="518">
        <v>0</v>
      </c>
      <c r="AP8" s="518">
        <v>0</v>
      </c>
      <c r="AQ8" s="518">
        <v>0</v>
      </c>
      <c r="AR8" s="518">
        <v>0</v>
      </c>
      <c r="AS8" s="518">
        <v>0</v>
      </c>
      <c r="AT8" s="518">
        <v>0</v>
      </c>
      <c r="AU8" s="518">
        <v>0</v>
      </c>
      <c r="AV8" s="518">
        <v>0</v>
      </c>
      <c r="AW8" s="518">
        <v>0</v>
      </c>
      <c r="AX8" s="518">
        <v>0</v>
      </c>
      <c r="AY8" s="518">
        <v>0</v>
      </c>
      <c r="AZ8" s="518">
        <v>0</v>
      </c>
      <c r="BA8" s="518">
        <v>0</v>
      </c>
      <c r="BB8" s="518">
        <v>0</v>
      </c>
      <c r="BC8" s="518">
        <v>0</v>
      </c>
      <c r="BD8" s="518">
        <v>0</v>
      </c>
      <c r="BE8" s="518">
        <v>0</v>
      </c>
      <c r="BF8" s="518">
        <v>0</v>
      </c>
      <c r="BG8" s="518">
        <v>0</v>
      </c>
      <c r="BH8" s="518">
        <v>0</v>
      </c>
      <c r="BI8" s="518">
        <v>0</v>
      </c>
      <c r="BJ8" s="518">
        <v>0</v>
      </c>
      <c r="BK8" s="518">
        <v>0</v>
      </c>
      <c r="BL8" s="518">
        <v>0</v>
      </c>
      <c r="BM8" s="518">
        <v>0</v>
      </c>
      <c r="BN8" s="518">
        <v>0</v>
      </c>
      <c r="BO8" s="518">
        <v>0</v>
      </c>
      <c r="BP8" s="518">
        <v>0</v>
      </c>
      <c r="BQ8" s="518">
        <v>0</v>
      </c>
      <c r="BR8" s="518">
        <v>0</v>
      </c>
      <c r="BS8" s="518">
        <v>0</v>
      </c>
      <c r="BT8" s="518">
        <v>0</v>
      </c>
      <c r="BU8" s="518">
        <v>0</v>
      </c>
      <c r="BV8" s="518">
        <v>0</v>
      </c>
      <c r="BW8" s="518">
        <v>0</v>
      </c>
      <c r="BX8" s="518">
        <v>0</v>
      </c>
      <c r="BY8" s="518">
        <v>0</v>
      </c>
      <c r="BZ8" s="518">
        <v>0</v>
      </c>
      <c r="CA8" s="518">
        <v>0</v>
      </c>
      <c r="CB8" s="518">
        <v>0</v>
      </c>
      <c r="CC8" s="518">
        <v>0</v>
      </c>
      <c r="CD8" s="518">
        <v>0</v>
      </c>
      <c r="CE8" s="518">
        <v>0</v>
      </c>
      <c r="CF8" s="518">
        <v>0</v>
      </c>
      <c r="CG8" s="518">
        <v>0</v>
      </c>
      <c r="CH8" s="518">
        <v>0</v>
      </c>
      <c r="CI8" s="518">
        <v>0</v>
      </c>
      <c r="CJ8" s="518">
        <v>0</v>
      </c>
      <c r="CK8" s="518">
        <v>0</v>
      </c>
      <c r="CL8" s="518">
        <v>0</v>
      </c>
      <c r="CM8" s="518">
        <v>0</v>
      </c>
      <c r="CN8" s="518">
        <v>0</v>
      </c>
      <c r="CO8" s="518">
        <v>0</v>
      </c>
      <c r="CP8" s="518">
        <v>0</v>
      </c>
      <c r="CQ8" s="518">
        <v>0</v>
      </c>
      <c r="CR8" s="518">
        <v>0</v>
      </c>
      <c r="CS8" s="518">
        <v>0</v>
      </c>
      <c r="CT8" s="518">
        <v>0</v>
      </c>
      <c r="CU8" s="518">
        <v>0</v>
      </c>
      <c r="CV8" s="518">
        <v>0</v>
      </c>
      <c r="CW8" s="518">
        <v>0</v>
      </c>
      <c r="CX8" s="518">
        <v>0</v>
      </c>
      <c r="CY8" s="518">
        <v>0</v>
      </c>
      <c r="CZ8" s="518">
        <v>0</v>
      </c>
      <c r="DA8" s="518">
        <v>0</v>
      </c>
      <c r="DB8" s="518">
        <v>0</v>
      </c>
      <c r="DC8" s="518">
        <v>0</v>
      </c>
      <c r="DD8" s="518">
        <v>0</v>
      </c>
      <c r="DE8" s="518">
        <v>0</v>
      </c>
      <c r="DF8" s="518">
        <v>0</v>
      </c>
      <c r="DG8" s="518">
        <v>0</v>
      </c>
      <c r="DH8" s="518">
        <v>0</v>
      </c>
      <c r="DI8" s="518">
        <v>0</v>
      </c>
      <c r="DJ8" s="518">
        <v>0</v>
      </c>
      <c r="DK8" s="518">
        <v>0</v>
      </c>
      <c r="DL8" s="518">
        <v>0</v>
      </c>
      <c r="DM8" s="518">
        <v>0</v>
      </c>
      <c r="DN8" s="518">
        <v>0</v>
      </c>
      <c r="DO8" s="518">
        <v>0</v>
      </c>
      <c r="DP8" s="518">
        <v>0</v>
      </c>
      <c r="DQ8" s="518">
        <v>0</v>
      </c>
      <c r="DR8" s="518">
        <v>0</v>
      </c>
      <c r="DS8" s="518">
        <v>0</v>
      </c>
      <c r="DT8" s="518">
        <v>0</v>
      </c>
      <c r="DU8" s="518">
        <v>0</v>
      </c>
      <c r="DV8" s="518">
        <v>0</v>
      </c>
      <c r="DW8" s="518">
        <v>0</v>
      </c>
      <c r="DX8" s="518">
        <v>0</v>
      </c>
      <c r="DY8" s="477"/>
      <c r="DZ8" s="517" t="s">
        <v>721</v>
      </c>
      <c r="EA8" s="517" t="s">
        <v>1101</v>
      </c>
      <c r="EB8" s="517" t="s">
        <v>25</v>
      </c>
      <c r="EC8" s="518">
        <v>20</v>
      </c>
      <c r="ED8" s="494" t="str">
        <f t="shared" si="0"/>
        <v>SWUC100120</v>
      </c>
      <c r="EE8" s="518">
        <v>10000</v>
      </c>
      <c r="EF8" s="518">
        <v>10000</v>
      </c>
      <c r="EG8" s="518">
        <v>10000</v>
      </c>
      <c r="EH8" s="518">
        <v>10000</v>
      </c>
      <c r="EI8" s="518">
        <v>10000</v>
      </c>
      <c r="EJ8" s="518">
        <v>10000</v>
      </c>
      <c r="EK8" s="518">
        <v>10000</v>
      </c>
      <c r="EL8" s="518">
        <v>10000</v>
      </c>
      <c r="EM8" s="518">
        <v>10000</v>
      </c>
      <c r="EN8" s="518">
        <v>10000</v>
      </c>
      <c r="EO8" s="518">
        <v>0</v>
      </c>
      <c r="EP8" s="518">
        <v>0</v>
      </c>
      <c r="EQ8" s="518">
        <v>0</v>
      </c>
      <c r="ER8" s="518">
        <v>0</v>
      </c>
      <c r="ES8" s="518">
        <v>0</v>
      </c>
      <c r="ET8" s="518">
        <v>0</v>
      </c>
      <c r="EU8" s="518">
        <v>0</v>
      </c>
      <c r="EV8" s="518">
        <v>0</v>
      </c>
      <c r="EW8" s="518">
        <v>0</v>
      </c>
      <c r="EX8" s="518">
        <v>0</v>
      </c>
      <c r="EY8" s="518">
        <v>0</v>
      </c>
      <c r="EZ8" s="518">
        <v>0</v>
      </c>
      <c r="FA8" s="518">
        <v>0</v>
      </c>
      <c r="FB8" s="518">
        <v>0</v>
      </c>
      <c r="FC8" s="518">
        <v>0</v>
      </c>
      <c r="FD8" s="518">
        <v>0</v>
      </c>
      <c r="FE8" s="518">
        <v>0</v>
      </c>
      <c r="FF8" s="518">
        <v>0</v>
      </c>
      <c r="FG8" s="518">
        <v>0</v>
      </c>
      <c r="FH8" s="518">
        <v>0</v>
      </c>
      <c r="FI8" s="518">
        <v>0</v>
      </c>
      <c r="FJ8" s="518">
        <v>0</v>
      </c>
      <c r="FK8" s="518">
        <v>0</v>
      </c>
      <c r="FL8" s="518">
        <v>0</v>
      </c>
      <c r="FM8" s="518">
        <v>0</v>
      </c>
      <c r="FN8" s="518">
        <v>0</v>
      </c>
      <c r="FO8" s="518">
        <v>0</v>
      </c>
      <c r="FP8" s="518">
        <v>0</v>
      </c>
      <c r="FQ8" s="518">
        <v>0</v>
      </c>
      <c r="FR8" s="518">
        <v>0</v>
      </c>
      <c r="FS8" s="518">
        <v>0</v>
      </c>
      <c r="FT8" s="518">
        <v>0</v>
      </c>
      <c r="FU8" s="518">
        <v>0</v>
      </c>
      <c r="FV8" s="518">
        <v>0</v>
      </c>
      <c r="FW8" s="518">
        <v>0</v>
      </c>
      <c r="FX8" s="518">
        <v>0</v>
      </c>
      <c r="FY8" s="518">
        <v>0</v>
      </c>
      <c r="FZ8" s="518">
        <v>0</v>
      </c>
      <c r="GA8" s="518">
        <v>0</v>
      </c>
      <c r="GB8" s="518">
        <v>0</v>
      </c>
      <c r="GC8" s="518">
        <v>0</v>
      </c>
      <c r="GD8" s="518">
        <v>0</v>
      </c>
      <c r="GE8" s="518">
        <v>0</v>
      </c>
      <c r="GF8" s="518">
        <v>0</v>
      </c>
      <c r="GG8" s="518">
        <v>0</v>
      </c>
      <c r="GH8" s="518">
        <v>0</v>
      </c>
      <c r="GI8" s="518">
        <v>0</v>
      </c>
      <c r="GJ8" s="518">
        <v>0</v>
      </c>
      <c r="GK8" s="518">
        <v>0</v>
      </c>
      <c r="GL8" s="518">
        <v>0</v>
      </c>
      <c r="GM8" s="518">
        <v>0</v>
      </c>
      <c r="GN8" s="518">
        <v>0</v>
      </c>
      <c r="GO8" s="518">
        <v>0</v>
      </c>
      <c r="GP8" s="518">
        <v>0</v>
      </c>
      <c r="GQ8" s="518">
        <v>0</v>
      </c>
      <c r="GR8" s="518">
        <v>0</v>
      </c>
      <c r="GS8" s="518">
        <v>0</v>
      </c>
      <c r="GT8" s="518">
        <v>0</v>
      </c>
      <c r="GU8" s="518">
        <v>0</v>
      </c>
      <c r="GV8" s="518">
        <v>0</v>
      </c>
      <c r="GW8" s="518">
        <v>0</v>
      </c>
      <c r="GX8" s="518">
        <v>0</v>
      </c>
      <c r="GY8" s="518">
        <v>0</v>
      </c>
      <c r="GZ8" s="518">
        <v>0</v>
      </c>
      <c r="HA8" s="518">
        <v>0</v>
      </c>
      <c r="HB8" s="518">
        <v>0</v>
      </c>
      <c r="HC8" s="518">
        <v>0</v>
      </c>
      <c r="HD8" s="518">
        <v>0</v>
      </c>
      <c r="HE8" s="518">
        <v>0</v>
      </c>
      <c r="HF8" s="518">
        <v>0</v>
      </c>
      <c r="HG8" s="518">
        <v>0</v>
      </c>
      <c r="HH8" s="518">
        <v>0</v>
      </c>
      <c r="HI8" s="518">
        <v>0</v>
      </c>
      <c r="HJ8" s="518">
        <v>0</v>
      </c>
      <c r="HK8" s="518">
        <v>0</v>
      </c>
      <c r="HL8" s="518">
        <v>0</v>
      </c>
      <c r="HM8" s="518">
        <v>0</v>
      </c>
      <c r="HN8" s="518">
        <v>0</v>
      </c>
      <c r="HO8" s="518">
        <v>0</v>
      </c>
      <c r="HP8" s="518">
        <v>0</v>
      </c>
      <c r="HQ8" s="518">
        <v>0</v>
      </c>
      <c r="HR8" s="518">
        <v>0</v>
      </c>
      <c r="HS8" s="518">
        <v>0</v>
      </c>
      <c r="HT8" s="518">
        <v>0</v>
      </c>
      <c r="HU8" s="518">
        <v>0</v>
      </c>
      <c r="HV8" s="518">
        <v>0</v>
      </c>
      <c r="HW8" s="518">
        <v>0</v>
      </c>
      <c r="HX8" s="518">
        <v>0</v>
      </c>
      <c r="HY8" s="518">
        <v>0</v>
      </c>
      <c r="HZ8" s="518">
        <v>0</v>
      </c>
      <c r="IA8" s="518">
        <v>0</v>
      </c>
      <c r="IB8" s="518">
        <v>0</v>
      </c>
      <c r="IC8" s="518">
        <v>0</v>
      </c>
      <c r="ID8" s="518">
        <v>0</v>
      </c>
      <c r="IE8" s="518">
        <v>0</v>
      </c>
      <c r="IF8" s="518">
        <v>0</v>
      </c>
      <c r="IG8" s="518">
        <v>0</v>
      </c>
      <c r="IH8" s="518">
        <v>0</v>
      </c>
      <c r="II8" s="518">
        <v>0</v>
      </c>
      <c r="IJ8" s="518">
        <v>0</v>
      </c>
      <c r="IK8" s="518">
        <v>0</v>
      </c>
    </row>
    <row r="9" spans="1:245" ht="16.5" hidden="1">
      <c r="A9" s="517" t="s">
        <v>721</v>
      </c>
      <c r="B9" s="517" t="s">
        <v>1101</v>
      </c>
      <c r="C9" s="517" t="s">
        <v>721</v>
      </c>
      <c r="D9" s="558"/>
      <c r="E9" s="517" t="s">
        <v>721</v>
      </c>
      <c r="F9" s="517" t="s">
        <v>25</v>
      </c>
      <c r="G9" s="558"/>
      <c r="H9" s="518">
        <v>21</v>
      </c>
      <c r="I9" s="558"/>
      <c r="J9" s="494" t="str">
        <f t="shared" si="1"/>
        <v>SWUC100121</v>
      </c>
      <c r="K9" s="518">
        <v>61</v>
      </c>
      <c r="M9" s="517" t="s">
        <v>721</v>
      </c>
      <c r="N9" s="517" t="s">
        <v>1101</v>
      </c>
      <c r="O9" s="517" t="s">
        <v>25</v>
      </c>
      <c r="P9" s="518">
        <v>21</v>
      </c>
      <c r="Q9" s="494" t="str">
        <f t="shared" si="2"/>
        <v>SWUC100121</v>
      </c>
      <c r="R9" s="518">
        <v>0</v>
      </c>
      <c r="S9" s="518">
        <v>5</v>
      </c>
      <c r="T9" s="518">
        <v>10</v>
      </c>
      <c r="U9" s="518">
        <v>15</v>
      </c>
      <c r="V9" s="518">
        <v>20</v>
      </c>
      <c r="W9" s="518">
        <v>27</v>
      </c>
      <c r="X9" s="518">
        <v>35</v>
      </c>
      <c r="Y9" s="518">
        <v>42</v>
      </c>
      <c r="Z9" s="518">
        <v>51</v>
      </c>
      <c r="AA9" s="518">
        <v>0</v>
      </c>
      <c r="AB9" s="518">
        <v>0</v>
      </c>
      <c r="AC9" s="518">
        <v>0</v>
      </c>
      <c r="AD9" s="518">
        <v>0</v>
      </c>
      <c r="AE9" s="518">
        <v>0</v>
      </c>
      <c r="AF9" s="518">
        <v>0</v>
      </c>
      <c r="AG9" s="518">
        <v>0</v>
      </c>
      <c r="AH9" s="518">
        <v>0</v>
      </c>
      <c r="AI9" s="518">
        <v>0</v>
      </c>
      <c r="AJ9" s="518">
        <v>0</v>
      </c>
      <c r="AK9" s="518">
        <v>0</v>
      </c>
      <c r="AL9" s="518">
        <v>0</v>
      </c>
      <c r="AM9" s="518">
        <v>0</v>
      </c>
      <c r="AN9" s="518">
        <v>0</v>
      </c>
      <c r="AO9" s="518">
        <v>0</v>
      </c>
      <c r="AP9" s="518">
        <v>0</v>
      </c>
      <c r="AQ9" s="518">
        <v>0</v>
      </c>
      <c r="AR9" s="518">
        <v>0</v>
      </c>
      <c r="AS9" s="518">
        <v>0</v>
      </c>
      <c r="AT9" s="518">
        <v>0</v>
      </c>
      <c r="AU9" s="518">
        <v>0</v>
      </c>
      <c r="AV9" s="518">
        <v>0</v>
      </c>
      <c r="AW9" s="518">
        <v>0</v>
      </c>
      <c r="AX9" s="518">
        <v>0</v>
      </c>
      <c r="AY9" s="518">
        <v>0</v>
      </c>
      <c r="AZ9" s="518">
        <v>0</v>
      </c>
      <c r="BA9" s="518">
        <v>0</v>
      </c>
      <c r="BB9" s="518">
        <v>0</v>
      </c>
      <c r="BC9" s="518">
        <v>0</v>
      </c>
      <c r="BD9" s="518">
        <v>0</v>
      </c>
      <c r="BE9" s="518">
        <v>0</v>
      </c>
      <c r="BF9" s="518">
        <v>0</v>
      </c>
      <c r="BG9" s="518">
        <v>0</v>
      </c>
      <c r="BH9" s="518">
        <v>0</v>
      </c>
      <c r="BI9" s="518">
        <v>0</v>
      </c>
      <c r="BJ9" s="518">
        <v>0</v>
      </c>
      <c r="BK9" s="518">
        <v>0</v>
      </c>
      <c r="BL9" s="518">
        <v>0</v>
      </c>
      <c r="BM9" s="518">
        <v>0</v>
      </c>
      <c r="BN9" s="518">
        <v>0</v>
      </c>
      <c r="BO9" s="518">
        <v>0</v>
      </c>
      <c r="BP9" s="518">
        <v>0</v>
      </c>
      <c r="BQ9" s="518">
        <v>0</v>
      </c>
      <c r="BR9" s="518">
        <v>0</v>
      </c>
      <c r="BS9" s="518">
        <v>0</v>
      </c>
      <c r="BT9" s="518">
        <v>0</v>
      </c>
      <c r="BU9" s="518">
        <v>0</v>
      </c>
      <c r="BV9" s="518">
        <v>0</v>
      </c>
      <c r="BW9" s="518">
        <v>0</v>
      </c>
      <c r="BX9" s="518">
        <v>0</v>
      </c>
      <c r="BY9" s="518">
        <v>0</v>
      </c>
      <c r="BZ9" s="518">
        <v>0</v>
      </c>
      <c r="CA9" s="518">
        <v>0</v>
      </c>
      <c r="CB9" s="518">
        <v>0</v>
      </c>
      <c r="CC9" s="518">
        <v>0</v>
      </c>
      <c r="CD9" s="518">
        <v>0</v>
      </c>
      <c r="CE9" s="518">
        <v>0</v>
      </c>
      <c r="CF9" s="518">
        <v>0</v>
      </c>
      <c r="CG9" s="518">
        <v>0</v>
      </c>
      <c r="CH9" s="518">
        <v>0</v>
      </c>
      <c r="CI9" s="518">
        <v>0</v>
      </c>
      <c r="CJ9" s="518">
        <v>0</v>
      </c>
      <c r="CK9" s="518">
        <v>0</v>
      </c>
      <c r="CL9" s="518">
        <v>0</v>
      </c>
      <c r="CM9" s="518">
        <v>0</v>
      </c>
      <c r="CN9" s="518">
        <v>0</v>
      </c>
      <c r="CO9" s="518">
        <v>0</v>
      </c>
      <c r="CP9" s="518">
        <v>0</v>
      </c>
      <c r="CQ9" s="518">
        <v>0</v>
      </c>
      <c r="CR9" s="518">
        <v>0</v>
      </c>
      <c r="CS9" s="518">
        <v>0</v>
      </c>
      <c r="CT9" s="518">
        <v>0</v>
      </c>
      <c r="CU9" s="518">
        <v>0</v>
      </c>
      <c r="CV9" s="518">
        <v>0</v>
      </c>
      <c r="CW9" s="518">
        <v>0</v>
      </c>
      <c r="CX9" s="518">
        <v>0</v>
      </c>
      <c r="CY9" s="518">
        <v>0</v>
      </c>
      <c r="CZ9" s="518">
        <v>0</v>
      </c>
      <c r="DA9" s="518">
        <v>0</v>
      </c>
      <c r="DB9" s="518">
        <v>0</v>
      </c>
      <c r="DC9" s="518">
        <v>0</v>
      </c>
      <c r="DD9" s="518">
        <v>0</v>
      </c>
      <c r="DE9" s="518">
        <v>0</v>
      </c>
      <c r="DF9" s="518">
        <v>0</v>
      </c>
      <c r="DG9" s="518">
        <v>0</v>
      </c>
      <c r="DH9" s="518">
        <v>0</v>
      </c>
      <c r="DI9" s="518">
        <v>0</v>
      </c>
      <c r="DJ9" s="518">
        <v>0</v>
      </c>
      <c r="DK9" s="518">
        <v>0</v>
      </c>
      <c r="DL9" s="518">
        <v>0</v>
      </c>
      <c r="DM9" s="518">
        <v>0</v>
      </c>
      <c r="DN9" s="518">
        <v>0</v>
      </c>
      <c r="DO9" s="518">
        <v>0</v>
      </c>
      <c r="DP9" s="518">
        <v>0</v>
      </c>
      <c r="DQ9" s="518">
        <v>0</v>
      </c>
      <c r="DR9" s="518">
        <v>0</v>
      </c>
      <c r="DS9" s="518">
        <v>0</v>
      </c>
      <c r="DT9" s="518">
        <v>0</v>
      </c>
      <c r="DU9" s="518">
        <v>0</v>
      </c>
      <c r="DV9" s="518">
        <v>0</v>
      </c>
      <c r="DW9" s="518">
        <v>0</v>
      </c>
      <c r="DX9" s="518">
        <v>0</v>
      </c>
      <c r="DY9" s="477"/>
      <c r="DZ9" s="517" t="s">
        <v>721</v>
      </c>
      <c r="EA9" s="517" t="s">
        <v>1101</v>
      </c>
      <c r="EB9" s="517" t="s">
        <v>25</v>
      </c>
      <c r="EC9" s="518">
        <v>21</v>
      </c>
      <c r="ED9" s="494" t="str">
        <f t="shared" si="0"/>
        <v>SWUC100121</v>
      </c>
      <c r="EE9" s="518">
        <v>10000</v>
      </c>
      <c r="EF9" s="518">
        <v>10000</v>
      </c>
      <c r="EG9" s="518">
        <v>10000</v>
      </c>
      <c r="EH9" s="518">
        <v>10000</v>
      </c>
      <c r="EI9" s="518">
        <v>10000</v>
      </c>
      <c r="EJ9" s="518">
        <v>10000</v>
      </c>
      <c r="EK9" s="518">
        <v>10000</v>
      </c>
      <c r="EL9" s="518">
        <v>10000</v>
      </c>
      <c r="EM9" s="518">
        <v>10000</v>
      </c>
      <c r="EN9" s="518">
        <v>10000</v>
      </c>
      <c r="EO9" s="518">
        <v>0</v>
      </c>
      <c r="EP9" s="518">
        <v>0</v>
      </c>
      <c r="EQ9" s="518">
        <v>0</v>
      </c>
      <c r="ER9" s="518">
        <v>0</v>
      </c>
      <c r="ES9" s="518">
        <v>0</v>
      </c>
      <c r="ET9" s="518">
        <v>0</v>
      </c>
      <c r="EU9" s="518">
        <v>0</v>
      </c>
      <c r="EV9" s="518">
        <v>0</v>
      </c>
      <c r="EW9" s="518">
        <v>0</v>
      </c>
      <c r="EX9" s="518">
        <v>0</v>
      </c>
      <c r="EY9" s="518">
        <v>0</v>
      </c>
      <c r="EZ9" s="518">
        <v>0</v>
      </c>
      <c r="FA9" s="518">
        <v>0</v>
      </c>
      <c r="FB9" s="518">
        <v>0</v>
      </c>
      <c r="FC9" s="518">
        <v>0</v>
      </c>
      <c r="FD9" s="518">
        <v>0</v>
      </c>
      <c r="FE9" s="518">
        <v>0</v>
      </c>
      <c r="FF9" s="518">
        <v>0</v>
      </c>
      <c r="FG9" s="518">
        <v>0</v>
      </c>
      <c r="FH9" s="518">
        <v>0</v>
      </c>
      <c r="FI9" s="518">
        <v>0</v>
      </c>
      <c r="FJ9" s="518">
        <v>0</v>
      </c>
      <c r="FK9" s="518">
        <v>0</v>
      </c>
      <c r="FL9" s="518">
        <v>0</v>
      </c>
      <c r="FM9" s="518">
        <v>0</v>
      </c>
      <c r="FN9" s="518">
        <v>0</v>
      </c>
      <c r="FO9" s="518">
        <v>0</v>
      </c>
      <c r="FP9" s="518">
        <v>0</v>
      </c>
      <c r="FQ9" s="518">
        <v>0</v>
      </c>
      <c r="FR9" s="518">
        <v>0</v>
      </c>
      <c r="FS9" s="518">
        <v>0</v>
      </c>
      <c r="FT9" s="518">
        <v>0</v>
      </c>
      <c r="FU9" s="518">
        <v>0</v>
      </c>
      <c r="FV9" s="518">
        <v>0</v>
      </c>
      <c r="FW9" s="518">
        <v>0</v>
      </c>
      <c r="FX9" s="518">
        <v>0</v>
      </c>
      <c r="FY9" s="518">
        <v>0</v>
      </c>
      <c r="FZ9" s="518">
        <v>0</v>
      </c>
      <c r="GA9" s="518">
        <v>0</v>
      </c>
      <c r="GB9" s="518">
        <v>0</v>
      </c>
      <c r="GC9" s="518">
        <v>0</v>
      </c>
      <c r="GD9" s="518">
        <v>0</v>
      </c>
      <c r="GE9" s="518">
        <v>0</v>
      </c>
      <c r="GF9" s="518">
        <v>0</v>
      </c>
      <c r="GG9" s="518">
        <v>0</v>
      </c>
      <c r="GH9" s="518">
        <v>0</v>
      </c>
      <c r="GI9" s="518">
        <v>0</v>
      </c>
      <c r="GJ9" s="518">
        <v>0</v>
      </c>
      <c r="GK9" s="518">
        <v>0</v>
      </c>
      <c r="GL9" s="518">
        <v>0</v>
      </c>
      <c r="GM9" s="518">
        <v>0</v>
      </c>
      <c r="GN9" s="518">
        <v>0</v>
      </c>
      <c r="GO9" s="518">
        <v>0</v>
      </c>
      <c r="GP9" s="518">
        <v>0</v>
      </c>
      <c r="GQ9" s="518">
        <v>0</v>
      </c>
      <c r="GR9" s="518">
        <v>0</v>
      </c>
      <c r="GS9" s="518">
        <v>0</v>
      </c>
      <c r="GT9" s="518">
        <v>0</v>
      </c>
      <c r="GU9" s="518">
        <v>0</v>
      </c>
      <c r="GV9" s="518">
        <v>0</v>
      </c>
      <c r="GW9" s="518">
        <v>0</v>
      </c>
      <c r="GX9" s="518">
        <v>0</v>
      </c>
      <c r="GY9" s="518">
        <v>0</v>
      </c>
      <c r="GZ9" s="518">
        <v>0</v>
      </c>
      <c r="HA9" s="518">
        <v>0</v>
      </c>
      <c r="HB9" s="518">
        <v>0</v>
      </c>
      <c r="HC9" s="518">
        <v>0</v>
      </c>
      <c r="HD9" s="518">
        <v>0</v>
      </c>
      <c r="HE9" s="518">
        <v>0</v>
      </c>
      <c r="HF9" s="518">
        <v>0</v>
      </c>
      <c r="HG9" s="518">
        <v>0</v>
      </c>
      <c r="HH9" s="518">
        <v>0</v>
      </c>
      <c r="HI9" s="518">
        <v>0</v>
      </c>
      <c r="HJ9" s="518">
        <v>0</v>
      </c>
      <c r="HK9" s="518">
        <v>0</v>
      </c>
      <c r="HL9" s="518">
        <v>0</v>
      </c>
      <c r="HM9" s="518">
        <v>0</v>
      </c>
      <c r="HN9" s="518">
        <v>0</v>
      </c>
      <c r="HO9" s="518">
        <v>0</v>
      </c>
      <c r="HP9" s="518">
        <v>0</v>
      </c>
      <c r="HQ9" s="518">
        <v>0</v>
      </c>
      <c r="HR9" s="518">
        <v>0</v>
      </c>
      <c r="HS9" s="518">
        <v>0</v>
      </c>
      <c r="HT9" s="518">
        <v>0</v>
      </c>
      <c r="HU9" s="518">
        <v>0</v>
      </c>
      <c r="HV9" s="518">
        <v>0</v>
      </c>
      <c r="HW9" s="518">
        <v>0</v>
      </c>
      <c r="HX9" s="518">
        <v>0</v>
      </c>
      <c r="HY9" s="518">
        <v>0</v>
      </c>
      <c r="HZ9" s="518">
        <v>0</v>
      </c>
      <c r="IA9" s="518">
        <v>0</v>
      </c>
      <c r="IB9" s="518">
        <v>0</v>
      </c>
      <c r="IC9" s="518">
        <v>0</v>
      </c>
      <c r="ID9" s="518">
        <v>0</v>
      </c>
      <c r="IE9" s="518">
        <v>0</v>
      </c>
      <c r="IF9" s="518">
        <v>0</v>
      </c>
      <c r="IG9" s="518">
        <v>0</v>
      </c>
      <c r="IH9" s="518">
        <v>0</v>
      </c>
      <c r="II9" s="518">
        <v>0</v>
      </c>
      <c r="IJ9" s="518">
        <v>0</v>
      </c>
      <c r="IK9" s="518">
        <v>0</v>
      </c>
    </row>
    <row r="10" spans="1:245" ht="16.5" hidden="1">
      <c r="A10" s="517" t="s">
        <v>721</v>
      </c>
      <c r="B10" s="517" t="s">
        <v>1101</v>
      </c>
      <c r="C10" s="517" t="s">
        <v>721</v>
      </c>
      <c r="D10" s="558"/>
      <c r="E10" s="517" t="s">
        <v>721</v>
      </c>
      <c r="F10" s="517" t="s">
        <v>25</v>
      </c>
      <c r="G10" s="558"/>
      <c r="H10" s="518">
        <v>22</v>
      </c>
      <c r="I10" s="558"/>
      <c r="J10" s="494" t="str">
        <f t="shared" si="1"/>
        <v>SWUC100122</v>
      </c>
      <c r="K10" s="518">
        <v>64</v>
      </c>
      <c r="M10" s="517" t="s">
        <v>721</v>
      </c>
      <c r="N10" s="517" t="s">
        <v>1101</v>
      </c>
      <c r="O10" s="517" t="s">
        <v>25</v>
      </c>
      <c r="P10" s="518">
        <v>22</v>
      </c>
      <c r="Q10" s="494" t="str">
        <f t="shared" si="2"/>
        <v>SWUC100122</v>
      </c>
      <c r="R10" s="518">
        <v>0</v>
      </c>
      <c r="S10" s="518">
        <v>5</v>
      </c>
      <c r="T10" s="518">
        <v>11</v>
      </c>
      <c r="U10" s="518">
        <v>16</v>
      </c>
      <c r="V10" s="518">
        <v>21</v>
      </c>
      <c r="W10" s="518">
        <v>29</v>
      </c>
      <c r="X10" s="518">
        <v>37</v>
      </c>
      <c r="Y10" s="518">
        <v>45</v>
      </c>
      <c r="Z10" s="518">
        <v>54</v>
      </c>
      <c r="AA10" s="518">
        <v>0</v>
      </c>
      <c r="AB10" s="518">
        <v>0</v>
      </c>
      <c r="AC10" s="518">
        <v>0</v>
      </c>
      <c r="AD10" s="518">
        <v>0</v>
      </c>
      <c r="AE10" s="518">
        <v>0</v>
      </c>
      <c r="AF10" s="518">
        <v>0</v>
      </c>
      <c r="AG10" s="518">
        <v>0</v>
      </c>
      <c r="AH10" s="518">
        <v>0</v>
      </c>
      <c r="AI10" s="518">
        <v>0</v>
      </c>
      <c r="AJ10" s="518">
        <v>0</v>
      </c>
      <c r="AK10" s="518">
        <v>0</v>
      </c>
      <c r="AL10" s="518">
        <v>0</v>
      </c>
      <c r="AM10" s="518">
        <v>0</v>
      </c>
      <c r="AN10" s="518">
        <v>0</v>
      </c>
      <c r="AO10" s="518">
        <v>0</v>
      </c>
      <c r="AP10" s="518">
        <v>0</v>
      </c>
      <c r="AQ10" s="518">
        <v>0</v>
      </c>
      <c r="AR10" s="518">
        <v>0</v>
      </c>
      <c r="AS10" s="518">
        <v>0</v>
      </c>
      <c r="AT10" s="518">
        <v>0</v>
      </c>
      <c r="AU10" s="518">
        <v>0</v>
      </c>
      <c r="AV10" s="518">
        <v>0</v>
      </c>
      <c r="AW10" s="518">
        <v>0</v>
      </c>
      <c r="AX10" s="518">
        <v>0</v>
      </c>
      <c r="AY10" s="518">
        <v>0</v>
      </c>
      <c r="AZ10" s="518">
        <v>0</v>
      </c>
      <c r="BA10" s="518">
        <v>0</v>
      </c>
      <c r="BB10" s="518">
        <v>0</v>
      </c>
      <c r="BC10" s="518">
        <v>0</v>
      </c>
      <c r="BD10" s="518">
        <v>0</v>
      </c>
      <c r="BE10" s="518">
        <v>0</v>
      </c>
      <c r="BF10" s="518">
        <v>0</v>
      </c>
      <c r="BG10" s="518">
        <v>0</v>
      </c>
      <c r="BH10" s="518">
        <v>0</v>
      </c>
      <c r="BI10" s="518">
        <v>0</v>
      </c>
      <c r="BJ10" s="518">
        <v>0</v>
      </c>
      <c r="BK10" s="518">
        <v>0</v>
      </c>
      <c r="BL10" s="518">
        <v>0</v>
      </c>
      <c r="BM10" s="518">
        <v>0</v>
      </c>
      <c r="BN10" s="518">
        <v>0</v>
      </c>
      <c r="BO10" s="518">
        <v>0</v>
      </c>
      <c r="BP10" s="518">
        <v>0</v>
      </c>
      <c r="BQ10" s="518">
        <v>0</v>
      </c>
      <c r="BR10" s="518">
        <v>0</v>
      </c>
      <c r="BS10" s="518">
        <v>0</v>
      </c>
      <c r="BT10" s="518">
        <v>0</v>
      </c>
      <c r="BU10" s="518">
        <v>0</v>
      </c>
      <c r="BV10" s="518">
        <v>0</v>
      </c>
      <c r="BW10" s="518">
        <v>0</v>
      </c>
      <c r="BX10" s="518">
        <v>0</v>
      </c>
      <c r="BY10" s="518">
        <v>0</v>
      </c>
      <c r="BZ10" s="518">
        <v>0</v>
      </c>
      <c r="CA10" s="518">
        <v>0</v>
      </c>
      <c r="CB10" s="518">
        <v>0</v>
      </c>
      <c r="CC10" s="518">
        <v>0</v>
      </c>
      <c r="CD10" s="518">
        <v>0</v>
      </c>
      <c r="CE10" s="518">
        <v>0</v>
      </c>
      <c r="CF10" s="518">
        <v>0</v>
      </c>
      <c r="CG10" s="518">
        <v>0</v>
      </c>
      <c r="CH10" s="518">
        <v>0</v>
      </c>
      <c r="CI10" s="518">
        <v>0</v>
      </c>
      <c r="CJ10" s="518">
        <v>0</v>
      </c>
      <c r="CK10" s="518">
        <v>0</v>
      </c>
      <c r="CL10" s="518">
        <v>0</v>
      </c>
      <c r="CM10" s="518">
        <v>0</v>
      </c>
      <c r="CN10" s="518">
        <v>0</v>
      </c>
      <c r="CO10" s="518">
        <v>0</v>
      </c>
      <c r="CP10" s="518">
        <v>0</v>
      </c>
      <c r="CQ10" s="518">
        <v>0</v>
      </c>
      <c r="CR10" s="518">
        <v>0</v>
      </c>
      <c r="CS10" s="518">
        <v>0</v>
      </c>
      <c r="CT10" s="518">
        <v>0</v>
      </c>
      <c r="CU10" s="518">
        <v>0</v>
      </c>
      <c r="CV10" s="518">
        <v>0</v>
      </c>
      <c r="CW10" s="518">
        <v>0</v>
      </c>
      <c r="CX10" s="518">
        <v>0</v>
      </c>
      <c r="CY10" s="518">
        <v>0</v>
      </c>
      <c r="CZ10" s="518">
        <v>0</v>
      </c>
      <c r="DA10" s="518">
        <v>0</v>
      </c>
      <c r="DB10" s="518">
        <v>0</v>
      </c>
      <c r="DC10" s="518">
        <v>0</v>
      </c>
      <c r="DD10" s="518">
        <v>0</v>
      </c>
      <c r="DE10" s="518">
        <v>0</v>
      </c>
      <c r="DF10" s="518">
        <v>0</v>
      </c>
      <c r="DG10" s="518">
        <v>0</v>
      </c>
      <c r="DH10" s="518">
        <v>0</v>
      </c>
      <c r="DI10" s="518">
        <v>0</v>
      </c>
      <c r="DJ10" s="518">
        <v>0</v>
      </c>
      <c r="DK10" s="518">
        <v>0</v>
      </c>
      <c r="DL10" s="518">
        <v>0</v>
      </c>
      <c r="DM10" s="518">
        <v>0</v>
      </c>
      <c r="DN10" s="518">
        <v>0</v>
      </c>
      <c r="DO10" s="518">
        <v>0</v>
      </c>
      <c r="DP10" s="518">
        <v>0</v>
      </c>
      <c r="DQ10" s="518">
        <v>0</v>
      </c>
      <c r="DR10" s="518">
        <v>0</v>
      </c>
      <c r="DS10" s="518">
        <v>0</v>
      </c>
      <c r="DT10" s="518">
        <v>0</v>
      </c>
      <c r="DU10" s="518">
        <v>0</v>
      </c>
      <c r="DV10" s="518">
        <v>0</v>
      </c>
      <c r="DW10" s="518">
        <v>0</v>
      </c>
      <c r="DX10" s="518">
        <v>0</v>
      </c>
      <c r="DY10" s="477"/>
      <c r="DZ10" s="517" t="s">
        <v>721</v>
      </c>
      <c r="EA10" s="517" t="s">
        <v>1101</v>
      </c>
      <c r="EB10" s="517" t="s">
        <v>25</v>
      </c>
      <c r="EC10" s="518">
        <v>22</v>
      </c>
      <c r="ED10" s="494" t="str">
        <f t="shared" si="0"/>
        <v>SWUC100122</v>
      </c>
      <c r="EE10" s="518">
        <v>10000</v>
      </c>
      <c r="EF10" s="518">
        <v>10000</v>
      </c>
      <c r="EG10" s="518">
        <v>10000</v>
      </c>
      <c r="EH10" s="518">
        <v>10000</v>
      </c>
      <c r="EI10" s="518">
        <v>10000</v>
      </c>
      <c r="EJ10" s="518">
        <v>10000</v>
      </c>
      <c r="EK10" s="518">
        <v>10000</v>
      </c>
      <c r="EL10" s="518">
        <v>10000</v>
      </c>
      <c r="EM10" s="518">
        <v>10000</v>
      </c>
      <c r="EN10" s="518">
        <v>10000</v>
      </c>
      <c r="EO10" s="518">
        <v>0</v>
      </c>
      <c r="EP10" s="518">
        <v>0</v>
      </c>
      <c r="EQ10" s="518">
        <v>0</v>
      </c>
      <c r="ER10" s="518">
        <v>0</v>
      </c>
      <c r="ES10" s="518">
        <v>0</v>
      </c>
      <c r="ET10" s="518">
        <v>0</v>
      </c>
      <c r="EU10" s="518">
        <v>0</v>
      </c>
      <c r="EV10" s="518">
        <v>0</v>
      </c>
      <c r="EW10" s="518">
        <v>0</v>
      </c>
      <c r="EX10" s="518">
        <v>0</v>
      </c>
      <c r="EY10" s="518">
        <v>0</v>
      </c>
      <c r="EZ10" s="518">
        <v>0</v>
      </c>
      <c r="FA10" s="518">
        <v>0</v>
      </c>
      <c r="FB10" s="518">
        <v>0</v>
      </c>
      <c r="FC10" s="518">
        <v>0</v>
      </c>
      <c r="FD10" s="518">
        <v>0</v>
      </c>
      <c r="FE10" s="518">
        <v>0</v>
      </c>
      <c r="FF10" s="518">
        <v>0</v>
      </c>
      <c r="FG10" s="518">
        <v>0</v>
      </c>
      <c r="FH10" s="518">
        <v>0</v>
      </c>
      <c r="FI10" s="518">
        <v>0</v>
      </c>
      <c r="FJ10" s="518">
        <v>0</v>
      </c>
      <c r="FK10" s="518">
        <v>0</v>
      </c>
      <c r="FL10" s="518">
        <v>0</v>
      </c>
      <c r="FM10" s="518">
        <v>0</v>
      </c>
      <c r="FN10" s="518">
        <v>0</v>
      </c>
      <c r="FO10" s="518">
        <v>0</v>
      </c>
      <c r="FP10" s="518">
        <v>0</v>
      </c>
      <c r="FQ10" s="518">
        <v>0</v>
      </c>
      <c r="FR10" s="518">
        <v>0</v>
      </c>
      <c r="FS10" s="518">
        <v>0</v>
      </c>
      <c r="FT10" s="518">
        <v>0</v>
      </c>
      <c r="FU10" s="518">
        <v>0</v>
      </c>
      <c r="FV10" s="518">
        <v>0</v>
      </c>
      <c r="FW10" s="518">
        <v>0</v>
      </c>
      <c r="FX10" s="518">
        <v>0</v>
      </c>
      <c r="FY10" s="518">
        <v>0</v>
      </c>
      <c r="FZ10" s="518">
        <v>0</v>
      </c>
      <c r="GA10" s="518">
        <v>0</v>
      </c>
      <c r="GB10" s="518">
        <v>0</v>
      </c>
      <c r="GC10" s="518">
        <v>0</v>
      </c>
      <c r="GD10" s="518">
        <v>0</v>
      </c>
      <c r="GE10" s="518">
        <v>0</v>
      </c>
      <c r="GF10" s="518">
        <v>0</v>
      </c>
      <c r="GG10" s="518">
        <v>0</v>
      </c>
      <c r="GH10" s="518">
        <v>0</v>
      </c>
      <c r="GI10" s="518">
        <v>0</v>
      </c>
      <c r="GJ10" s="518">
        <v>0</v>
      </c>
      <c r="GK10" s="518">
        <v>0</v>
      </c>
      <c r="GL10" s="518">
        <v>0</v>
      </c>
      <c r="GM10" s="518">
        <v>0</v>
      </c>
      <c r="GN10" s="518">
        <v>0</v>
      </c>
      <c r="GO10" s="518">
        <v>0</v>
      </c>
      <c r="GP10" s="518">
        <v>0</v>
      </c>
      <c r="GQ10" s="518">
        <v>0</v>
      </c>
      <c r="GR10" s="518">
        <v>0</v>
      </c>
      <c r="GS10" s="518">
        <v>0</v>
      </c>
      <c r="GT10" s="518">
        <v>0</v>
      </c>
      <c r="GU10" s="518">
        <v>0</v>
      </c>
      <c r="GV10" s="518">
        <v>0</v>
      </c>
      <c r="GW10" s="518">
        <v>0</v>
      </c>
      <c r="GX10" s="518">
        <v>0</v>
      </c>
      <c r="GY10" s="518">
        <v>0</v>
      </c>
      <c r="GZ10" s="518">
        <v>0</v>
      </c>
      <c r="HA10" s="518">
        <v>0</v>
      </c>
      <c r="HB10" s="518">
        <v>0</v>
      </c>
      <c r="HC10" s="518">
        <v>0</v>
      </c>
      <c r="HD10" s="518">
        <v>0</v>
      </c>
      <c r="HE10" s="518">
        <v>0</v>
      </c>
      <c r="HF10" s="518">
        <v>0</v>
      </c>
      <c r="HG10" s="518">
        <v>0</v>
      </c>
      <c r="HH10" s="518">
        <v>0</v>
      </c>
      <c r="HI10" s="518">
        <v>0</v>
      </c>
      <c r="HJ10" s="518">
        <v>0</v>
      </c>
      <c r="HK10" s="518">
        <v>0</v>
      </c>
      <c r="HL10" s="518">
        <v>0</v>
      </c>
      <c r="HM10" s="518">
        <v>0</v>
      </c>
      <c r="HN10" s="518">
        <v>0</v>
      </c>
      <c r="HO10" s="518">
        <v>0</v>
      </c>
      <c r="HP10" s="518">
        <v>0</v>
      </c>
      <c r="HQ10" s="518">
        <v>0</v>
      </c>
      <c r="HR10" s="518">
        <v>0</v>
      </c>
      <c r="HS10" s="518">
        <v>0</v>
      </c>
      <c r="HT10" s="518">
        <v>0</v>
      </c>
      <c r="HU10" s="518">
        <v>0</v>
      </c>
      <c r="HV10" s="518">
        <v>0</v>
      </c>
      <c r="HW10" s="518">
        <v>0</v>
      </c>
      <c r="HX10" s="518">
        <v>0</v>
      </c>
      <c r="HY10" s="518">
        <v>0</v>
      </c>
      <c r="HZ10" s="518">
        <v>0</v>
      </c>
      <c r="IA10" s="518">
        <v>0</v>
      </c>
      <c r="IB10" s="518">
        <v>0</v>
      </c>
      <c r="IC10" s="518">
        <v>0</v>
      </c>
      <c r="ID10" s="518">
        <v>0</v>
      </c>
      <c r="IE10" s="518">
        <v>0</v>
      </c>
      <c r="IF10" s="518">
        <v>0</v>
      </c>
      <c r="IG10" s="518">
        <v>0</v>
      </c>
      <c r="IH10" s="518">
        <v>0</v>
      </c>
      <c r="II10" s="518">
        <v>0</v>
      </c>
      <c r="IJ10" s="518">
        <v>0</v>
      </c>
      <c r="IK10" s="518">
        <v>0</v>
      </c>
    </row>
    <row r="11" spans="1:245" ht="16.5" hidden="1">
      <c r="A11" s="517" t="s">
        <v>721</v>
      </c>
      <c r="B11" s="517" t="s">
        <v>1101</v>
      </c>
      <c r="C11" s="517" t="s">
        <v>721</v>
      </c>
      <c r="D11" s="558"/>
      <c r="E11" s="517" t="s">
        <v>721</v>
      </c>
      <c r="F11" s="517" t="s">
        <v>25</v>
      </c>
      <c r="G11" s="558"/>
      <c r="H11" s="518">
        <v>23</v>
      </c>
      <c r="I11" s="558"/>
      <c r="J11" s="494" t="str">
        <f t="shared" si="1"/>
        <v>SWUC100123</v>
      </c>
      <c r="K11" s="518">
        <v>67</v>
      </c>
      <c r="M11" s="517" t="s">
        <v>721</v>
      </c>
      <c r="N11" s="517" t="s">
        <v>1101</v>
      </c>
      <c r="O11" s="517" t="s">
        <v>25</v>
      </c>
      <c r="P11" s="518">
        <v>23</v>
      </c>
      <c r="Q11" s="494" t="str">
        <f t="shared" si="2"/>
        <v>SWUC100123</v>
      </c>
      <c r="R11" s="518">
        <v>0</v>
      </c>
      <c r="S11" s="518">
        <v>5</v>
      </c>
      <c r="T11" s="518">
        <v>11</v>
      </c>
      <c r="U11" s="518">
        <v>17</v>
      </c>
      <c r="V11" s="518">
        <v>23</v>
      </c>
      <c r="W11" s="518">
        <v>30</v>
      </c>
      <c r="X11" s="518">
        <v>38</v>
      </c>
      <c r="Y11" s="518">
        <v>48</v>
      </c>
      <c r="Z11" s="518">
        <v>57</v>
      </c>
      <c r="AA11" s="518">
        <v>0</v>
      </c>
      <c r="AB11" s="518">
        <v>0</v>
      </c>
      <c r="AC11" s="518">
        <v>0</v>
      </c>
      <c r="AD11" s="518">
        <v>0</v>
      </c>
      <c r="AE11" s="518">
        <v>0</v>
      </c>
      <c r="AF11" s="518">
        <v>0</v>
      </c>
      <c r="AG11" s="518">
        <v>0</v>
      </c>
      <c r="AH11" s="518">
        <v>0</v>
      </c>
      <c r="AI11" s="518">
        <v>0</v>
      </c>
      <c r="AJ11" s="518">
        <v>0</v>
      </c>
      <c r="AK11" s="518">
        <v>0</v>
      </c>
      <c r="AL11" s="518">
        <v>0</v>
      </c>
      <c r="AM11" s="518">
        <v>0</v>
      </c>
      <c r="AN11" s="518">
        <v>0</v>
      </c>
      <c r="AO11" s="518">
        <v>0</v>
      </c>
      <c r="AP11" s="518">
        <v>0</v>
      </c>
      <c r="AQ11" s="518">
        <v>0</v>
      </c>
      <c r="AR11" s="518">
        <v>0</v>
      </c>
      <c r="AS11" s="518">
        <v>0</v>
      </c>
      <c r="AT11" s="518">
        <v>0</v>
      </c>
      <c r="AU11" s="518">
        <v>0</v>
      </c>
      <c r="AV11" s="518">
        <v>0</v>
      </c>
      <c r="AW11" s="518">
        <v>0</v>
      </c>
      <c r="AX11" s="518">
        <v>0</v>
      </c>
      <c r="AY11" s="518">
        <v>0</v>
      </c>
      <c r="AZ11" s="518">
        <v>0</v>
      </c>
      <c r="BA11" s="518">
        <v>0</v>
      </c>
      <c r="BB11" s="518">
        <v>0</v>
      </c>
      <c r="BC11" s="518">
        <v>0</v>
      </c>
      <c r="BD11" s="518">
        <v>0</v>
      </c>
      <c r="BE11" s="518">
        <v>0</v>
      </c>
      <c r="BF11" s="518">
        <v>0</v>
      </c>
      <c r="BG11" s="518">
        <v>0</v>
      </c>
      <c r="BH11" s="518">
        <v>0</v>
      </c>
      <c r="BI11" s="518">
        <v>0</v>
      </c>
      <c r="BJ11" s="518">
        <v>0</v>
      </c>
      <c r="BK11" s="518">
        <v>0</v>
      </c>
      <c r="BL11" s="518">
        <v>0</v>
      </c>
      <c r="BM11" s="518">
        <v>0</v>
      </c>
      <c r="BN11" s="518">
        <v>0</v>
      </c>
      <c r="BO11" s="518">
        <v>0</v>
      </c>
      <c r="BP11" s="518">
        <v>0</v>
      </c>
      <c r="BQ11" s="518">
        <v>0</v>
      </c>
      <c r="BR11" s="518">
        <v>0</v>
      </c>
      <c r="BS11" s="518">
        <v>0</v>
      </c>
      <c r="BT11" s="518">
        <v>0</v>
      </c>
      <c r="BU11" s="518">
        <v>0</v>
      </c>
      <c r="BV11" s="518">
        <v>0</v>
      </c>
      <c r="BW11" s="518">
        <v>0</v>
      </c>
      <c r="BX11" s="518">
        <v>0</v>
      </c>
      <c r="BY11" s="518">
        <v>0</v>
      </c>
      <c r="BZ11" s="518">
        <v>0</v>
      </c>
      <c r="CA11" s="518">
        <v>0</v>
      </c>
      <c r="CB11" s="518">
        <v>0</v>
      </c>
      <c r="CC11" s="518">
        <v>0</v>
      </c>
      <c r="CD11" s="518">
        <v>0</v>
      </c>
      <c r="CE11" s="518">
        <v>0</v>
      </c>
      <c r="CF11" s="518">
        <v>0</v>
      </c>
      <c r="CG11" s="518">
        <v>0</v>
      </c>
      <c r="CH11" s="518">
        <v>0</v>
      </c>
      <c r="CI11" s="518">
        <v>0</v>
      </c>
      <c r="CJ11" s="518">
        <v>0</v>
      </c>
      <c r="CK11" s="518">
        <v>0</v>
      </c>
      <c r="CL11" s="518">
        <v>0</v>
      </c>
      <c r="CM11" s="518">
        <v>0</v>
      </c>
      <c r="CN11" s="518">
        <v>0</v>
      </c>
      <c r="CO11" s="518">
        <v>0</v>
      </c>
      <c r="CP11" s="518">
        <v>0</v>
      </c>
      <c r="CQ11" s="518">
        <v>0</v>
      </c>
      <c r="CR11" s="518">
        <v>0</v>
      </c>
      <c r="CS11" s="518">
        <v>0</v>
      </c>
      <c r="CT11" s="518">
        <v>0</v>
      </c>
      <c r="CU11" s="518">
        <v>0</v>
      </c>
      <c r="CV11" s="518">
        <v>0</v>
      </c>
      <c r="CW11" s="518">
        <v>0</v>
      </c>
      <c r="CX11" s="518">
        <v>0</v>
      </c>
      <c r="CY11" s="518">
        <v>0</v>
      </c>
      <c r="CZ11" s="518">
        <v>0</v>
      </c>
      <c r="DA11" s="518">
        <v>0</v>
      </c>
      <c r="DB11" s="518">
        <v>0</v>
      </c>
      <c r="DC11" s="518">
        <v>0</v>
      </c>
      <c r="DD11" s="518">
        <v>0</v>
      </c>
      <c r="DE11" s="518">
        <v>0</v>
      </c>
      <c r="DF11" s="518">
        <v>0</v>
      </c>
      <c r="DG11" s="518">
        <v>0</v>
      </c>
      <c r="DH11" s="518">
        <v>0</v>
      </c>
      <c r="DI11" s="518">
        <v>0</v>
      </c>
      <c r="DJ11" s="518">
        <v>0</v>
      </c>
      <c r="DK11" s="518">
        <v>0</v>
      </c>
      <c r="DL11" s="518">
        <v>0</v>
      </c>
      <c r="DM11" s="518">
        <v>0</v>
      </c>
      <c r="DN11" s="518">
        <v>0</v>
      </c>
      <c r="DO11" s="518">
        <v>0</v>
      </c>
      <c r="DP11" s="518">
        <v>0</v>
      </c>
      <c r="DQ11" s="518">
        <v>0</v>
      </c>
      <c r="DR11" s="518">
        <v>0</v>
      </c>
      <c r="DS11" s="518">
        <v>0</v>
      </c>
      <c r="DT11" s="518">
        <v>0</v>
      </c>
      <c r="DU11" s="518">
        <v>0</v>
      </c>
      <c r="DV11" s="518">
        <v>0</v>
      </c>
      <c r="DW11" s="518">
        <v>0</v>
      </c>
      <c r="DX11" s="518">
        <v>0</v>
      </c>
      <c r="DY11" s="477"/>
      <c r="DZ11" s="517" t="s">
        <v>721</v>
      </c>
      <c r="EA11" s="517" t="s">
        <v>1101</v>
      </c>
      <c r="EB11" s="517" t="s">
        <v>25</v>
      </c>
      <c r="EC11" s="518">
        <v>23</v>
      </c>
      <c r="ED11" s="494" t="str">
        <f t="shared" si="0"/>
        <v>SWUC100123</v>
      </c>
      <c r="EE11" s="518">
        <v>10000</v>
      </c>
      <c r="EF11" s="518">
        <v>10000</v>
      </c>
      <c r="EG11" s="518">
        <v>10000</v>
      </c>
      <c r="EH11" s="518">
        <v>10000</v>
      </c>
      <c r="EI11" s="518">
        <v>10000</v>
      </c>
      <c r="EJ11" s="518">
        <v>10000</v>
      </c>
      <c r="EK11" s="518">
        <v>10000</v>
      </c>
      <c r="EL11" s="518">
        <v>10000</v>
      </c>
      <c r="EM11" s="518">
        <v>10000</v>
      </c>
      <c r="EN11" s="518">
        <v>10000</v>
      </c>
      <c r="EO11" s="518">
        <v>0</v>
      </c>
      <c r="EP11" s="518">
        <v>0</v>
      </c>
      <c r="EQ11" s="518">
        <v>0</v>
      </c>
      <c r="ER11" s="518">
        <v>0</v>
      </c>
      <c r="ES11" s="518">
        <v>0</v>
      </c>
      <c r="ET11" s="518">
        <v>0</v>
      </c>
      <c r="EU11" s="518">
        <v>0</v>
      </c>
      <c r="EV11" s="518">
        <v>0</v>
      </c>
      <c r="EW11" s="518">
        <v>0</v>
      </c>
      <c r="EX11" s="518">
        <v>0</v>
      </c>
      <c r="EY11" s="518">
        <v>0</v>
      </c>
      <c r="EZ11" s="518">
        <v>0</v>
      </c>
      <c r="FA11" s="518">
        <v>0</v>
      </c>
      <c r="FB11" s="518">
        <v>0</v>
      </c>
      <c r="FC11" s="518">
        <v>0</v>
      </c>
      <c r="FD11" s="518">
        <v>0</v>
      </c>
      <c r="FE11" s="518">
        <v>0</v>
      </c>
      <c r="FF11" s="518">
        <v>0</v>
      </c>
      <c r="FG11" s="518">
        <v>0</v>
      </c>
      <c r="FH11" s="518">
        <v>0</v>
      </c>
      <c r="FI11" s="518">
        <v>0</v>
      </c>
      <c r="FJ11" s="518">
        <v>0</v>
      </c>
      <c r="FK11" s="518">
        <v>0</v>
      </c>
      <c r="FL11" s="518">
        <v>0</v>
      </c>
      <c r="FM11" s="518">
        <v>0</v>
      </c>
      <c r="FN11" s="518">
        <v>0</v>
      </c>
      <c r="FO11" s="518">
        <v>0</v>
      </c>
      <c r="FP11" s="518">
        <v>0</v>
      </c>
      <c r="FQ11" s="518">
        <v>0</v>
      </c>
      <c r="FR11" s="518">
        <v>0</v>
      </c>
      <c r="FS11" s="518">
        <v>0</v>
      </c>
      <c r="FT11" s="518">
        <v>0</v>
      </c>
      <c r="FU11" s="518">
        <v>0</v>
      </c>
      <c r="FV11" s="518">
        <v>0</v>
      </c>
      <c r="FW11" s="518">
        <v>0</v>
      </c>
      <c r="FX11" s="518">
        <v>0</v>
      </c>
      <c r="FY11" s="518">
        <v>0</v>
      </c>
      <c r="FZ11" s="518">
        <v>0</v>
      </c>
      <c r="GA11" s="518">
        <v>0</v>
      </c>
      <c r="GB11" s="518">
        <v>0</v>
      </c>
      <c r="GC11" s="518">
        <v>0</v>
      </c>
      <c r="GD11" s="518">
        <v>0</v>
      </c>
      <c r="GE11" s="518">
        <v>0</v>
      </c>
      <c r="GF11" s="518">
        <v>0</v>
      </c>
      <c r="GG11" s="518">
        <v>0</v>
      </c>
      <c r="GH11" s="518">
        <v>0</v>
      </c>
      <c r="GI11" s="518">
        <v>0</v>
      </c>
      <c r="GJ11" s="518">
        <v>0</v>
      </c>
      <c r="GK11" s="518">
        <v>0</v>
      </c>
      <c r="GL11" s="518">
        <v>0</v>
      </c>
      <c r="GM11" s="518">
        <v>0</v>
      </c>
      <c r="GN11" s="518">
        <v>0</v>
      </c>
      <c r="GO11" s="518">
        <v>0</v>
      </c>
      <c r="GP11" s="518">
        <v>0</v>
      </c>
      <c r="GQ11" s="518">
        <v>0</v>
      </c>
      <c r="GR11" s="518">
        <v>0</v>
      </c>
      <c r="GS11" s="518">
        <v>0</v>
      </c>
      <c r="GT11" s="518">
        <v>0</v>
      </c>
      <c r="GU11" s="518">
        <v>0</v>
      </c>
      <c r="GV11" s="518">
        <v>0</v>
      </c>
      <c r="GW11" s="518">
        <v>0</v>
      </c>
      <c r="GX11" s="518">
        <v>0</v>
      </c>
      <c r="GY11" s="518">
        <v>0</v>
      </c>
      <c r="GZ11" s="518">
        <v>0</v>
      </c>
      <c r="HA11" s="518">
        <v>0</v>
      </c>
      <c r="HB11" s="518">
        <v>0</v>
      </c>
      <c r="HC11" s="518">
        <v>0</v>
      </c>
      <c r="HD11" s="518">
        <v>0</v>
      </c>
      <c r="HE11" s="518">
        <v>0</v>
      </c>
      <c r="HF11" s="518">
        <v>0</v>
      </c>
      <c r="HG11" s="518">
        <v>0</v>
      </c>
      <c r="HH11" s="518">
        <v>0</v>
      </c>
      <c r="HI11" s="518">
        <v>0</v>
      </c>
      <c r="HJ11" s="518">
        <v>0</v>
      </c>
      <c r="HK11" s="518">
        <v>0</v>
      </c>
      <c r="HL11" s="518">
        <v>0</v>
      </c>
      <c r="HM11" s="518">
        <v>0</v>
      </c>
      <c r="HN11" s="518">
        <v>0</v>
      </c>
      <c r="HO11" s="518">
        <v>0</v>
      </c>
      <c r="HP11" s="518">
        <v>0</v>
      </c>
      <c r="HQ11" s="518">
        <v>0</v>
      </c>
      <c r="HR11" s="518">
        <v>0</v>
      </c>
      <c r="HS11" s="518">
        <v>0</v>
      </c>
      <c r="HT11" s="518">
        <v>0</v>
      </c>
      <c r="HU11" s="518">
        <v>0</v>
      </c>
      <c r="HV11" s="518">
        <v>0</v>
      </c>
      <c r="HW11" s="518">
        <v>0</v>
      </c>
      <c r="HX11" s="518">
        <v>0</v>
      </c>
      <c r="HY11" s="518">
        <v>0</v>
      </c>
      <c r="HZ11" s="518">
        <v>0</v>
      </c>
      <c r="IA11" s="518">
        <v>0</v>
      </c>
      <c r="IB11" s="518">
        <v>0</v>
      </c>
      <c r="IC11" s="518">
        <v>0</v>
      </c>
      <c r="ID11" s="518">
        <v>0</v>
      </c>
      <c r="IE11" s="518">
        <v>0</v>
      </c>
      <c r="IF11" s="518">
        <v>0</v>
      </c>
      <c r="IG11" s="518">
        <v>0</v>
      </c>
      <c r="IH11" s="518">
        <v>0</v>
      </c>
      <c r="II11" s="518">
        <v>0</v>
      </c>
      <c r="IJ11" s="518">
        <v>0</v>
      </c>
      <c r="IK11" s="518">
        <v>0</v>
      </c>
    </row>
    <row r="12" spans="1:245" ht="16.5" hidden="1">
      <c r="A12" s="517" t="s">
        <v>721</v>
      </c>
      <c r="B12" s="517" t="s">
        <v>1101</v>
      </c>
      <c r="C12" s="517" t="s">
        <v>721</v>
      </c>
      <c r="D12" s="558"/>
      <c r="E12" s="517" t="s">
        <v>721</v>
      </c>
      <c r="F12" s="517" t="s">
        <v>25</v>
      </c>
      <c r="G12" s="558"/>
      <c r="H12" s="518">
        <v>24</v>
      </c>
      <c r="I12" s="558"/>
      <c r="J12" s="494" t="str">
        <f t="shared" si="1"/>
        <v>SWUC100124</v>
      </c>
      <c r="K12" s="518">
        <v>70</v>
      </c>
      <c r="M12" s="517" t="s">
        <v>721</v>
      </c>
      <c r="N12" s="517" t="s">
        <v>1101</v>
      </c>
      <c r="O12" s="517" t="s">
        <v>25</v>
      </c>
      <c r="P12" s="518">
        <v>24</v>
      </c>
      <c r="Q12" s="494" t="str">
        <f t="shared" si="2"/>
        <v>SWUC100124</v>
      </c>
      <c r="R12" s="518">
        <v>0</v>
      </c>
      <c r="S12" s="518">
        <v>6</v>
      </c>
      <c r="T12" s="518">
        <v>12</v>
      </c>
      <c r="U12" s="518">
        <v>18</v>
      </c>
      <c r="V12" s="518">
        <v>24</v>
      </c>
      <c r="W12" s="518">
        <v>32</v>
      </c>
      <c r="X12" s="518">
        <v>41</v>
      </c>
      <c r="Y12" s="518">
        <v>50</v>
      </c>
      <c r="Z12" s="518">
        <v>59</v>
      </c>
      <c r="AA12" s="518">
        <v>0</v>
      </c>
      <c r="AB12" s="518">
        <v>0</v>
      </c>
      <c r="AC12" s="518">
        <v>0</v>
      </c>
      <c r="AD12" s="518">
        <v>0</v>
      </c>
      <c r="AE12" s="518">
        <v>0</v>
      </c>
      <c r="AF12" s="518">
        <v>0</v>
      </c>
      <c r="AG12" s="518">
        <v>0</v>
      </c>
      <c r="AH12" s="518">
        <v>0</v>
      </c>
      <c r="AI12" s="518">
        <v>0</v>
      </c>
      <c r="AJ12" s="518">
        <v>0</v>
      </c>
      <c r="AK12" s="518">
        <v>0</v>
      </c>
      <c r="AL12" s="518">
        <v>0</v>
      </c>
      <c r="AM12" s="518">
        <v>0</v>
      </c>
      <c r="AN12" s="518">
        <v>0</v>
      </c>
      <c r="AO12" s="518">
        <v>0</v>
      </c>
      <c r="AP12" s="518">
        <v>0</v>
      </c>
      <c r="AQ12" s="518">
        <v>0</v>
      </c>
      <c r="AR12" s="518">
        <v>0</v>
      </c>
      <c r="AS12" s="518">
        <v>0</v>
      </c>
      <c r="AT12" s="518">
        <v>0</v>
      </c>
      <c r="AU12" s="518">
        <v>0</v>
      </c>
      <c r="AV12" s="518">
        <v>0</v>
      </c>
      <c r="AW12" s="518">
        <v>0</v>
      </c>
      <c r="AX12" s="518">
        <v>0</v>
      </c>
      <c r="AY12" s="518">
        <v>0</v>
      </c>
      <c r="AZ12" s="518">
        <v>0</v>
      </c>
      <c r="BA12" s="518">
        <v>0</v>
      </c>
      <c r="BB12" s="518">
        <v>0</v>
      </c>
      <c r="BC12" s="518">
        <v>0</v>
      </c>
      <c r="BD12" s="518">
        <v>0</v>
      </c>
      <c r="BE12" s="518">
        <v>0</v>
      </c>
      <c r="BF12" s="518">
        <v>0</v>
      </c>
      <c r="BG12" s="518">
        <v>0</v>
      </c>
      <c r="BH12" s="518">
        <v>0</v>
      </c>
      <c r="BI12" s="518">
        <v>0</v>
      </c>
      <c r="BJ12" s="518">
        <v>0</v>
      </c>
      <c r="BK12" s="518">
        <v>0</v>
      </c>
      <c r="BL12" s="518">
        <v>0</v>
      </c>
      <c r="BM12" s="518">
        <v>0</v>
      </c>
      <c r="BN12" s="518">
        <v>0</v>
      </c>
      <c r="BO12" s="518">
        <v>0</v>
      </c>
      <c r="BP12" s="518">
        <v>0</v>
      </c>
      <c r="BQ12" s="518">
        <v>0</v>
      </c>
      <c r="BR12" s="518">
        <v>0</v>
      </c>
      <c r="BS12" s="518">
        <v>0</v>
      </c>
      <c r="BT12" s="518">
        <v>0</v>
      </c>
      <c r="BU12" s="518">
        <v>0</v>
      </c>
      <c r="BV12" s="518">
        <v>0</v>
      </c>
      <c r="BW12" s="518">
        <v>0</v>
      </c>
      <c r="BX12" s="518">
        <v>0</v>
      </c>
      <c r="BY12" s="518">
        <v>0</v>
      </c>
      <c r="BZ12" s="518">
        <v>0</v>
      </c>
      <c r="CA12" s="518">
        <v>0</v>
      </c>
      <c r="CB12" s="518">
        <v>0</v>
      </c>
      <c r="CC12" s="518">
        <v>0</v>
      </c>
      <c r="CD12" s="518">
        <v>0</v>
      </c>
      <c r="CE12" s="518">
        <v>0</v>
      </c>
      <c r="CF12" s="518">
        <v>0</v>
      </c>
      <c r="CG12" s="518">
        <v>0</v>
      </c>
      <c r="CH12" s="518">
        <v>0</v>
      </c>
      <c r="CI12" s="518">
        <v>0</v>
      </c>
      <c r="CJ12" s="518">
        <v>0</v>
      </c>
      <c r="CK12" s="518">
        <v>0</v>
      </c>
      <c r="CL12" s="518">
        <v>0</v>
      </c>
      <c r="CM12" s="518">
        <v>0</v>
      </c>
      <c r="CN12" s="518">
        <v>0</v>
      </c>
      <c r="CO12" s="518">
        <v>0</v>
      </c>
      <c r="CP12" s="518">
        <v>0</v>
      </c>
      <c r="CQ12" s="518">
        <v>0</v>
      </c>
      <c r="CR12" s="518">
        <v>0</v>
      </c>
      <c r="CS12" s="518">
        <v>0</v>
      </c>
      <c r="CT12" s="518">
        <v>0</v>
      </c>
      <c r="CU12" s="518">
        <v>0</v>
      </c>
      <c r="CV12" s="518">
        <v>0</v>
      </c>
      <c r="CW12" s="518">
        <v>0</v>
      </c>
      <c r="CX12" s="518">
        <v>0</v>
      </c>
      <c r="CY12" s="518">
        <v>0</v>
      </c>
      <c r="CZ12" s="518">
        <v>0</v>
      </c>
      <c r="DA12" s="518">
        <v>0</v>
      </c>
      <c r="DB12" s="518">
        <v>0</v>
      </c>
      <c r="DC12" s="518">
        <v>0</v>
      </c>
      <c r="DD12" s="518">
        <v>0</v>
      </c>
      <c r="DE12" s="518">
        <v>0</v>
      </c>
      <c r="DF12" s="518">
        <v>0</v>
      </c>
      <c r="DG12" s="518">
        <v>0</v>
      </c>
      <c r="DH12" s="518">
        <v>0</v>
      </c>
      <c r="DI12" s="518">
        <v>0</v>
      </c>
      <c r="DJ12" s="518">
        <v>0</v>
      </c>
      <c r="DK12" s="518">
        <v>0</v>
      </c>
      <c r="DL12" s="518">
        <v>0</v>
      </c>
      <c r="DM12" s="518">
        <v>0</v>
      </c>
      <c r="DN12" s="518">
        <v>0</v>
      </c>
      <c r="DO12" s="518">
        <v>0</v>
      </c>
      <c r="DP12" s="518">
        <v>0</v>
      </c>
      <c r="DQ12" s="518">
        <v>0</v>
      </c>
      <c r="DR12" s="518">
        <v>0</v>
      </c>
      <c r="DS12" s="518">
        <v>0</v>
      </c>
      <c r="DT12" s="518">
        <v>0</v>
      </c>
      <c r="DU12" s="518">
        <v>0</v>
      </c>
      <c r="DV12" s="518">
        <v>0</v>
      </c>
      <c r="DW12" s="518">
        <v>0</v>
      </c>
      <c r="DX12" s="518">
        <v>0</v>
      </c>
      <c r="DY12" s="477"/>
      <c r="DZ12" s="517" t="s">
        <v>721</v>
      </c>
      <c r="EA12" s="517" t="s">
        <v>1101</v>
      </c>
      <c r="EB12" s="517" t="s">
        <v>25</v>
      </c>
      <c r="EC12" s="518">
        <v>24</v>
      </c>
      <c r="ED12" s="494" t="str">
        <f t="shared" si="0"/>
        <v>SWUC100124</v>
      </c>
      <c r="EE12" s="518">
        <v>10000</v>
      </c>
      <c r="EF12" s="518">
        <v>10000</v>
      </c>
      <c r="EG12" s="518">
        <v>10000</v>
      </c>
      <c r="EH12" s="518">
        <v>10000</v>
      </c>
      <c r="EI12" s="518">
        <v>10000</v>
      </c>
      <c r="EJ12" s="518">
        <v>10000</v>
      </c>
      <c r="EK12" s="518">
        <v>10000</v>
      </c>
      <c r="EL12" s="518">
        <v>10000</v>
      </c>
      <c r="EM12" s="518">
        <v>10000</v>
      </c>
      <c r="EN12" s="518">
        <v>10000</v>
      </c>
      <c r="EO12" s="518">
        <v>0</v>
      </c>
      <c r="EP12" s="518">
        <v>0</v>
      </c>
      <c r="EQ12" s="518">
        <v>0</v>
      </c>
      <c r="ER12" s="518">
        <v>0</v>
      </c>
      <c r="ES12" s="518">
        <v>0</v>
      </c>
      <c r="ET12" s="518">
        <v>0</v>
      </c>
      <c r="EU12" s="518">
        <v>0</v>
      </c>
      <c r="EV12" s="518">
        <v>0</v>
      </c>
      <c r="EW12" s="518">
        <v>0</v>
      </c>
      <c r="EX12" s="518">
        <v>0</v>
      </c>
      <c r="EY12" s="518">
        <v>0</v>
      </c>
      <c r="EZ12" s="518">
        <v>0</v>
      </c>
      <c r="FA12" s="518">
        <v>0</v>
      </c>
      <c r="FB12" s="518">
        <v>0</v>
      </c>
      <c r="FC12" s="518">
        <v>0</v>
      </c>
      <c r="FD12" s="518">
        <v>0</v>
      </c>
      <c r="FE12" s="518">
        <v>0</v>
      </c>
      <c r="FF12" s="518">
        <v>0</v>
      </c>
      <c r="FG12" s="518">
        <v>0</v>
      </c>
      <c r="FH12" s="518">
        <v>0</v>
      </c>
      <c r="FI12" s="518">
        <v>0</v>
      </c>
      <c r="FJ12" s="518">
        <v>0</v>
      </c>
      <c r="FK12" s="518">
        <v>0</v>
      </c>
      <c r="FL12" s="518">
        <v>0</v>
      </c>
      <c r="FM12" s="518">
        <v>0</v>
      </c>
      <c r="FN12" s="518">
        <v>0</v>
      </c>
      <c r="FO12" s="518">
        <v>0</v>
      </c>
      <c r="FP12" s="518">
        <v>0</v>
      </c>
      <c r="FQ12" s="518">
        <v>0</v>
      </c>
      <c r="FR12" s="518">
        <v>0</v>
      </c>
      <c r="FS12" s="518">
        <v>0</v>
      </c>
      <c r="FT12" s="518">
        <v>0</v>
      </c>
      <c r="FU12" s="518">
        <v>0</v>
      </c>
      <c r="FV12" s="518">
        <v>0</v>
      </c>
      <c r="FW12" s="518">
        <v>0</v>
      </c>
      <c r="FX12" s="518">
        <v>0</v>
      </c>
      <c r="FY12" s="518">
        <v>0</v>
      </c>
      <c r="FZ12" s="518">
        <v>0</v>
      </c>
      <c r="GA12" s="518">
        <v>0</v>
      </c>
      <c r="GB12" s="518">
        <v>0</v>
      </c>
      <c r="GC12" s="518">
        <v>0</v>
      </c>
      <c r="GD12" s="518">
        <v>0</v>
      </c>
      <c r="GE12" s="518">
        <v>0</v>
      </c>
      <c r="GF12" s="518">
        <v>0</v>
      </c>
      <c r="GG12" s="518">
        <v>0</v>
      </c>
      <c r="GH12" s="518">
        <v>0</v>
      </c>
      <c r="GI12" s="518">
        <v>0</v>
      </c>
      <c r="GJ12" s="518">
        <v>0</v>
      </c>
      <c r="GK12" s="518">
        <v>0</v>
      </c>
      <c r="GL12" s="518">
        <v>0</v>
      </c>
      <c r="GM12" s="518">
        <v>0</v>
      </c>
      <c r="GN12" s="518">
        <v>0</v>
      </c>
      <c r="GO12" s="518">
        <v>0</v>
      </c>
      <c r="GP12" s="518">
        <v>0</v>
      </c>
      <c r="GQ12" s="518">
        <v>0</v>
      </c>
      <c r="GR12" s="518">
        <v>0</v>
      </c>
      <c r="GS12" s="518">
        <v>0</v>
      </c>
      <c r="GT12" s="518">
        <v>0</v>
      </c>
      <c r="GU12" s="518">
        <v>0</v>
      </c>
      <c r="GV12" s="518">
        <v>0</v>
      </c>
      <c r="GW12" s="518">
        <v>0</v>
      </c>
      <c r="GX12" s="518">
        <v>0</v>
      </c>
      <c r="GY12" s="518">
        <v>0</v>
      </c>
      <c r="GZ12" s="518">
        <v>0</v>
      </c>
      <c r="HA12" s="518">
        <v>0</v>
      </c>
      <c r="HB12" s="518">
        <v>0</v>
      </c>
      <c r="HC12" s="518">
        <v>0</v>
      </c>
      <c r="HD12" s="518">
        <v>0</v>
      </c>
      <c r="HE12" s="518">
        <v>0</v>
      </c>
      <c r="HF12" s="518">
        <v>0</v>
      </c>
      <c r="HG12" s="518">
        <v>0</v>
      </c>
      <c r="HH12" s="518">
        <v>0</v>
      </c>
      <c r="HI12" s="518">
        <v>0</v>
      </c>
      <c r="HJ12" s="518">
        <v>0</v>
      </c>
      <c r="HK12" s="518">
        <v>0</v>
      </c>
      <c r="HL12" s="518">
        <v>0</v>
      </c>
      <c r="HM12" s="518">
        <v>0</v>
      </c>
      <c r="HN12" s="518">
        <v>0</v>
      </c>
      <c r="HO12" s="518">
        <v>0</v>
      </c>
      <c r="HP12" s="518">
        <v>0</v>
      </c>
      <c r="HQ12" s="518">
        <v>0</v>
      </c>
      <c r="HR12" s="518">
        <v>0</v>
      </c>
      <c r="HS12" s="518">
        <v>0</v>
      </c>
      <c r="HT12" s="518">
        <v>0</v>
      </c>
      <c r="HU12" s="518">
        <v>0</v>
      </c>
      <c r="HV12" s="518">
        <v>0</v>
      </c>
      <c r="HW12" s="518">
        <v>0</v>
      </c>
      <c r="HX12" s="518">
        <v>0</v>
      </c>
      <c r="HY12" s="518">
        <v>0</v>
      </c>
      <c r="HZ12" s="518">
        <v>0</v>
      </c>
      <c r="IA12" s="518">
        <v>0</v>
      </c>
      <c r="IB12" s="518">
        <v>0</v>
      </c>
      <c r="IC12" s="518">
        <v>0</v>
      </c>
      <c r="ID12" s="518">
        <v>0</v>
      </c>
      <c r="IE12" s="518">
        <v>0</v>
      </c>
      <c r="IF12" s="518">
        <v>0</v>
      </c>
      <c r="IG12" s="518">
        <v>0</v>
      </c>
      <c r="IH12" s="518">
        <v>0</v>
      </c>
      <c r="II12" s="518">
        <v>0</v>
      </c>
      <c r="IJ12" s="518">
        <v>0</v>
      </c>
      <c r="IK12" s="518">
        <v>0</v>
      </c>
    </row>
    <row r="13" spans="1:245" ht="16.5" hidden="1">
      <c r="A13" s="517" t="s">
        <v>721</v>
      </c>
      <c r="B13" s="517" t="s">
        <v>1101</v>
      </c>
      <c r="C13" s="517" t="s">
        <v>721</v>
      </c>
      <c r="D13" s="558"/>
      <c r="E13" s="517" t="s">
        <v>721</v>
      </c>
      <c r="F13" s="517" t="s">
        <v>25</v>
      </c>
      <c r="G13" s="558"/>
      <c r="H13" s="518">
        <v>25</v>
      </c>
      <c r="I13" s="558"/>
      <c r="J13" s="494" t="str">
        <f t="shared" si="1"/>
        <v>SWUC100125</v>
      </c>
      <c r="K13" s="518">
        <v>73</v>
      </c>
      <c r="M13" s="517" t="s">
        <v>721</v>
      </c>
      <c r="N13" s="517" t="s">
        <v>1101</v>
      </c>
      <c r="O13" s="517" t="s">
        <v>25</v>
      </c>
      <c r="P13" s="518">
        <v>25</v>
      </c>
      <c r="Q13" s="494" t="str">
        <f t="shared" si="2"/>
        <v>SWUC100125</v>
      </c>
      <c r="R13" s="518">
        <v>0</v>
      </c>
      <c r="S13" s="518">
        <v>6</v>
      </c>
      <c r="T13" s="518">
        <v>13</v>
      </c>
      <c r="U13" s="518">
        <v>19</v>
      </c>
      <c r="V13" s="518">
        <v>26</v>
      </c>
      <c r="W13" s="518">
        <v>34</v>
      </c>
      <c r="X13" s="518">
        <v>43</v>
      </c>
      <c r="Y13" s="518">
        <v>52</v>
      </c>
      <c r="Z13" s="518">
        <v>62</v>
      </c>
      <c r="AA13" s="518">
        <v>0</v>
      </c>
      <c r="AB13" s="518">
        <v>0</v>
      </c>
      <c r="AC13" s="518">
        <v>0</v>
      </c>
      <c r="AD13" s="518">
        <v>0</v>
      </c>
      <c r="AE13" s="518">
        <v>0</v>
      </c>
      <c r="AF13" s="518">
        <v>0</v>
      </c>
      <c r="AG13" s="518">
        <v>0</v>
      </c>
      <c r="AH13" s="518">
        <v>0</v>
      </c>
      <c r="AI13" s="518">
        <v>0</v>
      </c>
      <c r="AJ13" s="518">
        <v>0</v>
      </c>
      <c r="AK13" s="518">
        <v>0</v>
      </c>
      <c r="AL13" s="518">
        <v>0</v>
      </c>
      <c r="AM13" s="518">
        <v>0</v>
      </c>
      <c r="AN13" s="518">
        <v>0</v>
      </c>
      <c r="AO13" s="518">
        <v>0</v>
      </c>
      <c r="AP13" s="518">
        <v>0</v>
      </c>
      <c r="AQ13" s="518">
        <v>0</v>
      </c>
      <c r="AR13" s="518">
        <v>0</v>
      </c>
      <c r="AS13" s="518">
        <v>0</v>
      </c>
      <c r="AT13" s="518">
        <v>0</v>
      </c>
      <c r="AU13" s="518">
        <v>0</v>
      </c>
      <c r="AV13" s="518">
        <v>0</v>
      </c>
      <c r="AW13" s="518">
        <v>0</v>
      </c>
      <c r="AX13" s="518">
        <v>0</v>
      </c>
      <c r="AY13" s="518">
        <v>0</v>
      </c>
      <c r="AZ13" s="518">
        <v>0</v>
      </c>
      <c r="BA13" s="518">
        <v>0</v>
      </c>
      <c r="BB13" s="518">
        <v>0</v>
      </c>
      <c r="BC13" s="518">
        <v>0</v>
      </c>
      <c r="BD13" s="518">
        <v>0</v>
      </c>
      <c r="BE13" s="518">
        <v>0</v>
      </c>
      <c r="BF13" s="518">
        <v>0</v>
      </c>
      <c r="BG13" s="518">
        <v>0</v>
      </c>
      <c r="BH13" s="518">
        <v>0</v>
      </c>
      <c r="BI13" s="518">
        <v>0</v>
      </c>
      <c r="BJ13" s="518">
        <v>0</v>
      </c>
      <c r="BK13" s="518">
        <v>0</v>
      </c>
      <c r="BL13" s="518">
        <v>0</v>
      </c>
      <c r="BM13" s="518">
        <v>0</v>
      </c>
      <c r="BN13" s="518">
        <v>0</v>
      </c>
      <c r="BO13" s="518">
        <v>0</v>
      </c>
      <c r="BP13" s="518">
        <v>0</v>
      </c>
      <c r="BQ13" s="518">
        <v>0</v>
      </c>
      <c r="BR13" s="518">
        <v>0</v>
      </c>
      <c r="BS13" s="518">
        <v>0</v>
      </c>
      <c r="BT13" s="518">
        <v>0</v>
      </c>
      <c r="BU13" s="518">
        <v>0</v>
      </c>
      <c r="BV13" s="518">
        <v>0</v>
      </c>
      <c r="BW13" s="518">
        <v>0</v>
      </c>
      <c r="BX13" s="518">
        <v>0</v>
      </c>
      <c r="BY13" s="518">
        <v>0</v>
      </c>
      <c r="BZ13" s="518">
        <v>0</v>
      </c>
      <c r="CA13" s="518">
        <v>0</v>
      </c>
      <c r="CB13" s="518">
        <v>0</v>
      </c>
      <c r="CC13" s="518">
        <v>0</v>
      </c>
      <c r="CD13" s="518">
        <v>0</v>
      </c>
      <c r="CE13" s="518">
        <v>0</v>
      </c>
      <c r="CF13" s="518">
        <v>0</v>
      </c>
      <c r="CG13" s="518">
        <v>0</v>
      </c>
      <c r="CH13" s="518">
        <v>0</v>
      </c>
      <c r="CI13" s="518">
        <v>0</v>
      </c>
      <c r="CJ13" s="518">
        <v>0</v>
      </c>
      <c r="CK13" s="518">
        <v>0</v>
      </c>
      <c r="CL13" s="518">
        <v>0</v>
      </c>
      <c r="CM13" s="518">
        <v>0</v>
      </c>
      <c r="CN13" s="518">
        <v>0</v>
      </c>
      <c r="CO13" s="518">
        <v>0</v>
      </c>
      <c r="CP13" s="518">
        <v>0</v>
      </c>
      <c r="CQ13" s="518">
        <v>0</v>
      </c>
      <c r="CR13" s="518">
        <v>0</v>
      </c>
      <c r="CS13" s="518">
        <v>0</v>
      </c>
      <c r="CT13" s="518">
        <v>0</v>
      </c>
      <c r="CU13" s="518">
        <v>0</v>
      </c>
      <c r="CV13" s="518">
        <v>0</v>
      </c>
      <c r="CW13" s="518">
        <v>0</v>
      </c>
      <c r="CX13" s="518">
        <v>0</v>
      </c>
      <c r="CY13" s="518">
        <v>0</v>
      </c>
      <c r="CZ13" s="518">
        <v>0</v>
      </c>
      <c r="DA13" s="518">
        <v>0</v>
      </c>
      <c r="DB13" s="518">
        <v>0</v>
      </c>
      <c r="DC13" s="518">
        <v>0</v>
      </c>
      <c r="DD13" s="518">
        <v>0</v>
      </c>
      <c r="DE13" s="518">
        <v>0</v>
      </c>
      <c r="DF13" s="518">
        <v>0</v>
      </c>
      <c r="DG13" s="518">
        <v>0</v>
      </c>
      <c r="DH13" s="518">
        <v>0</v>
      </c>
      <c r="DI13" s="518">
        <v>0</v>
      </c>
      <c r="DJ13" s="518">
        <v>0</v>
      </c>
      <c r="DK13" s="518">
        <v>0</v>
      </c>
      <c r="DL13" s="518">
        <v>0</v>
      </c>
      <c r="DM13" s="518">
        <v>0</v>
      </c>
      <c r="DN13" s="518">
        <v>0</v>
      </c>
      <c r="DO13" s="518">
        <v>0</v>
      </c>
      <c r="DP13" s="518">
        <v>0</v>
      </c>
      <c r="DQ13" s="518">
        <v>0</v>
      </c>
      <c r="DR13" s="518">
        <v>0</v>
      </c>
      <c r="DS13" s="518">
        <v>0</v>
      </c>
      <c r="DT13" s="518">
        <v>0</v>
      </c>
      <c r="DU13" s="518">
        <v>0</v>
      </c>
      <c r="DV13" s="518">
        <v>0</v>
      </c>
      <c r="DW13" s="518">
        <v>0</v>
      </c>
      <c r="DX13" s="518">
        <v>0</v>
      </c>
      <c r="DY13" s="477"/>
      <c r="DZ13" s="517" t="s">
        <v>721</v>
      </c>
      <c r="EA13" s="517" t="s">
        <v>1101</v>
      </c>
      <c r="EB13" s="517" t="s">
        <v>25</v>
      </c>
      <c r="EC13" s="518">
        <v>25</v>
      </c>
      <c r="ED13" s="494" t="str">
        <f t="shared" si="0"/>
        <v>SWUC100125</v>
      </c>
      <c r="EE13" s="518">
        <v>10000</v>
      </c>
      <c r="EF13" s="518">
        <v>10000</v>
      </c>
      <c r="EG13" s="518">
        <v>10000</v>
      </c>
      <c r="EH13" s="518">
        <v>10000</v>
      </c>
      <c r="EI13" s="518">
        <v>10000</v>
      </c>
      <c r="EJ13" s="518">
        <v>10000</v>
      </c>
      <c r="EK13" s="518">
        <v>10000</v>
      </c>
      <c r="EL13" s="518">
        <v>10000</v>
      </c>
      <c r="EM13" s="518">
        <v>10000</v>
      </c>
      <c r="EN13" s="518">
        <v>10000</v>
      </c>
      <c r="EO13" s="518">
        <v>0</v>
      </c>
      <c r="EP13" s="518">
        <v>0</v>
      </c>
      <c r="EQ13" s="518">
        <v>0</v>
      </c>
      <c r="ER13" s="518">
        <v>0</v>
      </c>
      <c r="ES13" s="518">
        <v>0</v>
      </c>
      <c r="ET13" s="518">
        <v>0</v>
      </c>
      <c r="EU13" s="518">
        <v>0</v>
      </c>
      <c r="EV13" s="518">
        <v>0</v>
      </c>
      <c r="EW13" s="518">
        <v>0</v>
      </c>
      <c r="EX13" s="518">
        <v>0</v>
      </c>
      <c r="EY13" s="518">
        <v>0</v>
      </c>
      <c r="EZ13" s="518">
        <v>0</v>
      </c>
      <c r="FA13" s="518">
        <v>0</v>
      </c>
      <c r="FB13" s="518">
        <v>0</v>
      </c>
      <c r="FC13" s="518">
        <v>0</v>
      </c>
      <c r="FD13" s="518">
        <v>0</v>
      </c>
      <c r="FE13" s="518">
        <v>0</v>
      </c>
      <c r="FF13" s="518">
        <v>0</v>
      </c>
      <c r="FG13" s="518">
        <v>0</v>
      </c>
      <c r="FH13" s="518">
        <v>0</v>
      </c>
      <c r="FI13" s="518">
        <v>0</v>
      </c>
      <c r="FJ13" s="518">
        <v>0</v>
      </c>
      <c r="FK13" s="518">
        <v>0</v>
      </c>
      <c r="FL13" s="518">
        <v>0</v>
      </c>
      <c r="FM13" s="518">
        <v>0</v>
      </c>
      <c r="FN13" s="518">
        <v>0</v>
      </c>
      <c r="FO13" s="518">
        <v>0</v>
      </c>
      <c r="FP13" s="518">
        <v>0</v>
      </c>
      <c r="FQ13" s="518">
        <v>0</v>
      </c>
      <c r="FR13" s="518">
        <v>0</v>
      </c>
      <c r="FS13" s="518">
        <v>0</v>
      </c>
      <c r="FT13" s="518">
        <v>0</v>
      </c>
      <c r="FU13" s="518">
        <v>0</v>
      </c>
      <c r="FV13" s="518">
        <v>0</v>
      </c>
      <c r="FW13" s="518">
        <v>0</v>
      </c>
      <c r="FX13" s="518">
        <v>0</v>
      </c>
      <c r="FY13" s="518">
        <v>0</v>
      </c>
      <c r="FZ13" s="518">
        <v>0</v>
      </c>
      <c r="GA13" s="518">
        <v>0</v>
      </c>
      <c r="GB13" s="518">
        <v>0</v>
      </c>
      <c r="GC13" s="518">
        <v>0</v>
      </c>
      <c r="GD13" s="518">
        <v>0</v>
      </c>
      <c r="GE13" s="518">
        <v>0</v>
      </c>
      <c r="GF13" s="518">
        <v>0</v>
      </c>
      <c r="GG13" s="518">
        <v>0</v>
      </c>
      <c r="GH13" s="518">
        <v>0</v>
      </c>
      <c r="GI13" s="518">
        <v>0</v>
      </c>
      <c r="GJ13" s="518">
        <v>0</v>
      </c>
      <c r="GK13" s="518">
        <v>0</v>
      </c>
      <c r="GL13" s="518">
        <v>0</v>
      </c>
      <c r="GM13" s="518">
        <v>0</v>
      </c>
      <c r="GN13" s="518">
        <v>0</v>
      </c>
      <c r="GO13" s="518">
        <v>0</v>
      </c>
      <c r="GP13" s="518">
        <v>0</v>
      </c>
      <c r="GQ13" s="518">
        <v>0</v>
      </c>
      <c r="GR13" s="518">
        <v>0</v>
      </c>
      <c r="GS13" s="518">
        <v>0</v>
      </c>
      <c r="GT13" s="518">
        <v>0</v>
      </c>
      <c r="GU13" s="518">
        <v>0</v>
      </c>
      <c r="GV13" s="518">
        <v>0</v>
      </c>
      <c r="GW13" s="518">
        <v>0</v>
      </c>
      <c r="GX13" s="518">
        <v>0</v>
      </c>
      <c r="GY13" s="518">
        <v>0</v>
      </c>
      <c r="GZ13" s="518">
        <v>0</v>
      </c>
      <c r="HA13" s="518">
        <v>0</v>
      </c>
      <c r="HB13" s="518">
        <v>0</v>
      </c>
      <c r="HC13" s="518">
        <v>0</v>
      </c>
      <c r="HD13" s="518">
        <v>0</v>
      </c>
      <c r="HE13" s="518">
        <v>0</v>
      </c>
      <c r="HF13" s="518">
        <v>0</v>
      </c>
      <c r="HG13" s="518">
        <v>0</v>
      </c>
      <c r="HH13" s="518">
        <v>0</v>
      </c>
      <c r="HI13" s="518">
        <v>0</v>
      </c>
      <c r="HJ13" s="518">
        <v>0</v>
      </c>
      <c r="HK13" s="518">
        <v>0</v>
      </c>
      <c r="HL13" s="518">
        <v>0</v>
      </c>
      <c r="HM13" s="518">
        <v>0</v>
      </c>
      <c r="HN13" s="518">
        <v>0</v>
      </c>
      <c r="HO13" s="518">
        <v>0</v>
      </c>
      <c r="HP13" s="518">
        <v>0</v>
      </c>
      <c r="HQ13" s="518">
        <v>0</v>
      </c>
      <c r="HR13" s="518">
        <v>0</v>
      </c>
      <c r="HS13" s="518">
        <v>0</v>
      </c>
      <c r="HT13" s="518">
        <v>0</v>
      </c>
      <c r="HU13" s="518">
        <v>0</v>
      </c>
      <c r="HV13" s="518">
        <v>0</v>
      </c>
      <c r="HW13" s="518">
        <v>0</v>
      </c>
      <c r="HX13" s="518">
        <v>0</v>
      </c>
      <c r="HY13" s="518">
        <v>0</v>
      </c>
      <c r="HZ13" s="518">
        <v>0</v>
      </c>
      <c r="IA13" s="518">
        <v>0</v>
      </c>
      <c r="IB13" s="518">
        <v>0</v>
      </c>
      <c r="IC13" s="518">
        <v>0</v>
      </c>
      <c r="ID13" s="518">
        <v>0</v>
      </c>
      <c r="IE13" s="518">
        <v>0</v>
      </c>
      <c r="IF13" s="518">
        <v>0</v>
      </c>
      <c r="IG13" s="518">
        <v>0</v>
      </c>
      <c r="IH13" s="518">
        <v>0</v>
      </c>
      <c r="II13" s="518">
        <v>0</v>
      </c>
      <c r="IJ13" s="518">
        <v>0</v>
      </c>
      <c r="IK13" s="518">
        <v>0</v>
      </c>
    </row>
    <row r="14" spans="1:245" ht="16.5" hidden="1">
      <c r="A14" s="517" t="s">
        <v>721</v>
      </c>
      <c r="B14" s="517" t="s">
        <v>1101</v>
      </c>
      <c r="C14" s="517" t="s">
        <v>721</v>
      </c>
      <c r="D14" s="558"/>
      <c r="E14" s="517" t="s">
        <v>721</v>
      </c>
      <c r="F14" s="517" t="s">
        <v>25</v>
      </c>
      <c r="G14" s="558"/>
      <c r="H14" s="518">
        <v>26</v>
      </c>
      <c r="I14" s="558"/>
      <c r="J14" s="494" t="str">
        <f t="shared" si="1"/>
        <v>SWUC100126</v>
      </c>
      <c r="K14" s="518">
        <v>76</v>
      </c>
      <c r="M14" s="517" t="s">
        <v>721</v>
      </c>
      <c r="N14" s="517" t="s">
        <v>1101</v>
      </c>
      <c r="O14" s="517" t="s">
        <v>25</v>
      </c>
      <c r="P14" s="518">
        <v>26</v>
      </c>
      <c r="Q14" s="494" t="str">
        <f t="shared" si="2"/>
        <v>SWUC100126</v>
      </c>
      <c r="R14" s="518">
        <v>0</v>
      </c>
      <c r="S14" s="518">
        <v>7</v>
      </c>
      <c r="T14" s="518">
        <v>14</v>
      </c>
      <c r="U14" s="518">
        <v>20</v>
      </c>
      <c r="V14" s="518">
        <v>26</v>
      </c>
      <c r="W14" s="518">
        <v>35</v>
      </c>
      <c r="X14" s="518">
        <v>44</v>
      </c>
      <c r="Y14" s="518">
        <v>54</v>
      </c>
      <c r="Z14" s="518">
        <v>65</v>
      </c>
      <c r="AA14" s="518">
        <v>0</v>
      </c>
      <c r="AB14" s="518">
        <v>0</v>
      </c>
      <c r="AC14" s="518">
        <v>0</v>
      </c>
      <c r="AD14" s="518">
        <v>0</v>
      </c>
      <c r="AE14" s="518">
        <v>0</v>
      </c>
      <c r="AF14" s="518">
        <v>0</v>
      </c>
      <c r="AG14" s="518">
        <v>0</v>
      </c>
      <c r="AH14" s="518">
        <v>0</v>
      </c>
      <c r="AI14" s="518">
        <v>0</v>
      </c>
      <c r="AJ14" s="518">
        <v>0</v>
      </c>
      <c r="AK14" s="518">
        <v>0</v>
      </c>
      <c r="AL14" s="518">
        <v>0</v>
      </c>
      <c r="AM14" s="518">
        <v>0</v>
      </c>
      <c r="AN14" s="518">
        <v>0</v>
      </c>
      <c r="AO14" s="518">
        <v>0</v>
      </c>
      <c r="AP14" s="518">
        <v>0</v>
      </c>
      <c r="AQ14" s="518">
        <v>0</v>
      </c>
      <c r="AR14" s="518">
        <v>0</v>
      </c>
      <c r="AS14" s="518">
        <v>0</v>
      </c>
      <c r="AT14" s="518">
        <v>0</v>
      </c>
      <c r="AU14" s="518">
        <v>0</v>
      </c>
      <c r="AV14" s="518">
        <v>0</v>
      </c>
      <c r="AW14" s="518">
        <v>0</v>
      </c>
      <c r="AX14" s="518">
        <v>0</v>
      </c>
      <c r="AY14" s="518">
        <v>0</v>
      </c>
      <c r="AZ14" s="518">
        <v>0</v>
      </c>
      <c r="BA14" s="518">
        <v>0</v>
      </c>
      <c r="BB14" s="518">
        <v>0</v>
      </c>
      <c r="BC14" s="518">
        <v>0</v>
      </c>
      <c r="BD14" s="518">
        <v>0</v>
      </c>
      <c r="BE14" s="518">
        <v>0</v>
      </c>
      <c r="BF14" s="518">
        <v>0</v>
      </c>
      <c r="BG14" s="518">
        <v>0</v>
      </c>
      <c r="BH14" s="518">
        <v>0</v>
      </c>
      <c r="BI14" s="518">
        <v>0</v>
      </c>
      <c r="BJ14" s="518">
        <v>0</v>
      </c>
      <c r="BK14" s="518">
        <v>0</v>
      </c>
      <c r="BL14" s="518">
        <v>0</v>
      </c>
      <c r="BM14" s="518">
        <v>0</v>
      </c>
      <c r="BN14" s="518">
        <v>0</v>
      </c>
      <c r="BO14" s="518">
        <v>0</v>
      </c>
      <c r="BP14" s="518">
        <v>0</v>
      </c>
      <c r="BQ14" s="518">
        <v>0</v>
      </c>
      <c r="BR14" s="518">
        <v>0</v>
      </c>
      <c r="BS14" s="518">
        <v>0</v>
      </c>
      <c r="BT14" s="518">
        <v>0</v>
      </c>
      <c r="BU14" s="518">
        <v>0</v>
      </c>
      <c r="BV14" s="518">
        <v>0</v>
      </c>
      <c r="BW14" s="518">
        <v>0</v>
      </c>
      <c r="BX14" s="518">
        <v>0</v>
      </c>
      <c r="BY14" s="518">
        <v>0</v>
      </c>
      <c r="BZ14" s="518">
        <v>0</v>
      </c>
      <c r="CA14" s="518">
        <v>0</v>
      </c>
      <c r="CB14" s="518">
        <v>0</v>
      </c>
      <c r="CC14" s="518">
        <v>0</v>
      </c>
      <c r="CD14" s="518">
        <v>0</v>
      </c>
      <c r="CE14" s="518">
        <v>0</v>
      </c>
      <c r="CF14" s="518">
        <v>0</v>
      </c>
      <c r="CG14" s="518">
        <v>0</v>
      </c>
      <c r="CH14" s="518">
        <v>0</v>
      </c>
      <c r="CI14" s="518">
        <v>0</v>
      </c>
      <c r="CJ14" s="518">
        <v>0</v>
      </c>
      <c r="CK14" s="518">
        <v>0</v>
      </c>
      <c r="CL14" s="518">
        <v>0</v>
      </c>
      <c r="CM14" s="518">
        <v>0</v>
      </c>
      <c r="CN14" s="518">
        <v>0</v>
      </c>
      <c r="CO14" s="518">
        <v>0</v>
      </c>
      <c r="CP14" s="518">
        <v>0</v>
      </c>
      <c r="CQ14" s="518">
        <v>0</v>
      </c>
      <c r="CR14" s="518">
        <v>0</v>
      </c>
      <c r="CS14" s="518">
        <v>0</v>
      </c>
      <c r="CT14" s="518">
        <v>0</v>
      </c>
      <c r="CU14" s="518">
        <v>0</v>
      </c>
      <c r="CV14" s="518">
        <v>0</v>
      </c>
      <c r="CW14" s="518">
        <v>0</v>
      </c>
      <c r="CX14" s="518">
        <v>0</v>
      </c>
      <c r="CY14" s="518">
        <v>0</v>
      </c>
      <c r="CZ14" s="518">
        <v>0</v>
      </c>
      <c r="DA14" s="518">
        <v>0</v>
      </c>
      <c r="DB14" s="518">
        <v>0</v>
      </c>
      <c r="DC14" s="518">
        <v>0</v>
      </c>
      <c r="DD14" s="518">
        <v>0</v>
      </c>
      <c r="DE14" s="518">
        <v>0</v>
      </c>
      <c r="DF14" s="518">
        <v>0</v>
      </c>
      <c r="DG14" s="518">
        <v>0</v>
      </c>
      <c r="DH14" s="518">
        <v>0</v>
      </c>
      <c r="DI14" s="518">
        <v>0</v>
      </c>
      <c r="DJ14" s="518">
        <v>0</v>
      </c>
      <c r="DK14" s="518">
        <v>0</v>
      </c>
      <c r="DL14" s="518">
        <v>0</v>
      </c>
      <c r="DM14" s="518">
        <v>0</v>
      </c>
      <c r="DN14" s="518">
        <v>0</v>
      </c>
      <c r="DO14" s="518">
        <v>0</v>
      </c>
      <c r="DP14" s="518">
        <v>0</v>
      </c>
      <c r="DQ14" s="518">
        <v>0</v>
      </c>
      <c r="DR14" s="518">
        <v>0</v>
      </c>
      <c r="DS14" s="518">
        <v>0</v>
      </c>
      <c r="DT14" s="518">
        <v>0</v>
      </c>
      <c r="DU14" s="518">
        <v>0</v>
      </c>
      <c r="DV14" s="518">
        <v>0</v>
      </c>
      <c r="DW14" s="518">
        <v>0</v>
      </c>
      <c r="DX14" s="518">
        <v>0</v>
      </c>
      <c r="DY14" s="477"/>
      <c r="DZ14" s="517" t="s">
        <v>721</v>
      </c>
      <c r="EA14" s="517" t="s">
        <v>1101</v>
      </c>
      <c r="EB14" s="517" t="s">
        <v>25</v>
      </c>
      <c r="EC14" s="518">
        <v>26</v>
      </c>
      <c r="ED14" s="494" t="str">
        <f t="shared" si="0"/>
        <v>SWUC100126</v>
      </c>
      <c r="EE14" s="518">
        <v>10000</v>
      </c>
      <c r="EF14" s="518">
        <v>10000</v>
      </c>
      <c r="EG14" s="518">
        <v>10000</v>
      </c>
      <c r="EH14" s="518">
        <v>10000</v>
      </c>
      <c r="EI14" s="518">
        <v>10000</v>
      </c>
      <c r="EJ14" s="518">
        <v>10000</v>
      </c>
      <c r="EK14" s="518">
        <v>10000</v>
      </c>
      <c r="EL14" s="518">
        <v>10000</v>
      </c>
      <c r="EM14" s="518">
        <v>10000</v>
      </c>
      <c r="EN14" s="518">
        <v>10000</v>
      </c>
      <c r="EO14" s="518">
        <v>0</v>
      </c>
      <c r="EP14" s="518">
        <v>0</v>
      </c>
      <c r="EQ14" s="518">
        <v>0</v>
      </c>
      <c r="ER14" s="518">
        <v>0</v>
      </c>
      <c r="ES14" s="518">
        <v>0</v>
      </c>
      <c r="ET14" s="518">
        <v>0</v>
      </c>
      <c r="EU14" s="518">
        <v>0</v>
      </c>
      <c r="EV14" s="518">
        <v>0</v>
      </c>
      <c r="EW14" s="518">
        <v>0</v>
      </c>
      <c r="EX14" s="518">
        <v>0</v>
      </c>
      <c r="EY14" s="518">
        <v>0</v>
      </c>
      <c r="EZ14" s="518">
        <v>0</v>
      </c>
      <c r="FA14" s="518">
        <v>0</v>
      </c>
      <c r="FB14" s="518">
        <v>0</v>
      </c>
      <c r="FC14" s="518">
        <v>0</v>
      </c>
      <c r="FD14" s="518">
        <v>0</v>
      </c>
      <c r="FE14" s="518">
        <v>0</v>
      </c>
      <c r="FF14" s="518">
        <v>0</v>
      </c>
      <c r="FG14" s="518">
        <v>0</v>
      </c>
      <c r="FH14" s="518">
        <v>0</v>
      </c>
      <c r="FI14" s="518">
        <v>0</v>
      </c>
      <c r="FJ14" s="518">
        <v>0</v>
      </c>
      <c r="FK14" s="518">
        <v>0</v>
      </c>
      <c r="FL14" s="518">
        <v>0</v>
      </c>
      <c r="FM14" s="518">
        <v>0</v>
      </c>
      <c r="FN14" s="518">
        <v>0</v>
      </c>
      <c r="FO14" s="518">
        <v>0</v>
      </c>
      <c r="FP14" s="518">
        <v>0</v>
      </c>
      <c r="FQ14" s="518">
        <v>0</v>
      </c>
      <c r="FR14" s="518">
        <v>0</v>
      </c>
      <c r="FS14" s="518">
        <v>0</v>
      </c>
      <c r="FT14" s="518">
        <v>0</v>
      </c>
      <c r="FU14" s="518">
        <v>0</v>
      </c>
      <c r="FV14" s="518">
        <v>0</v>
      </c>
      <c r="FW14" s="518">
        <v>0</v>
      </c>
      <c r="FX14" s="518">
        <v>0</v>
      </c>
      <c r="FY14" s="518">
        <v>0</v>
      </c>
      <c r="FZ14" s="518">
        <v>0</v>
      </c>
      <c r="GA14" s="518">
        <v>0</v>
      </c>
      <c r="GB14" s="518">
        <v>0</v>
      </c>
      <c r="GC14" s="518">
        <v>0</v>
      </c>
      <c r="GD14" s="518">
        <v>0</v>
      </c>
      <c r="GE14" s="518">
        <v>0</v>
      </c>
      <c r="GF14" s="518">
        <v>0</v>
      </c>
      <c r="GG14" s="518">
        <v>0</v>
      </c>
      <c r="GH14" s="518">
        <v>0</v>
      </c>
      <c r="GI14" s="518">
        <v>0</v>
      </c>
      <c r="GJ14" s="518">
        <v>0</v>
      </c>
      <c r="GK14" s="518">
        <v>0</v>
      </c>
      <c r="GL14" s="518">
        <v>0</v>
      </c>
      <c r="GM14" s="518">
        <v>0</v>
      </c>
      <c r="GN14" s="518">
        <v>0</v>
      </c>
      <c r="GO14" s="518">
        <v>0</v>
      </c>
      <c r="GP14" s="518">
        <v>0</v>
      </c>
      <c r="GQ14" s="518">
        <v>0</v>
      </c>
      <c r="GR14" s="518">
        <v>0</v>
      </c>
      <c r="GS14" s="518">
        <v>0</v>
      </c>
      <c r="GT14" s="518">
        <v>0</v>
      </c>
      <c r="GU14" s="518">
        <v>0</v>
      </c>
      <c r="GV14" s="518">
        <v>0</v>
      </c>
      <c r="GW14" s="518">
        <v>0</v>
      </c>
      <c r="GX14" s="518">
        <v>0</v>
      </c>
      <c r="GY14" s="518">
        <v>0</v>
      </c>
      <c r="GZ14" s="518">
        <v>0</v>
      </c>
      <c r="HA14" s="518">
        <v>0</v>
      </c>
      <c r="HB14" s="518">
        <v>0</v>
      </c>
      <c r="HC14" s="518">
        <v>0</v>
      </c>
      <c r="HD14" s="518">
        <v>0</v>
      </c>
      <c r="HE14" s="518">
        <v>0</v>
      </c>
      <c r="HF14" s="518">
        <v>0</v>
      </c>
      <c r="HG14" s="518">
        <v>0</v>
      </c>
      <c r="HH14" s="518">
        <v>0</v>
      </c>
      <c r="HI14" s="518">
        <v>0</v>
      </c>
      <c r="HJ14" s="518">
        <v>0</v>
      </c>
      <c r="HK14" s="518">
        <v>0</v>
      </c>
      <c r="HL14" s="518">
        <v>0</v>
      </c>
      <c r="HM14" s="518">
        <v>0</v>
      </c>
      <c r="HN14" s="518">
        <v>0</v>
      </c>
      <c r="HO14" s="518">
        <v>0</v>
      </c>
      <c r="HP14" s="518">
        <v>0</v>
      </c>
      <c r="HQ14" s="518">
        <v>0</v>
      </c>
      <c r="HR14" s="518">
        <v>0</v>
      </c>
      <c r="HS14" s="518">
        <v>0</v>
      </c>
      <c r="HT14" s="518">
        <v>0</v>
      </c>
      <c r="HU14" s="518">
        <v>0</v>
      </c>
      <c r="HV14" s="518">
        <v>0</v>
      </c>
      <c r="HW14" s="518">
        <v>0</v>
      </c>
      <c r="HX14" s="518">
        <v>0</v>
      </c>
      <c r="HY14" s="518">
        <v>0</v>
      </c>
      <c r="HZ14" s="518">
        <v>0</v>
      </c>
      <c r="IA14" s="518">
        <v>0</v>
      </c>
      <c r="IB14" s="518">
        <v>0</v>
      </c>
      <c r="IC14" s="518">
        <v>0</v>
      </c>
      <c r="ID14" s="518">
        <v>0</v>
      </c>
      <c r="IE14" s="518">
        <v>0</v>
      </c>
      <c r="IF14" s="518">
        <v>0</v>
      </c>
      <c r="IG14" s="518">
        <v>0</v>
      </c>
      <c r="IH14" s="518">
        <v>0</v>
      </c>
      <c r="II14" s="518">
        <v>0</v>
      </c>
      <c r="IJ14" s="518">
        <v>0</v>
      </c>
      <c r="IK14" s="518">
        <v>0</v>
      </c>
    </row>
    <row r="15" spans="1:245" ht="16.5" hidden="1">
      <c r="A15" s="517" t="s">
        <v>721</v>
      </c>
      <c r="B15" s="517" t="s">
        <v>1101</v>
      </c>
      <c r="C15" s="517" t="s">
        <v>721</v>
      </c>
      <c r="D15" s="558"/>
      <c r="E15" s="517" t="s">
        <v>721</v>
      </c>
      <c r="F15" s="517" t="s">
        <v>25</v>
      </c>
      <c r="G15" s="558"/>
      <c r="H15" s="518">
        <v>27</v>
      </c>
      <c r="I15" s="558"/>
      <c r="J15" s="494" t="str">
        <f t="shared" si="1"/>
        <v>SWUC100127</v>
      </c>
      <c r="K15" s="518">
        <v>79</v>
      </c>
      <c r="M15" s="517" t="s">
        <v>721</v>
      </c>
      <c r="N15" s="517" t="s">
        <v>1101</v>
      </c>
      <c r="O15" s="517" t="s">
        <v>25</v>
      </c>
      <c r="P15" s="518">
        <v>27</v>
      </c>
      <c r="Q15" s="494" t="str">
        <f t="shared" si="2"/>
        <v>SWUC100127</v>
      </c>
      <c r="R15" s="518">
        <v>0</v>
      </c>
      <c r="S15" s="518">
        <v>7</v>
      </c>
      <c r="T15" s="518">
        <v>14</v>
      </c>
      <c r="U15" s="518">
        <v>21</v>
      </c>
      <c r="V15" s="518">
        <v>28</v>
      </c>
      <c r="W15" s="518">
        <v>37</v>
      </c>
      <c r="X15" s="518">
        <v>46</v>
      </c>
      <c r="Y15" s="518">
        <v>56</v>
      </c>
      <c r="Z15" s="518">
        <v>67</v>
      </c>
      <c r="AA15" s="518">
        <v>0</v>
      </c>
      <c r="AB15" s="518">
        <v>0</v>
      </c>
      <c r="AC15" s="518">
        <v>0</v>
      </c>
      <c r="AD15" s="518">
        <v>0</v>
      </c>
      <c r="AE15" s="518">
        <v>0</v>
      </c>
      <c r="AF15" s="518">
        <v>0</v>
      </c>
      <c r="AG15" s="518">
        <v>0</v>
      </c>
      <c r="AH15" s="518">
        <v>0</v>
      </c>
      <c r="AI15" s="518">
        <v>0</v>
      </c>
      <c r="AJ15" s="518">
        <v>0</v>
      </c>
      <c r="AK15" s="518">
        <v>0</v>
      </c>
      <c r="AL15" s="518">
        <v>0</v>
      </c>
      <c r="AM15" s="518">
        <v>0</v>
      </c>
      <c r="AN15" s="518">
        <v>0</v>
      </c>
      <c r="AO15" s="518">
        <v>0</v>
      </c>
      <c r="AP15" s="518">
        <v>0</v>
      </c>
      <c r="AQ15" s="518">
        <v>0</v>
      </c>
      <c r="AR15" s="518">
        <v>0</v>
      </c>
      <c r="AS15" s="518">
        <v>0</v>
      </c>
      <c r="AT15" s="518">
        <v>0</v>
      </c>
      <c r="AU15" s="518">
        <v>0</v>
      </c>
      <c r="AV15" s="518">
        <v>0</v>
      </c>
      <c r="AW15" s="518">
        <v>0</v>
      </c>
      <c r="AX15" s="518">
        <v>0</v>
      </c>
      <c r="AY15" s="518">
        <v>0</v>
      </c>
      <c r="AZ15" s="518">
        <v>0</v>
      </c>
      <c r="BA15" s="518">
        <v>0</v>
      </c>
      <c r="BB15" s="518">
        <v>0</v>
      </c>
      <c r="BC15" s="518">
        <v>0</v>
      </c>
      <c r="BD15" s="518">
        <v>0</v>
      </c>
      <c r="BE15" s="518">
        <v>0</v>
      </c>
      <c r="BF15" s="518">
        <v>0</v>
      </c>
      <c r="BG15" s="518">
        <v>0</v>
      </c>
      <c r="BH15" s="518">
        <v>0</v>
      </c>
      <c r="BI15" s="518">
        <v>0</v>
      </c>
      <c r="BJ15" s="518">
        <v>0</v>
      </c>
      <c r="BK15" s="518">
        <v>0</v>
      </c>
      <c r="BL15" s="518">
        <v>0</v>
      </c>
      <c r="BM15" s="518">
        <v>0</v>
      </c>
      <c r="BN15" s="518">
        <v>0</v>
      </c>
      <c r="BO15" s="518">
        <v>0</v>
      </c>
      <c r="BP15" s="518">
        <v>0</v>
      </c>
      <c r="BQ15" s="518">
        <v>0</v>
      </c>
      <c r="BR15" s="518">
        <v>0</v>
      </c>
      <c r="BS15" s="518">
        <v>0</v>
      </c>
      <c r="BT15" s="518">
        <v>0</v>
      </c>
      <c r="BU15" s="518">
        <v>0</v>
      </c>
      <c r="BV15" s="518">
        <v>0</v>
      </c>
      <c r="BW15" s="518">
        <v>0</v>
      </c>
      <c r="BX15" s="518">
        <v>0</v>
      </c>
      <c r="BY15" s="518">
        <v>0</v>
      </c>
      <c r="BZ15" s="518">
        <v>0</v>
      </c>
      <c r="CA15" s="518">
        <v>0</v>
      </c>
      <c r="CB15" s="518">
        <v>0</v>
      </c>
      <c r="CC15" s="518">
        <v>0</v>
      </c>
      <c r="CD15" s="518">
        <v>0</v>
      </c>
      <c r="CE15" s="518">
        <v>0</v>
      </c>
      <c r="CF15" s="518">
        <v>0</v>
      </c>
      <c r="CG15" s="518">
        <v>0</v>
      </c>
      <c r="CH15" s="518">
        <v>0</v>
      </c>
      <c r="CI15" s="518">
        <v>0</v>
      </c>
      <c r="CJ15" s="518">
        <v>0</v>
      </c>
      <c r="CK15" s="518">
        <v>0</v>
      </c>
      <c r="CL15" s="518">
        <v>0</v>
      </c>
      <c r="CM15" s="518">
        <v>0</v>
      </c>
      <c r="CN15" s="518">
        <v>0</v>
      </c>
      <c r="CO15" s="518">
        <v>0</v>
      </c>
      <c r="CP15" s="518">
        <v>0</v>
      </c>
      <c r="CQ15" s="518">
        <v>0</v>
      </c>
      <c r="CR15" s="518">
        <v>0</v>
      </c>
      <c r="CS15" s="518">
        <v>0</v>
      </c>
      <c r="CT15" s="518">
        <v>0</v>
      </c>
      <c r="CU15" s="518">
        <v>0</v>
      </c>
      <c r="CV15" s="518">
        <v>0</v>
      </c>
      <c r="CW15" s="518">
        <v>0</v>
      </c>
      <c r="CX15" s="518">
        <v>0</v>
      </c>
      <c r="CY15" s="518">
        <v>0</v>
      </c>
      <c r="CZ15" s="518">
        <v>0</v>
      </c>
      <c r="DA15" s="518">
        <v>0</v>
      </c>
      <c r="DB15" s="518">
        <v>0</v>
      </c>
      <c r="DC15" s="518">
        <v>0</v>
      </c>
      <c r="DD15" s="518">
        <v>0</v>
      </c>
      <c r="DE15" s="518">
        <v>0</v>
      </c>
      <c r="DF15" s="518">
        <v>0</v>
      </c>
      <c r="DG15" s="518">
        <v>0</v>
      </c>
      <c r="DH15" s="518">
        <v>0</v>
      </c>
      <c r="DI15" s="518">
        <v>0</v>
      </c>
      <c r="DJ15" s="518">
        <v>0</v>
      </c>
      <c r="DK15" s="518">
        <v>0</v>
      </c>
      <c r="DL15" s="518">
        <v>0</v>
      </c>
      <c r="DM15" s="518">
        <v>0</v>
      </c>
      <c r="DN15" s="518">
        <v>0</v>
      </c>
      <c r="DO15" s="518">
        <v>0</v>
      </c>
      <c r="DP15" s="518">
        <v>0</v>
      </c>
      <c r="DQ15" s="518">
        <v>0</v>
      </c>
      <c r="DR15" s="518">
        <v>0</v>
      </c>
      <c r="DS15" s="518">
        <v>0</v>
      </c>
      <c r="DT15" s="518">
        <v>0</v>
      </c>
      <c r="DU15" s="518">
        <v>0</v>
      </c>
      <c r="DV15" s="518">
        <v>0</v>
      </c>
      <c r="DW15" s="518">
        <v>0</v>
      </c>
      <c r="DX15" s="518">
        <v>0</v>
      </c>
      <c r="DY15" s="477"/>
      <c r="DZ15" s="517" t="s">
        <v>721</v>
      </c>
      <c r="EA15" s="517" t="s">
        <v>1101</v>
      </c>
      <c r="EB15" s="517" t="s">
        <v>25</v>
      </c>
      <c r="EC15" s="518">
        <v>27</v>
      </c>
      <c r="ED15" s="494" t="str">
        <f t="shared" si="0"/>
        <v>SWUC100127</v>
      </c>
      <c r="EE15" s="518">
        <v>10000</v>
      </c>
      <c r="EF15" s="518">
        <v>10000</v>
      </c>
      <c r="EG15" s="518">
        <v>10000</v>
      </c>
      <c r="EH15" s="518">
        <v>10000</v>
      </c>
      <c r="EI15" s="518">
        <v>10000</v>
      </c>
      <c r="EJ15" s="518">
        <v>10000</v>
      </c>
      <c r="EK15" s="518">
        <v>10000</v>
      </c>
      <c r="EL15" s="518">
        <v>10000</v>
      </c>
      <c r="EM15" s="518">
        <v>10000</v>
      </c>
      <c r="EN15" s="518">
        <v>10000</v>
      </c>
      <c r="EO15" s="518">
        <v>0</v>
      </c>
      <c r="EP15" s="518">
        <v>0</v>
      </c>
      <c r="EQ15" s="518">
        <v>0</v>
      </c>
      <c r="ER15" s="518">
        <v>0</v>
      </c>
      <c r="ES15" s="518">
        <v>0</v>
      </c>
      <c r="ET15" s="518">
        <v>0</v>
      </c>
      <c r="EU15" s="518">
        <v>0</v>
      </c>
      <c r="EV15" s="518">
        <v>0</v>
      </c>
      <c r="EW15" s="518">
        <v>0</v>
      </c>
      <c r="EX15" s="518">
        <v>0</v>
      </c>
      <c r="EY15" s="518">
        <v>0</v>
      </c>
      <c r="EZ15" s="518">
        <v>0</v>
      </c>
      <c r="FA15" s="518">
        <v>0</v>
      </c>
      <c r="FB15" s="518">
        <v>0</v>
      </c>
      <c r="FC15" s="518">
        <v>0</v>
      </c>
      <c r="FD15" s="518">
        <v>0</v>
      </c>
      <c r="FE15" s="518">
        <v>0</v>
      </c>
      <c r="FF15" s="518">
        <v>0</v>
      </c>
      <c r="FG15" s="518">
        <v>0</v>
      </c>
      <c r="FH15" s="518">
        <v>0</v>
      </c>
      <c r="FI15" s="518">
        <v>0</v>
      </c>
      <c r="FJ15" s="518">
        <v>0</v>
      </c>
      <c r="FK15" s="518">
        <v>0</v>
      </c>
      <c r="FL15" s="518">
        <v>0</v>
      </c>
      <c r="FM15" s="518">
        <v>0</v>
      </c>
      <c r="FN15" s="518">
        <v>0</v>
      </c>
      <c r="FO15" s="518">
        <v>0</v>
      </c>
      <c r="FP15" s="518">
        <v>0</v>
      </c>
      <c r="FQ15" s="518">
        <v>0</v>
      </c>
      <c r="FR15" s="518">
        <v>0</v>
      </c>
      <c r="FS15" s="518">
        <v>0</v>
      </c>
      <c r="FT15" s="518">
        <v>0</v>
      </c>
      <c r="FU15" s="518">
        <v>0</v>
      </c>
      <c r="FV15" s="518">
        <v>0</v>
      </c>
      <c r="FW15" s="518">
        <v>0</v>
      </c>
      <c r="FX15" s="518">
        <v>0</v>
      </c>
      <c r="FY15" s="518">
        <v>0</v>
      </c>
      <c r="FZ15" s="518">
        <v>0</v>
      </c>
      <c r="GA15" s="518">
        <v>0</v>
      </c>
      <c r="GB15" s="518">
        <v>0</v>
      </c>
      <c r="GC15" s="518">
        <v>0</v>
      </c>
      <c r="GD15" s="518">
        <v>0</v>
      </c>
      <c r="GE15" s="518">
        <v>0</v>
      </c>
      <c r="GF15" s="518">
        <v>0</v>
      </c>
      <c r="GG15" s="518">
        <v>0</v>
      </c>
      <c r="GH15" s="518">
        <v>0</v>
      </c>
      <c r="GI15" s="518">
        <v>0</v>
      </c>
      <c r="GJ15" s="518">
        <v>0</v>
      </c>
      <c r="GK15" s="518">
        <v>0</v>
      </c>
      <c r="GL15" s="518">
        <v>0</v>
      </c>
      <c r="GM15" s="518">
        <v>0</v>
      </c>
      <c r="GN15" s="518">
        <v>0</v>
      </c>
      <c r="GO15" s="518">
        <v>0</v>
      </c>
      <c r="GP15" s="518">
        <v>0</v>
      </c>
      <c r="GQ15" s="518">
        <v>0</v>
      </c>
      <c r="GR15" s="518">
        <v>0</v>
      </c>
      <c r="GS15" s="518">
        <v>0</v>
      </c>
      <c r="GT15" s="518">
        <v>0</v>
      </c>
      <c r="GU15" s="518">
        <v>0</v>
      </c>
      <c r="GV15" s="518">
        <v>0</v>
      </c>
      <c r="GW15" s="518">
        <v>0</v>
      </c>
      <c r="GX15" s="518">
        <v>0</v>
      </c>
      <c r="GY15" s="518">
        <v>0</v>
      </c>
      <c r="GZ15" s="518">
        <v>0</v>
      </c>
      <c r="HA15" s="518">
        <v>0</v>
      </c>
      <c r="HB15" s="518">
        <v>0</v>
      </c>
      <c r="HC15" s="518">
        <v>0</v>
      </c>
      <c r="HD15" s="518">
        <v>0</v>
      </c>
      <c r="HE15" s="518">
        <v>0</v>
      </c>
      <c r="HF15" s="518">
        <v>0</v>
      </c>
      <c r="HG15" s="518">
        <v>0</v>
      </c>
      <c r="HH15" s="518">
        <v>0</v>
      </c>
      <c r="HI15" s="518">
        <v>0</v>
      </c>
      <c r="HJ15" s="518">
        <v>0</v>
      </c>
      <c r="HK15" s="518">
        <v>0</v>
      </c>
      <c r="HL15" s="518">
        <v>0</v>
      </c>
      <c r="HM15" s="518">
        <v>0</v>
      </c>
      <c r="HN15" s="518">
        <v>0</v>
      </c>
      <c r="HO15" s="518">
        <v>0</v>
      </c>
      <c r="HP15" s="518">
        <v>0</v>
      </c>
      <c r="HQ15" s="518">
        <v>0</v>
      </c>
      <c r="HR15" s="518">
        <v>0</v>
      </c>
      <c r="HS15" s="518">
        <v>0</v>
      </c>
      <c r="HT15" s="518">
        <v>0</v>
      </c>
      <c r="HU15" s="518">
        <v>0</v>
      </c>
      <c r="HV15" s="518">
        <v>0</v>
      </c>
      <c r="HW15" s="518">
        <v>0</v>
      </c>
      <c r="HX15" s="518">
        <v>0</v>
      </c>
      <c r="HY15" s="518">
        <v>0</v>
      </c>
      <c r="HZ15" s="518">
        <v>0</v>
      </c>
      <c r="IA15" s="518">
        <v>0</v>
      </c>
      <c r="IB15" s="518">
        <v>0</v>
      </c>
      <c r="IC15" s="518">
        <v>0</v>
      </c>
      <c r="ID15" s="518">
        <v>0</v>
      </c>
      <c r="IE15" s="518">
        <v>0</v>
      </c>
      <c r="IF15" s="518">
        <v>0</v>
      </c>
      <c r="IG15" s="518">
        <v>0</v>
      </c>
      <c r="IH15" s="518">
        <v>0</v>
      </c>
      <c r="II15" s="518">
        <v>0</v>
      </c>
      <c r="IJ15" s="518">
        <v>0</v>
      </c>
      <c r="IK15" s="518">
        <v>0</v>
      </c>
    </row>
    <row r="16" spans="1:245" ht="16.5" hidden="1">
      <c r="A16" s="517" t="s">
        <v>721</v>
      </c>
      <c r="B16" s="517" t="s">
        <v>1101</v>
      </c>
      <c r="C16" s="517" t="s">
        <v>721</v>
      </c>
      <c r="D16" s="558"/>
      <c r="E16" s="517" t="s">
        <v>721</v>
      </c>
      <c r="F16" s="517" t="s">
        <v>25</v>
      </c>
      <c r="G16" s="558"/>
      <c r="H16" s="518">
        <v>28</v>
      </c>
      <c r="I16" s="558"/>
      <c r="J16" s="494" t="str">
        <f t="shared" si="1"/>
        <v>SWUC100128</v>
      </c>
      <c r="K16" s="518">
        <v>82</v>
      </c>
      <c r="M16" s="517" t="s">
        <v>721</v>
      </c>
      <c r="N16" s="517" t="s">
        <v>1101</v>
      </c>
      <c r="O16" s="517" t="s">
        <v>25</v>
      </c>
      <c r="P16" s="518">
        <v>28</v>
      </c>
      <c r="Q16" s="494" t="str">
        <f t="shared" si="2"/>
        <v>SWUC100128</v>
      </c>
      <c r="R16" s="518">
        <v>0</v>
      </c>
      <c r="S16" s="518">
        <v>8</v>
      </c>
      <c r="T16" s="518">
        <v>15</v>
      </c>
      <c r="U16" s="518">
        <v>22</v>
      </c>
      <c r="V16" s="518">
        <v>29</v>
      </c>
      <c r="W16" s="518">
        <v>38</v>
      </c>
      <c r="X16" s="518">
        <v>48</v>
      </c>
      <c r="Y16" s="518">
        <v>59</v>
      </c>
      <c r="Z16" s="518">
        <v>69</v>
      </c>
      <c r="AA16" s="518">
        <v>0</v>
      </c>
      <c r="AB16" s="518">
        <v>0</v>
      </c>
      <c r="AC16" s="518">
        <v>0</v>
      </c>
      <c r="AD16" s="518">
        <v>0</v>
      </c>
      <c r="AE16" s="518">
        <v>0</v>
      </c>
      <c r="AF16" s="518">
        <v>0</v>
      </c>
      <c r="AG16" s="518">
        <v>0</v>
      </c>
      <c r="AH16" s="518">
        <v>0</v>
      </c>
      <c r="AI16" s="518">
        <v>0</v>
      </c>
      <c r="AJ16" s="518">
        <v>0</v>
      </c>
      <c r="AK16" s="518">
        <v>0</v>
      </c>
      <c r="AL16" s="518">
        <v>0</v>
      </c>
      <c r="AM16" s="518">
        <v>0</v>
      </c>
      <c r="AN16" s="518">
        <v>0</v>
      </c>
      <c r="AO16" s="518">
        <v>0</v>
      </c>
      <c r="AP16" s="518">
        <v>0</v>
      </c>
      <c r="AQ16" s="518">
        <v>0</v>
      </c>
      <c r="AR16" s="518">
        <v>0</v>
      </c>
      <c r="AS16" s="518">
        <v>0</v>
      </c>
      <c r="AT16" s="518">
        <v>0</v>
      </c>
      <c r="AU16" s="518">
        <v>0</v>
      </c>
      <c r="AV16" s="518">
        <v>0</v>
      </c>
      <c r="AW16" s="518">
        <v>0</v>
      </c>
      <c r="AX16" s="518">
        <v>0</v>
      </c>
      <c r="AY16" s="518">
        <v>0</v>
      </c>
      <c r="AZ16" s="518">
        <v>0</v>
      </c>
      <c r="BA16" s="518">
        <v>0</v>
      </c>
      <c r="BB16" s="518">
        <v>0</v>
      </c>
      <c r="BC16" s="518">
        <v>0</v>
      </c>
      <c r="BD16" s="518">
        <v>0</v>
      </c>
      <c r="BE16" s="518">
        <v>0</v>
      </c>
      <c r="BF16" s="518">
        <v>0</v>
      </c>
      <c r="BG16" s="518">
        <v>0</v>
      </c>
      <c r="BH16" s="518">
        <v>0</v>
      </c>
      <c r="BI16" s="518">
        <v>0</v>
      </c>
      <c r="BJ16" s="518">
        <v>0</v>
      </c>
      <c r="BK16" s="518">
        <v>0</v>
      </c>
      <c r="BL16" s="518">
        <v>0</v>
      </c>
      <c r="BM16" s="518">
        <v>0</v>
      </c>
      <c r="BN16" s="518">
        <v>0</v>
      </c>
      <c r="BO16" s="518">
        <v>0</v>
      </c>
      <c r="BP16" s="518">
        <v>0</v>
      </c>
      <c r="BQ16" s="518">
        <v>0</v>
      </c>
      <c r="BR16" s="518">
        <v>0</v>
      </c>
      <c r="BS16" s="518">
        <v>0</v>
      </c>
      <c r="BT16" s="518">
        <v>0</v>
      </c>
      <c r="BU16" s="518">
        <v>0</v>
      </c>
      <c r="BV16" s="518">
        <v>0</v>
      </c>
      <c r="BW16" s="518">
        <v>0</v>
      </c>
      <c r="BX16" s="518">
        <v>0</v>
      </c>
      <c r="BY16" s="518">
        <v>0</v>
      </c>
      <c r="BZ16" s="518">
        <v>0</v>
      </c>
      <c r="CA16" s="518">
        <v>0</v>
      </c>
      <c r="CB16" s="518">
        <v>0</v>
      </c>
      <c r="CC16" s="518">
        <v>0</v>
      </c>
      <c r="CD16" s="518">
        <v>0</v>
      </c>
      <c r="CE16" s="518">
        <v>0</v>
      </c>
      <c r="CF16" s="518">
        <v>0</v>
      </c>
      <c r="CG16" s="518">
        <v>0</v>
      </c>
      <c r="CH16" s="518">
        <v>0</v>
      </c>
      <c r="CI16" s="518">
        <v>0</v>
      </c>
      <c r="CJ16" s="518">
        <v>0</v>
      </c>
      <c r="CK16" s="518">
        <v>0</v>
      </c>
      <c r="CL16" s="518">
        <v>0</v>
      </c>
      <c r="CM16" s="518">
        <v>0</v>
      </c>
      <c r="CN16" s="518">
        <v>0</v>
      </c>
      <c r="CO16" s="518">
        <v>0</v>
      </c>
      <c r="CP16" s="518">
        <v>0</v>
      </c>
      <c r="CQ16" s="518">
        <v>0</v>
      </c>
      <c r="CR16" s="518">
        <v>0</v>
      </c>
      <c r="CS16" s="518">
        <v>0</v>
      </c>
      <c r="CT16" s="518">
        <v>0</v>
      </c>
      <c r="CU16" s="518">
        <v>0</v>
      </c>
      <c r="CV16" s="518">
        <v>0</v>
      </c>
      <c r="CW16" s="518">
        <v>0</v>
      </c>
      <c r="CX16" s="518">
        <v>0</v>
      </c>
      <c r="CY16" s="518">
        <v>0</v>
      </c>
      <c r="CZ16" s="518">
        <v>0</v>
      </c>
      <c r="DA16" s="518">
        <v>0</v>
      </c>
      <c r="DB16" s="518">
        <v>0</v>
      </c>
      <c r="DC16" s="518">
        <v>0</v>
      </c>
      <c r="DD16" s="518">
        <v>0</v>
      </c>
      <c r="DE16" s="518">
        <v>0</v>
      </c>
      <c r="DF16" s="518">
        <v>0</v>
      </c>
      <c r="DG16" s="518">
        <v>0</v>
      </c>
      <c r="DH16" s="518">
        <v>0</v>
      </c>
      <c r="DI16" s="518">
        <v>0</v>
      </c>
      <c r="DJ16" s="518">
        <v>0</v>
      </c>
      <c r="DK16" s="518">
        <v>0</v>
      </c>
      <c r="DL16" s="518">
        <v>0</v>
      </c>
      <c r="DM16" s="518">
        <v>0</v>
      </c>
      <c r="DN16" s="518">
        <v>0</v>
      </c>
      <c r="DO16" s="518">
        <v>0</v>
      </c>
      <c r="DP16" s="518">
        <v>0</v>
      </c>
      <c r="DQ16" s="518">
        <v>0</v>
      </c>
      <c r="DR16" s="518">
        <v>0</v>
      </c>
      <c r="DS16" s="518">
        <v>0</v>
      </c>
      <c r="DT16" s="518">
        <v>0</v>
      </c>
      <c r="DU16" s="518">
        <v>0</v>
      </c>
      <c r="DV16" s="518">
        <v>0</v>
      </c>
      <c r="DW16" s="518">
        <v>0</v>
      </c>
      <c r="DX16" s="518">
        <v>0</v>
      </c>
      <c r="DY16" s="477"/>
      <c r="DZ16" s="517" t="s">
        <v>721</v>
      </c>
      <c r="EA16" s="517" t="s">
        <v>1101</v>
      </c>
      <c r="EB16" s="517" t="s">
        <v>25</v>
      </c>
      <c r="EC16" s="518">
        <v>28</v>
      </c>
      <c r="ED16" s="494" t="str">
        <f t="shared" si="0"/>
        <v>SWUC100128</v>
      </c>
      <c r="EE16" s="518">
        <v>10000</v>
      </c>
      <c r="EF16" s="518">
        <v>10000</v>
      </c>
      <c r="EG16" s="518">
        <v>10000</v>
      </c>
      <c r="EH16" s="518">
        <v>10000</v>
      </c>
      <c r="EI16" s="518">
        <v>10000</v>
      </c>
      <c r="EJ16" s="518">
        <v>10000</v>
      </c>
      <c r="EK16" s="518">
        <v>10000</v>
      </c>
      <c r="EL16" s="518">
        <v>10000</v>
      </c>
      <c r="EM16" s="518">
        <v>10000</v>
      </c>
      <c r="EN16" s="518">
        <v>10000</v>
      </c>
      <c r="EO16" s="518">
        <v>0</v>
      </c>
      <c r="EP16" s="518">
        <v>0</v>
      </c>
      <c r="EQ16" s="518">
        <v>0</v>
      </c>
      <c r="ER16" s="518">
        <v>0</v>
      </c>
      <c r="ES16" s="518">
        <v>0</v>
      </c>
      <c r="ET16" s="518">
        <v>0</v>
      </c>
      <c r="EU16" s="518">
        <v>0</v>
      </c>
      <c r="EV16" s="518">
        <v>0</v>
      </c>
      <c r="EW16" s="518">
        <v>0</v>
      </c>
      <c r="EX16" s="518">
        <v>0</v>
      </c>
      <c r="EY16" s="518">
        <v>0</v>
      </c>
      <c r="EZ16" s="518">
        <v>0</v>
      </c>
      <c r="FA16" s="518">
        <v>0</v>
      </c>
      <c r="FB16" s="518">
        <v>0</v>
      </c>
      <c r="FC16" s="518">
        <v>0</v>
      </c>
      <c r="FD16" s="518">
        <v>0</v>
      </c>
      <c r="FE16" s="518">
        <v>0</v>
      </c>
      <c r="FF16" s="518">
        <v>0</v>
      </c>
      <c r="FG16" s="518">
        <v>0</v>
      </c>
      <c r="FH16" s="518">
        <v>0</v>
      </c>
      <c r="FI16" s="518">
        <v>0</v>
      </c>
      <c r="FJ16" s="518">
        <v>0</v>
      </c>
      <c r="FK16" s="518">
        <v>0</v>
      </c>
      <c r="FL16" s="518">
        <v>0</v>
      </c>
      <c r="FM16" s="518">
        <v>0</v>
      </c>
      <c r="FN16" s="518">
        <v>0</v>
      </c>
      <c r="FO16" s="518">
        <v>0</v>
      </c>
      <c r="FP16" s="518">
        <v>0</v>
      </c>
      <c r="FQ16" s="518">
        <v>0</v>
      </c>
      <c r="FR16" s="518">
        <v>0</v>
      </c>
      <c r="FS16" s="518">
        <v>0</v>
      </c>
      <c r="FT16" s="518">
        <v>0</v>
      </c>
      <c r="FU16" s="518">
        <v>0</v>
      </c>
      <c r="FV16" s="518">
        <v>0</v>
      </c>
      <c r="FW16" s="518">
        <v>0</v>
      </c>
      <c r="FX16" s="518">
        <v>0</v>
      </c>
      <c r="FY16" s="518">
        <v>0</v>
      </c>
      <c r="FZ16" s="518">
        <v>0</v>
      </c>
      <c r="GA16" s="518">
        <v>0</v>
      </c>
      <c r="GB16" s="518">
        <v>0</v>
      </c>
      <c r="GC16" s="518">
        <v>0</v>
      </c>
      <c r="GD16" s="518">
        <v>0</v>
      </c>
      <c r="GE16" s="518">
        <v>0</v>
      </c>
      <c r="GF16" s="518">
        <v>0</v>
      </c>
      <c r="GG16" s="518">
        <v>0</v>
      </c>
      <c r="GH16" s="518">
        <v>0</v>
      </c>
      <c r="GI16" s="518">
        <v>0</v>
      </c>
      <c r="GJ16" s="518">
        <v>0</v>
      </c>
      <c r="GK16" s="518">
        <v>0</v>
      </c>
      <c r="GL16" s="518">
        <v>0</v>
      </c>
      <c r="GM16" s="518">
        <v>0</v>
      </c>
      <c r="GN16" s="518">
        <v>0</v>
      </c>
      <c r="GO16" s="518">
        <v>0</v>
      </c>
      <c r="GP16" s="518">
        <v>0</v>
      </c>
      <c r="GQ16" s="518">
        <v>0</v>
      </c>
      <c r="GR16" s="518">
        <v>0</v>
      </c>
      <c r="GS16" s="518">
        <v>0</v>
      </c>
      <c r="GT16" s="518">
        <v>0</v>
      </c>
      <c r="GU16" s="518">
        <v>0</v>
      </c>
      <c r="GV16" s="518">
        <v>0</v>
      </c>
      <c r="GW16" s="518">
        <v>0</v>
      </c>
      <c r="GX16" s="518">
        <v>0</v>
      </c>
      <c r="GY16" s="518">
        <v>0</v>
      </c>
      <c r="GZ16" s="518">
        <v>0</v>
      </c>
      <c r="HA16" s="518">
        <v>0</v>
      </c>
      <c r="HB16" s="518">
        <v>0</v>
      </c>
      <c r="HC16" s="518">
        <v>0</v>
      </c>
      <c r="HD16" s="518">
        <v>0</v>
      </c>
      <c r="HE16" s="518">
        <v>0</v>
      </c>
      <c r="HF16" s="518">
        <v>0</v>
      </c>
      <c r="HG16" s="518">
        <v>0</v>
      </c>
      <c r="HH16" s="518">
        <v>0</v>
      </c>
      <c r="HI16" s="518">
        <v>0</v>
      </c>
      <c r="HJ16" s="518">
        <v>0</v>
      </c>
      <c r="HK16" s="518">
        <v>0</v>
      </c>
      <c r="HL16" s="518">
        <v>0</v>
      </c>
      <c r="HM16" s="518">
        <v>0</v>
      </c>
      <c r="HN16" s="518">
        <v>0</v>
      </c>
      <c r="HO16" s="518">
        <v>0</v>
      </c>
      <c r="HP16" s="518">
        <v>0</v>
      </c>
      <c r="HQ16" s="518">
        <v>0</v>
      </c>
      <c r="HR16" s="518">
        <v>0</v>
      </c>
      <c r="HS16" s="518">
        <v>0</v>
      </c>
      <c r="HT16" s="518">
        <v>0</v>
      </c>
      <c r="HU16" s="518">
        <v>0</v>
      </c>
      <c r="HV16" s="518">
        <v>0</v>
      </c>
      <c r="HW16" s="518">
        <v>0</v>
      </c>
      <c r="HX16" s="518">
        <v>0</v>
      </c>
      <c r="HY16" s="518">
        <v>0</v>
      </c>
      <c r="HZ16" s="518">
        <v>0</v>
      </c>
      <c r="IA16" s="518">
        <v>0</v>
      </c>
      <c r="IB16" s="518">
        <v>0</v>
      </c>
      <c r="IC16" s="518">
        <v>0</v>
      </c>
      <c r="ID16" s="518">
        <v>0</v>
      </c>
      <c r="IE16" s="518">
        <v>0</v>
      </c>
      <c r="IF16" s="518">
        <v>0</v>
      </c>
      <c r="IG16" s="518">
        <v>0</v>
      </c>
      <c r="IH16" s="518">
        <v>0</v>
      </c>
      <c r="II16" s="518">
        <v>0</v>
      </c>
      <c r="IJ16" s="518">
        <v>0</v>
      </c>
      <c r="IK16" s="518">
        <v>0</v>
      </c>
    </row>
    <row r="17" spans="1:245" ht="16.5" hidden="1">
      <c r="A17" s="517" t="s">
        <v>721</v>
      </c>
      <c r="B17" s="517" t="s">
        <v>1101</v>
      </c>
      <c r="C17" s="517" t="s">
        <v>721</v>
      </c>
      <c r="D17" s="558"/>
      <c r="E17" s="517" t="s">
        <v>721</v>
      </c>
      <c r="F17" s="517" t="s">
        <v>25</v>
      </c>
      <c r="G17" s="558"/>
      <c r="H17" s="518">
        <v>29</v>
      </c>
      <c r="I17" s="558"/>
      <c r="J17" s="494" t="str">
        <f t="shared" si="1"/>
        <v>SWUC100129</v>
      </c>
      <c r="K17" s="518">
        <v>85</v>
      </c>
      <c r="M17" s="517" t="s">
        <v>721</v>
      </c>
      <c r="N17" s="517" t="s">
        <v>1101</v>
      </c>
      <c r="O17" s="517" t="s">
        <v>25</v>
      </c>
      <c r="P17" s="518">
        <v>29</v>
      </c>
      <c r="Q17" s="494" t="str">
        <f t="shared" si="2"/>
        <v>SWUC100129</v>
      </c>
      <c r="R17" s="518">
        <v>0</v>
      </c>
      <c r="S17" s="518">
        <v>8</v>
      </c>
      <c r="T17" s="518">
        <v>15</v>
      </c>
      <c r="U17" s="518">
        <v>23</v>
      </c>
      <c r="V17" s="518">
        <v>30</v>
      </c>
      <c r="W17" s="518">
        <v>39</v>
      </c>
      <c r="X17" s="518">
        <v>49</v>
      </c>
      <c r="Y17" s="518">
        <v>61</v>
      </c>
      <c r="Z17" s="518">
        <v>72</v>
      </c>
      <c r="AA17" s="518">
        <v>0</v>
      </c>
      <c r="AB17" s="518">
        <v>0</v>
      </c>
      <c r="AC17" s="518">
        <v>0</v>
      </c>
      <c r="AD17" s="518">
        <v>0</v>
      </c>
      <c r="AE17" s="518">
        <v>0</v>
      </c>
      <c r="AF17" s="518">
        <v>0</v>
      </c>
      <c r="AG17" s="518">
        <v>0</v>
      </c>
      <c r="AH17" s="518">
        <v>0</v>
      </c>
      <c r="AI17" s="518">
        <v>0</v>
      </c>
      <c r="AJ17" s="518">
        <v>0</v>
      </c>
      <c r="AK17" s="518">
        <v>0</v>
      </c>
      <c r="AL17" s="518">
        <v>0</v>
      </c>
      <c r="AM17" s="518">
        <v>0</v>
      </c>
      <c r="AN17" s="518">
        <v>0</v>
      </c>
      <c r="AO17" s="518">
        <v>0</v>
      </c>
      <c r="AP17" s="518">
        <v>0</v>
      </c>
      <c r="AQ17" s="518">
        <v>0</v>
      </c>
      <c r="AR17" s="518">
        <v>0</v>
      </c>
      <c r="AS17" s="518">
        <v>0</v>
      </c>
      <c r="AT17" s="518">
        <v>0</v>
      </c>
      <c r="AU17" s="518">
        <v>0</v>
      </c>
      <c r="AV17" s="518">
        <v>0</v>
      </c>
      <c r="AW17" s="518">
        <v>0</v>
      </c>
      <c r="AX17" s="518">
        <v>0</v>
      </c>
      <c r="AY17" s="518">
        <v>0</v>
      </c>
      <c r="AZ17" s="518">
        <v>0</v>
      </c>
      <c r="BA17" s="518">
        <v>0</v>
      </c>
      <c r="BB17" s="518">
        <v>0</v>
      </c>
      <c r="BC17" s="518">
        <v>0</v>
      </c>
      <c r="BD17" s="518">
        <v>0</v>
      </c>
      <c r="BE17" s="518">
        <v>0</v>
      </c>
      <c r="BF17" s="518">
        <v>0</v>
      </c>
      <c r="BG17" s="518">
        <v>0</v>
      </c>
      <c r="BH17" s="518">
        <v>0</v>
      </c>
      <c r="BI17" s="518">
        <v>0</v>
      </c>
      <c r="BJ17" s="518">
        <v>0</v>
      </c>
      <c r="BK17" s="518">
        <v>0</v>
      </c>
      <c r="BL17" s="518">
        <v>0</v>
      </c>
      <c r="BM17" s="518">
        <v>0</v>
      </c>
      <c r="BN17" s="518">
        <v>0</v>
      </c>
      <c r="BO17" s="518">
        <v>0</v>
      </c>
      <c r="BP17" s="518">
        <v>0</v>
      </c>
      <c r="BQ17" s="518">
        <v>0</v>
      </c>
      <c r="BR17" s="518">
        <v>0</v>
      </c>
      <c r="BS17" s="518">
        <v>0</v>
      </c>
      <c r="BT17" s="518">
        <v>0</v>
      </c>
      <c r="BU17" s="518">
        <v>0</v>
      </c>
      <c r="BV17" s="518">
        <v>0</v>
      </c>
      <c r="BW17" s="518">
        <v>0</v>
      </c>
      <c r="BX17" s="518">
        <v>0</v>
      </c>
      <c r="BY17" s="518">
        <v>0</v>
      </c>
      <c r="BZ17" s="518">
        <v>0</v>
      </c>
      <c r="CA17" s="518">
        <v>0</v>
      </c>
      <c r="CB17" s="518">
        <v>0</v>
      </c>
      <c r="CC17" s="518">
        <v>0</v>
      </c>
      <c r="CD17" s="518">
        <v>0</v>
      </c>
      <c r="CE17" s="518">
        <v>0</v>
      </c>
      <c r="CF17" s="518">
        <v>0</v>
      </c>
      <c r="CG17" s="518">
        <v>0</v>
      </c>
      <c r="CH17" s="518">
        <v>0</v>
      </c>
      <c r="CI17" s="518">
        <v>0</v>
      </c>
      <c r="CJ17" s="518">
        <v>0</v>
      </c>
      <c r="CK17" s="518">
        <v>0</v>
      </c>
      <c r="CL17" s="518">
        <v>0</v>
      </c>
      <c r="CM17" s="518">
        <v>0</v>
      </c>
      <c r="CN17" s="518">
        <v>0</v>
      </c>
      <c r="CO17" s="518">
        <v>0</v>
      </c>
      <c r="CP17" s="518">
        <v>0</v>
      </c>
      <c r="CQ17" s="518">
        <v>0</v>
      </c>
      <c r="CR17" s="518">
        <v>0</v>
      </c>
      <c r="CS17" s="518">
        <v>0</v>
      </c>
      <c r="CT17" s="518">
        <v>0</v>
      </c>
      <c r="CU17" s="518">
        <v>0</v>
      </c>
      <c r="CV17" s="518">
        <v>0</v>
      </c>
      <c r="CW17" s="518">
        <v>0</v>
      </c>
      <c r="CX17" s="518">
        <v>0</v>
      </c>
      <c r="CY17" s="518">
        <v>0</v>
      </c>
      <c r="CZ17" s="518">
        <v>0</v>
      </c>
      <c r="DA17" s="518">
        <v>0</v>
      </c>
      <c r="DB17" s="518">
        <v>0</v>
      </c>
      <c r="DC17" s="518">
        <v>0</v>
      </c>
      <c r="DD17" s="518">
        <v>0</v>
      </c>
      <c r="DE17" s="518">
        <v>0</v>
      </c>
      <c r="DF17" s="518">
        <v>0</v>
      </c>
      <c r="DG17" s="518">
        <v>0</v>
      </c>
      <c r="DH17" s="518">
        <v>0</v>
      </c>
      <c r="DI17" s="518">
        <v>0</v>
      </c>
      <c r="DJ17" s="518">
        <v>0</v>
      </c>
      <c r="DK17" s="518">
        <v>0</v>
      </c>
      <c r="DL17" s="518">
        <v>0</v>
      </c>
      <c r="DM17" s="518">
        <v>0</v>
      </c>
      <c r="DN17" s="518">
        <v>0</v>
      </c>
      <c r="DO17" s="518">
        <v>0</v>
      </c>
      <c r="DP17" s="518">
        <v>0</v>
      </c>
      <c r="DQ17" s="518">
        <v>0</v>
      </c>
      <c r="DR17" s="518">
        <v>0</v>
      </c>
      <c r="DS17" s="518">
        <v>0</v>
      </c>
      <c r="DT17" s="518">
        <v>0</v>
      </c>
      <c r="DU17" s="518">
        <v>0</v>
      </c>
      <c r="DV17" s="518">
        <v>0</v>
      </c>
      <c r="DW17" s="518">
        <v>0</v>
      </c>
      <c r="DX17" s="518">
        <v>0</v>
      </c>
      <c r="DY17" s="477"/>
      <c r="DZ17" s="517" t="s">
        <v>721</v>
      </c>
      <c r="EA17" s="517" t="s">
        <v>1101</v>
      </c>
      <c r="EB17" s="517" t="s">
        <v>25</v>
      </c>
      <c r="EC17" s="518">
        <v>29</v>
      </c>
      <c r="ED17" s="494" t="str">
        <f t="shared" si="0"/>
        <v>SWUC100129</v>
      </c>
      <c r="EE17" s="518">
        <v>10000</v>
      </c>
      <c r="EF17" s="518">
        <v>10000</v>
      </c>
      <c r="EG17" s="518">
        <v>10000</v>
      </c>
      <c r="EH17" s="518">
        <v>10000</v>
      </c>
      <c r="EI17" s="518">
        <v>10000</v>
      </c>
      <c r="EJ17" s="518">
        <v>10000</v>
      </c>
      <c r="EK17" s="518">
        <v>10000</v>
      </c>
      <c r="EL17" s="518">
        <v>10000</v>
      </c>
      <c r="EM17" s="518">
        <v>10000</v>
      </c>
      <c r="EN17" s="518">
        <v>10000</v>
      </c>
      <c r="EO17" s="518">
        <v>0</v>
      </c>
      <c r="EP17" s="518">
        <v>0</v>
      </c>
      <c r="EQ17" s="518">
        <v>0</v>
      </c>
      <c r="ER17" s="518">
        <v>0</v>
      </c>
      <c r="ES17" s="518">
        <v>0</v>
      </c>
      <c r="ET17" s="518">
        <v>0</v>
      </c>
      <c r="EU17" s="518">
        <v>0</v>
      </c>
      <c r="EV17" s="518">
        <v>0</v>
      </c>
      <c r="EW17" s="518">
        <v>0</v>
      </c>
      <c r="EX17" s="518">
        <v>0</v>
      </c>
      <c r="EY17" s="518">
        <v>0</v>
      </c>
      <c r="EZ17" s="518">
        <v>0</v>
      </c>
      <c r="FA17" s="518">
        <v>0</v>
      </c>
      <c r="FB17" s="518">
        <v>0</v>
      </c>
      <c r="FC17" s="518">
        <v>0</v>
      </c>
      <c r="FD17" s="518">
        <v>0</v>
      </c>
      <c r="FE17" s="518">
        <v>0</v>
      </c>
      <c r="FF17" s="518">
        <v>0</v>
      </c>
      <c r="FG17" s="518">
        <v>0</v>
      </c>
      <c r="FH17" s="518">
        <v>0</v>
      </c>
      <c r="FI17" s="518">
        <v>0</v>
      </c>
      <c r="FJ17" s="518">
        <v>0</v>
      </c>
      <c r="FK17" s="518">
        <v>0</v>
      </c>
      <c r="FL17" s="518">
        <v>0</v>
      </c>
      <c r="FM17" s="518">
        <v>0</v>
      </c>
      <c r="FN17" s="518">
        <v>0</v>
      </c>
      <c r="FO17" s="518">
        <v>0</v>
      </c>
      <c r="FP17" s="518">
        <v>0</v>
      </c>
      <c r="FQ17" s="518">
        <v>0</v>
      </c>
      <c r="FR17" s="518">
        <v>0</v>
      </c>
      <c r="FS17" s="518">
        <v>0</v>
      </c>
      <c r="FT17" s="518">
        <v>0</v>
      </c>
      <c r="FU17" s="518">
        <v>0</v>
      </c>
      <c r="FV17" s="518">
        <v>0</v>
      </c>
      <c r="FW17" s="518">
        <v>0</v>
      </c>
      <c r="FX17" s="518">
        <v>0</v>
      </c>
      <c r="FY17" s="518">
        <v>0</v>
      </c>
      <c r="FZ17" s="518">
        <v>0</v>
      </c>
      <c r="GA17" s="518">
        <v>0</v>
      </c>
      <c r="GB17" s="518">
        <v>0</v>
      </c>
      <c r="GC17" s="518">
        <v>0</v>
      </c>
      <c r="GD17" s="518">
        <v>0</v>
      </c>
      <c r="GE17" s="518">
        <v>0</v>
      </c>
      <c r="GF17" s="518">
        <v>0</v>
      </c>
      <c r="GG17" s="518">
        <v>0</v>
      </c>
      <c r="GH17" s="518">
        <v>0</v>
      </c>
      <c r="GI17" s="518">
        <v>0</v>
      </c>
      <c r="GJ17" s="518">
        <v>0</v>
      </c>
      <c r="GK17" s="518">
        <v>0</v>
      </c>
      <c r="GL17" s="518">
        <v>0</v>
      </c>
      <c r="GM17" s="518">
        <v>0</v>
      </c>
      <c r="GN17" s="518">
        <v>0</v>
      </c>
      <c r="GO17" s="518">
        <v>0</v>
      </c>
      <c r="GP17" s="518">
        <v>0</v>
      </c>
      <c r="GQ17" s="518">
        <v>0</v>
      </c>
      <c r="GR17" s="518">
        <v>0</v>
      </c>
      <c r="GS17" s="518">
        <v>0</v>
      </c>
      <c r="GT17" s="518">
        <v>0</v>
      </c>
      <c r="GU17" s="518">
        <v>0</v>
      </c>
      <c r="GV17" s="518">
        <v>0</v>
      </c>
      <c r="GW17" s="518">
        <v>0</v>
      </c>
      <c r="GX17" s="518">
        <v>0</v>
      </c>
      <c r="GY17" s="518">
        <v>0</v>
      </c>
      <c r="GZ17" s="518">
        <v>0</v>
      </c>
      <c r="HA17" s="518">
        <v>0</v>
      </c>
      <c r="HB17" s="518">
        <v>0</v>
      </c>
      <c r="HC17" s="518">
        <v>0</v>
      </c>
      <c r="HD17" s="518">
        <v>0</v>
      </c>
      <c r="HE17" s="518">
        <v>0</v>
      </c>
      <c r="HF17" s="518">
        <v>0</v>
      </c>
      <c r="HG17" s="518">
        <v>0</v>
      </c>
      <c r="HH17" s="518">
        <v>0</v>
      </c>
      <c r="HI17" s="518">
        <v>0</v>
      </c>
      <c r="HJ17" s="518">
        <v>0</v>
      </c>
      <c r="HK17" s="518">
        <v>0</v>
      </c>
      <c r="HL17" s="518">
        <v>0</v>
      </c>
      <c r="HM17" s="518">
        <v>0</v>
      </c>
      <c r="HN17" s="518">
        <v>0</v>
      </c>
      <c r="HO17" s="518">
        <v>0</v>
      </c>
      <c r="HP17" s="518">
        <v>0</v>
      </c>
      <c r="HQ17" s="518">
        <v>0</v>
      </c>
      <c r="HR17" s="518">
        <v>0</v>
      </c>
      <c r="HS17" s="518">
        <v>0</v>
      </c>
      <c r="HT17" s="518">
        <v>0</v>
      </c>
      <c r="HU17" s="518">
        <v>0</v>
      </c>
      <c r="HV17" s="518">
        <v>0</v>
      </c>
      <c r="HW17" s="518">
        <v>0</v>
      </c>
      <c r="HX17" s="518">
        <v>0</v>
      </c>
      <c r="HY17" s="518">
        <v>0</v>
      </c>
      <c r="HZ17" s="518">
        <v>0</v>
      </c>
      <c r="IA17" s="518">
        <v>0</v>
      </c>
      <c r="IB17" s="518">
        <v>0</v>
      </c>
      <c r="IC17" s="518">
        <v>0</v>
      </c>
      <c r="ID17" s="518">
        <v>0</v>
      </c>
      <c r="IE17" s="518">
        <v>0</v>
      </c>
      <c r="IF17" s="518">
        <v>0</v>
      </c>
      <c r="IG17" s="518">
        <v>0</v>
      </c>
      <c r="IH17" s="518">
        <v>0</v>
      </c>
      <c r="II17" s="518">
        <v>0</v>
      </c>
      <c r="IJ17" s="518">
        <v>0</v>
      </c>
      <c r="IK17" s="518">
        <v>0</v>
      </c>
    </row>
    <row r="18" spans="1:245" ht="16.5" hidden="1">
      <c r="A18" s="517" t="s">
        <v>721</v>
      </c>
      <c r="B18" s="517" t="s">
        <v>1101</v>
      </c>
      <c r="C18" s="517" t="s">
        <v>721</v>
      </c>
      <c r="D18" s="558"/>
      <c r="E18" s="517" t="s">
        <v>721</v>
      </c>
      <c r="F18" s="517" t="s">
        <v>25</v>
      </c>
      <c r="G18" s="558"/>
      <c r="H18" s="518">
        <v>30</v>
      </c>
      <c r="I18" s="558"/>
      <c r="J18" s="494" t="str">
        <f t="shared" si="1"/>
        <v>SWUC100130</v>
      </c>
      <c r="K18" s="518">
        <v>90</v>
      </c>
      <c r="M18" s="517" t="s">
        <v>721</v>
      </c>
      <c r="N18" s="517" t="s">
        <v>1101</v>
      </c>
      <c r="O18" s="517" t="s">
        <v>25</v>
      </c>
      <c r="P18" s="518">
        <v>30</v>
      </c>
      <c r="Q18" s="494" t="str">
        <f t="shared" si="2"/>
        <v>SWUC100130</v>
      </c>
      <c r="R18" s="518">
        <v>0</v>
      </c>
      <c r="S18" s="518">
        <v>8</v>
      </c>
      <c r="T18" s="518">
        <v>16</v>
      </c>
      <c r="U18" s="518">
        <v>24</v>
      </c>
      <c r="V18" s="518">
        <v>32</v>
      </c>
      <c r="W18" s="518">
        <v>42</v>
      </c>
      <c r="X18" s="518">
        <v>53</v>
      </c>
      <c r="Y18" s="518">
        <v>65</v>
      </c>
      <c r="Z18" s="518">
        <v>77</v>
      </c>
      <c r="AA18" s="518">
        <v>0</v>
      </c>
      <c r="AB18" s="518">
        <v>0</v>
      </c>
      <c r="AC18" s="518">
        <v>0</v>
      </c>
      <c r="AD18" s="518">
        <v>0</v>
      </c>
      <c r="AE18" s="518">
        <v>0</v>
      </c>
      <c r="AF18" s="518">
        <v>0</v>
      </c>
      <c r="AG18" s="518">
        <v>0</v>
      </c>
      <c r="AH18" s="518">
        <v>0</v>
      </c>
      <c r="AI18" s="518">
        <v>0</v>
      </c>
      <c r="AJ18" s="518">
        <v>0</v>
      </c>
      <c r="AK18" s="518">
        <v>0</v>
      </c>
      <c r="AL18" s="518">
        <v>0</v>
      </c>
      <c r="AM18" s="518">
        <v>0</v>
      </c>
      <c r="AN18" s="518">
        <v>0</v>
      </c>
      <c r="AO18" s="518">
        <v>0</v>
      </c>
      <c r="AP18" s="518">
        <v>0</v>
      </c>
      <c r="AQ18" s="518">
        <v>0</v>
      </c>
      <c r="AR18" s="518">
        <v>0</v>
      </c>
      <c r="AS18" s="518">
        <v>0</v>
      </c>
      <c r="AT18" s="518">
        <v>0</v>
      </c>
      <c r="AU18" s="518">
        <v>0</v>
      </c>
      <c r="AV18" s="518">
        <v>0</v>
      </c>
      <c r="AW18" s="518">
        <v>0</v>
      </c>
      <c r="AX18" s="518">
        <v>0</v>
      </c>
      <c r="AY18" s="518">
        <v>0</v>
      </c>
      <c r="AZ18" s="518">
        <v>0</v>
      </c>
      <c r="BA18" s="518">
        <v>0</v>
      </c>
      <c r="BB18" s="518">
        <v>0</v>
      </c>
      <c r="BC18" s="518">
        <v>0</v>
      </c>
      <c r="BD18" s="518">
        <v>0</v>
      </c>
      <c r="BE18" s="518">
        <v>0</v>
      </c>
      <c r="BF18" s="518">
        <v>0</v>
      </c>
      <c r="BG18" s="518">
        <v>0</v>
      </c>
      <c r="BH18" s="518">
        <v>0</v>
      </c>
      <c r="BI18" s="518">
        <v>0</v>
      </c>
      <c r="BJ18" s="518">
        <v>0</v>
      </c>
      <c r="BK18" s="518">
        <v>0</v>
      </c>
      <c r="BL18" s="518">
        <v>0</v>
      </c>
      <c r="BM18" s="518">
        <v>0</v>
      </c>
      <c r="BN18" s="518">
        <v>0</v>
      </c>
      <c r="BO18" s="518">
        <v>0</v>
      </c>
      <c r="BP18" s="518">
        <v>0</v>
      </c>
      <c r="BQ18" s="518">
        <v>0</v>
      </c>
      <c r="BR18" s="518">
        <v>0</v>
      </c>
      <c r="BS18" s="518">
        <v>0</v>
      </c>
      <c r="BT18" s="518">
        <v>0</v>
      </c>
      <c r="BU18" s="518">
        <v>0</v>
      </c>
      <c r="BV18" s="518">
        <v>0</v>
      </c>
      <c r="BW18" s="518">
        <v>0</v>
      </c>
      <c r="BX18" s="518">
        <v>0</v>
      </c>
      <c r="BY18" s="518">
        <v>0</v>
      </c>
      <c r="BZ18" s="518">
        <v>0</v>
      </c>
      <c r="CA18" s="518">
        <v>0</v>
      </c>
      <c r="CB18" s="518">
        <v>0</v>
      </c>
      <c r="CC18" s="518">
        <v>0</v>
      </c>
      <c r="CD18" s="518">
        <v>0</v>
      </c>
      <c r="CE18" s="518">
        <v>0</v>
      </c>
      <c r="CF18" s="518">
        <v>0</v>
      </c>
      <c r="CG18" s="518">
        <v>0</v>
      </c>
      <c r="CH18" s="518">
        <v>0</v>
      </c>
      <c r="CI18" s="518">
        <v>0</v>
      </c>
      <c r="CJ18" s="518">
        <v>0</v>
      </c>
      <c r="CK18" s="518">
        <v>0</v>
      </c>
      <c r="CL18" s="518">
        <v>0</v>
      </c>
      <c r="CM18" s="518">
        <v>0</v>
      </c>
      <c r="CN18" s="518">
        <v>0</v>
      </c>
      <c r="CO18" s="518">
        <v>0</v>
      </c>
      <c r="CP18" s="518">
        <v>0</v>
      </c>
      <c r="CQ18" s="518">
        <v>0</v>
      </c>
      <c r="CR18" s="518">
        <v>0</v>
      </c>
      <c r="CS18" s="518">
        <v>0</v>
      </c>
      <c r="CT18" s="518">
        <v>0</v>
      </c>
      <c r="CU18" s="518">
        <v>0</v>
      </c>
      <c r="CV18" s="518">
        <v>0</v>
      </c>
      <c r="CW18" s="518">
        <v>0</v>
      </c>
      <c r="CX18" s="518">
        <v>0</v>
      </c>
      <c r="CY18" s="518">
        <v>0</v>
      </c>
      <c r="CZ18" s="518">
        <v>0</v>
      </c>
      <c r="DA18" s="518">
        <v>0</v>
      </c>
      <c r="DB18" s="518">
        <v>0</v>
      </c>
      <c r="DC18" s="518">
        <v>0</v>
      </c>
      <c r="DD18" s="518">
        <v>0</v>
      </c>
      <c r="DE18" s="518">
        <v>0</v>
      </c>
      <c r="DF18" s="518">
        <v>0</v>
      </c>
      <c r="DG18" s="518">
        <v>0</v>
      </c>
      <c r="DH18" s="518">
        <v>0</v>
      </c>
      <c r="DI18" s="518">
        <v>0</v>
      </c>
      <c r="DJ18" s="518">
        <v>0</v>
      </c>
      <c r="DK18" s="518">
        <v>0</v>
      </c>
      <c r="DL18" s="518">
        <v>0</v>
      </c>
      <c r="DM18" s="518">
        <v>0</v>
      </c>
      <c r="DN18" s="518">
        <v>0</v>
      </c>
      <c r="DO18" s="518">
        <v>0</v>
      </c>
      <c r="DP18" s="518">
        <v>0</v>
      </c>
      <c r="DQ18" s="518">
        <v>0</v>
      </c>
      <c r="DR18" s="518">
        <v>0</v>
      </c>
      <c r="DS18" s="518">
        <v>0</v>
      </c>
      <c r="DT18" s="518">
        <v>0</v>
      </c>
      <c r="DU18" s="518">
        <v>0</v>
      </c>
      <c r="DV18" s="518">
        <v>0</v>
      </c>
      <c r="DW18" s="518">
        <v>0</v>
      </c>
      <c r="DX18" s="518">
        <v>0</v>
      </c>
      <c r="DY18" s="477"/>
      <c r="DZ18" s="517" t="s">
        <v>721</v>
      </c>
      <c r="EA18" s="517" t="s">
        <v>1101</v>
      </c>
      <c r="EB18" s="517" t="s">
        <v>25</v>
      </c>
      <c r="EC18" s="518">
        <v>30</v>
      </c>
      <c r="ED18" s="494" t="str">
        <f t="shared" si="0"/>
        <v>SWUC100130</v>
      </c>
      <c r="EE18" s="518">
        <v>10000</v>
      </c>
      <c r="EF18" s="518">
        <v>10000</v>
      </c>
      <c r="EG18" s="518">
        <v>10000</v>
      </c>
      <c r="EH18" s="518">
        <v>10000</v>
      </c>
      <c r="EI18" s="518">
        <v>10000</v>
      </c>
      <c r="EJ18" s="518">
        <v>10000</v>
      </c>
      <c r="EK18" s="518">
        <v>10000</v>
      </c>
      <c r="EL18" s="518">
        <v>10000</v>
      </c>
      <c r="EM18" s="518">
        <v>10000</v>
      </c>
      <c r="EN18" s="518">
        <v>10000</v>
      </c>
      <c r="EO18" s="518">
        <v>0</v>
      </c>
      <c r="EP18" s="518">
        <v>0</v>
      </c>
      <c r="EQ18" s="518">
        <v>0</v>
      </c>
      <c r="ER18" s="518">
        <v>0</v>
      </c>
      <c r="ES18" s="518">
        <v>0</v>
      </c>
      <c r="ET18" s="518">
        <v>0</v>
      </c>
      <c r="EU18" s="518">
        <v>0</v>
      </c>
      <c r="EV18" s="518">
        <v>0</v>
      </c>
      <c r="EW18" s="518">
        <v>0</v>
      </c>
      <c r="EX18" s="518">
        <v>0</v>
      </c>
      <c r="EY18" s="518">
        <v>0</v>
      </c>
      <c r="EZ18" s="518">
        <v>0</v>
      </c>
      <c r="FA18" s="518">
        <v>0</v>
      </c>
      <c r="FB18" s="518">
        <v>0</v>
      </c>
      <c r="FC18" s="518">
        <v>0</v>
      </c>
      <c r="FD18" s="518">
        <v>0</v>
      </c>
      <c r="FE18" s="518">
        <v>0</v>
      </c>
      <c r="FF18" s="518">
        <v>0</v>
      </c>
      <c r="FG18" s="518">
        <v>0</v>
      </c>
      <c r="FH18" s="518">
        <v>0</v>
      </c>
      <c r="FI18" s="518">
        <v>0</v>
      </c>
      <c r="FJ18" s="518">
        <v>0</v>
      </c>
      <c r="FK18" s="518">
        <v>0</v>
      </c>
      <c r="FL18" s="518">
        <v>0</v>
      </c>
      <c r="FM18" s="518">
        <v>0</v>
      </c>
      <c r="FN18" s="518">
        <v>0</v>
      </c>
      <c r="FO18" s="518">
        <v>0</v>
      </c>
      <c r="FP18" s="518">
        <v>0</v>
      </c>
      <c r="FQ18" s="518">
        <v>0</v>
      </c>
      <c r="FR18" s="518">
        <v>0</v>
      </c>
      <c r="FS18" s="518">
        <v>0</v>
      </c>
      <c r="FT18" s="518">
        <v>0</v>
      </c>
      <c r="FU18" s="518">
        <v>0</v>
      </c>
      <c r="FV18" s="518">
        <v>0</v>
      </c>
      <c r="FW18" s="518">
        <v>0</v>
      </c>
      <c r="FX18" s="518">
        <v>0</v>
      </c>
      <c r="FY18" s="518">
        <v>0</v>
      </c>
      <c r="FZ18" s="518">
        <v>0</v>
      </c>
      <c r="GA18" s="518">
        <v>0</v>
      </c>
      <c r="GB18" s="518">
        <v>0</v>
      </c>
      <c r="GC18" s="518">
        <v>0</v>
      </c>
      <c r="GD18" s="518">
        <v>0</v>
      </c>
      <c r="GE18" s="518">
        <v>0</v>
      </c>
      <c r="GF18" s="518">
        <v>0</v>
      </c>
      <c r="GG18" s="518">
        <v>0</v>
      </c>
      <c r="GH18" s="518">
        <v>0</v>
      </c>
      <c r="GI18" s="518">
        <v>0</v>
      </c>
      <c r="GJ18" s="518">
        <v>0</v>
      </c>
      <c r="GK18" s="518">
        <v>0</v>
      </c>
      <c r="GL18" s="518">
        <v>0</v>
      </c>
      <c r="GM18" s="518">
        <v>0</v>
      </c>
      <c r="GN18" s="518">
        <v>0</v>
      </c>
      <c r="GO18" s="518">
        <v>0</v>
      </c>
      <c r="GP18" s="518">
        <v>0</v>
      </c>
      <c r="GQ18" s="518">
        <v>0</v>
      </c>
      <c r="GR18" s="518">
        <v>0</v>
      </c>
      <c r="GS18" s="518">
        <v>0</v>
      </c>
      <c r="GT18" s="518">
        <v>0</v>
      </c>
      <c r="GU18" s="518">
        <v>0</v>
      </c>
      <c r="GV18" s="518">
        <v>0</v>
      </c>
      <c r="GW18" s="518">
        <v>0</v>
      </c>
      <c r="GX18" s="518">
        <v>0</v>
      </c>
      <c r="GY18" s="518">
        <v>0</v>
      </c>
      <c r="GZ18" s="518">
        <v>0</v>
      </c>
      <c r="HA18" s="518">
        <v>0</v>
      </c>
      <c r="HB18" s="518">
        <v>0</v>
      </c>
      <c r="HC18" s="518">
        <v>0</v>
      </c>
      <c r="HD18" s="518">
        <v>0</v>
      </c>
      <c r="HE18" s="518">
        <v>0</v>
      </c>
      <c r="HF18" s="518">
        <v>0</v>
      </c>
      <c r="HG18" s="518">
        <v>0</v>
      </c>
      <c r="HH18" s="518">
        <v>0</v>
      </c>
      <c r="HI18" s="518">
        <v>0</v>
      </c>
      <c r="HJ18" s="518">
        <v>0</v>
      </c>
      <c r="HK18" s="518">
        <v>0</v>
      </c>
      <c r="HL18" s="518">
        <v>0</v>
      </c>
      <c r="HM18" s="518">
        <v>0</v>
      </c>
      <c r="HN18" s="518">
        <v>0</v>
      </c>
      <c r="HO18" s="518">
        <v>0</v>
      </c>
      <c r="HP18" s="518">
        <v>0</v>
      </c>
      <c r="HQ18" s="518">
        <v>0</v>
      </c>
      <c r="HR18" s="518">
        <v>0</v>
      </c>
      <c r="HS18" s="518">
        <v>0</v>
      </c>
      <c r="HT18" s="518">
        <v>0</v>
      </c>
      <c r="HU18" s="518">
        <v>0</v>
      </c>
      <c r="HV18" s="518">
        <v>0</v>
      </c>
      <c r="HW18" s="518">
        <v>0</v>
      </c>
      <c r="HX18" s="518">
        <v>0</v>
      </c>
      <c r="HY18" s="518">
        <v>0</v>
      </c>
      <c r="HZ18" s="518">
        <v>0</v>
      </c>
      <c r="IA18" s="518">
        <v>0</v>
      </c>
      <c r="IB18" s="518">
        <v>0</v>
      </c>
      <c r="IC18" s="518">
        <v>0</v>
      </c>
      <c r="ID18" s="518">
        <v>0</v>
      </c>
      <c r="IE18" s="518">
        <v>0</v>
      </c>
      <c r="IF18" s="518">
        <v>0</v>
      </c>
      <c r="IG18" s="518">
        <v>0</v>
      </c>
      <c r="IH18" s="518">
        <v>0</v>
      </c>
      <c r="II18" s="518">
        <v>0</v>
      </c>
      <c r="IJ18" s="518">
        <v>0</v>
      </c>
      <c r="IK18" s="518">
        <v>0</v>
      </c>
    </row>
    <row r="19" spans="1:245" ht="16.5" hidden="1">
      <c r="A19" s="517" t="s">
        <v>721</v>
      </c>
      <c r="B19" s="517" t="s">
        <v>1101</v>
      </c>
      <c r="C19" s="517" t="s">
        <v>721</v>
      </c>
      <c r="D19" s="558"/>
      <c r="E19" s="517" t="s">
        <v>721</v>
      </c>
      <c r="F19" s="517" t="s">
        <v>25</v>
      </c>
      <c r="G19" s="558"/>
      <c r="H19" s="518">
        <v>31</v>
      </c>
      <c r="I19" s="558"/>
      <c r="J19" s="494" t="str">
        <f t="shared" si="1"/>
        <v>SWUC100131</v>
      </c>
      <c r="K19" s="518">
        <v>98</v>
      </c>
      <c r="M19" s="517" t="s">
        <v>721</v>
      </c>
      <c r="N19" s="517" t="s">
        <v>1101</v>
      </c>
      <c r="O19" s="517" t="s">
        <v>25</v>
      </c>
      <c r="P19" s="518">
        <v>31</v>
      </c>
      <c r="Q19" s="494" t="str">
        <f t="shared" si="2"/>
        <v>SWUC100131</v>
      </c>
      <c r="R19" s="518">
        <v>0</v>
      </c>
      <c r="S19" s="518">
        <v>9</v>
      </c>
      <c r="T19" s="518">
        <v>17</v>
      </c>
      <c r="U19" s="518">
        <v>26</v>
      </c>
      <c r="V19" s="518">
        <v>35</v>
      </c>
      <c r="W19" s="518">
        <v>45</v>
      </c>
      <c r="X19" s="518">
        <v>57</v>
      </c>
      <c r="Y19" s="518">
        <v>69</v>
      </c>
      <c r="Z19" s="518">
        <v>83</v>
      </c>
      <c r="AA19" s="518">
        <v>0</v>
      </c>
      <c r="AB19" s="518">
        <v>0</v>
      </c>
      <c r="AC19" s="518">
        <v>0</v>
      </c>
      <c r="AD19" s="518">
        <v>0</v>
      </c>
      <c r="AE19" s="518">
        <v>0</v>
      </c>
      <c r="AF19" s="518">
        <v>0</v>
      </c>
      <c r="AG19" s="518">
        <v>0</v>
      </c>
      <c r="AH19" s="518">
        <v>0</v>
      </c>
      <c r="AI19" s="518">
        <v>0</v>
      </c>
      <c r="AJ19" s="518">
        <v>0</v>
      </c>
      <c r="AK19" s="518">
        <v>0</v>
      </c>
      <c r="AL19" s="518">
        <v>0</v>
      </c>
      <c r="AM19" s="518">
        <v>0</v>
      </c>
      <c r="AN19" s="518">
        <v>0</v>
      </c>
      <c r="AO19" s="518">
        <v>0</v>
      </c>
      <c r="AP19" s="518">
        <v>0</v>
      </c>
      <c r="AQ19" s="518">
        <v>0</v>
      </c>
      <c r="AR19" s="518">
        <v>0</v>
      </c>
      <c r="AS19" s="518">
        <v>0</v>
      </c>
      <c r="AT19" s="518">
        <v>0</v>
      </c>
      <c r="AU19" s="518">
        <v>0</v>
      </c>
      <c r="AV19" s="518">
        <v>0</v>
      </c>
      <c r="AW19" s="518">
        <v>0</v>
      </c>
      <c r="AX19" s="518">
        <v>0</v>
      </c>
      <c r="AY19" s="518">
        <v>0</v>
      </c>
      <c r="AZ19" s="518">
        <v>0</v>
      </c>
      <c r="BA19" s="518">
        <v>0</v>
      </c>
      <c r="BB19" s="518">
        <v>0</v>
      </c>
      <c r="BC19" s="518">
        <v>0</v>
      </c>
      <c r="BD19" s="518">
        <v>0</v>
      </c>
      <c r="BE19" s="518">
        <v>0</v>
      </c>
      <c r="BF19" s="518">
        <v>0</v>
      </c>
      <c r="BG19" s="518">
        <v>0</v>
      </c>
      <c r="BH19" s="518">
        <v>0</v>
      </c>
      <c r="BI19" s="518">
        <v>0</v>
      </c>
      <c r="BJ19" s="518">
        <v>0</v>
      </c>
      <c r="BK19" s="518">
        <v>0</v>
      </c>
      <c r="BL19" s="518">
        <v>0</v>
      </c>
      <c r="BM19" s="518">
        <v>0</v>
      </c>
      <c r="BN19" s="518">
        <v>0</v>
      </c>
      <c r="BO19" s="518">
        <v>0</v>
      </c>
      <c r="BP19" s="518">
        <v>0</v>
      </c>
      <c r="BQ19" s="518">
        <v>0</v>
      </c>
      <c r="BR19" s="518">
        <v>0</v>
      </c>
      <c r="BS19" s="518">
        <v>0</v>
      </c>
      <c r="BT19" s="518">
        <v>0</v>
      </c>
      <c r="BU19" s="518">
        <v>0</v>
      </c>
      <c r="BV19" s="518">
        <v>0</v>
      </c>
      <c r="BW19" s="518">
        <v>0</v>
      </c>
      <c r="BX19" s="518">
        <v>0</v>
      </c>
      <c r="BY19" s="518">
        <v>0</v>
      </c>
      <c r="BZ19" s="518">
        <v>0</v>
      </c>
      <c r="CA19" s="518">
        <v>0</v>
      </c>
      <c r="CB19" s="518">
        <v>0</v>
      </c>
      <c r="CC19" s="518">
        <v>0</v>
      </c>
      <c r="CD19" s="518">
        <v>0</v>
      </c>
      <c r="CE19" s="518">
        <v>0</v>
      </c>
      <c r="CF19" s="518">
        <v>0</v>
      </c>
      <c r="CG19" s="518">
        <v>0</v>
      </c>
      <c r="CH19" s="518">
        <v>0</v>
      </c>
      <c r="CI19" s="518">
        <v>0</v>
      </c>
      <c r="CJ19" s="518">
        <v>0</v>
      </c>
      <c r="CK19" s="518">
        <v>0</v>
      </c>
      <c r="CL19" s="518">
        <v>0</v>
      </c>
      <c r="CM19" s="518">
        <v>0</v>
      </c>
      <c r="CN19" s="518">
        <v>0</v>
      </c>
      <c r="CO19" s="518">
        <v>0</v>
      </c>
      <c r="CP19" s="518">
        <v>0</v>
      </c>
      <c r="CQ19" s="518">
        <v>0</v>
      </c>
      <c r="CR19" s="518">
        <v>0</v>
      </c>
      <c r="CS19" s="518">
        <v>0</v>
      </c>
      <c r="CT19" s="518">
        <v>0</v>
      </c>
      <c r="CU19" s="518">
        <v>0</v>
      </c>
      <c r="CV19" s="518">
        <v>0</v>
      </c>
      <c r="CW19" s="518">
        <v>0</v>
      </c>
      <c r="CX19" s="518">
        <v>0</v>
      </c>
      <c r="CY19" s="518">
        <v>0</v>
      </c>
      <c r="CZ19" s="518">
        <v>0</v>
      </c>
      <c r="DA19" s="518">
        <v>0</v>
      </c>
      <c r="DB19" s="518">
        <v>0</v>
      </c>
      <c r="DC19" s="518">
        <v>0</v>
      </c>
      <c r="DD19" s="518">
        <v>0</v>
      </c>
      <c r="DE19" s="518">
        <v>0</v>
      </c>
      <c r="DF19" s="518">
        <v>0</v>
      </c>
      <c r="DG19" s="518">
        <v>0</v>
      </c>
      <c r="DH19" s="518">
        <v>0</v>
      </c>
      <c r="DI19" s="518">
        <v>0</v>
      </c>
      <c r="DJ19" s="518">
        <v>0</v>
      </c>
      <c r="DK19" s="518">
        <v>0</v>
      </c>
      <c r="DL19" s="518">
        <v>0</v>
      </c>
      <c r="DM19" s="518">
        <v>0</v>
      </c>
      <c r="DN19" s="518">
        <v>0</v>
      </c>
      <c r="DO19" s="518">
        <v>0</v>
      </c>
      <c r="DP19" s="518">
        <v>0</v>
      </c>
      <c r="DQ19" s="518">
        <v>0</v>
      </c>
      <c r="DR19" s="518">
        <v>0</v>
      </c>
      <c r="DS19" s="518">
        <v>0</v>
      </c>
      <c r="DT19" s="518">
        <v>0</v>
      </c>
      <c r="DU19" s="518">
        <v>0</v>
      </c>
      <c r="DV19" s="518">
        <v>0</v>
      </c>
      <c r="DW19" s="518">
        <v>0</v>
      </c>
      <c r="DX19" s="518">
        <v>0</v>
      </c>
      <c r="DY19" s="477"/>
      <c r="DZ19" s="517" t="s">
        <v>721</v>
      </c>
      <c r="EA19" s="517" t="s">
        <v>1101</v>
      </c>
      <c r="EB19" s="517" t="s">
        <v>25</v>
      </c>
      <c r="EC19" s="518">
        <v>31</v>
      </c>
      <c r="ED19" s="494" t="str">
        <f t="shared" si="0"/>
        <v>SWUC100131</v>
      </c>
      <c r="EE19" s="518">
        <v>10000</v>
      </c>
      <c r="EF19" s="518">
        <v>10000</v>
      </c>
      <c r="EG19" s="518">
        <v>10000</v>
      </c>
      <c r="EH19" s="518">
        <v>10000</v>
      </c>
      <c r="EI19" s="518">
        <v>10000</v>
      </c>
      <c r="EJ19" s="518">
        <v>10000</v>
      </c>
      <c r="EK19" s="518">
        <v>10000</v>
      </c>
      <c r="EL19" s="518">
        <v>10000</v>
      </c>
      <c r="EM19" s="518">
        <v>10000</v>
      </c>
      <c r="EN19" s="518">
        <v>10000</v>
      </c>
      <c r="EO19" s="518">
        <v>0</v>
      </c>
      <c r="EP19" s="518">
        <v>0</v>
      </c>
      <c r="EQ19" s="518">
        <v>0</v>
      </c>
      <c r="ER19" s="518">
        <v>0</v>
      </c>
      <c r="ES19" s="518">
        <v>0</v>
      </c>
      <c r="ET19" s="518">
        <v>0</v>
      </c>
      <c r="EU19" s="518">
        <v>0</v>
      </c>
      <c r="EV19" s="518">
        <v>0</v>
      </c>
      <c r="EW19" s="518">
        <v>0</v>
      </c>
      <c r="EX19" s="518">
        <v>0</v>
      </c>
      <c r="EY19" s="518">
        <v>0</v>
      </c>
      <c r="EZ19" s="518">
        <v>0</v>
      </c>
      <c r="FA19" s="518">
        <v>0</v>
      </c>
      <c r="FB19" s="518">
        <v>0</v>
      </c>
      <c r="FC19" s="518">
        <v>0</v>
      </c>
      <c r="FD19" s="518">
        <v>0</v>
      </c>
      <c r="FE19" s="518">
        <v>0</v>
      </c>
      <c r="FF19" s="518">
        <v>0</v>
      </c>
      <c r="FG19" s="518">
        <v>0</v>
      </c>
      <c r="FH19" s="518">
        <v>0</v>
      </c>
      <c r="FI19" s="518">
        <v>0</v>
      </c>
      <c r="FJ19" s="518">
        <v>0</v>
      </c>
      <c r="FK19" s="518">
        <v>0</v>
      </c>
      <c r="FL19" s="518">
        <v>0</v>
      </c>
      <c r="FM19" s="518">
        <v>0</v>
      </c>
      <c r="FN19" s="518">
        <v>0</v>
      </c>
      <c r="FO19" s="518">
        <v>0</v>
      </c>
      <c r="FP19" s="518">
        <v>0</v>
      </c>
      <c r="FQ19" s="518">
        <v>0</v>
      </c>
      <c r="FR19" s="518">
        <v>0</v>
      </c>
      <c r="FS19" s="518">
        <v>0</v>
      </c>
      <c r="FT19" s="518">
        <v>0</v>
      </c>
      <c r="FU19" s="518">
        <v>0</v>
      </c>
      <c r="FV19" s="518">
        <v>0</v>
      </c>
      <c r="FW19" s="518">
        <v>0</v>
      </c>
      <c r="FX19" s="518">
        <v>0</v>
      </c>
      <c r="FY19" s="518">
        <v>0</v>
      </c>
      <c r="FZ19" s="518">
        <v>0</v>
      </c>
      <c r="GA19" s="518">
        <v>0</v>
      </c>
      <c r="GB19" s="518">
        <v>0</v>
      </c>
      <c r="GC19" s="518">
        <v>0</v>
      </c>
      <c r="GD19" s="518">
        <v>0</v>
      </c>
      <c r="GE19" s="518">
        <v>0</v>
      </c>
      <c r="GF19" s="518">
        <v>0</v>
      </c>
      <c r="GG19" s="518">
        <v>0</v>
      </c>
      <c r="GH19" s="518">
        <v>0</v>
      </c>
      <c r="GI19" s="518">
        <v>0</v>
      </c>
      <c r="GJ19" s="518">
        <v>0</v>
      </c>
      <c r="GK19" s="518">
        <v>0</v>
      </c>
      <c r="GL19" s="518">
        <v>0</v>
      </c>
      <c r="GM19" s="518">
        <v>0</v>
      </c>
      <c r="GN19" s="518">
        <v>0</v>
      </c>
      <c r="GO19" s="518">
        <v>0</v>
      </c>
      <c r="GP19" s="518">
        <v>0</v>
      </c>
      <c r="GQ19" s="518">
        <v>0</v>
      </c>
      <c r="GR19" s="518">
        <v>0</v>
      </c>
      <c r="GS19" s="518">
        <v>0</v>
      </c>
      <c r="GT19" s="518">
        <v>0</v>
      </c>
      <c r="GU19" s="518">
        <v>0</v>
      </c>
      <c r="GV19" s="518">
        <v>0</v>
      </c>
      <c r="GW19" s="518">
        <v>0</v>
      </c>
      <c r="GX19" s="518">
        <v>0</v>
      </c>
      <c r="GY19" s="518">
        <v>0</v>
      </c>
      <c r="GZ19" s="518">
        <v>0</v>
      </c>
      <c r="HA19" s="518">
        <v>0</v>
      </c>
      <c r="HB19" s="518">
        <v>0</v>
      </c>
      <c r="HC19" s="518">
        <v>0</v>
      </c>
      <c r="HD19" s="518">
        <v>0</v>
      </c>
      <c r="HE19" s="518">
        <v>0</v>
      </c>
      <c r="HF19" s="518">
        <v>0</v>
      </c>
      <c r="HG19" s="518">
        <v>0</v>
      </c>
      <c r="HH19" s="518">
        <v>0</v>
      </c>
      <c r="HI19" s="518">
        <v>0</v>
      </c>
      <c r="HJ19" s="518">
        <v>0</v>
      </c>
      <c r="HK19" s="518">
        <v>0</v>
      </c>
      <c r="HL19" s="518">
        <v>0</v>
      </c>
      <c r="HM19" s="518">
        <v>0</v>
      </c>
      <c r="HN19" s="518">
        <v>0</v>
      </c>
      <c r="HO19" s="518">
        <v>0</v>
      </c>
      <c r="HP19" s="518">
        <v>0</v>
      </c>
      <c r="HQ19" s="518">
        <v>0</v>
      </c>
      <c r="HR19" s="518">
        <v>0</v>
      </c>
      <c r="HS19" s="518">
        <v>0</v>
      </c>
      <c r="HT19" s="518">
        <v>0</v>
      </c>
      <c r="HU19" s="518">
        <v>0</v>
      </c>
      <c r="HV19" s="518">
        <v>0</v>
      </c>
      <c r="HW19" s="518">
        <v>0</v>
      </c>
      <c r="HX19" s="518">
        <v>0</v>
      </c>
      <c r="HY19" s="518">
        <v>0</v>
      </c>
      <c r="HZ19" s="518">
        <v>0</v>
      </c>
      <c r="IA19" s="518">
        <v>0</v>
      </c>
      <c r="IB19" s="518">
        <v>0</v>
      </c>
      <c r="IC19" s="518">
        <v>0</v>
      </c>
      <c r="ID19" s="518">
        <v>0</v>
      </c>
      <c r="IE19" s="518">
        <v>0</v>
      </c>
      <c r="IF19" s="518">
        <v>0</v>
      </c>
      <c r="IG19" s="518">
        <v>0</v>
      </c>
      <c r="IH19" s="518">
        <v>0</v>
      </c>
      <c r="II19" s="518">
        <v>0</v>
      </c>
      <c r="IJ19" s="518">
        <v>0</v>
      </c>
      <c r="IK19" s="518">
        <v>0</v>
      </c>
    </row>
    <row r="20" spans="1:245" ht="16.5" hidden="1">
      <c r="A20" s="517" t="s">
        <v>721</v>
      </c>
      <c r="B20" s="517" t="s">
        <v>1101</v>
      </c>
      <c r="C20" s="517" t="s">
        <v>721</v>
      </c>
      <c r="D20" s="558"/>
      <c r="E20" s="517" t="s">
        <v>721</v>
      </c>
      <c r="F20" s="517" t="s">
        <v>25</v>
      </c>
      <c r="G20" s="558"/>
      <c r="H20" s="518">
        <v>32</v>
      </c>
      <c r="I20" s="558"/>
      <c r="J20" s="494" t="str">
        <f t="shared" si="1"/>
        <v>SWUC100132</v>
      </c>
      <c r="K20" s="518">
        <v>106</v>
      </c>
      <c r="M20" s="517" t="s">
        <v>721</v>
      </c>
      <c r="N20" s="517" t="s">
        <v>1101</v>
      </c>
      <c r="O20" s="517" t="s">
        <v>25</v>
      </c>
      <c r="P20" s="518">
        <v>32</v>
      </c>
      <c r="Q20" s="494" t="str">
        <f t="shared" si="2"/>
        <v>SWUC100132</v>
      </c>
      <c r="R20" s="518">
        <v>0</v>
      </c>
      <c r="S20" s="518">
        <v>9</v>
      </c>
      <c r="T20" s="518">
        <v>19</v>
      </c>
      <c r="U20" s="518">
        <v>28</v>
      </c>
      <c r="V20" s="518">
        <v>37</v>
      </c>
      <c r="W20" s="518">
        <v>49</v>
      </c>
      <c r="X20" s="518">
        <v>61</v>
      </c>
      <c r="Y20" s="518">
        <v>75</v>
      </c>
      <c r="Z20" s="518">
        <v>89</v>
      </c>
      <c r="AA20" s="518">
        <v>0</v>
      </c>
      <c r="AB20" s="518">
        <v>0</v>
      </c>
      <c r="AC20" s="518">
        <v>0</v>
      </c>
      <c r="AD20" s="518">
        <v>0</v>
      </c>
      <c r="AE20" s="518">
        <v>0</v>
      </c>
      <c r="AF20" s="518">
        <v>0</v>
      </c>
      <c r="AG20" s="518">
        <v>0</v>
      </c>
      <c r="AH20" s="518">
        <v>0</v>
      </c>
      <c r="AI20" s="518">
        <v>0</v>
      </c>
      <c r="AJ20" s="518">
        <v>0</v>
      </c>
      <c r="AK20" s="518">
        <v>0</v>
      </c>
      <c r="AL20" s="518">
        <v>0</v>
      </c>
      <c r="AM20" s="518">
        <v>0</v>
      </c>
      <c r="AN20" s="518">
        <v>0</v>
      </c>
      <c r="AO20" s="518">
        <v>0</v>
      </c>
      <c r="AP20" s="518">
        <v>0</v>
      </c>
      <c r="AQ20" s="518">
        <v>0</v>
      </c>
      <c r="AR20" s="518">
        <v>0</v>
      </c>
      <c r="AS20" s="518">
        <v>0</v>
      </c>
      <c r="AT20" s="518">
        <v>0</v>
      </c>
      <c r="AU20" s="518">
        <v>0</v>
      </c>
      <c r="AV20" s="518">
        <v>0</v>
      </c>
      <c r="AW20" s="518">
        <v>0</v>
      </c>
      <c r="AX20" s="518">
        <v>0</v>
      </c>
      <c r="AY20" s="518">
        <v>0</v>
      </c>
      <c r="AZ20" s="518">
        <v>0</v>
      </c>
      <c r="BA20" s="518">
        <v>0</v>
      </c>
      <c r="BB20" s="518">
        <v>0</v>
      </c>
      <c r="BC20" s="518">
        <v>0</v>
      </c>
      <c r="BD20" s="518">
        <v>0</v>
      </c>
      <c r="BE20" s="518">
        <v>0</v>
      </c>
      <c r="BF20" s="518">
        <v>0</v>
      </c>
      <c r="BG20" s="518">
        <v>0</v>
      </c>
      <c r="BH20" s="518">
        <v>0</v>
      </c>
      <c r="BI20" s="518">
        <v>0</v>
      </c>
      <c r="BJ20" s="518">
        <v>0</v>
      </c>
      <c r="BK20" s="518">
        <v>0</v>
      </c>
      <c r="BL20" s="518">
        <v>0</v>
      </c>
      <c r="BM20" s="518">
        <v>0</v>
      </c>
      <c r="BN20" s="518">
        <v>0</v>
      </c>
      <c r="BO20" s="518">
        <v>0</v>
      </c>
      <c r="BP20" s="518">
        <v>0</v>
      </c>
      <c r="BQ20" s="518">
        <v>0</v>
      </c>
      <c r="BR20" s="518">
        <v>0</v>
      </c>
      <c r="BS20" s="518">
        <v>0</v>
      </c>
      <c r="BT20" s="518">
        <v>0</v>
      </c>
      <c r="BU20" s="518">
        <v>0</v>
      </c>
      <c r="BV20" s="518">
        <v>0</v>
      </c>
      <c r="BW20" s="518">
        <v>0</v>
      </c>
      <c r="BX20" s="518">
        <v>0</v>
      </c>
      <c r="BY20" s="518">
        <v>0</v>
      </c>
      <c r="BZ20" s="518">
        <v>0</v>
      </c>
      <c r="CA20" s="518">
        <v>0</v>
      </c>
      <c r="CB20" s="518">
        <v>0</v>
      </c>
      <c r="CC20" s="518">
        <v>0</v>
      </c>
      <c r="CD20" s="518">
        <v>0</v>
      </c>
      <c r="CE20" s="518">
        <v>0</v>
      </c>
      <c r="CF20" s="518">
        <v>0</v>
      </c>
      <c r="CG20" s="518">
        <v>0</v>
      </c>
      <c r="CH20" s="518">
        <v>0</v>
      </c>
      <c r="CI20" s="518">
        <v>0</v>
      </c>
      <c r="CJ20" s="518">
        <v>0</v>
      </c>
      <c r="CK20" s="518">
        <v>0</v>
      </c>
      <c r="CL20" s="518">
        <v>0</v>
      </c>
      <c r="CM20" s="518">
        <v>0</v>
      </c>
      <c r="CN20" s="518">
        <v>0</v>
      </c>
      <c r="CO20" s="518">
        <v>0</v>
      </c>
      <c r="CP20" s="518">
        <v>0</v>
      </c>
      <c r="CQ20" s="518">
        <v>0</v>
      </c>
      <c r="CR20" s="518">
        <v>0</v>
      </c>
      <c r="CS20" s="518">
        <v>0</v>
      </c>
      <c r="CT20" s="518">
        <v>0</v>
      </c>
      <c r="CU20" s="518">
        <v>0</v>
      </c>
      <c r="CV20" s="518">
        <v>0</v>
      </c>
      <c r="CW20" s="518">
        <v>0</v>
      </c>
      <c r="CX20" s="518">
        <v>0</v>
      </c>
      <c r="CY20" s="518">
        <v>0</v>
      </c>
      <c r="CZ20" s="518">
        <v>0</v>
      </c>
      <c r="DA20" s="518">
        <v>0</v>
      </c>
      <c r="DB20" s="518">
        <v>0</v>
      </c>
      <c r="DC20" s="518">
        <v>0</v>
      </c>
      <c r="DD20" s="518">
        <v>0</v>
      </c>
      <c r="DE20" s="518">
        <v>0</v>
      </c>
      <c r="DF20" s="518">
        <v>0</v>
      </c>
      <c r="DG20" s="518">
        <v>0</v>
      </c>
      <c r="DH20" s="518">
        <v>0</v>
      </c>
      <c r="DI20" s="518">
        <v>0</v>
      </c>
      <c r="DJ20" s="518">
        <v>0</v>
      </c>
      <c r="DK20" s="518">
        <v>0</v>
      </c>
      <c r="DL20" s="518">
        <v>0</v>
      </c>
      <c r="DM20" s="518">
        <v>0</v>
      </c>
      <c r="DN20" s="518">
        <v>0</v>
      </c>
      <c r="DO20" s="518">
        <v>0</v>
      </c>
      <c r="DP20" s="518">
        <v>0</v>
      </c>
      <c r="DQ20" s="518">
        <v>0</v>
      </c>
      <c r="DR20" s="518">
        <v>0</v>
      </c>
      <c r="DS20" s="518">
        <v>0</v>
      </c>
      <c r="DT20" s="518">
        <v>0</v>
      </c>
      <c r="DU20" s="518">
        <v>0</v>
      </c>
      <c r="DV20" s="518">
        <v>0</v>
      </c>
      <c r="DW20" s="518">
        <v>0</v>
      </c>
      <c r="DX20" s="518">
        <v>0</v>
      </c>
      <c r="DY20" s="477"/>
      <c r="DZ20" s="517" t="s">
        <v>721</v>
      </c>
      <c r="EA20" s="517" t="s">
        <v>1101</v>
      </c>
      <c r="EB20" s="517" t="s">
        <v>25</v>
      </c>
      <c r="EC20" s="518">
        <v>32</v>
      </c>
      <c r="ED20" s="494" t="str">
        <f t="shared" si="0"/>
        <v>SWUC100132</v>
      </c>
      <c r="EE20" s="518">
        <v>10000</v>
      </c>
      <c r="EF20" s="518">
        <v>10000</v>
      </c>
      <c r="EG20" s="518">
        <v>10000</v>
      </c>
      <c r="EH20" s="518">
        <v>10000</v>
      </c>
      <c r="EI20" s="518">
        <v>10000</v>
      </c>
      <c r="EJ20" s="518">
        <v>10000</v>
      </c>
      <c r="EK20" s="518">
        <v>10000</v>
      </c>
      <c r="EL20" s="518">
        <v>10000</v>
      </c>
      <c r="EM20" s="518">
        <v>10000</v>
      </c>
      <c r="EN20" s="518">
        <v>10000</v>
      </c>
      <c r="EO20" s="518">
        <v>0</v>
      </c>
      <c r="EP20" s="518">
        <v>0</v>
      </c>
      <c r="EQ20" s="518">
        <v>0</v>
      </c>
      <c r="ER20" s="518">
        <v>0</v>
      </c>
      <c r="ES20" s="518">
        <v>0</v>
      </c>
      <c r="ET20" s="518">
        <v>0</v>
      </c>
      <c r="EU20" s="518">
        <v>0</v>
      </c>
      <c r="EV20" s="518">
        <v>0</v>
      </c>
      <c r="EW20" s="518">
        <v>0</v>
      </c>
      <c r="EX20" s="518">
        <v>0</v>
      </c>
      <c r="EY20" s="518">
        <v>0</v>
      </c>
      <c r="EZ20" s="518">
        <v>0</v>
      </c>
      <c r="FA20" s="518">
        <v>0</v>
      </c>
      <c r="FB20" s="518">
        <v>0</v>
      </c>
      <c r="FC20" s="518">
        <v>0</v>
      </c>
      <c r="FD20" s="518">
        <v>0</v>
      </c>
      <c r="FE20" s="518">
        <v>0</v>
      </c>
      <c r="FF20" s="518">
        <v>0</v>
      </c>
      <c r="FG20" s="518">
        <v>0</v>
      </c>
      <c r="FH20" s="518">
        <v>0</v>
      </c>
      <c r="FI20" s="518">
        <v>0</v>
      </c>
      <c r="FJ20" s="518">
        <v>0</v>
      </c>
      <c r="FK20" s="518">
        <v>0</v>
      </c>
      <c r="FL20" s="518">
        <v>0</v>
      </c>
      <c r="FM20" s="518">
        <v>0</v>
      </c>
      <c r="FN20" s="518">
        <v>0</v>
      </c>
      <c r="FO20" s="518">
        <v>0</v>
      </c>
      <c r="FP20" s="518">
        <v>0</v>
      </c>
      <c r="FQ20" s="518">
        <v>0</v>
      </c>
      <c r="FR20" s="518">
        <v>0</v>
      </c>
      <c r="FS20" s="518">
        <v>0</v>
      </c>
      <c r="FT20" s="518">
        <v>0</v>
      </c>
      <c r="FU20" s="518">
        <v>0</v>
      </c>
      <c r="FV20" s="518">
        <v>0</v>
      </c>
      <c r="FW20" s="518">
        <v>0</v>
      </c>
      <c r="FX20" s="518">
        <v>0</v>
      </c>
      <c r="FY20" s="518">
        <v>0</v>
      </c>
      <c r="FZ20" s="518">
        <v>0</v>
      </c>
      <c r="GA20" s="518">
        <v>0</v>
      </c>
      <c r="GB20" s="518">
        <v>0</v>
      </c>
      <c r="GC20" s="518">
        <v>0</v>
      </c>
      <c r="GD20" s="518">
        <v>0</v>
      </c>
      <c r="GE20" s="518">
        <v>0</v>
      </c>
      <c r="GF20" s="518">
        <v>0</v>
      </c>
      <c r="GG20" s="518">
        <v>0</v>
      </c>
      <c r="GH20" s="518">
        <v>0</v>
      </c>
      <c r="GI20" s="518">
        <v>0</v>
      </c>
      <c r="GJ20" s="518">
        <v>0</v>
      </c>
      <c r="GK20" s="518">
        <v>0</v>
      </c>
      <c r="GL20" s="518">
        <v>0</v>
      </c>
      <c r="GM20" s="518">
        <v>0</v>
      </c>
      <c r="GN20" s="518">
        <v>0</v>
      </c>
      <c r="GO20" s="518">
        <v>0</v>
      </c>
      <c r="GP20" s="518">
        <v>0</v>
      </c>
      <c r="GQ20" s="518">
        <v>0</v>
      </c>
      <c r="GR20" s="518">
        <v>0</v>
      </c>
      <c r="GS20" s="518">
        <v>0</v>
      </c>
      <c r="GT20" s="518">
        <v>0</v>
      </c>
      <c r="GU20" s="518">
        <v>0</v>
      </c>
      <c r="GV20" s="518">
        <v>0</v>
      </c>
      <c r="GW20" s="518">
        <v>0</v>
      </c>
      <c r="GX20" s="518">
        <v>0</v>
      </c>
      <c r="GY20" s="518">
        <v>0</v>
      </c>
      <c r="GZ20" s="518">
        <v>0</v>
      </c>
      <c r="HA20" s="518">
        <v>0</v>
      </c>
      <c r="HB20" s="518">
        <v>0</v>
      </c>
      <c r="HC20" s="518">
        <v>0</v>
      </c>
      <c r="HD20" s="518">
        <v>0</v>
      </c>
      <c r="HE20" s="518">
        <v>0</v>
      </c>
      <c r="HF20" s="518">
        <v>0</v>
      </c>
      <c r="HG20" s="518">
        <v>0</v>
      </c>
      <c r="HH20" s="518">
        <v>0</v>
      </c>
      <c r="HI20" s="518">
        <v>0</v>
      </c>
      <c r="HJ20" s="518">
        <v>0</v>
      </c>
      <c r="HK20" s="518">
        <v>0</v>
      </c>
      <c r="HL20" s="518">
        <v>0</v>
      </c>
      <c r="HM20" s="518">
        <v>0</v>
      </c>
      <c r="HN20" s="518">
        <v>0</v>
      </c>
      <c r="HO20" s="518">
        <v>0</v>
      </c>
      <c r="HP20" s="518">
        <v>0</v>
      </c>
      <c r="HQ20" s="518">
        <v>0</v>
      </c>
      <c r="HR20" s="518">
        <v>0</v>
      </c>
      <c r="HS20" s="518">
        <v>0</v>
      </c>
      <c r="HT20" s="518">
        <v>0</v>
      </c>
      <c r="HU20" s="518">
        <v>0</v>
      </c>
      <c r="HV20" s="518">
        <v>0</v>
      </c>
      <c r="HW20" s="518">
        <v>0</v>
      </c>
      <c r="HX20" s="518">
        <v>0</v>
      </c>
      <c r="HY20" s="518">
        <v>0</v>
      </c>
      <c r="HZ20" s="518">
        <v>0</v>
      </c>
      <c r="IA20" s="518">
        <v>0</v>
      </c>
      <c r="IB20" s="518">
        <v>0</v>
      </c>
      <c r="IC20" s="518">
        <v>0</v>
      </c>
      <c r="ID20" s="518">
        <v>0</v>
      </c>
      <c r="IE20" s="518">
        <v>0</v>
      </c>
      <c r="IF20" s="518">
        <v>0</v>
      </c>
      <c r="IG20" s="518">
        <v>0</v>
      </c>
      <c r="IH20" s="518">
        <v>0</v>
      </c>
      <c r="II20" s="518">
        <v>0</v>
      </c>
      <c r="IJ20" s="518">
        <v>0</v>
      </c>
      <c r="IK20" s="518">
        <v>0</v>
      </c>
    </row>
    <row r="21" spans="1:245" ht="16.5" hidden="1">
      <c r="A21" s="517" t="s">
        <v>721</v>
      </c>
      <c r="B21" s="517" t="s">
        <v>1101</v>
      </c>
      <c r="C21" s="517" t="s">
        <v>721</v>
      </c>
      <c r="D21" s="558"/>
      <c r="E21" s="517" t="s">
        <v>721</v>
      </c>
      <c r="F21" s="517" t="s">
        <v>25</v>
      </c>
      <c r="G21" s="558"/>
      <c r="H21" s="518">
        <v>33</v>
      </c>
      <c r="I21" s="558"/>
      <c r="J21" s="494" t="str">
        <f t="shared" si="1"/>
        <v>SWUC100133</v>
      </c>
      <c r="K21" s="518">
        <v>114</v>
      </c>
      <c r="M21" s="517" t="s">
        <v>721</v>
      </c>
      <c r="N21" s="517" t="s">
        <v>1101</v>
      </c>
      <c r="O21" s="517" t="s">
        <v>25</v>
      </c>
      <c r="P21" s="518">
        <v>33</v>
      </c>
      <c r="Q21" s="494" t="str">
        <f t="shared" si="2"/>
        <v>SWUC100133</v>
      </c>
      <c r="R21" s="518">
        <v>0</v>
      </c>
      <c r="S21" s="518">
        <v>10</v>
      </c>
      <c r="T21" s="518">
        <v>20</v>
      </c>
      <c r="U21" s="518">
        <v>30</v>
      </c>
      <c r="V21" s="518">
        <v>39</v>
      </c>
      <c r="W21" s="518">
        <v>52</v>
      </c>
      <c r="X21" s="518">
        <v>65</v>
      </c>
      <c r="Y21" s="518">
        <v>80</v>
      </c>
      <c r="Z21" s="518">
        <v>96</v>
      </c>
      <c r="AA21" s="518">
        <v>0</v>
      </c>
      <c r="AB21" s="518">
        <v>0</v>
      </c>
      <c r="AC21" s="518">
        <v>0</v>
      </c>
      <c r="AD21" s="518">
        <v>0</v>
      </c>
      <c r="AE21" s="518">
        <v>0</v>
      </c>
      <c r="AF21" s="518">
        <v>0</v>
      </c>
      <c r="AG21" s="518">
        <v>0</v>
      </c>
      <c r="AH21" s="518">
        <v>0</v>
      </c>
      <c r="AI21" s="518">
        <v>0</v>
      </c>
      <c r="AJ21" s="518">
        <v>0</v>
      </c>
      <c r="AK21" s="518">
        <v>0</v>
      </c>
      <c r="AL21" s="518">
        <v>0</v>
      </c>
      <c r="AM21" s="518">
        <v>0</v>
      </c>
      <c r="AN21" s="518">
        <v>0</v>
      </c>
      <c r="AO21" s="518">
        <v>0</v>
      </c>
      <c r="AP21" s="518">
        <v>0</v>
      </c>
      <c r="AQ21" s="518">
        <v>0</v>
      </c>
      <c r="AR21" s="518">
        <v>0</v>
      </c>
      <c r="AS21" s="518">
        <v>0</v>
      </c>
      <c r="AT21" s="518">
        <v>0</v>
      </c>
      <c r="AU21" s="518">
        <v>0</v>
      </c>
      <c r="AV21" s="518">
        <v>0</v>
      </c>
      <c r="AW21" s="518">
        <v>0</v>
      </c>
      <c r="AX21" s="518">
        <v>0</v>
      </c>
      <c r="AY21" s="518">
        <v>0</v>
      </c>
      <c r="AZ21" s="518">
        <v>0</v>
      </c>
      <c r="BA21" s="518">
        <v>0</v>
      </c>
      <c r="BB21" s="518">
        <v>0</v>
      </c>
      <c r="BC21" s="518">
        <v>0</v>
      </c>
      <c r="BD21" s="518">
        <v>0</v>
      </c>
      <c r="BE21" s="518">
        <v>0</v>
      </c>
      <c r="BF21" s="518">
        <v>0</v>
      </c>
      <c r="BG21" s="518">
        <v>0</v>
      </c>
      <c r="BH21" s="518">
        <v>0</v>
      </c>
      <c r="BI21" s="518">
        <v>0</v>
      </c>
      <c r="BJ21" s="518">
        <v>0</v>
      </c>
      <c r="BK21" s="518">
        <v>0</v>
      </c>
      <c r="BL21" s="518">
        <v>0</v>
      </c>
      <c r="BM21" s="518">
        <v>0</v>
      </c>
      <c r="BN21" s="518">
        <v>0</v>
      </c>
      <c r="BO21" s="518">
        <v>0</v>
      </c>
      <c r="BP21" s="518">
        <v>0</v>
      </c>
      <c r="BQ21" s="518">
        <v>0</v>
      </c>
      <c r="BR21" s="518">
        <v>0</v>
      </c>
      <c r="BS21" s="518">
        <v>0</v>
      </c>
      <c r="BT21" s="518">
        <v>0</v>
      </c>
      <c r="BU21" s="518">
        <v>0</v>
      </c>
      <c r="BV21" s="518">
        <v>0</v>
      </c>
      <c r="BW21" s="518">
        <v>0</v>
      </c>
      <c r="BX21" s="518">
        <v>0</v>
      </c>
      <c r="BY21" s="518">
        <v>0</v>
      </c>
      <c r="BZ21" s="518">
        <v>0</v>
      </c>
      <c r="CA21" s="518">
        <v>0</v>
      </c>
      <c r="CB21" s="518">
        <v>0</v>
      </c>
      <c r="CC21" s="518">
        <v>0</v>
      </c>
      <c r="CD21" s="518">
        <v>0</v>
      </c>
      <c r="CE21" s="518">
        <v>0</v>
      </c>
      <c r="CF21" s="518">
        <v>0</v>
      </c>
      <c r="CG21" s="518">
        <v>0</v>
      </c>
      <c r="CH21" s="518">
        <v>0</v>
      </c>
      <c r="CI21" s="518">
        <v>0</v>
      </c>
      <c r="CJ21" s="518">
        <v>0</v>
      </c>
      <c r="CK21" s="518">
        <v>0</v>
      </c>
      <c r="CL21" s="518">
        <v>0</v>
      </c>
      <c r="CM21" s="518">
        <v>0</v>
      </c>
      <c r="CN21" s="518">
        <v>0</v>
      </c>
      <c r="CO21" s="518">
        <v>0</v>
      </c>
      <c r="CP21" s="518">
        <v>0</v>
      </c>
      <c r="CQ21" s="518">
        <v>0</v>
      </c>
      <c r="CR21" s="518">
        <v>0</v>
      </c>
      <c r="CS21" s="518">
        <v>0</v>
      </c>
      <c r="CT21" s="518">
        <v>0</v>
      </c>
      <c r="CU21" s="518">
        <v>0</v>
      </c>
      <c r="CV21" s="518">
        <v>0</v>
      </c>
      <c r="CW21" s="518">
        <v>0</v>
      </c>
      <c r="CX21" s="518">
        <v>0</v>
      </c>
      <c r="CY21" s="518">
        <v>0</v>
      </c>
      <c r="CZ21" s="518">
        <v>0</v>
      </c>
      <c r="DA21" s="518">
        <v>0</v>
      </c>
      <c r="DB21" s="518">
        <v>0</v>
      </c>
      <c r="DC21" s="518">
        <v>0</v>
      </c>
      <c r="DD21" s="518">
        <v>0</v>
      </c>
      <c r="DE21" s="518">
        <v>0</v>
      </c>
      <c r="DF21" s="518">
        <v>0</v>
      </c>
      <c r="DG21" s="518">
        <v>0</v>
      </c>
      <c r="DH21" s="518">
        <v>0</v>
      </c>
      <c r="DI21" s="518">
        <v>0</v>
      </c>
      <c r="DJ21" s="518">
        <v>0</v>
      </c>
      <c r="DK21" s="518">
        <v>0</v>
      </c>
      <c r="DL21" s="518">
        <v>0</v>
      </c>
      <c r="DM21" s="518">
        <v>0</v>
      </c>
      <c r="DN21" s="518">
        <v>0</v>
      </c>
      <c r="DO21" s="518">
        <v>0</v>
      </c>
      <c r="DP21" s="518">
        <v>0</v>
      </c>
      <c r="DQ21" s="518">
        <v>0</v>
      </c>
      <c r="DR21" s="518">
        <v>0</v>
      </c>
      <c r="DS21" s="518">
        <v>0</v>
      </c>
      <c r="DT21" s="518">
        <v>0</v>
      </c>
      <c r="DU21" s="518">
        <v>0</v>
      </c>
      <c r="DV21" s="518">
        <v>0</v>
      </c>
      <c r="DW21" s="518">
        <v>0</v>
      </c>
      <c r="DX21" s="518">
        <v>0</v>
      </c>
      <c r="DY21" s="477"/>
      <c r="DZ21" s="517" t="s">
        <v>721</v>
      </c>
      <c r="EA21" s="517" t="s">
        <v>1101</v>
      </c>
      <c r="EB21" s="517" t="s">
        <v>25</v>
      </c>
      <c r="EC21" s="518">
        <v>33</v>
      </c>
      <c r="ED21" s="494" t="str">
        <f t="shared" si="0"/>
        <v>SWUC100133</v>
      </c>
      <c r="EE21" s="518">
        <v>10000</v>
      </c>
      <c r="EF21" s="518">
        <v>10000</v>
      </c>
      <c r="EG21" s="518">
        <v>10000</v>
      </c>
      <c r="EH21" s="518">
        <v>10000</v>
      </c>
      <c r="EI21" s="518">
        <v>10000</v>
      </c>
      <c r="EJ21" s="518">
        <v>10000</v>
      </c>
      <c r="EK21" s="518">
        <v>10000</v>
      </c>
      <c r="EL21" s="518">
        <v>10000</v>
      </c>
      <c r="EM21" s="518">
        <v>10000</v>
      </c>
      <c r="EN21" s="518">
        <v>10000</v>
      </c>
      <c r="EO21" s="518">
        <v>0</v>
      </c>
      <c r="EP21" s="518">
        <v>0</v>
      </c>
      <c r="EQ21" s="518">
        <v>0</v>
      </c>
      <c r="ER21" s="518">
        <v>0</v>
      </c>
      <c r="ES21" s="518">
        <v>0</v>
      </c>
      <c r="ET21" s="518">
        <v>0</v>
      </c>
      <c r="EU21" s="518">
        <v>0</v>
      </c>
      <c r="EV21" s="518">
        <v>0</v>
      </c>
      <c r="EW21" s="518">
        <v>0</v>
      </c>
      <c r="EX21" s="518">
        <v>0</v>
      </c>
      <c r="EY21" s="518">
        <v>0</v>
      </c>
      <c r="EZ21" s="518">
        <v>0</v>
      </c>
      <c r="FA21" s="518">
        <v>0</v>
      </c>
      <c r="FB21" s="518">
        <v>0</v>
      </c>
      <c r="FC21" s="518">
        <v>0</v>
      </c>
      <c r="FD21" s="518">
        <v>0</v>
      </c>
      <c r="FE21" s="518">
        <v>0</v>
      </c>
      <c r="FF21" s="518">
        <v>0</v>
      </c>
      <c r="FG21" s="518">
        <v>0</v>
      </c>
      <c r="FH21" s="518">
        <v>0</v>
      </c>
      <c r="FI21" s="518">
        <v>0</v>
      </c>
      <c r="FJ21" s="518">
        <v>0</v>
      </c>
      <c r="FK21" s="518">
        <v>0</v>
      </c>
      <c r="FL21" s="518">
        <v>0</v>
      </c>
      <c r="FM21" s="518">
        <v>0</v>
      </c>
      <c r="FN21" s="518">
        <v>0</v>
      </c>
      <c r="FO21" s="518">
        <v>0</v>
      </c>
      <c r="FP21" s="518">
        <v>0</v>
      </c>
      <c r="FQ21" s="518">
        <v>0</v>
      </c>
      <c r="FR21" s="518">
        <v>0</v>
      </c>
      <c r="FS21" s="518">
        <v>0</v>
      </c>
      <c r="FT21" s="518">
        <v>0</v>
      </c>
      <c r="FU21" s="518">
        <v>0</v>
      </c>
      <c r="FV21" s="518">
        <v>0</v>
      </c>
      <c r="FW21" s="518">
        <v>0</v>
      </c>
      <c r="FX21" s="518">
        <v>0</v>
      </c>
      <c r="FY21" s="518">
        <v>0</v>
      </c>
      <c r="FZ21" s="518">
        <v>0</v>
      </c>
      <c r="GA21" s="518">
        <v>0</v>
      </c>
      <c r="GB21" s="518">
        <v>0</v>
      </c>
      <c r="GC21" s="518">
        <v>0</v>
      </c>
      <c r="GD21" s="518">
        <v>0</v>
      </c>
      <c r="GE21" s="518">
        <v>0</v>
      </c>
      <c r="GF21" s="518">
        <v>0</v>
      </c>
      <c r="GG21" s="518">
        <v>0</v>
      </c>
      <c r="GH21" s="518">
        <v>0</v>
      </c>
      <c r="GI21" s="518">
        <v>0</v>
      </c>
      <c r="GJ21" s="518">
        <v>0</v>
      </c>
      <c r="GK21" s="518">
        <v>0</v>
      </c>
      <c r="GL21" s="518">
        <v>0</v>
      </c>
      <c r="GM21" s="518">
        <v>0</v>
      </c>
      <c r="GN21" s="518">
        <v>0</v>
      </c>
      <c r="GO21" s="518">
        <v>0</v>
      </c>
      <c r="GP21" s="518">
        <v>0</v>
      </c>
      <c r="GQ21" s="518">
        <v>0</v>
      </c>
      <c r="GR21" s="518">
        <v>0</v>
      </c>
      <c r="GS21" s="518">
        <v>0</v>
      </c>
      <c r="GT21" s="518">
        <v>0</v>
      </c>
      <c r="GU21" s="518">
        <v>0</v>
      </c>
      <c r="GV21" s="518">
        <v>0</v>
      </c>
      <c r="GW21" s="518">
        <v>0</v>
      </c>
      <c r="GX21" s="518">
        <v>0</v>
      </c>
      <c r="GY21" s="518">
        <v>0</v>
      </c>
      <c r="GZ21" s="518">
        <v>0</v>
      </c>
      <c r="HA21" s="518">
        <v>0</v>
      </c>
      <c r="HB21" s="518">
        <v>0</v>
      </c>
      <c r="HC21" s="518">
        <v>0</v>
      </c>
      <c r="HD21" s="518">
        <v>0</v>
      </c>
      <c r="HE21" s="518">
        <v>0</v>
      </c>
      <c r="HF21" s="518">
        <v>0</v>
      </c>
      <c r="HG21" s="518">
        <v>0</v>
      </c>
      <c r="HH21" s="518">
        <v>0</v>
      </c>
      <c r="HI21" s="518">
        <v>0</v>
      </c>
      <c r="HJ21" s="518">
        <v>0</v>
      </c>
      <c r="HK21" s="518">
        <v>0</v>
      </c>
      <c r="HL21" s="518">
        <v>0</v>
      </c>
      <c r="HM21" s="518">
        <v>0</v>
      </c>
      <c r="HN21" s="518">
        <v>0</v>
      </c>
      <c r="HO21" s="518">
        <v>0</v>
      </c>
      <c r="HP21" s="518">
        <v>0</v>
      </c>
      <c r="HQ21" s="518">
        <v>0</v>
      </c>
      <c r="HR21" s="518">
        <v>0</v>
      </c>
      <c r="HS21" s="518">
        <v>0</v>
      </c>
      <c r="HT21" s="518">
        <v>0</v>
      </c>
      <c r="HU21" s="518">
        <v>0</v>
      </c>
      <c r="HV21" s="518">
        <v>0</v>
      </c>
      <c r="HW21" s="518">
        <v>0</v>
      </c>
      <c r="HX21" s="518">
        <v>0</v>
      </c>
      <c r="HY21" s="518">
        <v>0</v>
      </c>
      <c r="HZ21" s="518">
        <v>0</v>
      </c>
      <c r="IA21" s="518">
        <v>0</v>
      </c>
      <c r="IB21" s="518">
        <v>0</v>
      </c>
      <c r="IC21" s="518">
        <v>0</v>
      </c>
      <c r="ID21" s="518">
        <v>0</v>
      </c>
      <c r="IE21" s="518">
        <v>0</v>
      </c>
      <c r="IF21" s="518">
        <v>0</v>
      </c>
      <c r="IG21" s="518">
        <v>0</v>
      </c>
      <c r="IH21" s="518">
        <v>0</v>
      </c>
      <c r="II21" s="518">
        <v>0</v>
      </c>
      <c r="IJ21" s="518">
        <v>0</v>
      </c>
      <c r="IK21" s="518">
        <v>0</v>
      </c>
    </row>
    <row r="22" spans="1:245" ht="16.5" hidden="1">
      <c r="A22" s="517" t="s">
        <v>721</v>
      </c>
      <c r="B22" s="517" t="s">
        <v>1101</v>
      </c>
      <c r="C22" s="517" t="s">
        <v>721</v>
      </c>
      <c r="D22" s="558"/>
      <c r="E22" s="517" t="s">
        <v>721</v>
      </c>
      <c r="F22" s="517" t="s">
        <v>25</v>
      </c>
      <c r="G22" s="558"/>
      <c r="H22" s="518">
        <v>34</v>
      </c>
      <c r="I22" s="558"/>
      <c r="J22" s="494" t="str">
        <f t="shared" si="1"/>
        <v>SWUC100134</v>
      </c>
      <c r="K22" s="518">
        <v>122</v>
      </c>
      <c r="M22" s="517" t="s">
        <v>721</v>
      </c>
      <c r="N22" s="517" t="s">
        <v>1101</v>
      </c>
      <c r="O22" s="517" t="s">
        <v>25</v>
      </c>
      <c r="P22" s="518">
        <v>34</v>
      </c>
      <c r="Q22" s="494" t="str">
        <f t="shared" si="2"/>
        <v>SWUC100134</v>
      </c>
      <c r="R22" s="518">
        <v>0</v>
      </c>
      <c r="S22" s="518">
        <v>11</v>
      </c>
      <c r="T22" s="518">
        <v>22</v>
      </c>
      <c r="U22" s="518">
        <v>32</v>
      </c>
      <c r="V22" s="518">
        <v>42</v>
      </c>
      <c r="W22" s="518">
        <v>55</v>
      </c>
      <c r="X22" s="518">
        <v>70</v>
      </c>
      <c r="Y22" s="518">
        <v>86</v>
      </c>
      <c r="Z22" s="518">
        <v>104</v>
      </c>
      <c r="AA22" s="518">
        <v>0</v>
      </c>
      <c r="AB22" s="518">
        <v>0</v>
      </c>
      <c r="AC22" s="518">
        <v>0</v>
      </c>
      <c r="AD22" s="518">
        <v>0</v>
      </c>
      <c r="AE22" s="518">
        <v>0</v>
      </c>
      <c r="AF22" s="518">
        <v>0</v>
      </c>
      <c r="AG22" s="518">
        <v>0</v>
      </c>
      <c r="AH22" s="518">
        <v>0</v>
      </c>
      <c r="AI22" s="518">
        <v>0</v>
      </c>
      <c r="AJ22" s="518">
        <v>0</v>
      </c>
      <c r="AK22" s="518">
        <v>0</v>
      </c>
      <c r="AL22" s="518">
        <v>0</v>
      </c>
      <c r="AM22" s="518">
        <v>0</v>
      </c>
      <c r="AN22" s="518">
        <v>0</v>
      </c>
      <c r="AO22" s="518">
        <v>0</v>
      </c>
      <c r="AP22" s="518">
        <v>0</v>
      </c>
      <c r="AQ22" s="518">
        <v>0</v>
      </c>
      <c r="AR22" s="518">
        <v>0</v>
      </c>
      <c r="AS22" s="518">
        <v>0</v>
      </c>
      <c r="AT22" s="518">
        <v>0</v>
      </c>
      <c r="AU22" s="518">
        <v>0</v>
      </c>
      <c r="AV22" s="518">
        <v>0</v>
      </c>
      <c r="AW22" s="518">
        <v>0</v>
      </c>
      <c r="AX22" s="518">
        <v>0</v>
      </c>
      <c r="AY22" s="518">
        <v>0</v>
      </c>
      <c r="AZ22" s="518">
        <v>0</v>
      </c>
      <c r="BA22" s="518">
        <v>0</v>
      </c>
      <c r="BB22" s="518">
        <v>0</v>
      </c>
      <c r="BC22" s="518">
        <v>0</v>
      </c>
      <c r="BD22" s="518">
        <v>0</v>
      </c>
      <c r="BE22" s="518">
        <v>0</v>
      </c>
      <c r="BF22" s="518">
        <v>0</v>
      </c>
      <c r="BG22" s="518">
        <v>0</v>
      </c>
      <c r="BH22" s="518">
        <v>0</v>
      </c>
      <c r="BI22" s="518">
        <v>0</v>
      </c>
      <c r="BJ22" s="518">
        <v>0</v>
      </c>
      <c r="BK22" s="518">
        <v>0</v>
      </c>
      <c r="BL22" s="518">
        <v>0</v>
      </c>
      <c r="BM22" s="518">
        <v>0</v>
      </c>
      <c r="BN22" s="518">
        <v>0</v>
      </c>
      <c r="BO22" s="518">
        <v>0</v>
      </c>
      <c r="BP22" s="518">
        <v>0</v>
      </c>
      <c r="BQ22" s="518">
        <v>0</v>
      </c>
      <c r="BR22" s="518">
        <v>0</v>
      </c>
      <c r="BS22" s="518">
        <v>0</v>
      </c>
      <c r="BT22" s="518">
        <v>0</v>
      </c>
      <c r="BU22" s="518">
        <v>0</v>
      </c>
      <c r="BV22" s="518">
        <v>0</v>
      </c>
      <c r="BW22" s="518">
        <v>0</v>
      </c>
      <c r="BX22" s="518">
        <v>0</v>
      </c>
      <c r="BY22" s="518">
        <v>0</v>
      </c>
      <c r="BZ22" s="518">
        <v>0</v>
      </c>
      <c r="CA22" s="518">
        <v>0</v>
      </c>
      <c r="CB22" s="518">
        <v>0</v>
      </c>
      <c r="CC22" s="518">
        <v>0</v>
      </c>
      <c r="CD22" s="518">
        <v>0</v>
      </c>
      <c r="CE22" s="518">
        <v>0</v>
      </c>
      <c r="CF22" s="518">
        <v>0</v>
      </c>
      <c r="CG22" s="518">
        <v>0</v>
      </c>
      <c r="CH22" s="518">
        <v>0</v>
      </c>
      <c r="CI22" s="518">
        <v>0</v>
      </c>
      <c r="CJ22" s="518">
        <v>0</v>
      </c>
      <c r="CK22" s="518">
        <v>0</v>
      </c>
      <c r="CL22" s="518">
        <v>0</v>
      </c>
      <c r="CM22" s="518">
        <v>0</v>
      </c>
      <c r="CN22" s="518">
        <v>0</v>
      </c>
      <c r="CO22" s="518">
        <v>0</v>
      </c>
      <c r="CP22" s="518">
        <v>0</v>
      </c>
      <c r="CQ22" s="518">
        <v>0</v>
      </c>
      <c r="CR22" s="518">
        <v>0</v>
      </c>
      <c r="CS22" s="518">
        <v>0</v>
      </c>
      <c r="CT22" s="518">
        <v>0</v>
      </c>
      <c r="CU22" s="518">
        <v>0</v>
      </c>
      <c r="CV22" s="518">
        <v>0</v>
      </c>
      <c r="CW22" s="518">
        <v>0</v>
      </c>
      <c r="CX22" s="518">
        <v>0</v>
      </c>
      <c r="CY22" s="518">
        <v>0</v>
      </c>
      <c r="CZ22" s="518">
        <v>0</v>
      </c>
      <c r="DA22" s="518">
        <v>0</v>
      </c>
      <c r="DB22" s="518">
        <v>0</v>
      </c>
      <c r="DC22" s="518">
        <v>0</v>
      </c>
      <c r="DD22" s="518">
        <v>0</v>
      </c>
      <c r="DE22" s="518">
        <v>0</v>
      </c>
      <c r="DF22" s="518">
        <v>0</v>
      </c>
      <c r="DG22" s="518">
        <v>0</v>
      </c>
      <c r="DH22" s="518">
        <v>0</v>
      </c>
      <c r="DI22" s="518">
        <v>0</v>
      </c>
      <c r="DJ22" s="518">
        <v>0</v>
      </c>
      <c r="DK22" s="518">
        <v>0</v>
      </c>
      <c r="DL22" s="518">
        <v>0</v>
      </c>
      <c r="DM22" s="518">
        <v>0</v>
      </c>
      <c r="DN22" s="518">
        <v>0</v>
      </c>
      <c r="DO22" s="518">
        <v>0</v>
      </c>
      <c r="DP22" s="518">
        <v>0</v>
      </c>
      <c r="DQ22" s="518">
        <v>0</v>
      </c>
      <c r="DR22" s="518">
        <v>0</v>
      </c>
      <c r="DS22" s="518">
        <v>0</v>
      </c>
      <c r="DT22" s="518">
        <v>0</v>
      </c>
      <c r="DU22" s="518">
        <v>0</v>
      </c>
      <c r="DV22" s="518">
        <v>0</v>
      </c>
      <c r="DW22" s="518">
        <v>0</v>
      </c>
      <c r="DX22" s="518">
        <v>0</v>
      </c>
      <c r="DY22" s="477"/>
      <c r="DZ22" s="517" t="s">
        <v>721</v>
      </c>
      <c r="EA22" s="517" t="s">
        <v>1101</v>
      </c>
      <c r="EB22" s="517" t="s">
        <v>25</v>
      </c>
      <c r="EC22" s="518">
        <v>34</v>
      </c>
      <c r="ED22" s="494" t="str">
        <f t="shared" si="0"/>
        <v>SWUC100134</v>
      </c>
      <c r="EE22" s="518">
        <v>10000</v>
      </c>
      <c r="EF22" s="518">
        <v>10000</v>
      </c>
      <c r="EG22" s="518">
        <v>10000</v>
      </c>
      <c r="EH22" s="518">
        <v>10000</v>
      </c>
      <c r="EI22" s="518">
        <v>10000</v>
      </c>
      <c r="EJ22" s="518">
        <v>10000</v>
      </c>
      <c r="EK22" s="518">
        <v>10000</v>
      </c>
      <c r="EL22" s="518">
        <v>10000</v>
      </c>
      <c r="EM22" s="518">
        <v>10000</v>
      </c>
      <c r="EN22" s="518">
        <v>10000</v>
      </c>
      <c r="EO22" s="518">
        <v>0</v>
      </c>
      <c r="EP22" s="518">
        <v>0</v>
      </c>
      <c r="EQ22" s="518">
        <v>0</v>
      </c>
      <c r="ER22" s="518">
        <v>0</v>
      </c>
      <c r="ES22" s="518">
        <v>0</v>
      </c>
      <c r="ET22" s="518">
        <v>0</v>
      </c>
      <c r="EU22" s="518">
        <v>0</v>
      </c>
      <c r="EV22" s="518">
        <v>0</v>
      </c>
      <c r="EW22" s="518">
        <v>0</v>
      </c>
      <c r="EX22" s="518">
        <v>0</v>
      </c>
      <c r="EY22" s="518">
        <v>0</v>
      </c>
      <c r="EZ22" s="518">
        <v>0</v>
      </c>
      <c r="FA22" s="518">
        <v>0</v>
      </c>
      <c r="FB22" s="518">
        <v>0</v>
      </c>
      <c r="FC22" s="518">
        <v>0</v>
      </c>
      <c r="FD22" s="518">
        <v>0</v>
      </c>
      <c r="FE22" s="518">
        <v>0</v>
      </c>
      <c r="FF22" s="518">
        <v>0</v>
      </c>
      <c r="FG22" s="518">
        <v>0</v>
      </c>
      <c r="FH22" s="518">
        <v>0</v>
      </c>
      <c r="FI22" s="518">
        <v>0</v>
      </c>
      <c r="FJ22" s="518">
        <v>0</v>
      </c>
      <c r="FK22" s="518">
        <v>0</v>
      </c>
      <c r="FL22" s="518">
        <v>0</v>
      </c>
      <c r="FM22" s="518">
        <v>0</v>
      </c>
      <c r="FN22" s="518">
        <v>0</v>
      </c>
      <c r="FO22" s="518">
        <v>0</v>
      </c>
      <c r="FP22" s="518">
        <v>0</v>
      </c>
      <c r="FQ22" s="518">
        <v>0</v>
      </c>
      <c r="FR22" s="518">
        <v>0</v>
      </c>
      <c r="FS22" s="518">
        <v>0</v>
      </c>
      <c r="FT22" s="518">
        <v>0</v>
      </c>
      <c r="FU22" s="518">
        <v>0</v>
      </c>
      <c r="FV22" s="518">
        <v>0</v>
      </c>
      <c r="FW22" s="518">
        <v>0</v>
      </c>
      <c r="FX22" s="518">
        <v>0</v>
      </c>
      <c r="FY22" s="518">
        <v>0</v>
      </c>
      <c r="FZ22" s="518">
        <v>0</v>
      </c>
      <c r="GA22" s="518">
        <v>0</v>
      </c>
      <c r="GB22" s="518">
        <v>0</v>
      </c>
      <c r="GC22" s="518">
        <v>0</v>
      </c>
      <c r="GD22" s="518">
        <v>0</v>
      </c>
      <c r="GE22" s="518">
        <v>0</v>
      </c>
      <c r="GF22" s="518">
        <v>0</v>
      </c>
      <c r="GG22" s="518">
        <v>0</v>
      </c>
      <c r="GH22" s="518">
        <v>0</v>
      </c>
      <c r="GI22" s="518">
        <v>0</v>
      </c>
      <c r="GJ22" s="518">
        <v>0</v>
      </c>
      <c r="GK22" s="518">
        <v>0</v>
      </c>
      <c r="GL22" s="518">
        <v>0</v>
      </c>
      <c r="GM22" s="518">
        <v>0</v>
      </c>
      <c r="GN22" s="518">
        <v>0</v>
      </c>
      <c r="GO22" s="518">
        <v>0</v>
      </c>
      <c r="GP22" s="518">
        <v>0</v>
      </c>
      <c r="GQ22" s="518">
        <v>0</v>
      </c>
      <c r="GR22" s="518">
        <v>0</v>
      </c>
      <c r="GS22" s="518">
        <v>0</v>
      </c>
      <c r="GT22" s="518">
        <v>0</v>
      </c>
      <c r="GU22" s="518">
        <v>0</v>
      </c>
      <c r="GV22" s="518">
        <v>0</v>
      </c>
      <c r="GW22" s="518">
        <v>0</v>
      </c>
      <c r="GX22" s="518">
        <v>0</v>
      </c>
      <c r="GY22" s="518">
        <v>0</v>
      </c>
      <c r="GZ22" s="518">
        <v>0</v>
      </c>
      <c r="HA22" s="518">
        <v>0</v>
      </c>
      <c r="HB22" s="518">
        <v>0</v>
      </c>
      <c r="HC22" s="518">
        <v>0</v>
      </c>
      <c r="HD22" s="518">
        <v>0</v>
      </c>
      <c r="HE22" s="518">
        <v>0</v>
      </c>
      <c r="HF22" s="518">
        <v>0</v>
      </c>
      <c r="HG22" s="518">
        <v>0</v>
      </c>
      <c r="HH22" s="518">
        <v>0</v>
      </c>
      <c r="HI22" s="518">
        <v>0</v>
      </c>
      <c r="HJ22" s="518">
        <v>0</v>
      </c>
      <c r="HK22" s="518">
        <v>0</v>
      </c>
      <c r="HL22" s="518">
        <v>0</v>
      </c>
      <c r="HM22" s="518">
        <v>0</v>
      </c>
      <c r="HN22" s="518">
        <v>0</v>
      </c>
      <c r="HO22" s="518">
        <v>0</v>
      </c>
      <c r="HP22" s="518">
        <v>0</v>
      </c>
      <c r="HQ22" s="518">
        <v>0</v>
      </c>
      <c r="HR22" s="518">
        <v>0</v>
      </c>
      <c r="HS22" s="518">
        <v>0</v>
      </c>
      <c r="HT22" s="518">
        <v>0</v>
      </c>
      <c r="HU22" s="518">
        <v>0</v>
      </c>
      <c r="HV22" s="518">
        <v>0</v>
      </c>
      <c r="HW22" s="518">
        <v>0</v>
      </c>
      <c r="HX22" s="518">
        <v>0</v>
      </c>
      <c r="HY22" s="518">
        <v>0</v>
      </c>
      <c r="HZ22" s="518">
        <v>0</v>
      </c>
      <c r="IA22" s="518">
        <v>0</v>
      </c>
      <c r="IB22" s="518">
        <v>0</v>
      </c>
      <c r="IC22" s="518">
        <v>0</v>
      </c>
      <c r="ID22" s="518">
        <v>0</v>
      </c>
      <c r="IE22" s="518">
        <v>0</v>
      </c>
      <c r="IF22" s="518">
        <v>0</v>
      </c>
      <c r="IG22" s="518">
        <v>0</v>
      </c>
      <c r="IH22" s="518">
        <v>0</v>
      </c>
      <c r="II22" s="518">
        <v>0</v>
      </c>
      <c r="IJ22" s="518">
        <v>0</v>
      </c>
      <c r="IK22" s="518">
        <v>0</v>
      </c>
    </row>
    <row r="23" spans="1:245" ht="16.5" hidden="1">
      <c r="A23" s="517" t="s">
        <v>721</v>
      </c>
      <c r="B23" s="517" t="s">
        <v>1101</v>
      </c>
      <c r="C23" s="517" t="s">
        <v>721</v>
      </c>
      <c r="D23" s="558"/>
      <c r="E23" s="517" t="s">
        <v>721</v>
      </c>
      <c r="F23" s="517" t="s">
        <v>25</v>
      </c>
      <c r="G23" s="558"/>
      <c r="H23" s="518">
        <v>35</v>
      </c>
      <c r="I23" s="558"/>
      <c r="J23" s="494" t="str">
        <f t="shared" si="1"/>
        <v>SWUC100135</v>
      </c>
      <c r="K23" s="518">
        <v>130</v>
      </c>
      <c r="M23" s="517" t="s">
        <v>721</v>
      </c>
      <c r="N23" s="517" t="s">
        <v>1101</v>
      </c>
      <c r="O23" s="517" t="s">
        <v>25</v>
      </c>
      <c r="P23" s="518">
        <v>35</v>
      </c>
      <c r="Q23" s="494" t="str">
        <f t="shared" si="2"/>
        <v>SWUC100135</v>
      </c>
      <c r="R23" s="518">
        <v>0</v>
      </c>
      <c r="S23" s="518">
        <v>11</v>
      </c>
      <c r="T23" s="518">
        <v>23</v>
      </c>
      <c r="U23" s="518">
        <v>34</v>
      </c>
      <c r="V23" s="518">
        <v>44</v>
      </c>
      <c r="W23" s="518">
        <v>59</v>
      </c>
      <c r="X23" s="518">
        <v>75</v>
      </c>
      <c r="Y23" s="518">
        <v>92</v>
      </c>
      <c r="Z23" s="518">
        <v>110</v>
      </c>
      <c r="AA23" s="518">
        <v>0</v>
      </c>
      <c r="AB23" s="518">
        <v>0</v>
      </c>
      <c r="AC23" s="518">
        <v>0</v>
      </c>
      <c r="AD23" s="518">
        <v>0</v>
      </c>
      <c r="AE23" s="518">
        <v>0</v>
      </c>
      <c r="AF23" s="518">
        <v>0</v>
      </c>
      <c r="AG23" s="518">
        <v>0</v>
      </c>
      <c r="AH23" s="518">
        <v>0</v>
      </c>
      <c r="AI23" s="518">
        <v>0</v>
      </c>
      <c r="AJ23" s="518">
        <v>0</v>
      </c>
      <c r="AK23" s="518">
        <v>0</v>
      </c>
      <c r="AL23" s="518">
        <v>0</v>
      </c>
      <c r="AM23" s="518">
        <v>0</v>
      </c>
      <c r="AN23" s="518">
        <v>0</v>
      </c>
      <c r="AO23" s="518">
        <v>0</v>
      </c>
      <c r="AP23" s="518">
        <v>0</v>
      </c>
      <c r="AQ23" s="518">
        <v>0</v>
      </c>
      <c r="AR23" s="518">
        <v>0</v>
      </c>
      <c r="AS23" s="518">
        <v>0</v>
      </c>
      <c r="AT23" s="518">
        <v>0</v>
      </c>
      <c r="AU23" s="518">
        <v>0</v>
      </c>
      <c r="AV23" s="518">
        <v>0</v>
      </c>
      <c r="AW23" s="518">
        <v>0</v>
      </c>
      <c r="AX23" s="518">
        <v>0</v>
      </c>
      <c r="AY23" s="518">
        <v>0</v>
      </c>
      <c r="AZ23" s="518">
        <v>0</v>
      </c>
      <c r="BA23" s="518">
        <v>0</v>
      </c>
      <c r="BB23" s="518">
        <v>0</v>
      </c>
      <c r="BC23" s="518">
        <v>0</v>
      </c>
      <c r="BD23" s="518">
        <v>0</v>
      </c>
      <c r="BE23" s="518">
        <v>0</v>
      </c>
      <c r="BF23" s="518">
        <v>0</v>
      </c>
      <c r="BG23" s="518">
        <v>0</v>
      </c>
      <c r="BH23" s="518">
        <v>0</v>
      </c>
      <c r="BI23" s="518">
        <v>0</v>
      </c>
      <c r="BJ23" s="518">
        <v>0</v>
      </c>
      <c r="BK23" s="518">
        <v>0</v>
      </c>
      <c r="BL23" s="518">
        <v>0</v>
      </c>
      <c r="BM23" s="518">
        <v>0</v>
      </c>
      <c r="BN23" s="518">
        <v>0</v>
      </c>
      <c r="BO23" s="518">
        <v>0</v>
      </c>
      <c r="BP23" s="518">
        <v>0</v>
      </c>
      <c r="BQ23" s="518">
        <v>0</v>
      </c>
      <c r="BR23" s="518">
        <v>0</v>
      </c>
      <c r="BS23" s="518">
        <v>0</v>
      </c>
      <c r="BT23" s="518">
        <v>0</v>
      </c>
      <c r="BU23" s="518">
        <v>0</v>
      </c>
      <c r="BV23" s="518">
        <v>0</v>
      </c>
      <c r="BW23" s="518">
        <v>0</v>
      </c>
      <c r="BX23" s="518">
        <v>0</v>
      </c>
      <c r="BY23" s="518">
        <v>0</v>
      </c>
      <c r="BZ23" s="518">
        <v>0</v>
      </c>
      <c r="CA23" s="518">
        <v>0</v>
      </c>
      <c r="CB23" s="518">
        <v>0</v>
      </c>
      <c r="CC23" s="518">
        <v>0</v>
      </c>
      <c r="CD23" s="518">
        <v>0</v>
      </c>
      <c r="CE23" s="518">
        <v>0</v>
      </c>
      <c r="CF23" s="518">
        <v>0</v>
      </c>
      <c r="CG23" s="518">
        <v>0</v>
      </c>
      <c r="CH23" s="518">
        <v>0</v>
      </c>
      <c r="CI23" s="518">
        <v>0</v>
      </c>
      <c r="CJ23" s="518">
        <v>0</v>
      </c>
      <c r="CK23" s="518">
        <v>0</v>
      </c>
      <c r="CL23" s="518">
        <v>0</v>
      </c>
      <c r="CM23" s="518">
        <v>0</v>
      </c>
      <c r="CN23" s="518">
        <v>0</v>
      </c>
      <c r="CO23" s="518">
        <v>0</v>
      </c>
      <c r="CP23" s="518">
        <v>0</v>
      </c>
      <c r="CQ23" s="518">
        <v>0</v>
      </c>
      <c r="CR23" s="518">
        <v>0</v>
      </c>
      <c r="CS23" s="518">
        <v>0</v>
      </c>
      <c r="CT23" s="518">
        <v>0</v>
      </c>
      <c r="CU23" s="518">
        <v>0</v>
      </c>
      <c r="CV23" s="518">
        <v>0</v>
      </c>
      <c r="CW23" s="518">
        <v>0</v>
      </c>
      <c r="CX23" s="518">
        <v>0</v>
      </c>
      <c r="CY23" s="518">
        <v>0</v>
      </c>
      <c r="CZ23" s="518">
        <v>0</v>
      </c>
      <c r="DA23" s="518">
        <v>0</v>
      </c>
      <c r="DB23" s="518">
        <v>0</v>
      </c>
      <c r="DC23" s="518">
        <v>0</v>
      </c>
      <c r="DD23" s="518">
        <v>0</v>
      </c>
      <c r="DE23" s="518">
        <v>0</v>
      </c>
      <c r="DF23" s="518">
        <v>0</v>
      </c>
      <c r="DG23" s="518">
        <v>0</v>
      </c>
      <c r="DH23" s="518">
        <v>0</v>
      </c>
      <c r="DI23" s="518">
        <v>0</v>
      </c>
      <c r="DJ23" s="518">
        <v>0</v>
      </c>
      <c r="DK23" s="518">
        <v>0</v>
      </c>
      <c r="DL23" s="518">
        <v>0</v>
      </c>
      <c r="DM23" s="518">
        <v>0</v>
      </c>
      <c r="DN23" s="518">
        <v>0</v>
      </c>
      <c r="DO23" s="518">
        <v>0</v>
      </c>
      <c r="DP23" s="518">
        <v>0</v>
      </c>
      <c r="DQ23" s="518">
        <v>0</v>
      </c>
      <c r="DR23" s="518">
        <v>0</v>
      </c>
      <c r="DS23" s="518">
        <v>0</v>
      </c>
      <c r="DT23" s="518">
        <v>0</v>
      </c>
      <c r="DU23" s="518">
        <v>0</v>
      </c>
      <c r="DV23" s="518">
        <v>0</v>
      </c>
      <c r="DW23" s="518">
        <v>0</v>
      </c>
      <c r="DX23" s="518">
        <v>0</v>
      </c>
      <c r="DY23" s="477"/>
      <c r="DZ23" s="517" t="s">
        <v>721</v>
      </c>
      <c r="EA23" s="517" t="s">
        <v>1101</v>
      </c>
      <c r="EB23" s="517" t="s">
        <v>25</v>
      </c>
      <c r="EC23" s="518">
        <v>35</v>
      </c>
      <c r="ED23" s="494" t="str">
        <f t="shared" si="0"/>
        <v>SWUC100135</v>
      </c>
      <c r="EE23" s="518">
        <v>10000</v>
      </c>
      <c r="EF23" s="518">
        <v>10000</v>
      </c>
      <c r="EG23" s="518">
        <v>10000</v>
      </c>
      <c r="EH23" s="518">
        <v>10000</v>
      </c>
      <c r="EI23" s="518">
        <v>10000</v>
      </c>
      <c r="EJ23" s="518">
        <v>10000</v>
      </c>
      <c r="EK23" s="518">
        <v>10000</v>
      </c>
      <c r="EL23" s="518">
        <v>10000</v>
      </c>
      <c r="EM23" s="518">
        <v>10000</v>
      </c>
      <c r="EN23" s="518">
        <v>10000</v>
      </c>
      <c r="EO23" s="518">
        <v>0</v>
      </c>
      <c r="EP23" s="518">
        <v>0</v>
      </c>
      <c r="EQ23" s="518">
        <v>0</v>
      </c>
      <c r="ER23" s="518">
        <v>0</v>
      </c>
      <c r="ES23" s="518">
        <v>0</v>
      </c>
      <c r="ET23" s="518">
        <v>0</v>
      </c>
      <c r="EU23" s="518">
        <v>0</v>
      </c>
      <c r="EV23" s="518">
        <v>0</v>
      </c>
      <c r="EW23" s="518">
        <v>0</v>
      </c>
      <c r="EX23" s="518">
        <v>0</v>
      </c>
      <c r="EY23" s="518">
        <v>0</v>
      </c>
      <c r="EZ23" s="518">
        <v>0</v>
      </c>
      <c r="FA23" s="518">
        <v>0</v>
      </c>
      <c r="FB23" s="518">
        <v>0</v>
      </c>
      <c r="FC23" s="518">
        <v>0</v>
      </c>
      <c r="FD23" s="518">
        <v>0</v>
      </c>
      <c r="FE23" s="518">
        <v>0</v>
      </c>
      <c r="FF23" s="518">
        <v>0</v>
      </c>
      <c r="FG23" s="518">
        <v>0</v>
      </c>
      <c r="FH23" s="518">
        <v>0</v>
      </c>
      <c r="FI23" s="518">
        <v>0</v>
      </c>
      <c r="FJ23" s="518">
        <v>0</v>
      </c>
      <c r="FK23" s="518">
        <v>0</v>
      </c>
      <c r="FL23" s="518">
        <v>0</v>
      </c>
      <c r="FM23" s="518">
        <v>0</v>
      </c>
      <c r="FN23" s="518">
        <v>0</v>
      </c>
      <c r="FO23" s="518">
        <v>0</v>
      </c>
      <c r="FP23" s="518">
        <v>0</v>
      </c>
      <c r="FQ23" s="518">
        <v>0</v>
      </c>
      <c r="FR23" s="518">
        <v>0</v>
      </c>
      <c r="FS23" s="518">
        <v>0</v>
      </c>
      <c r="FT23" s="518">
        <v>0</v>
      </c>
      <c r="FU23" s="518">
        <v>0</v>
      </c>
      <c r="FV23" s="518">
        <v>0</v>
      </c>
      <c r="FW23" s="518">
        <v>0</v>
      </c>
      <c r="FX23" s="518">
        <v>0</v>
      </c>
      <c r="FY23" s="518">
        <v>0</v>
      </c>
      <c r="FZ23" s="518">
        <v>0</v>
      </c>
      <c r="GA23" s="518">
        <v>0</v>
      </c>
      <c r="GB23" s="518">
        <v>0</v>
      </c>
      <c r="GC23" s="518">
        <v>0</v>
      </c>
      <c r="GD23" s="518">
        <v>0</v>
      </c>
      <c r="GE23" s="518">
        <v>0</v>
      </c>
      <c r="GF23" s="518">
        <v>0</v>
      </c>
      <c r="GG23" s="518">
        <v>0</v>
      </c>
      <c r="GH23" s="518">
        <v>0</v>
      </c>
      <c r="GI23" s="518">
        <v>0</v>
      </c>
      <c r="GJ23" s="518">
        <v>0</v>
      </c>
      <c r="GK23" s="518">
        <v>0</v>
      </c>
      <c r="GL23" s="518">
        <v>0</v>
      </c>
      <c r="GM23" s="518">
        <v>0</v>
      </c>
      <c r="GN23" s="518">
        <v>0</v>
      </c>
      <c r="GO23" s="518">
        <v>0</v>
      </c>
      <c r="GP23" s="518">
        <v>0</v>
      </c>
      <c r="GQ23" s="518">
        <v>0</v>
      </c>
      <c r="GR23" s="518">
        <v>0</v>
      </c>
      <c r="GS23" s="518">
        <v>0</v>
      </c>
      <c r="GT23" s="518">
        <v>0</v>
      </c>
      <c r="GU23" s="518">
        <v>0</v>
      </c>
      <c r="GV23" s="518">
        <v>0</v>
      </c>
      <c r="GW23" s="518">
        <v>0</v>
      </c>
      <c r="GX23" s="518">
        <v>0</v>
      </c>
      <c r="GY23" s="518">
        <v>0</v>
      </c>
      <c r="GZ23" s="518">
        <v>0</v>
      </c>
      <c r="HA23" s="518">
        <v>0</v>
      </c>
      <c r="HB23" s="518">
        <v>0</v>
      </c>
      <c r="HC23" s="518">
        <v>0</v>
      </c>
      <c r="HD23" s="518">
        <v>0</v>
      </c>
      <c r="HE23" s="518">
        <v>0</v>
      </c>
      <c r="HF23" s="518">
        <v>0</v>
      </c>
      <c r="HG23" s="518">
        <v>0</v>
      </c>
      <c r="HH23" s="518">
        <v>0</v>
      </c>
      <c r="HI23" s="518">
        <v>0</v>
      </c>
      <c r="HJ23" s="518">
        <v>0</v>
      </c>
      <c r="HK23" s="518">
        <v>0</v>
      </c>
      <c r="HL23" s="518">
        <v>0</v>
      </c>
      <c r="HM23" s="518">
        <v>0</v>
      </c>
      <c r="HN23" s="518">
        <v>0</v>
      </c>
      <c r="HO23" s="518">
        <v>0</v>
      </c>
      <c r="HP23" s="518">
        <v>0</v>
      </c>
      <c r="HQ23" s="518">
        <v>0</v>
      </c>
      <c r="HR23" s="518">
        <v>0</v>
      </c>
      <c r="HS23" s="518">
        <v>0</v>
      </c>
      <c r="HT23" s="518">
        <v>0</v>
      </c>
      <c r="HU23" s="518">
        <v>0</v>
      </c>
      <c r="HV23" s="518">
        <v>0</v>
      </c>
      <c r="HW23" s="518">
        <v>0</v>
      </c>
      <c r="HX23" s="518">
        <v>0</v>
      </c>
      <c r="HY23" s="518">
        <v>0</v>
      </c>
      <c r="HZ23" s="518">
        <v>0</v>
      </c>
      <c r="IA23" s="518">
        <v>0</v>
      </c>
      <c r="IB23" s="518">
        <v>0</v>
      </c>
      <c r="IC23" s="518">
        <v>0</v>
      </c>
      <c r="ID23" s="518">
        <v>0</v>
      </c>
      <c r="IE23" s="518">
        <v>0</v>
      </c>
      <c r="IF23" s="518">
        <v>0</v>
      </c>
      <c r="IG23" s="518">
        <v>0</v>
      </c>
      <c r="IH23" s="518">
        <v>0</v>
      </c>
      <c r="II23" s="518">
        <v>0</v>
      </c>
      <c r="IJ23" s="518">
        <v>0</v>
      </c>
      <c r="IK23" s="518">
        <v>0</v>
      </c>
    </row>
    <row r="24" spans="1:245" ht="16.5" hidden="1">
      <c r="A24" s="517" t="s">
        <v>721</v>
      </c>
      <c r="B24" s="517" t="s">
        <v>1101</v>
      </c>
      <c r="C24" s="517" t="s">
        <v>721</v>
      </c>
      <c r="D24" s="558"/>
      <c r="E24" s="517" t="s">
        <v>721</v>
      </c>
      <c r="F24" s="517" t="s">
        <v>25</v>
      </c>
      <c r="G24" s="558"/>
      <c r="H24" s="518">
        <v>36</v>
      </c>
      <c r="I24" s="558"/>
      <c r="J24" s="494" t="str">
        <f t="shared" si="1"/>
        <v>SWUC100136</v>
      </c>
      <c r="K24" s="518">
        <v>138</v>
      </c>
      <c r="M24" s="517" t="s">
        <v>721</v>
      </c>
      <c r="N24" s="517" t="s">
        <v>1101</v>
      </c>
      <c r="O24" s="517" t="s">
        <v>25</v>
      </c>
      <c r="P24" s="518">
        <v>36</v>
      </c>
      <c r="Q24" s="494" t="str">
        <f t="shared" si="2"/>
        <v>SWUC100136</v>
      </c>
      <c r="R24" s="518">
        <v>0</v>
      </c>
      <c r="S24" s="518">
        <v>12</v>
      </c>
      <c r="T24" s="518">
        <v>24</v>
      </c>
      <c r="U24" s="518">
        <v>35</v>
      </c>
      <c r="V24" s="518">
        <v>47</v>
      </c>
      <c r="W24" s="518">
        <v>62</v>
      </c>
      <c r="X24" s="518">
        <v>79</v>
      </c>
      <c r="Y24" s="518">
        <v>97</v>
      </c>
      <c r="Z24" s="518">
        <v>117</v>
      </c>
      <c r="AA24" s="518">
        <v>0</v>
      </c>
      <c r="AB24" s="518">
        <v>0</v>
      </c>
      <c r="AC24" s="518">
        <v>0</v>
      </c>
      <c r="AD24" s="518">
        <v>0</v>
      </c>
      <c r="AE24" s="518">
        <v>0</v>
      </c>
      <c r="AF24" s="518">
        <v>0</v>
      </c>
      <c r="AG24" s="518">
        <v>0</v>
      </c>
      <c r="AH24" s="518">
        <v>0</v>
      </c>
      <c r="AI24" s="518">
        <v>0</v>
      </c>
      <c r="AJ24" s="518">
        <v>0</v>
      </c>
      <c r="AK24" s="518">
        <v>0</v>
      </c>
      <c r="AL24" s="518">
        <v>0</v>
      </c>
      <c r="AM24" s="518">
        <v>0</v>
      </c>
      <c r="AN24" s="518">
        <v>0</v>
      </c>
      <c r="AO24" s="518">
        <v>0</v>
      </c>
      <c r="AP24" s="518">
        <v>0</v>
      </c>
      <c r="AQ24" s="518">
        <v>0</v>
      </c>
      <c r="AR24" s="518">
        <v>0</v>
      </c>
      <c r="AS24" s="518">
        <v>0</v>
      </c>
      <c r="AT24" s="518">
        <v>0</v>
      </c>
      <c r="AU24" s="518">
        <v>0</v>
      </c>
      <c r="AV24" s="518">
        <v>0</v>
      </c>
      <c r="AW24" s="518">
        <v>0</v>
      </c>
      <c r="AX24" s="518">
        <v>0</v>
      </c>
      <c r="AY24" s="518">
        <v>0</v>
      </c>
      <c r="AZ24" s="518">
        <v>0</v>
      </c>
      <c r="BA24" s="518">
        <v>0</v>
      </c>
      <c r="BB24" s="518">
        <v>0</v>
      </c>
      <c r="BC24" s="518">
        <v>0</v>
      </c>
      <c r="BD24" s="518">
        <v>0</v>
      </c>
      <c r="BE24" s="518">
        <v>0</v>
      </c>
      <c r="BF24" s="518">
        <v>0</v>
      </c>
      <c r="BG24" s="518">
        <v>0</v>
      </c>
      <c r="BH24" s="518">
        <v>0</v>
      </c>
      <c r="BI24" s="518">
        <v>0</v>
      </c>
      <c r="BJ24" s="518">
        <v>0</v>
      </c>
      <c r="BK24" s="518">
        <v>0</v>
      </c>
      <c r="BL24" s="518">
        <v>0</v>
      </c>
      <c r="BM24" s="518">
        <v>0</v>
      </c>
      <c r="BN24" s="518">
        <v>0</v>
      </c>
      <c r="BO24" s="518">
        <v>0</v>
      </c>
      <c r="BP24" s="518">
        <v>0</v>
      </c>
      <c r="BQ24" s="518">
        <v>0</v>
      </c>
      <c r="BR24" s="518">
        <v>0</v>
      </c>
      <c r="BS24" s="518">
        <v>0</v>
      </c>
      <c r="BT24" s="518">
        <v>0</v>
      </c>
      <c r="BU24" s="518">
        <v>0</v>
      </c>
      <c r="BV24" s="518">
        <v>0</v>
      </c>
      <c r="BW24" s="518">
        <v>0</v>
      </c>
      <c r="BX24" s="518">
        <v>0</v>
      </c>
      <c r="BY24" s="518">
        <v>0</v>
      </c>
      <c r="BZ24" s="518">
        <v>0</v>
      </c>
      <c r="CA24" s="518">
        <v>0</v>
      </c>
      <c r="CB24" s="518">
        <v>0</v>
      </c>
      <c r="CC24" s="518">
        <v>0</v>
      </c>
      <c r="CD24" s="518">
        <v>0</v>
      </c>
      <c r="CE24" s="518">
        <v>0</v>
      </c>
      <c r="CF24" s="518">
        <v>0</v>
      </c>
      <c r="CG24" s="518">
        <v>0</v>
      </c>
      <c r="CH24" s="518">
        <v>0</v>
      </c>
      <c r="CI24" s="518">
        <v>0</v>
      </c>
      <c r="CJ24" s="518">
        <v>0</v>
      </c>
      <c r="CK24" s="518">
        <v>0</v>
      </c>
      <c r="CL24" s="518">
        <v>0</v>
      </c>
      <c r="CM24" s="518">
        <v>0</v>
      </c>
      <c r="CN24" s="518">
        <v>0</v>
      </c>
      <c r="CO24" s="518">
        <v>0</v>
      </c>
      <c r="CP24" s="518">
        <v>0</v>
      </c>
      <c r="CQ24" s="518">
        <v>0</v>
      </c>
      <c r="CR24" s="518">
        <v>0</v>
      </c>
      <c r="CS24" s="518">
        <v>0</v>
      </c>
      <c r="CT24" s="518">
        <v>0</v>
      </c>
      <c r="CU24" s="518">
        <v>0</v>
      </c>
      <c r="CV24" s="518">
        <v>0</v>
      </c>
      <c r="CW24" s="518">
        <v>0</v>
      </c>
      <c r="CX24" s="518">
        <v>0</v>
      </c>
      <c r="CY24" s="518">
        <v>0</v>
      </c>
      <c r="CZ24" s="518">
        <v>0</v>
      </c>
      <c r="DA24" s="518">
        <v>0</v>
      </c>
      <c r="DB24" s="518">
        <v>0</v>
      </c>
      <c r="DC24" s="518">
        <v>0</v>
      </c>
      <c r="DD24" s="518">
        <v>0</v>
      </c>
      <c r="DE24" s="518">
        <v>0</v>
      </c>
      <c r="DF24" s="518">
        <v>0</v>
      </c>
      <c r="DG24" s="518">
        <v>0</v>
      </c>
      <c r="DH24" s="518">
        <v>0</v>
      </c>
      <c r="DI24" s="518">
        <v>0</v>
      </c>
      <c r="DJ24" s="518">
        <v>0</v>
      </c>
      <c r="DK24" s="518">
        <v>0</v>
      </c>
      <c r="DL24" s="518">
        <v>0</v>
      </c>
      <c r="DM24" s="518">
        <v>0</v>
      </c>
      <c r="DN24" s="518">
        <v>0</v>
      </c>
      <c r="DO24" s="518">
        <v>0</v>
      </c>
      <c r="DP24" s="518">
        <v>0</v>
      </c>
      <c r="DQ24" s="518">
        <v>0</v>
      </c>
      <c r="DR24" s="518">
        <v>0</v>
      </c>
      <c r="DS24" s="518">
        <v>0</v>
      </c>
      <c r="DT24" s="518">
        <v>0</v>
      </c>
      <c r="DU24" s="518">
        <v>0</v>
      </c>
      <c r="DV24" s="518">
        <v>0</v>
      </c>
      <c r="DW24" s="518">
        <v>0</v>
      </c>
      <c r="DX24" s="518">
        <v>0</v>
      </c>
      <c r="DY24" s="477"/>
      <c r="DZ24" s="517" t="s">
        <v>721</v>
      </c>
      <c r="EA24" s="517" t="s">
        <v>1101</v>
      </c>
      <c r="EB24" s="517" t="s">
        <v>25</v>
      </c>
      <c r="EC24" s="518">
        <v>36</v>
      </c>
      <c r="ED24" s="494" t="str">
        <f t="shared" si="0"/>
        <v>SWUC100136</v>
      </c>
      <c r="EE24" s="518">
        <v>10000</v>
      </c>
      <c r="EF24" s="518">
        <v>10000</v>
      </c>
      <c r="EG24" s="518">
        <v>10000</v>
      </c>
      <c r="EH24" s="518">
        <v>10000</v>
      </c>
      <c r="EI24" s="518">
        <v>10000</v>
      </c>
      <c r="EJ24" s="518">
        <v>10000</v>
      </c>
      <c r="EK24" s="518">
        <v>10000</v>
      </c>
      <c r="EL24" s="518">
        <v>10000</v>
      </c>
      <c r="EM24" s="518">
        <v>10000</v>
      </c>
      <c r="EN24" s="518">
        <v>10000</v>
      </c>
      <c r="EO24" s="518">
        <v>0</v>
      </c>
      <c r="EP24" s="518">
        <v>0</v>
      </c>
      <c r="EQ24" s="518">
        <v>0</v>
      </c>
      <c r="ER24" s="518">
        <v>0</v>
      </c>
      <c r="ES24" s="518">
        <v>0</v>
      </c>
      <c r="ET24" s="518">
        <v>0</v>
      </c>
      <c r="EU24" s="518">
        <v>0</v>
      </c>
      <c r="EV24" s="518">
        <v>0</v>
      </c>
      <c r="EW24" s="518">
        <v>0</v>
      </c>
      <c r="EX24" s="518">
        <v>0</v>
      </c>
      <c r="EY24" s="518">
        <v>0</v>
      </c>
      <c r="EZ24" s="518">
        <v>0</v>
      </c>
      <c r="FA24" s="518">
        <v>0</v>
      </c>
      <c r="FB24" s="518">
        <v>0</v>
      </c>
      <c r="FC24" s="518">
        <v>0</v>
      </c>
      <c r="FD24" s="518">
        <v>0</v>
      </c>
      <c r="FE24" s="518">
        <v>0</v>
      </c>
      <c r="FF24" s="518">
        <v>0</v>
      </c>
      <c r="FG24" s="518">
        <v>0</v>
      </c>
      <c r="FH24" s="518">
        <v>0</v>
      </c>
      <c r="FI24" s="518">
        <v>0</v>
      </c>
      <c r="FJ24" s="518">
        <v>0</v>
      </c>
      <c r="FK24" s="518">
        <v>0</v>
      </c>
      <c r="FL24" s="518">
        <v>0</v>
      </c>
      <c r="FM24" s="518">
        <v>0</v>
      </c>
      <c r="FN24" s="518">
        <v>0</v>
      </c>
      <c r="FO24" s="518">
        <v>0</v>
      </c>
      <c r="FP24" s="518">
        <v>0</v>
      </c>
      <c r="FQ24" s="518">
        <v>0</v>
      </c>
      <c r="FR24" s="518">
        <v>0</v>
      </c>
      <c r="FS24" s="518">
        <v>0</v>
      </c>
      <c r="FT24" s="518">
        <v>0</v>
      </c>
      <c r="FU24" s="518">
        <v>0</v>
      </c>
      <c r="FV24" s="518">
        <v>0</v>
      </c>
      <c r="FW24" s="518">
        <v>0</v>
      </c>
      <c r="FX24" s="518">
        <v>0</v>
      </c>
      <c r="FY24" s="518">
        <v>0</v>
      </c>
      <c r="FZ24" s="518">
        <v>0</v>
      </c>
      <c r="GA24" s="518">
        <v>0</v>
      </c>
      <c r="GB24" s="518">
        <v>0</v>
      </c>
      <c r="GC24" s="518">
        <v>0</v>
      </c>
      <c r="GD24" s="518">
        <v>0</v>
      </c>
      <c r="GE24" s="518">
        <v>0</v>
      </c>
      <c r="GF24" s="518">
        <v>0</v>
      </c>
      <c r="GG24" s="518">
        <v>0</v>
      </c>
      <c r="GH24" s="518">
        <v>0</v>
      </c>
      <c r="GI24" s="518">
        <v>0</v>
      </c>
      <c r="GJ24" s="518">
        <v>0</v>
      </c>
      <c r="GK24" s="518">
        <v>0</v>
      </c>
      <c r="GL24" s="518">
        <v>0</v>
      </c>
      <c r="GM24" s="518">
        <v>0</v>
      </c>
      <c r="GN24" s="518">
        <v>0</v>
      </c>
      <c r="GO24" s="518">
        <v>0</v>
      </c>
      <c r="GP24" s="518">
        <v>0</v>
      </c>
      <c r="GQ24" s="518">
        <v>0</v>
      </c>
      <c r="GR24" s="518">
        <v>0</v>
      </c>
      <c r="GS24" s="518">
        <v>0</v>
      </c>
      <c r="GT24" s="518">
        <v>0</v>
      </c>
      <c r="GU24" s="518">
        <v>0</v>
      </c>
      <c r="GV24" s="518">
        <v>0</v>
      </c>
      <c r="GW24" s="518">
        <v>0</v>
      </c>
      <c r="GX24" s="518">
        <v>0</v>
      </c>
      <c r="GY24" s="518">
        <v>0</v>
      </c>
      <c r="GZ24" s="518">
        <v>0</v>
      </c>
      <c r="HA24" s="518">
        <v>0</v>
      </c>
      <c r="HB24" s="518">
        <v>0</v>
      </c>
      <c r="HC24" s="518">
        <v>0</v>
      </c>
      <c r="HD24" s="518">
        <v>0</v>
      </c>
      <c r="HE24" s="518">
        <v>0</v>
      </c>
      <c r="HF24" s="518">
        <v>0</v>
      </c>
      <c r="HG24" s="518">
        <v>0</v>
      </c>
      <c r="HH24" s="518">
        <v>0</v>
      </c>
      <c r="HI24" s="518">
        <v>0</v>
      </c>
      <c r="HJ24" s="518">
        <v>0</v>
      </c>
      <c r="HK24" s="518">
        <v>0</v>
      </c>
      <c r="HL24" s="518">
        <v>0</v>
      </c>
      <c r="HM24" s="518">
        <v>0</v>
      </c>
      <c r="HN24" s="518">
        <v>0</v>
      </c>
      <c r="HO24" s="518">
        <v>0</v>
      </c>
      <c r="HP24" s="518">
        <v>0</v>
      </c>
      <c r="HQ24" s="518">
        <v>0</v>
      </c>
      <c r="HR24" s="518">
        <v>0</v>
      </c>
      <c r="HS24" s="518">
        <v>0</v>
      </c>
      <c r="HT24" s="518">
        <v>0</v>
      </c>
      <c r="HU24" s="518">
        <v>0</v>
      </c>
      <c r="HV24" s="518">
        <v>0</v>
      </c>
      <c r="HW24" s="518">
        <v>0</v>
      </c>
      <c r="HX24" s="518">
        <v>0</v>
      </c>
      <c r="HY24" s="518">
        <v>0</v>
      </c>
      <c r="HZ24" s="518">
        <v>0</v>
      </c>
      <c r="IA24" s="518">
        <v>0</v>
      </c>
      <c r="IB24" s="518">
        <v>0</v>
      </c>
      <c r="IC24" s="518">
        <v>0</v>
      </c>
      <c r="ID24" s="518">
        <v>0</v>
      </c>
      <c r="IE24" s="518">
        <v>0</v>
      </c>
      <c r="IF24" s="518">
        <v>0</v>
      </c>
      <c r="IG24" s="518">
        <v>0</v>
      </c>
      <c r="IH24" s="518">
        <v>0</v>
      </c>
      <c r="II24" s="518">
        <v>0</v>
      </c>
      <c r="IJ24" s="518">
        <v>0</v>
      </c>
      <c r="IK24" s="518">
        <v>0</v>
      </c>
    </row>
    <row r="25" spans="1:245" ht="16.5" hidden="1">
      <c r="A25" s="517" t="s">
        <v>721</v>
      </c>
      <c r="B25" s="517" t="s">
        <v>1101</v>
      </c>
      <c r="C25" s="517" t="s">
        <v>721</v>
      </c>
      <c r="D25" s="558"/>
      <c r="E25" s="517" t="s">
        <v>721</v>
      </c>
      <c r="F25" s="517" t="s">
        <v>25</v>
      </c>
      <c r="G25" s="558"/>
      <c r="H25" s="518">
        <v>37</v>
      </c>
      <c r="I25" s="558"/>
      <c r="J25" s="494" t="str">
        <f t="shared" si="1"/>
        <v>SWUC100137</v>
      </c>
      <c r="K25" s="518">
        <v>146</v>
      </c>
      <c r="M25" s="517" t="s">
        <v>721</v>
      </c>
      <c r="N25" s="517" t="s">
        <v>1101</v>
      </c>
      <c r="O25" s="517" t="s">
        <v>25</v>
      </c>
      <c r="P25" s="518">
        <v>37</v>
      </c>
      <c r="Q25" s="494" t="str">
        <f t="shared" si="2"/>
        <v>SWUC100137</v>
      </c>
      <c r="R25" s="518">
        <v>0</v>
      </c>
      <c r="S25" s="518">
        <v>13</v>
      </c>
      <c r="T25" s="518">
        <v>25</v>
      </c>
      <c r="U25" s="518">
        <v>38</v>
      </c>
      <c r="V25" s="518">
        <v>50</v>
      </c>
      <c r="W25" s="518">
        <v>66</v>
      </c>
      <c r="X25" s="518">
        <v>84</v>
      </c>
      <c r="Y25" s="518">
        <v>103</v>
      </c>
      <c r="Z25" s="518">
        <v>124</v>
      </c>
      <c r="AA25" s="518">
        <v>0</v>
      </c>
      <c r="AB25" s="518">
        <v>0</v>
      </c>
      <c r="AC25" s="518">
        <v>0</v>
      </c>
      <c r="AD25" s="518">
        <v>0</v>
      </c>
      <c r="AE25" s="518">
        <v>0</v>
      </c>
      <c r="AF25" s="518">
        <v>0</v>
      </c>
      <c r="AG25" s="518">
        <v>0</v>
      </c>
      <c r="AH25" s="518">
        <v>0</v>
      </c>
      <c r="AI25" s="518">
        <v>0</v>
      </c>
      <c r="AJ25" s="518">
        <v>0</v>
      </c>
      <c r="AK25" s="518">
        <v>0</v>
      </c>
      <c r="AL25" s="518">
        <v>0</v>
      </c>
      <c r="AM25" s="518">
        <v>0</v>
      </c>
      <c r="AN25" s="518">
        <v>0</v>
      </c>
      <c r="AO25" s="518">
        <v>0</v>
      </c>
      <c r="AP25" s="518">
        <v>0</v>
      </c>
      <c r="AQ25" s="518">
        <v>0</v>
      </c>
      <c r="AR25" s="518">
        <v>0</v>
      </c>
      <c r="AS25" s="518">
        <v>0</v>
      </c>
      <c r="AT25" s="518">
        <v>0</v>
      </c>
      <c r="AU25" s="518">
        <v>0</v>
      </c>
      <c r="AV25" s="518">
        <v>0</v>
      </c>
      <c r="AW25" s="518">
        <v>0</v>
      </c>
      <c r="AX25" s="518">
        <v>0</v>
      </c>
      <c r="AY25" s="518">
        <v>0</v>
      </c>
      <c r="AZ25" s="518">
        <v>0</v>
      </c>
      <c r="BA25" s="518">
        <v>0</v>
      </c>
      <c r="BB25" s="518">
        <v>0</v>
      </c>
      <c r="BC25" s="518">
        <v>0</v>
      </c>
      <c r="BD25" s="518">
        <v>0</v>
      </c>
      <c r="BE25" s="518">
        <v>0</v>
      </c>
      <c r="BF25" s="518">
        <v>0</v>
      </c>
      <c r="BG25" s="518">
        <v>0</v>
      </c>
      <c r="BH25" s="518">
        <v>0</v>
      </c>
      <c r="BI25" s="518">
        <v>0</v>
      </c>
      <c r="BJ25" s="518">
        <v>0</v>
      </c>
      <c r="BK25" s="518">
        <v>0</v>
      </c>
      <c r="BL25" s="518">
        <v>0</v>
      </c>
      <c r="BM25" s="518">
        <v>0</v>
      </c>
      <c r="BN25" s="518">
        <v>0</v>
      </c>
      <c r="BO25" s="518">
        <v>0</v>
      </c>
      <c r="BP25" s="518">
        <v>0</v>
      </c>
      <c r="BQ25" s="518">
        <v>0</v>
      </c>
      <c r="BR25" s="518">
        <v>0</v>
      </c>
      <c r="BS25" s="518">
        <v>0</v>
      </c>
      <c r="BT25" s="518">
        <v>0</v>
      </c>
      <c r="BU25" s="518">
        <v>0</v>
      </c>
      <c r="BV25" s="518">
        <v>0</v>
      </c>
      <c r="BW25" s="518">
        <v>0</v>
      </c>
      <c r="BX25" s="518">
        <v>0</v>
      </c>
      <c r="BY25" s="518">
        <v>0</v>
      </c>
      <c r="BZ25" s="518">
        <v>0</v>
      </c>
      <c r="CA25" s="518">
        <v>0</v>
      </c>
      <c r="CB25" s="518">
        <v>0</v>
      </c>
      <c r="CC25" s="518">
        <v>0</v>
      </c>
      <c r="CD25" s="518">
        <v>0</v>
      </c>
      <c r="CE25" s="518">
        <v>0</v>
      </c>
      <c r="CF25" s="518">
        <v>0</v>
      </c>
      <c r="CG25" s="518">
        <v>0</v>
      </c>
      <c r="CH25" s="518">
        <v>0</v>
      </c>
      <c r="CI25" s="518">
        <v>0</v>
      </c>
      <c r="CJ25" s="518">
        <v>0</v>
      </c>
      <c r="CK25" s="518">
        <v>0</v>
      </c>
      <c r="CL25" s="518">
        <v>0</v>
      </c>
      <c r="CM25" s="518">
        <v>0</v>
      </c>
      <c r="CN25" s="518">
        <v>0</v>
      </c>
      <c r="CO25" s="518">
        <v>0</v>
      </c>
      <c r="CP25" s="518">
        <v>0</v>
      </c>
      <c r="CQ25" s="518">
        <v>0</v>
      </c>
      <c r="CR25" s="518">
        <v>0</v>
      </c>
      <c r="CS25" s="518">
        <v>0</v>
      </c>
      <c r="CT25" s="518">
        <v>0</v>
      </c>
      <c r="CU25" s="518">
        <v>0</v>
      </c>
      <c r="CV25" s="518">
        <v>0</v>
      </c>
      <c r="CW25" s="518">
        <v>0</v>
      </c>
      <c r="CX25" s="518">
        <v>0</v>
      </c>
      <c r="CY25" s="518">
        <v>0</v>
      </c>
      <c r="CZ25" s="518">
        <v>0</v>
      </c>
      <c r="DA25" s="518">
        <v>0</v>
      </c>
      <c r="DB25" s="518">
        <v>0</v>
      </c>
      <c r="DC25" s="518">
        <v>0</v>
      </c>
      <c r="DD25" s="518">
        <v>0</v>
      </c>
      <c r="DE25" s="518">
        <v>0</v>
      </c>
      <c r="DF25" s="518">
        <v>0</v>
      </c>
      <c r="DG25" s="518">
        <v>0</v>
      </c>
      <c r="DH25" s="518">
        <v>0</v>
      </c>
      <c r="DI25" s="518">
        <v>0</v>
      </c>
      <c r="DJ25" s="518">
        <v>0</v>
      </c>
      <c r="DK25" s="518">
        <v>0</v>
      </c>
      <c r="DL25" s="518">
        <v>0</v>
      </c>
      <c r="DM25" s="518">
        <v>0</v>
      </c>
      <c r="DN25" s="518">
        <v>0</v>
      </c>
      <c r="DO25" s="518">
        <v>0</v>
      </c>
      <c r="DP25" s="518">
        <v>0</v>
      </c>
      <c r="DQ25" s="518">
        <v>0</v>
      </c>
      <c r="DR25" s="518">
        <v>0</v>
      </c>
      <c r="DS25" s="518">
        <v>0</v>
      </c>
      <c r="DT25" s="518">
        <v>0</v>
      </c>
      <c r="DU25" s="518">
        <v>0</v>
      </c>
      <c r="DV25" s="518">
        <v>0</v>
      </c>
      <c r="DW25" s="518">
        <v>0</v>
      </c>
      <c r="DX25" s="518">
        <v>0</v>
      </c>
      <c r="DY25" s="477"/>
      <c r="DZ25" s="517" t="s">
        <v>721</v>
      </c>
      <c r="EA25" s="517" t="s">
        <v>1101</v>
      </c>
      <c r="EB25" s="517" t="s">
        <v>25</v>
      </c>
      <c r="EC25" s="518">
        <v>37</v>
      </c>
      <c r="ED25" s="494" t="str">
        <f t="shared" si="0"/>
        <v>SWUC100137</v>
      </c>
      <c r="EE25" s="518">
        <v>10000</v>
      </c>
      <c r="EF25" s="518">
        <v>10000</v>
      </c>
      <c r="EG25" s="518">
        <v>10000</v>
      </c>
      <c r="EH25" s="518">
        <v>10000</v>
      </c>
      <c r="EI25" s="518">
        <v>10000</v>
      </c>
      <c r="EJ25" s="518">
        <v>10000</v>
      </c>
      <c r="EK25" s="518">
        <v>10000</v>
      </c>
      <c r="EL25" s="518">
        <v>10000</v>
      </c>
      <c r="EM25" s="518">
        <v>10000</v>
      </c>
      <c r="EN25" s="518">
        <v>10000</v>
      </c>
      <c r="EO25" s="518">
        <v>0</v>
      </c>
      <c r="EP25" s="518">
        <v>0</v>
      </c>
      <c r="EQ25" s="518">
        <v>0</v>
      </c>
      <c r="ER25" s="518">
        <v>0</v>
      </c>
      <c r="ES25" s="518">
        <v>0</v>
      </c>
      <c r="ET25" s="518">
        <v>0</v>
      </c>
      <c r="EU25" s="518">
        <v>0</v>
      </c>
      <c r="EV25" s="518">
        <v>0</v>
      </c>
      <c r="EW25" s="518">
        <v>0</v>
      </c>
      <c r="EX25" s="518">
        <v>0</v>
      </c>
      <c r="EY25" s="518">
        <v>0</v>
      </c>
      <c r="EZ25" s="518">
        <v>0</v>
      </c>
      <c r="FA25" s="518">
        <v>0</v>
      </c>
      <c r="FB25" s="518">
        <v>0</v>
      </c>
      <c r="FC25" s="518">
        <v>0</v>
      </c>
      <c r="FD25" s="518">
        <v>0</v>
      </c>
      <c r="FE25" s="518">
        <v>0</v>
      </c>
      <c r="FF25" s="518">
        <v>0</v>
      </c>
      <c r="FG25" s="518">
        <v>0</v>
      </c>
      <c r="FH25" s="518">
        <v>0</v>
      </c>
      <c r="FI25" s="518">
        <v>0</v>
      </c>
      <c r="FJ25" s="518">
        <v>0</v>
      </c>
      <c r="FK25" s="518">
        <v>0</v>
      </c>
      <c r="FL25" s="518">
        <v>0</v>
      </c>
      <c r="FM25" s="518">
        <v>0</v>
      </c>
      <c r="FN25" s="518">
        <v>0</v>
      </c>
      <c r="FO25" s="518">
        <v>0</v>
      </c>
      <c r="FP25" s="518">
        <v>0</v>
      </c>
      <c r="FQ25" s="518">
        <v>0</v>
      </c>
      <c r="FR25" s="518">
        <v>0</v>
      </c>
      <c r="FS25" s="518">
        <v>0</v>
      </c>
      <c r="FT25" s="518">
        <v>0</v>
      </c>
      <c r="FU25" s="518">
        <v>0</v>
      </c>
      <c r="FV25" s="518">
        <v>0</v>
      </c>
      <c r="FW25" s="518">
        <v>0</v>
      </c>
      <c r="FX25" s="518">
        <v>0</v>
      </c>
      <c r="FY25" s="518">
        <v>0</v>
      </c>
      <c r="FZ25" s="518">
        <v>0</v>
      </c>
      <c r="GA25" s="518">
        <v>0</v>
      </c>
      <c r="GB25" s="518">
        <v>0</v>
      </c>
      <c r="GC25" s="518">
        <v>0</v>
      </c>
      <c r="GD25" s="518">
        <v>0</v>
      </c>
      <c r="GE25" s="518">
        <v>0</v>
      </c>
      <c r="GF25" s="518">
        <v>0</v>
      </c>
      <c r="GG25" s="518">
        <v>0</v>
      </c>
      <c r="GH25" s="518">
        <v>0</v>
      </c>
      <c r="GI25" s="518">
        <v>0</v>
      </c>
      <c r="GJ25" s="518">
        <v>0</v>
      </c>
      <c r="GK25" s="518">
        <v>0</v>
      </c>
      <c r="GL25" s="518">
        <v>0</v>
      </c>
      <c r="GM25" s="518">
        <v>0</v>
      </c>
      <c r="GN25" s="518">
        <v>0</v>
      </c>
      <c r="GO25" s="518">
        <v>0</v>
      </c>
      <c r="GP25" s="518">
        <v>0</v>
      </c>
      <c r="GQ25" s="518">
        <v>0</v>
      </c>
      <c r="GR25" s="518">
        <v>0</v>
      </c>
      <c r="GS25" s="518">
        <v>0</v>
      </c>
      <c r="GT25" s="518">
        <v>0</v>
      </c>
      <c r="GU25" s="518">
        <v>0</v>
      </c>
      <c r="GV25" s="518">
        <v>0</v>
      </c>
      <c r="GW25" s="518">
        <v>0</v>
      </c>
      <c r="GX25" s="518">
        <v>0</v>
      </c>
      <c r="GY25" s="518">
        <v>0</v>
      </c>
      <c r="GZ25" s="518">
        <v>0</v>
      </c>
      <c r="HA25" s="518">
        <v>0</v>
      </c>
      <c r="HB25" s="518">
        <v>0</v>
      </c>
      <c r="HC25" s="518">
        <v>0</v>
      </c>
      <c r="HD25" s="518">
        <v>0</v>
      </c>
      <c r="HE25" s="518">
        <v>0</v>
      </c>
      <c r="HF25" s="518">
        <v>0</v>
      </c>
      <c r="HG25" s="518">
        <v>0</v>
      </c>
      <c r="HH25" s="518">
        <v>0</v>
      </c>
      <c r="HI25" s="518">
        <v>0</v>
      </c>
      <c r="HJ25" s="518">
        <v>0</v>
      </c>
      <c r="HK25" s="518">
        <v>0</v>
      </c>
      <c r="HL25" s="518">
        <v>0</v>
      </c>
      <c r="HM25" s="518">
        <v>0</v>
      </c>
      <c r="HN25" s="518">
        <v>0</v>
      </c>
      <c r="HO25" s="518">
        <v>0</v>
      </c>
      <c r="HP25" s="518">
        <v>0</v>
      </c>
      <c r="HQ25" s="518">
        <v>0</v>
      </c>
      <c r="HR25" s="518">
        <v>0</v>
      </c>
      <c r="HS25" s="518">
        <v>0</v>
      </c>
      <c r="HT25" s="518">
        <v>0</v>
      </c>
      <c r="HU25" s="518">
        <v>0</v>
      </c>
      <c r="HV25" s="518">
        <v>0</v>
      </c>
      <c r="HW25" s="518">
        <v>0</v>
      </c>
      <c r="HX25" s="518">
        <v>0</v>
      </c>
      <c r="HY25" s="518">
        <v>0</v>
      </c>
      <c r="HZ25" s="518">
        <v>0</v>
      </c>
      <c r="IA25" s="518">
        <v>0</v>
      </c>
      <c r="IB25" s="518">
        <v>0</v>
      </c>
      <c r="IC25" s="518">
        <v>0</v>
      </c>
      <c r="ID25" s="518">
        <v>0</v>
      </c>
      <c r="IE25" s="518">
        <v>0</v>
      </c>
      <c r="IF25" s="518">
        <v>0</v>
      </c>
      <c r="IG25" s="518">
        <v>0</v>
      </c>
      <c r="IH25" s="518">
        <v>0</v>
      </c>
      <c r="II25" s="518">
        <v>0</v>
      </c>
      <c r="IJ25" s="518">
        <v>0</v>
      </c>
      <c r="IK25" s="518">
        <v>0</v>
      </c>
    </row>
    <row r="26" spans="1:245" ht="16.5" hidden="1">
      <c r="A26" s="517" t="s">
        <v>721</v>
      </c>
      <c r="B26" s="517" t="s">
        <v>1101</v>
      </c>
      <c r="C26" s="517" t="s">
        <v>721</v>
      </c>
      <c r="D26" s="558"/>
      <c r="E26" s="517" t="s">
        <v>721</v>
      </c>
      <c r="F26" s="517" t="s">
        <v>25</v>
      </c>
      <c r="G26" s="558"/>
      <c r="H26" s="518">
        <v>38</v>
      </c>
      <c r="I26" s="558"/>
      <c r="J26" s="494" t="str">
        <f t="shared" si="1"/>
        <v>SWUC100138</v>
      </c>
      <c r="K26" s="518">
        <v>154</v>
      </c>
      <c r="M26" s="517" t="s">
        <v>721</v>
      </c>
      <c r="N26" s="517" t="s">
        <v>1101</v>
      </c>
      <c r="O26" s="517" t="s">
        <v>25</v>
      </c>
      <c r="P26" s="518">
        <v>38</v>
      </c>
      <c r="Q26" s="494" t="str">
        <f t="shared" si="2"/>
        <v>SWUC100138</v>
      </c>
      <c r="R26" s="518">
        <v>0</v>
      </c>
      <c r="S26" s="518">
        <v>13</v>
      </c>
      <c r="T26" s="518">
        <v>26</v>
      </c>
      <c r="U26" s="518">
        <v>40</v>
      </c>
      <c r="V26" s="518">
        <v>53</v>
      </c>
      <c r="W26" s="518">
        <v>70</v>
      </c>
      <c r="X26" s="518">
        <v>88</v>
      </c>
      <c r="Y26" s="518">
        <v>109</v>
      </c>
      <c r="Z26" s="518">
        <v>130</v>
      </c>
      <c r="AA26" s="518">
        <v>0</v>
      </c>
      <c r="AB26" s="518">
        <v>0</v>
      </c>
      <c r="AC26" s="518">
        <v>0</v>
      </c>
      <c r="AD26" s="518">
        <v>0</v>
      </c>
      <c r="AE26" s="518">
        <v>0</v>
      </c>
      <c r="AF26" s="518">
        <v>0</v>
      </c>
      <c r="AG26" s="518">
        <v>0</v>
      </c>
      <c r="AH26" s="518">
        <v>0</v>
      </c>
      <c r="AI26" s="518">
        <v>0</v>
      </c>
      <c r="AJ26" s="518">
        <v>0</v>
      </c>
      <c r="AK26" s="518">
        <v>0</v>
      </c>
      <c r="AL26" s="518">
        <v>0</v>
      </c>
      <c r="AM26" s="518">
        <v>0</v>
      </c>
      <c r="AN26" s="518">
        <v>0</v>
      </c>
      <c r="AO26" s="518">
        <v>0</v>
      </c>
      <c r="AP26" s="518">
        <v>0</v>
      </c>
      <c r="AQ26" s="518">
        <v>0</v>
      </c>
      <c r="AR26" s="518">
        <v>0</v>
      </c>
      <c r="AS26" s="518">
        <v>0</v>
      </c>
      <c r="AT26" s="518">
        <v>0</v>
      </c>
      <c r="AU26" s="518">
        <v>0</v>
      </c>
      <c r="AV26" s="518">
        <v>0</v>
      </c>
      <c r="AW26" s="518">
        <v>0</v>
      </c>
      <c r="AX26" s="518">
        <v>0</v>
      </c>
      <c r="AY26" s="518">
        <v>0</v>
      </c>
      <c r="AZ26" s="518">
        <v>0</v>
      </c>
      <c r="BA26" s="518">
        <v>0</v>
      </c>
      <c r="BB26" s="518">
        <v>0</v>
      </c>
      <c r="BC26" s="518">
        <v>0</v>
      </c>
      <c r="BD26" s="518">
        <v>0</v>
      </c>
      <c r="BE26" s="518">
        <v>0</v>
      </c>
      <c r="BF26" s="518">
        <v>0</v>
      </c>
      <c r="BG26" s="518">
        <v>0</v>
      </c>
      <c r="BH26" s="518">
        <v>0</v>
      </c>
      <c r="BI26" s="518">
        <v>0</v>
      </c>
      <c r="BJ26" s="518">
        <v>0</v>
      </c>
      <c r="BK26" s="518">
        <v>0</v>
      </c>
      <c r="BL26" s="518">
        <v>0</v>
      </c>
      <c r="BM26" s="518">
        <v>0</v>
      </c>
      <c r="BN26" s="518">
        <v>0</v>
      </c>
      <c r="BO26" s="518">
        <v>0</v>
      </c>
      <c r="BP26" s="518">
        <v>0</v>
      </c>
      <c r="BQ26" s="518">
        <v>0</v>
      </c>
      <c r="BR26" s="518">
        <v>0</v>
      </c>
      <c r="BS26" s="518">
        <v>0</v>
      </c>
      <c r="BT26" s="518">
        <v>0</v>
      </c>
      <c r="BU26" s="518">
        <v>0</v>
      </c>
      <c r="BV26" s="518">
        <v>0</v>
      </c>
      <c r="BW26" s="518">
        <v>0</v>
      </c>
      <c r="BX26" s="518">
        <v>0</v>
      </c>
      <c r="BY26" s="518">
        <v>0</v>
      </c>
      <c r="BZ26" s="518">
        <v>0</v>
      </c>
      <c r="CA26" s="518">
        <v>0</v>
      </c>
      <c r="CB26" s="518">
        <v>0</v>
      </c>
      <c r="CC26" s="518">
        <v>0</v>
      </c>
      <c r="CD26" s="518">
        <v>0</v>
      </c>
      <c r="CE26" s="518">
        <v>0</v>
      </c>
      <c r="CF26" s="518">
        <v>0</v>
      </c>
      <c r="CG26" s="518">
        <v>0</v>
      </c>
      <c r="CH26" s="518">
        <v>0</v>
      </c>
      <c r="CI26" s="518">
        <v>0</v>
      </c>
      <c r="CJ26" s="518">
        <v>0</v>
      </c>
      <c r="CK26" s="518">
        <v>0</v>
      </c>
      <c r="CL26" s="518">
        <v>0</v>
      </c>
      <c r="CM26" s="518">
        <v>0</v>
      </c>
      <c r="CN26" s="518">
        <v>0</v>
      </c>
      <c r="CO26" s="518">
        <v>0</v>
      </c>
      <c r="CP26" s="518">
        <v>0</v>
      </c>
      <c r="CQ26" s="518">
        <v>0</v>
      </c>
      <c r="CR26" s="518">
        <v>0</v>
      </c>
      <c r="CS26" s="518">
        <v>0</v>
      </c>
      <c r="CT26" s="518">
        <v>0</v>
      </c>
      <c r="CU26" s="518">
        <v>0</v>
      </c>
      <c r="CV26" s="518">
        <v>0</v>
      </c>
      <c r="CW26" s="518">
        <v>0</v>
      </c>
      <c r="CX26" s="518">
        <v>0</v>
      </c>
      <c r="CY26" s="518">
        <v>0</v>
      </c>
      <c r="CZ26" s="518">
        <v>0</v>
      </c>
      <c r="DA26" s="518">
        <v>0</v>
      </c>
      <c r="DB26" s="518">
        <v>0</v>
      </c>
      <c r="DC26" s="518">
        <v>0</v>
      </c>
      <c r="DD26" s="518">
        <v>0</v>
      </c>
      <c r="DE26" s="518">
        <v>0</v>
      </c>
      <c r="DF26" s="518">
        <v>0</v>
      </c>
      <c r="DG26" s="518">
        <v>0</v>
      </c>
      <c r="DH26" s="518">
        <v>0</v>
      </c>
      <c r="DI26" s="518">
        <v>0</v>
      </c>
      <c r="DJ26" s="518">
        <v>0</v>
      </c>
      <c r="DK26" s="518">
        <v>0</v>
      </c>
      <c r="DL26" s="518">
        <v>0</v>
      </c>
      <c r="DM26" s="518">
        <v>0</v>
      </c>
      <c r="DN26" s="518">
        <v>0</v>
      </c>
      <c r="DO26" s="518">
        <v>0</v>
      </c>
      <c r="DP26" s="518">
        <v>0</v>
      </c>
      <c r="DQ26" s="518">
        <v>0</v>
      </c>
      <c r="DR26" s="518">
        <v>0</v>
      </c>
      <c r="DS26" s="518">
        <v>0</v>
      </c>
      <c r="DT26" s="518">
        <v>0</v>
      </c>
      <c r="DU26" s="518">
        <v>0</v>
      </c>
      <c r="DV26" s="518">
        <v>0</v>
      </c>
      <c r="DW26" s="518">
        <v>0</v>
      </c>
      <c r="DX26" s="518">
        <v>0</v>
      </c>
      <c r="DY26" s="477"/>
      <c r="DZ26" s="517" t="s">
        <v>721</v>
      </c>
      <c r="EA26" s="517" t="s">
        <v>1101</v>
      </c>
      <c r="EB26" s="517" t="s">
        <v>25</v>
      </c>
      <c r="EC26" s="518">
        <v>38</v>
      </c>
      <c r="ED26" s="494" t="str">
        <f t="shared" si="0"/>
        <v>SWUC100138</v>
      </c>
      <c r="EE26" s="518">
        <v>10000</v>
      </c>
      <c r="EF26" s="518">
        <v>10000</v>
      </c>
      <c r="EG26" s="518">
        <v>10000</v>
      </c>
      <c r="EH26" s="518">
        <v>10000</v>
      </c>
      <c r="EI26" s="518">
        <v>10000</v>
      </c>
      <c r="EJ26" s="518">
        <v>10000</v>
      </c>
      <c r="EK26" s="518">
        <v>10000</v>
      </c>
      <c r="EL26" s="518">
        <v>10000</v>
      </c>
      <c r="EM26" s="518">
        <v>10000</v>
      </c>
      <c r="EN26" s="518">
        <v>10000</v>
      </c>
      <c r="EO26" s="518">
        <v>0</v>
      </c>
      <c r="EP26" s="518">
        <v>0</v>
      </c>
      <c r="EQ26" s="518">
        <v>0</v>
      </c>
      <c r="ER26" s="518">
        <v>0</v>
      </c>
      <c r="ES26" s="518">
        <v>0</v>
      </c>
      <c r="ET26" s="518">
        <v>0</v>
      </c>
      <c r="EU26" s="518">
        <v>0</v>
      </c>
      <c r="EV26" s="518">
        <v>0</v>
      </c>
      <c r="EW26" s="518">
        <v>0</v>
      </c>
      <c r="EX26" s="518">
        <v>0</v>
      </c>
      <c r="EY26" s="518">
        <v>0</v>
      </c>
      <c r="EZ26" s="518">
        <v>0</v>
      </c>
      <c r="FA26" s="518">
        <v>0</v>
      </c>
      <c r="FB26" s="518">
        <v>0</v>
      </c>
      <c r="FC26" s="518">
        <v>0</v>
      </c>
      <c r="FD26" s="518">
        <v>0</v>
      </c>
      <c r="FE26" s="518">
        <v>0</v>
      </c>
      <c r="FF26" s="518">
        <v>0</v>
      </c>
      <c r="FG26" s="518">
        <v>0</v>
      </c>
      <c r="FH26" s="518">
        <v>0</v>
      </c>
      <c r="FI26" s="518">
        <v>0</v>
      </c>
      <c r="FJ26" s="518">
        <v>0</v>
      </c>
      <c r="FK26" s="518">
        <v>0</v>
      </c>
      <c r="FL26" s="518">
        <v>0</v>
      </c>
      <c r="FM26" s="518">
        <v>0</v>
      </c>
      <c r="FN26" s="518">
        <v>0</v>
      </c>
      <c r="FO26" s="518">
        <v>0</v>
      </c>
      <c r="FP26" s="518">
        <v>0</v>
      </c>
      <c r="FQ26" s="518">
        <v>0</v>
      </c>
      <c r="FR26" s="518">
        <v>0</v>
      </c>
      <c r="FS26" s="518">
        <v>0</v>
      </c>
      <c r="FT26" s="518">
        <v>0</v>
      </c>
      <c r="FU26" s="518">
        <v>0</v>
      </c>
      <c r="FV26" s="518">
        <v>0</v>
      </c>
      <c r="FW26" s="518">
        <v>0</v>
      </c>
      <c r="FX26" s="518">
        <v>0</v>
      </c>
      <c r="FY26" s="518">
        <v>0</v>
      </c>
      <c r="FZ26" s="518">
        <v>0</v>
      </c>
      <c r="GA26" s="518">
        <v>0</v>
      </c>
      <c r="GB26" s="518">
        <v>0</v>
      </c>
      <c r="GC26" s="518">
        <v>0</v>
      </c>
      <c r="GD26" s="518">
        <v>0</v>
      </c>
      <c r="GE26" s="518">
        <v>0</v>
      </c>
      <c r="GF26" s="518">
        <v>0</v>
      </c>
      <c r="GG26" s="518">
        <v>0</v>
      </c>
      <c r="GH26" s="518">
        <v>0</v>
      </c>
      <c r="GI26" s="518">
        <v>0</v>
      </c>
      <c r="GJ26" s="518">
        <v>0</v>
      </c>
      <c r="GK26" s="518">
        <v>0</v>
      </c>
      <c r="GL26" s="518">
        <v>0</v>
      </c>
      <c r="GM26" s="518">
        <v>0</v>
      </c>
      <c r="GN26" s="518">
        <v>0</v>
      </c>
      <c r="GO26" s="518">
        <v>0</v>
      </c>
      <c r="GP26" s="518">
        <v>0</v>
      </c>
      <c r="GQ26" s="518">
        <v>0</v>
      </c>
      <c r="GR26" s="518">
        <v>0</v>
      </c>
      <c r="GS26" s="518">
        <v>0</v>
      </c>
      <c r="GT26" s="518">
        <v>0</v>
      </c>
      <c r="GU26" s="518">
        <v>0</v>
      </c>
      <c r="GV26" s="518">
        <v>0</v>
      </c>
      <c r="GW26" s="518">
        <v>0</v>
      </c>
      <c r="GX26" s="518">
        <v>0</v>
      </c>
      <c r="GY26" s="518">
        <v>0</v>
      </c>
      <c r="GZ26" s="518">
        <v>0</v>
      </c>
      <c r="HA26" s="518">
        <v>0</v>
      </c>
      <c r="HB26" s="518">
        <v>0</v>
      </c>
      <c r="HC26" s="518">
        <v>0</v>
      </c>
      <c r="HD26" s="518">
        <v>0</v>
      </c>
      <c r="HE26" s="518">
        <v>0</v>
      </c>
      <c r="HF26" s="518">
        <v>0</v>
      </c>
      <c r="HG26" s="518">
        <v>0</v>
      </c>
      <c r="HH26" s="518">
        <v>0</v>
      </c>
      <c r="HI26" s="518">
        <v>0</v>
      </c>
      <c r="HJ26" s="518">
        <v>0</v>
      </c>
      <c r="HK26" s="518">
        <v>0</v>
      </c>
      <c r="HL26" s="518">
        <v>0</v>
      </c>
      <c r="HM26" s="518">
        <v>0</v>
      </c>
      <c r="HN26" s="518">
        <v>0</v>
      </c>
      <c r="HO26" s="518">
        <v>0</v>
      </c>
      <c r="HP26" s="518">
        <v>0</v>
      </c>
      <c r="HQ26" s="518">
        <v>0</v>
      </c>
      <c r="HR26" s="518">
        <v>0</v>
      </c>
      <c r="HS26" s="518">
        <v>0</v>
      </c>
      <c r="HT26" s="518">
        <v>0</v>
      </c>
      <c r="HU26" s="518">
        <v>0</v>
      </c>
      <c r="HV26" s="518">
        <v>0</v>
      </c>
      <c r="HW26" s="518">
        <v>0</v>
      </c>
      <c r="HX26" s="518">
        <v>0</v>
      </c>
      <c r="HY26" s="518">
        <v>0</v>
      </c>
      <c r="HZ26" s="518">
        <v>0</v>
      </c>
      <c r="IA26" s="518">
        <v>0</v>
      </c>
      <c r="IB26" s="518">
        <v>0</v>
      </c>
      <c r="IC26" s="518">
        <v>0</v>
      </c>
      <c r="ID26" s="518">
        <v>0</v>
      </c>
      <c r="IE26" s="518">
        <v>0</v>
      </c>
      <c r="IF26" s="518">
        <v>0</v>
      </c>
      <c r="IG26" s="518">
        <v>0</v>
      </c>
      <c r="IH26" s="518">
        <v>0</v>
      </c>
      <c r="II26" s="518">
        <v>0</v>
      </c>
      <c r="IJ26" s="518">
        <v>0</v>
      </c>
      <c r="IK26" s="518">
        <v>0</v>
      </c>
    </row>
    <row r="27" spans="1:245" ht="16.5" hidden="1">
      <c r="A27" s="517" t="s">
        <v>721</v>
      </c>
      <c r="B27" s="517" t="s">
        <v>1101</v>
      </c>
      <c r="C27" s="517" t="s">
        <v>721</v>
      </c>
      <c r="D27" s="558"/>
      <c r="E27" s="517" t="s">
        <v>721</v>
      </c>
      <c r="F27" s="517" t="s">
        <v>25</v>
      </c>
      <c r="G27" s="558"/>
      <c r="H27" s="518">
        <v>39</v>
      </c>
      <c r="I27" s="558"/>
      <c r="J27" s="494" t="str">
        <f t="shared" si="1"/>
        <v>SWUC100139</v>
      </c>
      <c r="K27" s="518">
        <v>162</v>
      </c>
      <c r="M27" s="517" t="s">
        <v>721</v>
      </c>
      <c r="N27" s="517" t="s">
        <v>1101</v>
      </c>
      <c r="O27" s="517" t="s">
        <v>25</v>
      </c>
      <c r="P27" s="518">
        <v>39</v>
      </c>
      <c r="Q27" s="494" t="str">
        <f t="shared" si="2"/>
        <v>SWUC100139</v>
      </c>
      <c r="R27" s="518">
        <v>0</v>
      </c>
      <c r="S27" s="518">
        <v>14</v>
      </c>
      <c r="T27" s="518">
        <v>29</v>
      </c>
      <c r="U27" s="518">
        <v>42</v>
      </c>
      <c r="V27" s="518">
        <v>56</v>
      </c>
      <c r="W27" s="518">
        <v>74</v>
      </c>
      <c r="X27" s="518">
        <v>94</v>
      </c>
      <c r="Y27" s="518">
        <v>114</v>
      </c>
      <c r="Z27" s="518">
        <v>137</v>
      </c>
      <c r="AA27" s="518">
        <v>0</v>
      </c>
      <c r="AB27" s="518">
        <v>0</v>
      </c>
      <c r="AC27" s="518">
        <v>0</v>
      </c>
      <c r="AD27" s="518">
        <v>0</v>
      </c>
      <c r="AE27" s="518">
        <v>0</v>
      </c>
      <c r="AF27" s="518">
        <v>0</v>
      </c>
      <c r="AG27" s="518">
        <v>0</v>
      </c>
      <c r="AH27" s="518">
        <v>0</v>
      </c>
      <c r="AI27" s="518">
        <v>0</v>
      </c>
      <c r="AJ27" s="518">
        <v>0</v>
      </c>
      <c r="AK27" s="518">
        <v>0</v>
      </c>
      <c r="AL27" s="518">
        <v>0</v>
      </c>
      <c r="AM27" s="518">
        <v>0</v>
      </c>
      <c r="AN27" s="518">
        <v>0</v>
      </c>
      <c r="AO27" s="518">
        <v>0</v>
      </c>
      <c r="AP27" s="518">
        <v>0</v>
      </c>
      <c r="AQ27" s="518">
        <v>0</v>
      </c>
      <c r="AR27" s="518">
        <v>0</v>
      </c>
      <c r="AS27" s="518">
        <v>0</v>
      </c>
      <c r="AT27" s="518">
        <v>0</v>
      </c>
      <c r="AU27" s="518">
        <v>0</v>
      </c>
      <c r="AV27" s="518">
        <v>0</v>
      </c>
      <c r="AW27" s="518">
        <v>0</v>
      </c>
      <c r="AX27" s="518">
        <v>0</v>
      </c>
      <c r="AY27" s="518">
        <v>0</v>
      </c>
      <c r="AZ27" s="518">
        <v>0</v>
      </c>
      <c r="BA27" s="518">
        <v>0</v>
      </c>
      <c r="BB27" s="518">
        <v>0</v>
      </c>
      <c r="BC27" s="518">
        <v>0</v>
      </c>
      <c r="BD27" s="518">
        <v>0</v>
      </c>
      <c r="BE27" s="518">
        <v>0</v>
      </c>
      <c r="BF27" s="518">
        <v>0</v>
      </c>
      <c r="BG27" s="518">
        <v>0</v>
      </c>
      <c r="BH27" s="518">
        <v>0</v>
      </c>
      <c r="BI27" s="518">
        <v>0</v>
      </c>
      <c r="BJ27" s="518">
        <v>0</v>
      </c>
      <c r="BK27" s="518">
        <v>0</v>
      </c>
      <c r="BL27" s="518">
        <v>0</v>
      </c>
      <c r="BM27" s="518">
        <v>0</v>
      </c>
      <c r="BN27" s="518">
        <v>0</v>
      </c>
      <c r="BO27" s="518">
        <v>0</v>
      </c>
      <c r="BP27" s="518">
        <v>0</v>
      </c>
      <c r="BQ27" s="518">
        <v>0</v>
      </c>
      <c r="BR27" s="518">
        <v>0</v>
      </c>
      <c r="BS27" s="518">
        <v>0</v>
      </c>
      <c r="BT27" s="518">
        <v>0</v>
      </c>
      <c r="BU27" s="518">
        <v>0</v>
      </c>
      <c r="BV27" s="518">
        <v>0</v>
      </c>
      <c r="BW27" s="518">
        <v>0</v>
      </c>
      <c r="BX27" s="518">
        <v>0</v>
      </c>
      <c r="BY27" s="518">
        <v>0</v>
      </c>
      <c r="BZ27" s="518">
        <v>0</v>
      </c>
      <c r="CA27" s="518">
        <v>0</v>
      </c>
      <c r="CB27" s="518">
        <v>0</v>
      </c>
      <c r="CC27" s="518">
        <v>0</v>
      </c>
      <c r="CD27" s="518">
        <v>0</v>
      </c>
      <c r="CE27" s="518">
        <v>0</v>
      </c>
      <c r="CF27" s="518">
        <v>0</v>
      </c>
      <c r="CG27" s="518">
        <v>0</v>
      </c>
      <c r="CH27" s="518">
        <v>0</v>
      </c>
      <c r="CI27" s="518">
        <v>0</v>
      </c>
      <c r="CJ27" s="518">
        <v>0</v>
      </c>
      <c r="CK27" s="518">
        <v>0</v>
      </c>
      <c r="CL27" s="518">
        <v>0</v>
      </c>
      <c r="CM27" s="518">
        <v>0</v>
      </c>
      <c r="CN27" s="518">
        <v>0</v>
      </c>
      <c r="CO27" s="518">
        <v>0</v>
      </c>
      <c r="CP27" s="518">
        <v>0</v>
      </c>
      <c r="CQ27" s="518">
        <v>0</v>
      </c>
      <c r="CR27" s="518">
        <v>0</v>
      </c>
      <c r="CS27" s="518">
        <v>0</v>
      </c>
      <c r="CT27" s="518">
        <v>0</v>
      </c>
      <c r="CU27" s="518">
        <v>0</v>
      </c>
      <c r="CV27" s="518">
        <v>0</v>
      </c>
      <c r="CW27" s="518">
        <v>0</v>
      </c>
      <c r="CX27" s="518">
        <v>0</v>
      </c>
      <c r="CY27" s="518">
        <v>0</v>
      </c>
      <c r="CZ27" s="518">
        <v>0</v>
      </c>
      <c r="DA27" s="518">
        <v>0</v>
      </c>
      <c r="DB27" s="518">
        <v>0</v>
      </c>
      <c r="DC27" s="518">
        <v>0</v>
      </c>
      <c r="DD27" s="518">
        <v>0</v>
      </c>
      <c r="DE27" s="518">
        <v>0</v>
      </c>
      <c r="DF27" s="518">
        <v>0</v>
      </c>
      <c r="DG27" s="518">
        <v>0</v>
      </c>
      <c r="DH27" s="518">
        <v>0</v>
      </c>
      <c r="DI27" s="518">
        <v>0</v>
      </c>
      <c r="DJ27" s="518">
        <v>0</v>
      </c>
      <c r="DK27" s="518">
        <v>0</v>
      </c>
      <c r="DL27" s="518">
        <v>0</v>
      </c>
      <c r="DM27" s="518">
        <v>0</v>
      </c>
      <c r="DN27" s="518">
        <v>0</v>
      </c>
      <c r="DO27" s="518">
        <v>0</v>
      </c>
      <c r="DP27" s="518">
        <v>0</v>
      </c>
      <c r="DQ27" s="518">
        <v>0</v>
      </c>
      <c r="DR27" s="518">
        <v>0</v>
      </c>
      <c r="DS27" s="518">
        <v>0</v>
      </c>
      <c r="DT27" s="518">
        <v>0</v>
      </c>
      <c r="DU27" s="518">
        <v>0</v>
      </c>
      <c r="DV27" s="518">
        <v>0</v>
      </c>
      <c r="DW27" s="518">
        <v>0</v>
      </c>
      <c r="DX27" s="518">
        <v>0</v>
      </c>
      <c r="DY27" s="477"/>
      <c r="DZ27" s="517" t="s">
        <v>721</v>
      </c>
      <c r="EA27" s="517" t="s">
        <v>1101</v>
      </c>
      <c r="EB27" s="517" t="s">
        <v>25</v>
      </c>
      <c r="EC27" s="518">
        <v>39</v>
      </c>
      <c r="ED27" s="494" t="str">
        <f t="shared" si="0"/>
        <v>SWUC100139</v>
      </c>
      <c r="EE27" s="518">
        <v>10000</v>
      </c>
      <c r="EF27" s="518">
        <v>10000</v>
      </c>
      <c r="EG27" s="518">
        <v>10000</v>
      </c>
      <c r="EH27" s="518">
        <v>10000</v>
      </c>
      <c r="EI27" s="518">
        <v>10000</v>
      </c>
      <c r="EJ27" s="518">
        <v>10000</v>
      </c>
      <c r="EK27" s="518">
        <v>10000</v>
      </c>
      <c r="EL27" s="518">
        <v>10000</v>
      </c>
      <c r="EM27" s="518">
        <v>10000</v>
      </c>
      <c r="EN27" s="518">
        <v>10000</v>
      </c>
      <c r="EO27" s="518">
        <v>0</v>
      </c>
      <c r="EP27" s="518">
        <v>0</v>
      </c>
      <c r="EQ27" s="518">
        <v>0</v>
      </c>
      <c r="ER27" s="518">
        <v>0</v>
      </c>
      <c r="ES27" s="518">
        <v>0</v>
      </c>
      <c r="ET27" s="518">
        <v>0</v>
      </c>
      <c r="EU27" s="518">
        <v>0</v>
      </c>
      <c r="EV27" s="518">
        <v>0</v>
      </c>
      <c r="EW27" s="518">
        <v>0</v>
      </c>
      <c r="EX27" s="518">
        <v>0</v>
      </c>
      <c r="EY27" s="518">
        <v>0</v>
      </c>
      <c r="EZ27" s="518">
        <v>0</v>
      </c>
      <c r="FA27" s="518">
        <v>0</v>
      </c>
      <c r="FB27" s="518">
        <v>0</v>
      </c>
      <c r="FC27" s="518">
        <v>0</v>
      </c>
      <c r="FD27" s="518">
        <v>0</v>
      </c>
      <c r="FE27" s="518">
        <v>0</v>
      </c>
      <c r="FF27" s="518">
        <v>0</v>
      </c>
      <c r="FG27" s="518">
        <v>0</v>
      </c>
      <c r="FH27" s="518">
        <v>0</v>
      </c>
      <c r="FI27" s="518">
        <v>0</v>
      </c>
      <c r="FJ27" s="518">
        <v>0</v>
      </c>
      <c r="FK27" s="518">
        <v>0</v>
      </c>
      <c r="FL27" s="518">
        <v>0</v>
      </c>
      <c r="FM27" s="518">
        <v>0</v>
      </c>
      <c r="FN27" s="518">
        <v>0</v>
      </c>
      <c r="FO27" s="518">
        <v>0</v>
      </c>
      <c r="FP27" s="518">
        <v>0</v>
      </c>
      <c r="FQ27" s="518">
        <v>0</v>
      </c>
      <c r="FR27" s="518">
        <v>0</v>
      </c>
      <c r="FS27" s="518">
        <v>0</v>
      </c>
      <c r="FT27" s="518">
        <v>0</v>
      </c>
      <c r="FU27" s="518">
        <v>0</v>
      </c>
      <c r="FV27" s="518">
        <v>0</v>
      </c>
      <c r="FW27" s="518">
        <v>0</v>
      </c>
      <c r="FX27" s="518">
        <v>0</v>
      </c>
      <c r="FY27" s="518">
        <v>0</v>
      </c>
      <c r="FZ27" s="518">
        <v>0</v>
      </c>
      <c r="GA27" s="518">
        <v>0</v>
      </c>
      <c r="GB27" s="518">
        <v>0</v>
      </c>
      <c r="GC27" s="518">
        <v>0</v>
      </c>
      <c r="GD27" s="518">
        <v>0</v>
      </c>
      <c r="GE27" s="518">
        <v>0</v>
      </c>
      <c r="GF27" s="518">
        <v>0</v>
      </c>
      <c r="GG27" s="518">
        <v>0</v>
      </c>
      <c r="GH27" s="518">
        <v>0</v>
      </c>
      <c r="GI27" s="518">
        <v>0</v>
      </c>
      <c r="GJ27" s="518">
        <v>0</v>
      </c>
      <c r="GK27" s="518">
        <v>0</v>
      </c>
      <c r="GL27" s="518">
        <v>0</v>
      </c>
      <c r="GM27" s="518">
        <v>0</v>
      </c>
      <c r="GN27" s="518">
        <v>0</v>
      </c>
      <c r="GO27" s="518">
        <v>0</v>
      </c>
      <c r="GP27" s="518">
        <v>0</v>
      </c>
      <c r="GQ27" s="518">
        <v>0</v>
      </c>
      <c r="GR27" s="518">
        <v>0</v>
      </c>
      <c r="GS27" s="518">
        <v>0</v>
      </c>
      <c r="GT27" s="518">
        <v>0</v>
      </c>
      <c r="GU27" s="518">
        <v>0</v>
      </c>
      <c r="GV27" s="518">
        <v>0</v>
      </c>
      <c r="GW27" s="518">
        <v>0</v>
      </c>
      <c r="GX27" s="518">
        <v>0</v>
      </c>
      <c r="GY27" s="518">
        <v>0</v>
      </c>
      <c r="GZ27" s="518">
        <v>0</v>
      </c>
      <c r="HA27" s="518">
        <v>0</v>
      </c>
      <c r="HB27" s="518">
        <v>0</v>
      </c>
      <c r="HC27" s="518">
        <v>0</v>
      </c>
      <c r="HD27" s="518">
        <v>0</v>
      </c>
      <c r="HE27" s="518">
        <v>0</v>
      </c>
      <c r="HF27" s="518">
        <v>0</v>
      </c>
      <c r="HG27" s="518">
        <v>0</v>
      </c>
      <c r="HH27" s="518">
        <v>0</v>
      </c>
      <c r="HI27" s="518">
        <v>0</v>
      </c>
      <c r="HJ27" s="518">
        <v>0</v>
      </c>
      <c r="HK27" s="518">
        <v>0</v>
      </c>
      <c r="HL27" s="518">
        <v>0</v>
      </c>
      <c r="HM27" s="518">
        <v>0</v>
      </c>
      <c r="HN27" s="518">
        <v>0</v>
      </c>
      <c r="HO27" s="518">
        <v>0</v>
      </c>
      <c r="HP27" s="518">
        <v>0</v>
      </c>
      <c r="HQ27" s="518">
        <v>0</v>
      </c>
      <c r="HR27" s="518">
        <v>0</v>
      </c>
      <c r="HS27" s="518">
        <v>0</v>
      </c>
      <c r="HT27" s="518">
        <v>0</v>
      </c>
      <c r="HU27" s="518">
        <v>0</v>
      </c>
      <c r="HV27" s="518">
        <v>0</v>
      </c>
      <c r="HW27" s="518">
        <v>0</v>
      </c>
      <c r="HX27" s="518">
        <v>0</v>
      </c>
      <c r="HY27" s="518">
        <v>0</v>
      </c>
      <c r="HZ27" s="518">
        <v>0</v>
      </c>
      <c r="IA27" s="518">
        <v>0</v>
      </c>
      <c r="IB27" s="518">
        <v>0</v>
      </c>
      <c r="IC27" s="518">
        <v>0</v>
      </c>
      <c r="ID27" s="518">
        <v>0</v>
      </c>
      <c r="IE27" s="518">
        <v>0</v>
      </c>
      <c r="IF27" s="518">
        <v>0</v>
      </c>
      <c r="IG27" s="518">
        <v>0</v>
      </c>
      <c r="IH27" s="518">
        <v>0</v>
      </c>
      <c r="II27" s="518">
        <v>0</v>
      </c>
      <c r="IJ27" s="518">
        <v>0</v>
      </c>
      <c r="IK27" s="518">
        <v>0</v>
      </c>
    </row>
    <row r="28" spans="1:245" ht="16.5" hidden="1">
      <c r="A28" s="517" t="s">
        <v>721</v>
      </c>
      <c r="B28" s="517" t="s">
        <v>1101</v>
      </c>
      <c r="C28" s="517" t="s">
        <v>721</v>
      </c>
      <c r="D28" s="558"/>
      <c r="E28" s="517" t="s">
        <v>721</v>
      </c>
      <c r="F28" s="517" t="s">
        <v>25</v>
      </c>
      <c r="G28" s="558"/>
      <c r="H28" s="518">
        <v>40</v>
      </c>
      <c r="I28" s="558"/>
      <c r="J28" s="494" t="str">
        <f t="shared" si="1"/>
        <v>SWUC100140</v>
      </c>
      <c r="K28" s="518">
        <v>168</v>
      </c>
      <c r="M28" s="517" t="s">
        <v>721</v>
      </c>
      <c r="N28" s="517" t="s">
        <v>1101</v>
      </c>
      <c r="O28" s="517" t="s">
        <v>25</v>
      </c>
      <c r="P28" s="518">
        <v>40</v>
      </c>
      <c r="Q28" s="494" t="str">
        <f t="shared" si="2"/>
        <v>SWUC100140</v>
      </c>
      <c r="R28" s="518">
        <v>0</v>
      </c>
      <c r="S28" s="518">
        <v>15</v>
      </c>
      <c r="T28" s="518">
        <v>29</v>
      </c>
      <c r="U28" s="518">
        <v>44</v>
      </c>
      <c r="V28" s="518">
        <v>58</v>
      </c>
      <c r="W28" s="518">
        <v>76</v>
      </c>
      <c r="X28" s="518">
        <v>96</v>
      </c>
      <c r="Y28" s="518">
        <v>118</v>
      </c>
      <c r="Z28" s="518">
        <v>142</v>
      </c>
      <c r="AA28" s="518">
        <v>0</v>
      </c>
      <c r="AB28" s="518">
        <v>0</v>
      </c>
      <c r="AC28" s="518">
        <v>0</v>
      </c>
      <c r="AD28" s="518">
        <v>0</v>
      </c>
      <c r="AE28" s="518">
        <v>0</v>
      </c>
      <c r="AF28" s="518">
        <v>0</v>
      </c>
      <c r="AG28" s="518">
        <v>0</v>
      </c>
      <c r="AH28" s="518">
        <v>0</v>
      </c>
      <c r="AI28" s="518">
        <v>0</v>
      </c>
      <c r="AJ28" s="518">
        <v>0</v>
      </c>
      <c r="AK28" s="518">
        <v>0</v>
      </c>
      <c r="AL28" s="518">
        <v>0</v>
      </c>
      <c r="AM28" s="518">
        <v>0</v>
      </c>
      <c r="AN28" s="518">
        <v>0</v>
      </c>
      <c r="AO28" s="518">
        <v>0</v>
      </c>
      <c r="AP28" s="518">
        <v>0</v>
      </c>
      <c r="AQ28" s="518">
        <v>0</v>
      </c>
      <c r="AR28" s="518">
        <v>0</v>
      </c>
      <c r="AS28" s="518">
        <v>0</v>
      </c>
      <c r="AT28" s="518">
        <v>0</v>
      </c>
      <c r="AU28" s="518">
        <v>0</v>
      </c>
      <c r="AV28" s="518">
        <v>0</v>
      </c>
      <c r="AW28" s="518">
        <v>0</v>
      </c>
      <c r="AX28" s="518">
        <v>0</v>
      </c>
      <c r="AY28" s="518">
        <v>0</v>
      </c>
      <c r="AZ28" s="518">
        <v>0</v>
      </c>
      <c r="BA28" s="518">
        <v>0</v>
      </c>
      <c r="BB28" s="518">
        <v>0</v>
      </c>
      <c r="BC28" s="518">
        <v>0</v>
      </c>
      <c r="BD28" s="518">
        <v>0</v>
      </c>
      <c r="BE28" s="518">
        <v>0</v>
      </c>
      <c r="BF28" s="518">
        <v>0</v>
      </c>
      <c r="BG28" s="518">
        <v>0</v>
      </c>
      <c r="BH28" s="518">
        <v>0</v>
      </c>
      <c r="BI28" s="518">
        <v>0</v>
      </c>
      <c r="BJ28" s="518">
        <v>0</v>
      </c>
      <c r="BK28" s="518">
        <v>0</v>
      </c>
      <c r="BL28" s="518">
        <v>0</v>
      </c>
      <c r="BM28" s="518">
        <v>0</v>
      </c>
      <c r="BN28" s="518">
        <v>0</v>
      </c>
      <c r="BO28" s="518">
        <v>0</v>
      </c>
      <c r="BP28" s="518">
        <v>0</v>
      </c>
      <c r="BQ28" s="518">
        <v>0</v>
      </c>
      <c r="BR28" s="518">
        <v>0</v>
      </c>
      <c r="BS28" s="518">
        <v>0</v>
      </c>
      <c r="BT28" s="518">
        <v>0</v>
      </c>
      <c r="BU28" s="518">
        <v>0</v>
      </c>
      <c r="BV28" s="518">
        <v>0</v>
      </c>
      <c r="BW28" s="518">
        <v>0</v>
      </c>
      <c r="BX28" s="518">
        <v>0</v>
      </c>
      <c r="BY28" s="518">
        <v>0</v>
      </c>
      <c r="BZ28" s="518">
        <v>0</v>
      </c>
      <c r="CA28" s="518">
        <v>0</v>
      </c>
      <c r="CB28" s="518">
        <v>0</v>
      </c>
      <c r="CC28" s="518">
        <v>0</v>
      </c>
      <c r="CD28" s="518">
        <v>0</v>
      </c>
      <c r="CE28" s="518">
        <v>0</v>
      </c>
      <c r="CF28" s="518">
        <v>0</v>
      </c>
      <c r="CG28" s="518">
        <v>0</v>
      </c>
      <c r="CH28" s="518">
        <v>0</v>
      </c>
      <c r="CI28" s="518">
        <v>0</v>
      </c>
      <c r="CJ28" s="518">
        <v>0</v>
      </c>
      <c r="CK28" s="518">
        <v>0</v>
      </c>
      <c r="CL28" s="518">
        <v>0</v>
      </c>
      <c r="CM28" s="518">
        <v>0</v>
      </c>
      <c r="CN28" s="518">
        <v>0</v>
      </c>
      <c r="CO28" s="518">
        <v>0</v>
      </c>
      <c r="CP28" s="518">
        <v>0</v>
      </c>
      <c r="CQ28" s="518">
        <v>0</v>
      </c>
      <c r="CR28" s="518">
        <v>0</v>
      </c>
      <c r="CS28" s="518">
        <v>0</v>
      </c>
      <c r="CT28" s="518">
        <v>0</v>
      </c>
      <c r="CU28" s="518">
        <v>0</v>
      </c>
      <c r="CV28" s="518">
        <v>0</v>
      </c>
      <c r="CW28" s="518">
        <v>0</v>
      </c>
      <c r="CX28" s="518">
        <v>0</v>
      </c>
      <c r="CY28" s="518">
        <v>0</v>
      </c>
      <c r="CZ28" s="518">
        <v>0</v>
      </c>
      <c r="DA28" s="518">
        <v>0</v>
      </c>
      <c r="DB28" s="518">
        <v>0</v>
      </c>
      <c r="DC28" s="518">
        <v>0</v>
      </c>
      <c r="DD28" s="518">
        <v>0</v>
      </c>
      <c r="DE28" s="518">
        <v>0</v>
      </c>
      <c r="DF28" s="518">
        <v>0</v>
      </c>
      <c r="DG28" s="518">
        <v>0</v>
      </c>
      <c r="DH28" s="518">
        <v>0</v>
      </c>
      <c r="DI28" s="518">
        <v>0</v>
      </c>
      <c r="DJ28" s="518">
        <v>0</v>
      </c>
      <c r="DK28" s="518">
        <v>0</v>
      </c>
      <c r="DL28" s="518">
        <v>0</v>
      </c>
      <c r="DM28" s="518">
        <v>0</v>
      </c>
      <c r="DN28" s="518">
        <v>0</v>
      </c>
      <c r="DO28" s="518">
        <v>0</v>
      </c>
      <c r="DP28" s="518">
        <v>0</v>
      </c>
      <c r="DQ28" s="518">
        <v>0</v>
      </c>
      <c r="DR28" s="518">
        <v>0</v>
      </c>
      <c r="DS28" s="518">
        <v>0</v>
      </c>
      <c r="DT28" s="518">
        <v>0</v>
      </c>
      <c r="DU28" s="518">
        <v>0</v>
      </c>
      <c r="DV28" s="518">
        <v>0</v>
      </c>
      <c r="DW28" s="518">
        <v>0</v>
      </c>
      <c r="DX28" s="518">
        <v>0</v>
      </c>
      <c r="DY28" s="477"/>
      <c r="DZ28" s="517" t="s">
        <v>721</v>
      </c>
      <c r="EA28" s="517" t="s">
        <v>1101</v>
      </c>
      <c r="EB28" s="517" t="s">
        <v>25</v>
      </c>
      <c r="EC28" s="518">
        <v>40</v>
      </c>
      <c r="ED28" s="494" t="str">
        <f t="shared" si="0"/>
        <v>SWUC100140</v>
      </c>
      <c r="EE28" s="518">
        <v>10000</v>
      </c>
      <c r="EF28" s="518">
        <v>10000</v>
      </c>
      <c r="EG28" s="518">
        <v>10000</v>
      </c>
      <c r="EH28" s="518">
        <v>10000</v>
      </c>
      <c r="EI28" s="518">
        <v>10000</v>
      </c>
      <c r="EJ28" s="518">
        <v>10000</v>
      </c>
      <c r="EK28" s="518">
        <v>10000</v>
      </c>
      <c r="EL28" s="518">
        <v>10000</v>
      </c>
      <c r="EM28" s="518">
        <v>10000</v>
      </c>
      <c r="EN28" s="518">
        <v>10000</v>
      </c>
      <c r="EO28" s="518">
        <v>0</v>
      </c>
      <c r="EP28" s="518">
        <v>0</v>
      </c>
      <c r="EQ28" s="518">
        <v>0</v>
      </c>
      <c r="ER28" s="518">
        <v>0</v>
      </c>
      <c r="ES28" s="518">
        <v>0</v>
      </c>
      <c r="ET28" s="518">
        <v>0</v>
      </c>
      <c r="EU28" s="518">
        <v>0</v>
      </c>
      <c r="EV28" s="518">
        <v>0</v>
      </c>
      <c r="EW28" s="518">
        <v>0</v>
      </c>
      <c r="EX28" s="518">
        <v>0</v>
      </c>
      <c r="EY28" s="518">
        <v>0</v>
      </c>
      <c r="EZ28" s="518">
        <v>0</v>
      </c>
      <c r="FA28" s="518">
        <v>0</v>
      </c>
      <c r="FB28" s="518">
        <v>0</v>
      </c>
      <c r="FC28" s="518">
        <v>0</v>
      </c>
      <c r="FD28" s="518">
        <v>0</v>
      </c>
      <c r="FE28" s="518">
        <v>0</v>
      </c>
      <c r="FF28" s="518">
        <v>0</v>
      </c>
      <c r="FG28" s="518">
        <v>0</v>
      </c>
      <c r="FH28" s="518">
        <v>0</v>
      </c>
      <c r="FI28" s="518">
        <v>0</v>
      </c>
      <c r="FJ28" s="518">
        <v>0</v>
      </c>
      <c r="FK28" s="518">
        <v>0</v>
      </c>
      <c r="FL28" s="518">
        <v>0</v>
      </c>
      <c r="FM28" s="518">
        <v>0</v>
      </c>
      <c r="FN28" s="518">
        <v>0</v>
      </c>
      <c r="FO28" s="518">
        <v>0</v>
      </c>
      <c r="FP28" s="518">
        <v>0</v>
      </c>
      <c r="FQ28" s="518">
        <v>0</v>
      </c>
      <c r="FR28" s="518">
        <v>0</v>
      </c>
      <c r="FS28" s="518">
        <v>0</v>
      </c>
      <c r="FT28" s="518">
        <v>0</v>
      </c>
      <c r="FU28" s="518">
        <v>0</v>
      </c>
      <c r="FV28" s="518">
        <v>0</v>
      </c>
      <c r="FW28" s="518">
        <v>0</v>
      </c>
      <c r="FX28" s="518">
        <v>0</v>
      </c>
      <c r="FY28" s="518">
        <v>0</v>
      </c>
      <c r="FZ28" s="518">
        <v>0</v>
      </c>
      <c r="GA28" s="518">
        <v>0</v>
      </c>
      <c r="GB28" s="518">
        <v>0</v>
      </c>
      <c r="GC28" s="518">
        <v>0</v>
      </c>
      <c r="GD28" s="518">
        <v>0</v>
      </c>
      <c r="GE28" s="518">
        <v>0</v>
      </c>
      <c r="GF28" s="518">
        <v>0</v>
      </c>
      <c r="GG28" s="518">
        <v>0</v>
      </c>
      <c r="GH28" s="518">
        <v>0</v>
      </c>
      <c r="GI28" s="518">
        <v>0</v>
      </c>
      <c r="GJ28" s="518">
        <v>0</v>
      </c>
      <c r="GK28" s="518">
        <v>0</v>
      </c>
      <c r="GL28" s="518">
        <v>0</v>
      </c>
      <c r="GM28" s="518">
        <v>0</v>
      </c>
      <c r="GN28" s="518">
        <v>0</v>
      </c>
      <c r="GO28" s="518">
        <v>0</v>
      </c>
      <c r="GP28" s="518">
        <v>0</v>
      </c>
      <c r="GQ28" s="518">
        <v>0</v>
      </c>
      <c r="GR28" s="518">
        <v>0</v>
      </c>
      <c r="GS28" s="518">
        <v>0</v>
      </c>
      <c r="GT28" s="518">
        <v>0</v>
      </c>
      <c r="GU28" s="518">
        <v>0</v>
      </c>
      <c r="GV28" s="518">
        <v>0</v>
      </c>
      <c r="GW28" s="518">
        <v>0</v>
      </c>
      <c r="GX28" s="518">
        <v>0</v>
      </c>
      <c r="GY28" s="518">
        <v>0</v>
      </c>
      <c r="GZ28" s="518">
        <v>0</v>
      </c>
      <c r="HA28" s="518">
        <v>0</v>
      </c>
      <c r="HB28" s="518">
        <v>0</v>
      </c>
      <c r="HC28" s="518">
        <v>0</v>
      </c>
      <c r="HD28" s="518">
        <v>0</v>
      </c>
      <c r="HE28" s="518">
        <v>0</v>
      </c>
      <c r="HF28" s="518">
        <v>0</v>
      </c>
      <c r="HG28" s="518">
        <v>0</v>
      </c>
      <c r="HH28" s="518">
        <v>0</v>
      </c>
      <c r="HI28" s="518">
        <v>0</v>
      </c>
      <c r="HJ28" s="518">
        <v>0</v>
      </c>
      <c r="HK28" s="518">
        <v>0</v>
      </c>
      <c r="HL28" s="518">
        <v>0</v>
      </c>
      <c r="HM28" s="518">
        <v>0</v>
      </c>
      <c r="HN28" s="518">
        <v>0</v>
      </c>
      <c r="HO28" s="518">
        <v>0</v>
      </c>
      <c r="HP28" s="518">
        <v>0</v>
      </c>
      <c r="HQ28" s="518">
        <v>0</v>
      </c>
      <c r="HR28" s="518">
        <v>0</v>
      </c>
      <c r="HS28" s="518">
        <v>0</v>
      </c>
      <c r="HT28" s="518">
        <v>0</v>
      </c>
      <c r="HU28" s="518">
        <v>0</v>
      </c>
      <c r="HV28" s="518">
        <v>0</v>
      </c>
      <c r="HW28" s="518">
        <v>0</v>
      </c>
      <c r="HX28" s="518">
        <v>0</v>
      </c>
      <c r="HY28" s="518">
        <v>0</v>
      </c>
      <c r="HZ28" s="518">
        <v>0</v>
      </c>
      <c r="IA28" s="518">
        <v>0</v>
      </c>
      <c r="IB28" s="518">
        <v>0</v>
      </c>
      <c r="IC28" s="518">
        <v>0</v>
      </c>
      <c r="ID28" s="518">
        <v>0</v>
      </c>
      <c r="IE28" s="518">
        <v>0</v>
      </c>
      <c r="IF28" s="518">
        <v>0</v>
      </c>
      <c r="IG28" s="518">
        <v>0</v>
      </c>
      <c r="IH28" s="518">
        <v>0</v>
      </c>
      <c r="II28" s="518">
        <v>0</v>
      </c>
      <c r="IJ28" s="518">
        <v>0</v>
      </c>
      <c r="IK28" s="518">
        <v>0</v>
      </c>
    </row>
    <row r="29" spans="1:245" ht="16.5" hidden="1">
      <c r="A29" s="517" t="s">
        <v>721</v>
      </c>
      <c r="B29" s="517" t="s">
        <v>1101</v>
      </c>
      <c r="C29" s="517" t="s">
        <v>721</v>
      </c>
      <c r="D29" s="558"/>
      <c r="E29" s="517" t="s">
        <v>721</v>
      </c>
      <c r="F29" s="517" t="s">
        <v>25</v>
      </c>
      <c r="G29" s="558"/>
      <c r="H29" s="518">
        <v>41</v>
      </c>
      <c r="I29" s="558"/>
      <c r="J29" s="494" t="str">
        <f t="shared" si="1"/>
        <v>SWUC100141</v>
      </c>
      <c r="K29" s="518">
        <v>186</v>
      </c>
      <c r="M29" s="517" t="s">
        <v>721</v>
      </c>
      <c r="N29" s="517" t="s">
        <v>1101</v>
      </c>
      <c r="O29" s="517" t="s">
        <v>25</v>
      </c>
      <c r="P29" s="518">
        <v>41</v>
      </c>
      <c r="Q29" s="494" t="str">
        <f t="shared" si="2"/>
        <v>SWUC100141</v>
      </c>
      <c r="R29" s="518">
        <v>0</v>
      </c>
      <c r="S29" s="518">
        <v>16</v>
      </c>
      <c r="T29" s="518">
        <v>32</v>
      </c>
      <c r="U29" s="518">
        <v>47</v>
      </c>
      <c r="V29" s="518">
        <v>63</v>
      </c>
      <c r="W29" s="518">
        <v>83</v>
      </c>
      <c r="X29" s="518">
        <v>105</v>
      </c>
      <c r="Y29" s="518">
        <v>130</v>
      </c>
      <c r="Z29" s="518">
        <v>156</v>
      </c>
      <c r="AA29" s="518">
        <v>0</v>
      </c>
      <c r="AB29" s="518">
        <v>0</v>
      </c>
      <c r="AC29" s="518">
        <v>0</v>
      </c>
      <c r="AD29" s="518">
        <v>0</v>
      </c>
      <c r="AE29" s="518">
        <v>0</v>
      </c>
      <c r="AF29" s="518">
        <v>0</v>
      </c>
      <c r="AG29" s="518">
        <v>0</v>
      </c>
      <c r="AH29" s="518">
        <v>0</v>
      </c>
      <c r="AI29" s="518">
        <v>0</v>
      </c>
      <c r="AJ29" s="518">
        <v>0</v>
      </c>
      <c r="AK29" s="518">
        <v>0</v>
      </c>
      <c r="AL29" s="518">
        <v>0</v>
      </c>
      <c r="AM29" s="518">
        <v>0</v>
      </c>
      <c r="AN29" s="518">
        <v>0</v>
      </c>
      <c r="AO29" s="518">
        <v>0</v>
      </c>
      <c r="AP29" s="518">
        <v>0</v>
      </c>
      <c r="AQ29" s="518">
        <v>0</v>
      </c>
      <c r="AR29" s="518">
        <v>0</v>
      </c>
      <c r="AS29" s="518">
        <v>0</v>
      </c>
      <c r="AT29" s="518">
        <v>0</v>
      </c>
      <c r="AU29" s="518">
        <v>0</v>
      </c>
      <c r="AV29" s="518">
        <v>0</v>
      </c>
      <c r="AW29" s="518">
        <v>0</v>
      </c>
      <c r="AX29" s="518">
        <v>0</v>
      </c>
      <c r="AY29" s="518">
        <v>0</v>
      </c>
      <c r="AZ29" s="518">
        <v>0</v>
      </c>
      <c r="BA29" s="518">
        <v>0</v>
      </c>
      <c r="BB29" s="518">
        <v>0</v>
      </c>
      <c r="BC29" s="518">
        <v>0</v>
      </c>
      <c r="BD29" s="518">
        <v>0</v>
      </c>
      <c r="BE29" s="518">
        <v>0</v>
      </c>
      <c r="BF29" s="518">
        <v>0</v>
      </c>
      <c r="BG29" s="518">
        <v>0</v>
      </c>
      <c r="BH29" s="518">
        <v>0</v>
      </c>
      <c r="BI29" s="518">
        <v>0</v>
      </c>
      <c r="BJ29" s="518">
        <v>0</v>
      </c>
      <c r="BK29" s="518">
        <v>0</v>
      </c>
      <c r="BL29" s="518">
        <v>0</v>
      </c>
      <c r="BM29" s="518">
        <v>0</v>
      </c>
      <c r="BN29" s="518">
        <v>0</v>
      </c>
      <c r="BO29" s="518">
        <v>0</v>
      </c>
      <c r="BP29" s="518">
        <v>0</v>
      </c>
      <c r="BQ29" s="518">
        <v>0</v>
      </c>
      <c r="BR29" s="518">
        <v>0</v>
      </c>
      <c r="BS29" s="518">
        <v>0</v>
      </c>
      <c r="BT29" s="518">
        <v>0</v>
      </c>
      <c r="BU29" s="518">
        <v>0</v>
      </c>
      <c r="BV29" s="518">
        <v>0</v>
      </c>
      <c r="BW29" s="518">
        <v>0</v>
      </c>
      <c r="BX29" s="518">
        <v>0</v>
      </c>
      <c r="BY29" s="518">
        <v>0</v>
      </c>
      <c r="BZ29" s="518">
        <v>0</v>
      </c>
      <c r="CA29" s="518">
        <v>0</v>
      </c>
      <c r="CB29" s="518">
        <v>0</v>
      </c>
      <c r="CC29" s="518">
        <v>0</v>
      </c>
      <c r="CD29" s="518">
        <v>0</v>
      </c>
      <c r="CE29" s="518">
        <v>0</v>
      </c>
      <c r="CF29" s="518">
        <v>0</v>
      </c>
      <c r="CG29" s="518">
        <v>0</v>
      </c>
      <c r="CH29" s="518">
        <v>0</v>
      </c>
      <c r="CI29" s="518">
        <v>0</v>
      </c>
      <c r="CJ29" s="518">
        <v>0</v>
      </c>
      <c r="CK29" s="518">
        <v>0</v>
      </c>
      <c r="CL29" s="518">
        <v>0</v>
      </c>
      <c r="CM29" s="518">
        <v>0</v>
      </c>
      <c r="CN29" s="518">
        <v>0</v>
      </c>
      <c r="CO29" s="518">
        <v>0</v>
      </c>
      <c r="CP29" s="518">
        <v>0</v>
      </c>
      <c r="CQ29" s="518">
        <v>0</v>
      </c>
      <c r="CR29" s="518">
        <v>0</v>
      </c>
      <c r="CS29" s="518">
        <v>0</v>
      </c>
      <c r="CT29" s="518">
        <v>0</v>
      </c>
      <c r="CU29" s="518">
        <v>0</v>
      </c>
      <c r="CV29" s="518">
        <v>0</v>
      </c>
      <c r="CW29" s="518">
        <v>0</v>
      </c>
      <c r="CX29" s="518">
        <v>0</v>
      </c>
      <c r="CY29" s="518">
        <v>0</v>
      </c>
      <c r="CZ29" s="518">
        <v>0</v>
      </c>
      <c r="DA29" s="518">
        <v>0</v>
      </c>
      <c r="DB29" s="518">
        <v>0</v>
      </c>
      <c r="DC29" s="518">
        <v>0</v>
      </c>
      <c r="DD29" s="518">
        <v>0</v>
      </c>
      <c r="DE29" s="518">
        <v>0</v>
      </c>
      <c r="DF29" s="518">
        <v>0</v>
      </c>
      <c r="DG29" s="518">
        <v>0</v>
      </c>
      <c r="DH29" s="518">
        <v>0</v>
      </c>
      <c r="DI29" s="518">
        <v>0</v>
      </c>
      <c r="DJ29" s="518">
        <v>0</v>
      </c>
      <c r="DK29" s="518">
        <v>0</v>
      </c>
      <c r="DL29" s="518">
        <v>0</v>
      </c>
      <c r="DM29" s="518">
        <v>0</v>
      </c>
      <c r="DN29" s="518">
        <v>0</v>
      </c>
      <c r="DO29" s="518">
        <v>0</v>
      </c>
      <c r="DP29" s="518">
        <v>0</v>
      </c>
      <c r="DQ29" s="518">
        <v>0</v>
      </c>
      <c r="DR29" s="518">
        <v>0</v>
      </c>
      <c r="DS29" s="518">
        <v>0</v>
      </c>
      <c r="DT29" s="518">
        <v>0</v>
      </c>
      <c r="DU29" s="518">
        <v>0</v>
      </c>
      <c r="DV29" s="518">
        <v>0</v>
      </c>
      <c r="DW29" s="518">
        <v>0</v>
      </c>
      <c r="DX29" s="518">
        <v>0</v>
      </c>
      <c r="DY29" s="477"/>
      <c r="DZ29" s="517" t="s">
        <v>721</v>
      </c>
      <c r="EA29" s="517" t="s">
        <v>1101</v>
      </c>
      <c r="EB29" s="517" t="s">
        <v>25</v>
      </c>
      <c r="EC29" s="518">
        <v>41</v>
      </c>
      <c r="ED29" s="494" t="str">
        <f t="shared" si="0"/>
        <v>SWUC100141</v>
      </c>
      <c r="EE29" s="518">
        <v>10000</v>
      </c>
      <c r="EF29" s="518">
        <v>10000</v>
      </c>
      <c r="EG29" s="518">
        <v>10000</v>
      </c>
      <c r="EH29" s="518">
        <v>10000</v>
      </c>
      <c r="EI29" s="518">
        <v>10000</v>
      </c>
      <c r="EJ29" s="518">
        <v>10000</v>
      </c>
      <c r="EK29" s="518">
        <v>10000</v>
      </c>
      <c r="EL29" s="518">
        <v>10000</v>
      </c>
      <c r="EM29" s="518">
        <v>10000</v>
      </c>
      <c r="EN29" s="518">
        <v>10000</v>
      </c>
      <c r="EO29" s="518">
        <v>0</v>
      </c>
      <c r="EP29" s="518">
        <v>0</v>
      </c>
      <c r="EQ29" s="518">
        <v>0</v>
      </c>
      <c r="ER29" s="518">
        <v>0</v>
      </c>
      <c r="ES29" s="518">
        <v>0</v>
      </c>
      <c r="ET29" s="518">
        <v>0</v>
      </c>
      <c r="EU29" s="518">
        <v>0</v>
      </c>
      <c r="EV29" s="518">
        <v>0</v>
      </c>
      <c r="EW29" s="518">
        <v>0</v>
      </c>
      <c r="EX29" s="518">
        <v>0</v>
      </c>
      <c r="EY29" s="518">
        <v>0</v>
      </c>
      <c r="EZ29" s="518">
        <v>0</v>
      </c>
      <c r="FA29" s="518">
        <v>0</v>
      </c>
      <c r="FB29" s="518">
        <v>0</v>
      </c>
      <c r="FC29" s="518">
        <v>0</v>
      </c>
      <c r="FD29" s="518">
        <v>0</v>
      </c>
      <c r="FE29" s="518">
        <v>0</v>
      </c>
      <c r="FF29" s="518">
        <v>0</v>
      </c>
      <c r="FG29" s="518">
        <v>0</v>
      </c>
      <c r="FH29" s="518">
        <v>0</v>
      </c>
      <c r="FI29" s="518">
        <v>0</v>
      </c>
      <c r="FJ29" s="518">
        <v>0</v>
      </c>
      <c r="FK29" s="518">
        <v>0</v>
      </c>
      <c r="FL29" s="518">
        <v>0</v>
      </c>
      <c r="FM29" s="518">
        <v>0</v>
      </c>
      <c r="FN29" s="518">
        <v>0</v>
      </c>
      <c r="FO29" s="518">
        <v>0</v>
      </c>
      <c r="FP29" s="518">
        <v>0</v>
      </c>
      <c r="FQ29" s="518">
        <v>0</v>
      </c>
      <c r="FR29" s="518">
        <v>0</v>
      </c>
      <c r="FS29" s="518">
        <v>0</v>
      </c>
      <c r="FT29" s="518">
        <v>0</v>
      </c>
      <c r="FU29" s="518">
        <v>0</v>
      </c>
      <c r="FV29" s="518">
        <v>0</v>
      </c>
      <c r="FW29" s="518">
        <v>0</v>
      </c>
      <c r="FX29" s="518">
        <v>0</v>
      </c>
      <c r="FY29" s="518">
        <v>0</v>
      </c>
      <c r="FZ29" s="518">
        <v>0</v>
      </c>
      <c r="GA29" s="518">
        <v>0</v>
      </c>
      <c r="GB29" s="518">
        <v>0</v>
      </c>
      <c r="GC29" s="518">
        <v>0</v>
      </c>
      <c r="GD29" s="518">
        <v>0</v>
      </c>
      <c r="GE29" s="518">
        <v>0</v>
      </c>
      <c r="GF29" s="518">
        <v>0</v>
      </c>
      <c r="GG29" s="518">
        <v>0</v>
      </c>
      <c r="GH29" s="518">
        <v>0</v>
      </c>
      <c r="GI29" s="518">
        <v>0</v>
      </c>
      <c r="GJ29" s="518">
        <v>0</v>
      </c>
      <c r="GK29" s="518">
        <v>0</v>
      </c>
      <c r="GL29" s="518">
        <v>0</v>
      </c>
      <c r="GM29" s="518">
        <v>0</v>
      </c>
      <c r="GN29" s="518">
        <v>0</v>
      </c>
      <c r="GO29" s="518">
        <v>0</v>
      </c>
      <c r="GP29" s="518">
        <v>0</v>
      </c>
      <c r="GQ29" s="518">
        <v>0</v>
      </c>
      <c r="GR29" s="518">
        <v>0</v>
      </c>
      <c r="GS29" s="518">
        <v>0</v>
      </c>
      <c r="GT29" s="518">
        <v>0</v>
      </c>
      <c r="GU29" s="518">
        <v>0</v>
      </c>
      <c r="GV29" s="518">
        <v>0</v>
      </c>
      <c r="GW29" s="518">
        <v>0</v>
      </c>
      <c r="GX29" s="518">
        <v>0</v>
      </c>
      <c r="GY29" s="518">
        <v>0</v>
      </c>
      <c r="GZ29" s="518">
        <v>0</v>
      </c>
      <c r="HA29" s="518">
        <v>0</v>
      </c>
      <c r="HB29" s="518">
        <v>0</v>
      </c>
      <c r="HC29" s="518">
        <v>0</v>
      </c>
      <c r="HD29" s="518">
        <v>0</v>
      </c>
      <c r="HE29" s="518">
        <v>0</v>
      </c>
      <c r="HF29" s="518">
        <v>0</v>
      </c>
      <c r="HG29" s="518">
        <v>0</v>
      </c>
      <c r="HH29" s="518">
        <v>0</v>
      </c>
      <c r="HI29" s="518">
        <v>0</v>
      </c>
      <c r="HJ29" s="518">
        <v>0</v>
      </c>
      <c r="HK29" s="518">
        <v>0</v>
      </c>
      <c r="HL29" s="518">
        <v>0</v>
      </c>
      <c r="HM29" s="518">
        <v>0</v>
      </c>
      <c r="HN29" s="518">
        <v>0</v>
      </c>
      <c r="HO29" s="518">
        <v>0</v>
      </c>
      <c r="HP29" s="518">
        <v>0</v>
      </c>
      <c r="HQ29" s="518">
        <v>0</v>
      </c>
      <c r="HR29" s="518">
        <v>0</v>
      </c>
      <c r="HS29" s="518">
        <v>0</v>
      </c>
      <c r="HT29" s="518">
        <v>0</v>
      </c>
      <c r="HU29" s="518">
        <v>0</v>
      </c>
      <c r="HV29" s="518">
        <v>0</v>
      </c>
      <c r="HW29" s="518">
        <v>0</v>
      </c>
      <c r="HX29" s="518">
        <v>0</v>
      </c>
      <c r="HY29" s="518">
        <v>0</v>
      </c>
      <c r="HZ29" s="518">
        <v>0</v>
      </c>
      <c r="IA29" s="518">
        <v>0</v>
      </c>
      <c r="IB29" s="518">
        <v>0</v>
      </c>
      <c r="IC29" s="518">
        <v>0</v>
      </c>
      <c r="ID29" s="518">
        <v>0</v>
      </c>
      <c r="IE29" s="518">
        <v>0</v>
      </c>
      <c r="IF29" s="518">
        <v>0</v>
      </c>
      <c r="IG29" s="518">
        <v>0</v>
      </c>
      <c r="IH29" s="518">
        <v>0</v>
      </c>
      <c r="II29" s="518">
        <v>0</v>
      </c>
      <c r="IJ29" s="518">
        <v>0</v>
      </c>
      <c r="IK29" s="518">
        <v>0</v>
      </c>
    </row>
    <row r="30" spans="1:245" ht="16.5" hidden="1">
      <c r="A30" s="517" t="s">
        <v>721</v>
      </c>
      <c r="B30" s="517" t="s">
        <v>1101</v>
      </c>
      <c r="C30" s="517" t="s">
        <v>721</v>
      </c>
      <c r="D30" s="558"/>
      <c r="E30" s="517" t="s">
        <v>721</v>
      </c>
      <c r="F30" s="517" t="s">
        <v>25</v>
      </c>
      <c r="G30" s="558"/>
      <c r="H30" s="518">
        <v>42</v>
      </c>
      <c r="I30" s="558"/>
      <c r="J30" s="494" t="str">
        <f t="shared" si="1"/>
        <v>SWUC100142</v>
      </c>
      <c r="K30" s="518">
        <v>204</v>
      </c>
      <c r="M30" s="517" t="s">
        <v>721</v>
      </c>
      <c r="N30" s="517" t="s">
        <v>1101</v>
      </c>
      <c r="O30" s="517" t="s">
        <v>25</v>
      </c>
      <c r="P30" s="518">
        <v>42</v>
      </c>
      <c r="Q30" s="494" t="str">
        <f t="shared" si="2"/>
        <v>SWUC100142</v>
      </c>
      <c r="R30" s="518">
        <v>0</v>
      </c>
      <c r="S30" s="518">
        <v>17</v>
      </c>
      <c r="T30" s="518">
        <v>35</v>
      </c>
      <c r="U30" s="518">
        <v>51</v>
      </c>
      <c r="V30" s="518">
        <v>68</v>
      </c>
      <c r="W30" s="518">
        <v>90</v>
      </c>
      <c r="X30" s="518">
        <v>115</v>
      </c>
      <c r="Y30" s="518">
        <v>142</v>
      </c>
      <c r="Z30" s="518">
        <v>171</v>
      </c>
      <c r="AA30" s="518">
        <v>0</v>
      </c>
      <c r="AB30" s="518">
        <v>0</v>
      </c>
      <c r="AC30" s="518">
        <v>0</v>
      </c>
      <c r="AD30" s="518">
        <v>0</v>
      </c>
      <c r="AE30" s="518">
        <v>0</v>
      </c>
      <c r="AF30" s="518">
        <v>0</v>
      </c>
      <c r="AG30" s="518">
        <v>0</v>
      </c>
      <c r="AH30" s="518">
        <v>0</v>
      </c>
      <c r="AI30" s="518">
        <v>0</v>
      </c>
      <c r="AJ30" s="518">
        <v>0</v>
      </c>
      <c r="AK30" s="518">
        <v>0</v>
      </c>
      <c r="AL30" s="518">
        <v>0</v>
      </c>
      <c r="AM30" s="518">
        <v>0</v>
      </c>
      <c r="AN30" s="518">
        <v>0</v>
      </c>
      <c r="AO30" s="518">
        <v>0</v>
      </c>
      <c r="AP30" s="518">
        <v>0</v>
      </c>
      <c r="AQ30" s="518">
        <v>0</v>
      </c>
      <c r="AR30" s="518">
        <v>0</v>
      </c>
      <c r="AS30" s="518">
        <v>0</v>
      </c>
      <c r="AT30" s="518">
        <v>0</v>
      </c>
      <c r="AU30" s="518">
        <v>0</v>
      </c>
      <c r="AV30" s="518">
        <v>0</v>
      </c>
      <c r="AW30" s="518">
        <v>0</v>
      </c>
      <c r="AX30" s="518">
        <v>0</v>
      </c>
      <c r="AY30" s="518">
        <v>0</v>
      </c>
      <c r="AZ30" s="518">
        <v>0</v>
      </c>
      <c r="BA30" s="518">
        <v>0</v>
      </c>
      <c r="BB30" s="518">
        <v>0</v>
      </c>
      <c r="BC30" s="518">
        <v>0</v>
      </c>
      <c r="BD30" s="518">
        <v>0</v>
      </c>
      <c r="BE30" s="518">
        <v>0</v>
      </c>
      <c r="BF30" s="518">
        <v>0</v>
      </c>
      <c r="BG30" s="518">
        <v>0</v>
      </c>
      <c r="BH30" s="518">
        <v>0</v>
      </c>
      <c r="BI30" s="518">
        <v>0</v>
      </c>
      <c r="BJ30" s="518">
        <v>0</v>
      </c>
      <c r="BK30" s="518">
        <v>0</v>
      </c>
      <c r="BL30" s="518">
        <v>0</v>
      </c>
      <c r="BM30" s="518">
        <v>0</v>
      </c>
      <c r="BN30" s="518">
        <v>0</v>
      </c>
      <c r="BO30" s="518">
        <v>0</v>
      </c>
      <c r="BP30" s="518">
        <v>0</v>
      </c>
      <c r="BQ30" s="518">
        <v>0</v>
      </c>
      <c r="BR30" s="518">
        <v>0</v>
      </c>
      <c r="BS30" s="518">
        <v>0</v>
      </c>
      <c r="BT30" s="518">
        <v>0</v>
      </c>
      <c r="BU30" s="518">
        <v>0</v>
      </c>
      <c r="BV30" s="518">
        <v>0</v>
      </c>
      <c r="BW30" s="518">
        <v>0</v>
      </c>
      <c r="BX30" s="518">
        <v>0</v>
      </c>
      <c r="BY30" s="518">
        <v>0</v>
      </c>
      <c r="BZ30" s="518">
        <v>0</v>
      </c>
      <c r="CA30" s="518">
        <v>0</v>
      </c>
      <c r="CB30" s="518">
        <v>0</v>
      </c>
      <c r="CC30" s="518">
        <v>0</v>
      </c>
      <c r="CD30" s="518">
        <v>0</v>
      </c>
      <c r="CE30" s="518">
        <v>0</v>
      </c>
      <c r="CF30" s="518">
        <v>0</v>
      </c>
      <c r="CG30" s="518">
        <v>0</v>
      </c>
      <c r="CH30" s="518">
        <v>0</v>
      </c>
      <c r="CI30" s="518">
        <v>0</v>
      </c>
      <c r="CJ30" s="518">
        <v>0</v>
      </c>
      <c r="CK30" s="518">
        <v>0</v>
      </c>
      <c r="CL30" s="518">
        <v>0</v>
      </c>
      <c r="CM30" s="518">
        <v>0</v>
      </c>
      <c r="CN30" s="518">
        <v>0</v>
      </c>
      <c r="CO30" s="518">
        <v>0</v>
      </c>
      <c r="CP30" s="518">
        <v>0</v>
      </c>
      <c r="CQ30" s="518">
        <v>0</v>
      </c>
      <c r="CR30" s="518">
        <v>0</v>
      </c>
      <c r="CS30" s="518">
        <v>0</v>
      </c>
      <c r="CT30" s="518">
        <v>0</v>
      </c>
      <c r="CU30" s="518">
        <v>0</v>
      </c>
      <c r="CV30" s="518">
        <v>0</v>
      </c>
      <c r="CW30" s="518">
        <v>0</v>
      </c>
      <c r="CX30" s="518">
        <v>0</v>
      </c>
      <c r="CY30" s="518">
        <v>0</v>
      </c>
      <c r="CZ30" s="518">
        <v>0</v>
      </c>
      <c r="DA30" s="518">
        <v>0</v>
      </c>
      <c r="DB30" s="518">
        <v>0</v>
      </c>
      <c r="DC30" s="518">
        <v>0</v>
      </c>
      <c r="DD30" s="518">
        <v>0</v>
      </c>
      <c r="DE30" s="518">
        <v>0</v>
      </c>
      <c r="DF30" s="518">
        <v>0</v>
      </c>
      <c r="DG30" s="518">
        <v>0</v>
      </c>
      <c r="DH30" s="518">
        <v>0</v>
      </c>
      <c r="DI30" s="518">
        <v>0</v>
      </c>
      <c r="DJ30" s="518">
        <v>0</v>
      </c>
      <c r="DK30" s="518">
        <v>0</v>
      </c>
      <c r="DL30" s="518">
        <v>0</v>
      </c>
      <c r="DM30" s="518">
        <v>0</v>
      </c>
      <c r="DN30" s="518">
        <v>0</v>
      </c>
      <c r="DO30" s="518">
        <v>0</v>
      </c>
      <c r="DP30" s="518">
        <v>0</v>
      </c>
      <c r="DQ30" s="518">
        <v>0</v>
      </c>
      <c r="DR30" s="518">
        <v>0</v>
      </c>
      <c r="DS30" s="518">
        <v>0</v>
      </c>
      <c r="DT30" s="518">
        <v>0</v>
      </c>
      <c r="DU30" s="518">
        <v>0</v>
      </c>
      <c r="DV30" s="518">
        <v>0</v>
      </c>
      <c r="DW30" s="518">
        <v>0</v>
      </c>
      <c r="DX30" s="518">
        <v>0</v>
      </c>
      <c r="DY30" s="477"/>
      <c r="DZ30" s="517" t="s">
        <v>721</v>
      </c>
      <c r="EA30" s="517" t="s">
        <v>1101</v>
      </c>
      <c r="EB30" s="517" t="s">
        <v>25</v>
      </c>
      <c r="EC30" s="518">
        <v>42</v>
      </c>
      <c r="ED30" s="494" t="str">
        <f t="shared" si="0"/>
        <v>SWUC100142</v>
      </c>
      <c r="EE30" s="518">
        <v>10000</v>
      </c>
      <c r="EF30" s="518">
        <v>10000</v>
      </c>
      <c r="EG30" s="518">
        <v>10000</v>
      </c>
      <c r="EH30" s="518">
        <v>10000</v>
      </c>
      <c r="EI30" s="518">
        <v>10000</v>
      </c>
      <c r="EJ30" s="518">
        <v>10000</v>
      </c>
      <c r="EK30" s="518">
        <v>10000</v>
      </c>
      <c r="EL30" s="518">
        <v>10000</v>
      </c>
      <c r="EM30" s="518">
        <v>10000</v>
      </c>
      <c r="EN30" s="518">
        <v>10000</v>
      </c>
      <c r="EO30" s="518">
        <v>0</v>
      </c>
      <c r="EP30" s="518">
        <v>0</v>
      </c>
      <c r="EQ30" s="518">
        <v>0</v>
      </c>
      <c r="ER30" s="518">
        <v>0</v>
      </c>
      <c r="ES30" s="518">
        <v>0</v>
      </c>
      <c r="ET30" s="518">
        <v>0</v>
      </c>
      <c r="EU30" s="518">
        <v>0</v>
      </c>
      <c r="EV30" s="518">
        <v>0</v>
      </c>
      <c r="EW30" s="518">
        <v>0</v>
      </c>
      <c r="EX30" s="518">
        <v>0</v>
      </c>
      <c r="EY30" s="518">
        <v>0</v>
      </c>
      <c r="EZ30" s="518">
        <v>0</v>
      </c>
      <c r="FA30" s="518">
        <v>0</v>
      </c>
      <c r="FB30" s="518">
        <v>0</v>
      </c>
      <c r="FC30" s="518">
        <v>0</v>
      </c>
      <c r="FD30" s="518">
        <v>0</v>
      </c>
      <c r="FE30" s="518">
        <v>0</v>
      </c>
      <c r="FF30" s="518">
        <v>0</v>
      </c>
      <c r="FG30" s="518">
        <v>0</v>
      </c>
      <c r="FH30" s="518">
        <v>0</v>
      </c>
      <c r="FI30" s="518">
        <v>0</v>
      </c>
      <c r="FJ30" s="518">
        <v>0</v>
      </c>
      <c r="FK30" s="518">
        <v>0</v>
      </c>
      <c r="FL30" s="518">
        <v>0</v>
      </c>
      <c r="FM30" s="518">
        <v>0</v>
      </c>
      <c r="FN30" s="518">
        <v>0</v>
      </c>
      <c r="FO30" s="518">
        <v>0</v>
      </c>
      <c r="FP30" s="518">
        <v>0</v>
      </c>
      <c r="FQ30" s="518">
        <v>0</v>
      </c>
      <c r="FR30" s="518">
        <v>0</v>
      </c>
      <c r="FS30" s="518">
        <v>0</v>
      </c>
      <c r="FT30" s="518">
        <v>0</v>
      </c>
      <c r="FU30" s="518">
        <v>0</v>
      </c>
      <c r="FV30" s="518">
        <v>0</v>
      </c>
      <c r="FW30" s="518">
        <v>0</v>
      </c>
      <c r="FX30" s="518">
        <v>0</v>
      </c>
      <c r="FY30" s="518">
        <v>0</v>
      </c>
      <c r="FZ30" s="518">
        <v>0</v>
      </c>
      <c r="GA30" s="518">
        <v>0</v>
      </c>
      <c r="GB30" s="518">
        <v>0</v>
      </c>
      <c r="GC30" s="518">
        <v>0</v>
      </c>
      <c r="GD30" s="518">
        <v>0</v>
      </c>
      <c r="GE30" s="518">
        <v>0</v>
      </c>
      <c r="GF30" s="518">
        <v>0</v>
      </c>
      <c r="GG30" s="518">
        <v>0</v>
      </c>
      <c r="GH30" s="518">
        <v>0</v>
      </c>
      <c r="GI30" s="518">
        <v>0</v>
      </c>
      <c r="GJ30" s="518">
        <v>0</v>
      </c>
      <c r="GK30" s="518">
        <v>0</v>
      </c>
      <c r="GL30" s="518">
        <v>0</v>
      </c>
      <c r="GM30" s="518">
        <v>0</v>
      </c>
      <c r="GN30" s="518">
        <v>0</v>
      </c>
      <c r="GO30" s="518">
        <v>0</v>
      </c>
      <c r="GP30" s="518">
        <v>0</v>
      </c>
      <c r="GQ30" s="518">
        <v>0</v>
      </c>
      <c r="GR30" s="518">
        <v>0</v>
      </c>
      <c r="GS30" s="518">
        <v>0</v>
      </c>
      <c r="GT30" s="518">
        <v>0</v>
      </c>
      <c r="GU30" s="518">
        <v>0</v>
      </c>
      <c r="GV30" s="518">
        <v>0</v>
      </c>
      <c r="GW30" s="518">
        <v>0</v>
      </c>
      <c r="GX30" s="518">
        <v>0</v>
      </c>
      <c r="GY30" s="518">
        <v>0</v>
      </c>
      <c r="GZ30" s="518">
        <v>0</v>
      </c>
      <c r="HA30" s="518">
        <v>0</v>
      </c>
      <c r="HB30" s="518">
        <v>0</v>
      </c>
      <c r="HC30" s="518">
        <v>0</v>
      </c>
      <c r="HD30" s="518">
        <v>0</v>
      </c>
      <c r="HE30" s="518">
        <v>0</v>
      </c>
      <c r="HF30" s="518">
        <v>0</v>
      </c>
      <c r="HG30" s="518">
        <v>0</v>
      </c>
      <c r="HH30" s="518">
        <v>0</v>
      </c>
      <c r="HI30" s="518">
        <v>0</v>
      </c>
      <c r="HJ30" s="518">
        <v>0</v>
      </c>
      <c r="HK30" s="518">
        <v>0</v>
      </c>
      <c r="HL30" s="518">
        <v>0</v>
      </c>
      <c r="HM30" s="518">
        <v>0</v>
      </c>
      <c r="HN30" s="518">
        <v>0</v>
      </c>
      <c r="HO30" s="518">
        <v>0</v>
      </c>
      <c r="HP30" s="518">
        <v>0</v>
      </c>
      <c r="HQ30" s="518">
        <v>0</v>
      </c>
      <c r="HR30" s="518">
        <v>0</v>
      </c>
      <c r="HS30" s="518">
        <v>0</v>
      </c>
      <c r="HT30" s="518">
        <v>0</v>
      </c>
      <c r="HU30" s="518">
        <v>0</v>
      </c>
      <c r="HV30" s="518">
        <v>0</v>
      </c>
      <c r="HW30" s="518">
        <v>0</v>
      </c>
      <c r="HX30" s="518">
        <v>0</v>
      </c>
      <c r="HY30" s="518">
        <v>0</v>
      </c>
      <c r="HZ30" s="518">
        <v>0</v>
      </c>
      <c r="IA30" s="518">
        <v>0</v>
      </c>
      <c r="IB30" s="518">
        <v>0</v>
      </c>
      <c r="IC30" s="518">
        <v>0</v>
      </c>
      <c r="ID30" s="518">
        <v>0</v>
      </c>
      <c r="IE30" s="518">
        <v>0</v>
      </c>
      <c r="IF30" s="518">
        <v>0</v>
      </c>
      <c r="IG30" s="518">
        <v>0</v>
      </c>
      <c r="IH30" s="518">
        <v>0</v>
      </c>
      <c r="II30" s="518">
        <v>0</v>
      </c>
      <c r="IJ30" s="518">
        <v>0</v>
      </c>
      <c r="IK30" s="518">
        <v>0</v>
      </c>
    </row>
    <row r="31" spans="1:245" ht="16.5" hidden="1">
      <c r="A31" s="517" t="s">
        <v>721</v>
      </c>
      <c r="B31" s="517" t="s">
        <v>1101</v>
      </c>
      <c r="C31" s="517" t="s">
        <v>721</v>
      </c>
      <c r="D31" s="558"/>
      <c r="E31" s="517" t="s">
        <v>721</v>
      </c>
      <c r="F31" s="517" t="s">
        <v>25</v>
      </c>
      <c r="G31" s="558"/>
      <c r="H31" s="518">
        <v>43</v>
      </c>
      <c r="I31" s="558"/>
      <c r="J31" s="494" t="str">
        <f t="shared" si="1"/>
        <v>SWUC100143</v>
      </c>
      <c r="K31" s="518">
        <v>222</v>
      </c>
      <c r="M31" s="517" t="s">
        <v>721</v>
      </c>
      <c r="N31" s="517" t="s">
        <v>1101</v>
      </c>
      <c r="O31" s="517" t="s">
        <v>25</v>
      </c>
      <c r="P31" s="518">
        <v>43</v>
      </c>
      <c r="Q31" s="494" t="str">
        <f t="shared" si="2"/>
        <v>SWUC100143</v>
      </c>
      <c r="R31" s="518">
        <v>0</v>
      </c>
      <c r="S31" s="518">
        <v>19</v>
      </c>
      <c r="T31" s="518">
        <v>37</v>
      </c>
      <c r="U31" s="518">
        <v>56</v>
      </c>
      <c r="V31" s="518">
        <v>74</v>
      </c>
      <c r="W31" s="518">
        <v>98</v>
      </c>
      <c r="X31" s="518">
        <v>125</v>
      </c>
      <c r="Y31" s="518">
        <v>154</v>
      </c>
      <c r="Z31" s="518">
        <v>186</v>
      </c>
      <c r="AA31" s="518">
        <v>0</v>
      </c>
      <c r="AB31" s="518">
        <v>0</v>
      </c>
      <c r="AC31" s="518">
        <v>0</v>
      </c>
      <c r="AD31" s="518">
        <v>0</v>
      </c>
      <c r="AE31" s="518">
        <v>0</v>
      </c>
      <c r="AF31" s="518">
        <v>0</v>
      </c>
      <c r="AG31" s="518">
        <v>0</v>
      </c>
      <c r="AH31" s="518">
        <v>0</v>
      </c>
      <c r="AI31" s="518">
        <v>0</v>
      </c>
      <c r="AJ31" s="518">
        <v>0</v>
      </c>
      <c r="AK31" s="518">
        <v>0</v>
      </c>
      <c r="AL31" s="518">
        <v>0</v>
      </c>
      <c r="AM31" s="518">
        <v>0</v>
      </c>
      <c r="AN31" s="518">
        <v>0</v>
      </c>
      <c r="AO31" s="518">
        <v>0</v>
      </c>
      <c r="AP31" s="518">
        <v>0</v>
      </c>
      <c r="AQ31" s="518">
        <v>0</v>
      </c>
      <c r="AR31" s="518">
        <v>0</v>
      </c>
      <c r="AS31" s="518">
        <v>0</v>
      </c>
      <c r="AT31" s="518">
        <v>0</v>
      </c>
      <c r="AU31" s="518">
        <v>0</v>
      </c>
      <c r="AV31" s="518">
        <v>0</v>
      </c>
      <c r="AW31" s="518">
        <v>0</v>
      </c>
      <c r="AX31" s="518">
        <v>0</v>
      </c>
      <c r="AY31" s="518">
        <v>0</v>
      </c>
      <c r="AZ31" s="518">
        <v>0</v>
      </c>
      <c r="BA31" s="518">
        <v>0</v>
      </c>
      <c r="BB31" s="518">
        <v>0</v>
      </c>
      <c r="BC31" s="518">
        <v>0</v>
      </c>
      <c r="BD31" s="518">
        <v>0</v>
      </c>
      <c r="BE31" s="518">
        <v>0</v>
      </c>
      <c r="BF31" s="518">
        <v>0</v>
      </c>
      <c r="BG31" s="518">
        <v>0</v>
      </c>
      <c r="BH31" s="518">
        <v>0</v>
      </c>
      <c r="BI31" s="518">
        <v>0</v>
      </c>
      <c r="BJ31" s="518">
        <v>0</v>
      </c>
      <c r="BK31" s="518">
        <v>0</v>
      </c>
      <c r="BL31" s="518">
        <v>0</v>
      </c>
      <c r="BM31" s="518">
        <v>0</v>
      </c>
      <c r="BN31" s="518">
        <v>0</v>
      </c>
      <c r="BO31" s="518">
        <v>0</v>
      </c>
      <c r="BP31" s="518">
        <v>0</v>
      </c>
      <c r="BQ31" s="518">
        <v>0</v>
      </c>
      <c r="BR31" s="518">
        <v>0</v>
      </c>
      <c r="BS31" s="518">
        <v>0</v>
      </c>
      <c r="BT31" s="518">
        <v>0</v>
      </c>
      <c r="BU31" s="518">
        <v>0</v>
      </c>
      <c r="BV31" s="518">
        <v>0</v>
      </c>
      <c r="BW31" s="518">
        <v>0</v>
      </c>
      <c r="BX31" s="518">
        <v>0</v>
      </c>
      <c r="BY31" s="518">
        <v>0</v>
      </c>
      <c r="BZ31" s="518">
        <v>0</v>
      </c>
      <c r="CA31" s="518">
        <v>0</v>
      </c>
      <c r="CB31" s="518">
        <v>0</v>
      </c>
      <c r="CC31" s="518">
        <v>0</v>
      </c>
      <c r="CD31" s="518">
        <v>0</v>
      </c>
      <c r="CE31" s="518">
        <v>0</v>
      </c>
      <c r="CF31" s="518">
        <v>0</v>
      </c>
      <c r="CG31" s="518">
        <v>0</v>
      </c>
      <c r="CH31" s="518">
        <v>0</v>
      </c>
      <c r="CI31" s="518">
        <v>0</v>
      </c>
      <c r="CJ31" s="518">
        <v>0</v>
      </c>
      <c r="CK31" s="518">
        <v>0</v>
      </c>
      <c r="CL31" s="518">
        <v>0</v>
      </c>
      <c r="CM31" s="518">
        <v>0</v>
      </c>
      <c r="CN31" s="518">
        <v>0</v>
      </c>
      <c r="CO31" s="518">
        <v>0</v>
      </c>
      <c r="CP31" s="518">
        <v>0</v>
      </c>
      <c r="CQ31" s="518">
        <v>0</v>
      </c>
      <c r="CR31" s="518">
        <v>0</v>
      </c>
      <c r="CS31" s="518">
        <v>0</v>
      </c>
      <c r="CT31" s="518">
        <v>0</v>
      </c>
      <c r="CU31" s="518">
        <v>0</v>
      </c>
      <c r="CV31" s="518">
        <v>0</v>
      </c>
      <c r="CW31" s="518">
        <v>0</v>
      </c>
      <c r="CX31" s="518">
        <v>0</v>
      </c>
      <c r="CY31" s="518">
        <v>0</v>
      </c>
      <c r="CZ31" s="518">
        <v>0</v>
      </c>
      <c r="DA31" s="518">
        <v>0</v>
      </c>
      <c r="DB31" s="518">
        <v>0</v>
      </c>
      <c r="DC31" s="518">
        <v>0</v>
      </c>
      <c r="DD31" s="518">
        <v>0</v>
      </c>
      <c r="DE31" s="518">
        <v>0</v>
      </c>
      <c r="DF31" s="518">
        <v>0</v>
      </c>
      <c r="DG31" s="518">
        <v>0</v>
      </c>
      <c r="DH31" s="518">
        <v>0</v>
      </c>
      <c r="DI31" s="518">
        <v>0</v>
      </c>
      <c r="DJ31" s="518">
        <v>0</v>
      </c>
      <c r="DK31" s="518">
        <v>0</v>
      </c>
      <c r="DL31" s="518">
        <v>0</v>
      </c>
      <c r="DM31" s="518">
        <v>0</v>
      </c>
      <c r="DN31" s="518">
        <v>0</v>
      </c>
      <c r="DO31" s="518">
        <v>0</v>
      </c>
      <c r="DP31" s="518">
        <v>0</v>
      </c>
      <c r="DQ31" s="518">
        <v>0</v>
      </c>
      <c r="DR31" s="518">
        <v>0</v>
      </c>
      <c r="DS31" s="518">
        <v>0</v>
      </c>
      <c r="DT31" s="518">
        <v>0</v>
      </c>
      <c r="DU31" s="518">
        <v>0</v>
      </c>
      <c r="DV31" s="518">
        <v>0</v>
      </c>
      <c r="DW31" s="518">
        <v>0</v>
      </c>
      <c r="DX31" s="518">
        <v>0</v>
      </c>
      <c r="DY31" s="477"/>
      <c r="DZ31" s="517" t="s">
        <v>721</v>
      </c>
      <c r="EA31" s="517" t="s">
        <v>1101</v>
      </c>
      <c r="EB31" s="517" t="s">
        <v>25</v>
      </c>
      <c r="EC31" s="518">
        <v>43</v>
      </c>
      <c r="ED31" s="494" t="str">
        <f t="shared" si="0"/>
        <v>SWUC100143</v>
      </c>
      <c r="EE31" s="518">
        <v>10000</v>
      </c>
      <c r="EF31" s="518">
        <v>10000</v>
      </c>
      <c r="EG31" s="518">
        <v>10000</v>
      </c>
      <c r="EH31" s="518">
        <v>10000</v>
      </c>
      <c r="EI31" s="518">
        <v>10000</v>
      </c>
      <c r="EJ31" s="518">
        <v>10000</v>
      </c>
      <c r="EK31" s="518">
        <v>10000</v>
      </c>
      <c r="EL31" s="518">
        <v>10000</v>
      </c>
      <c r="EM31" s="518">
        <v>10000</v>
      </c>
      <c r="EN31" s="518">
        <v>10000</v>
      </c>
      <c r="EO31" s="518">
        <v>0</v>
      </c>
      <c r="EP31" s="518">
        <v>0</v>
      </c>
      <c r="EQ31" s="518">
        <v>0</v>
      </c>
      <c r="ER31" s="518">
        <v>0</v>
      </c>
      <c r="ES31" s="518">
        <v>0</v>
      </c>
      <c r="ET31" s="518">
        <v>0</v>
      </c>
      <c r="EU31" s="518">
        <v>0</v>
      </c>
      <c r="EV31" s="518">
        <v>0</v>
      </c>
      <c r="EW31" s="518">
        <v>0</v>
      </c>
      <c r="EX31" s="518">
        <v>0</v>
      </c>
      <c r="EY31" s="518">
        <v>0</v>
      </c>
      <c r="EZ31" s="518">
        <v>0</v>
      </c>
      <c r="FA31" s="518">
        <v>0</v>
      </c>
      <c r="FB31" s="518">
        <v>0</v>
      </c>
      <c r="FC31" s="518">
        <v>0</v>
      </c>
      <c r="FD31" s="518">
        <v>0</v>
      </c>
      <c r="FE31" s="518">
        <v>0</v>
      </c>
      <c r="FF31" s="518">
        <v>0</v>
      </c>
      <c r="FG31" s="518">
        <v>0</v>
      </c>
      <c r="FH31" s="518">
        <v>0</v>
      </c>
      <c r="FI31" s="518">
        <v>0</v>
      </c>
      <c r="FJ31" s="518">
        <v>0</v>
      </c>
      <c r="FK31" s="518">
        <v>0</v>
      </c>
      <c r="FL31" s="518">
        <v>0</v>
      </c>
      <c r="FM31" s="518">
        <v>0</v>
      </c>
      <c r="FN31" s="518">
        <v>0</v>
      </c>
      <c r="FO31" s="518">
        <v>0</v>
      </c>
      <c r="FP31" s="518">
        <v>0</v>
      </c>
      <c r="FQ31" s="518">
        <v>0</v>
      </c>
      <c r="FR31" s="518">
        <v>0</v>
      </c>
      <c r="FS31" s="518">
        <v>0</v>
      </c>
      <c r="FT31" s="518">
        <v>0</v>
      </c>
      <c r="FU31" s="518">
        <v>0</v>
      </c>
      <c r="FV31" s="518">
        <v>0</v>
      </c>
      <c r="FW31" s="518">
        <v>0</v>
      </c>
      <c r="FX31" s="518">
        <v>0</v>
      </c>
      <c r="FY31" s="518">
        <v>0</v>
      </c>
      <c r="FZ31" s="518">
        <v>0</v>
      </c>
      <c r="GA31" s="518">
        <v>0</v>
      </c>
      <c r="GB31" s="518">
        <v>0</v>
      </c>
      <c r="GC31" s="518">
        <v>0</v>
      </c>
      <c r="GD31" s="518">
        <v>0</v>
      </c>
      <c r="GE31" s="518">
        <v>0</v>
      </c>
      <c r="GF31" s="518">
        <v>0</v>
      </c>
      <c r="GG31" s="518">
        <v>0</v>
      </c>
      <c r="GH31" s="518">
        <v>0</v>
      </c>
      <c r="GI31" s="518">
        <v>0</v>
      </c>
      <c r="GJ31" s="518">
        <v>0</v>
      </c>
      <c r="GK31" s="518">
        <v>0</v>
      </c>
      <c r="GL31" s="518">
        <v>0</v>
      </c>
      <c r="GM31" s="518">
        <v>0</v>
      </c>
      <c r="GN31" s="518">
        <v>0</v>
      </c>
      <c r="GO31" s="518">
        <v>0</v>
      </c>
      <c r="GP31" s="518">
        <v>0</v>
      </c>
      <c r="GQ31" s="518">
        <v>0</v>
      </c>
      <c r="GR31" s="518">
        <v>0</v>
      </c>
      <c r="GS31" s="518">
        <v>0</v>
      </c>
      <c r="GT31" s="518">
        <v>0</v>
      </c>
      <c r="GU31" s="518">
        <v>0</v>
      </c>
      <c r="GV31" s="518">
        <v>0</v>
      </c>
      <c r="GW31" s="518">
        <v>0</v>
      </c>
      <c r="GX31" s="518">
        <v>0</v>
      </c>
      <c r="GY31" s="518">
        <v>0</v>
      </c>
      <c r="GZ31" s="518">
        <v>0</v>
      </c>
      <c r="HA31" s="518">
        <v>0</v>
      </c>
      <c r="HB31" s="518">
        <v>0</v>
      </c>
      <c r="HC31" s="518">
        <v>0</v>
      </c>
      <c r="HD31" s="518">
        <v>0</v>
      </c>
      <c r="HE31" s="518">
        <v>0</v>
      </c>
      <c r="HF31" s="518">
        <v>0</v>
      </c>
      <c r="HG31" s="518">
        <v>0</v>
      </c>
      <c r="HH31" s="518">
        <v>0</v>
      </c>
      <c r="HI31" s="518">
        <v>0</v>
      </c>
      <c r="HJ31" s="518">
        <v>0</v>
      </c>
      <c r="HK31" s="518">
        <v>0</v>
      </c>
      <c r="HL31" s="518">
        <v>0</v>
      </c>
      <c r="HM31" s="518">
        <v>0</v>
      </c>
      <c r="HN31" s="518">
        <v>0</v>
      </c>
      <c r="HO31" s="518">
        <v>0</v>
      </c>
      <c r="HP31" s="518">
        <v>0</v>
      </c>
      <c r="HQ31" s="518">
        <v>0</v>
      </c>
      <c r="HR31" s="518">
        <v>0</v>
      </c>
      <c r="HS31" s="518">
        <v>0</v>
      </c>
      <c r="HT31" s="518">
        <v>0</v>
      </c>
      <c r="HU31" s="518">
        <v>0</v>
      </c>
      <c r="HV31" s="518">
        <v>0</v>
      </c>
      <c r="HW31" s="518">
        <v>0</v>
      </c>
      <c r="HX31" s="518">
        <v>0</v>
      </c>
      <c r="HY31" s="518">
        <v>0</v>
      </c>
      <c r="HZ31" s="518">
        <v>0</v>
      </c>
      <c r="IA31" s="518">
        <v>0</v>
      </c>
      <c r="IB31" s="518">
        <v>0</v>
      </c>
      <c r="IC31" s="518">
        <v>0</v>
      </c>
      <c r="ID31" s="518">
        <v>0</v>
      </c>
      <c r="IE31" s="518">
        <v>0</v>
      </c>
      <c r="IF31" s="518">
        <v>0</v>
      </c>
      <c r="IG31" s="518">
        <v>0</v>
      </c>
      <c r="IH31" s="518">
        <v>0</v>
      </c>
      <c r="II31" s="518">
        <v>0</v>
      </c>
      <c r="IJ31" s="518">
        <v>0</v>
      </c>
      <c r="IK31" s="518">
        <v>0</v>
      </c>
    </row>
    <row r="32" spans="1:245" ht="16.5" hidden="1">
      <c r="A32" s="517" t="s">
        <v>721</v>
      </c>
      <c r="B32" s="517" t="s">
        <v>1101</v>
      </c>
      <c r="C32" s="517" t="s">
        <v>721</v>
      </c>
      <c r="D32" s="558"/>
      <c r="E32" s="517" t="s">
        <v>721</v>
      </c>
      <c r="F32" s="517" t="s">
        <v>25</v>
      </c>
      <c r="G32" s="558"/>
      <c r="H32" s="518">
        <v>44</v>
      </c>
      <c r="I32" s="558"/>
      <c r="J32" s="494" t="str">
        <f t="shared" si="1"/>
        <v>SWUC100144</v>
      </c>
      <c r="K32" s="518">
        <v>240</v>
      </c>
      <c r="M32" s="517" t="s">
        <v>721</v>
      </c>
      <c r="N32" s="517" t="s">
        <v>1101</v>
      </c>
      <c r="O32" s="517" t="s">
        <v>25</v>
      </c>
      <c r="P32" s="518">
        <v>44</v>
      </c>
      <c r="Q32" s="494" t="str">
        <f t="shared" si="2"/>
        <v>SWUC100144</v>
      </c>
      <c r="R32" s="518">
        <v>0</v>
      </c>
      <c r="S32" s="518">
        <v>20</v>
      </c>
      <c r="T32" s="518">
        <v>40</v>
      </c>
      <c r="U32" s="518">
        <v>59</v>
      </c>
      <c r="V32" s="518">
        <v>80</v>
      </c>
      <c r="W32" s="518">
        <v>106</v>
      </c>
      <c r="X32" s="518">
        <v>135</v>
      </c>
      <c r="Y32" s="518">
        <v>167</v>
      </c>
      <c r="Z32" s="518">
        <v>201</v>
      </c>
      <c r="AA32" s="518">
        <v>0</v>
      </c>
      <c r="AB32" s="518">
        <v>0</v>
      </c>
      <c r="AC32" s="518">
        <v>0</v>
      </c>
      <c r="AD32" s="518">
        <v>0</v>
      </c>
      <c r="AE32" s="518">
        <v>0</v>
      </c>
      <c r="AF32" s="518">
        <v>0</v>
      </c>
      <c r="AG32" s="518">
        <v>0</v>
      </c>
      <c r="AH32" s="518">
        <v>0</v>
      </c>
      <c r="AI32" s="518">
        <v>0</v>
      </c>
      <c r="AJ32" s="518">
        <v>0</v>
      </c>
      <c r="AK32" s="518">
        <v>0</v>
      </c>
      <c r="AL32" s="518">
        <v>0</v>
      </c>
      <c r="AM32" s="518">
        <v>0</v>
      </c>
      <c r="AN32" s="518">
        <v>0</v>
      </c>
      <c r="AO32" s="518">
        <v>0</v>
      </c>
      <c r="AP32" s="518">
        <v>0</v>
      </c>
      <c r="AQ32" s="518">
        <v>0</v>
      </c>
      <c r="AR32" s="518">
        <v>0</v>
      </c>
      <c r="AS32" s="518">
        <v>0</v>
      </c>
      <c r="AT32" s="518">
        <v>0</v>
      </c>
      <c r="AU32" s="518">
        <v>0</v>
      </c>
      <c r="AV32" s="518">
        <v>0</v>
      </c>
      <c r="AW32" s="518">
        <v>0</v>
      </c>
      <c r="AX32" s="518">
        <v>0</v>
      </c>
      <c r="AY32" s="518">
        <v>0</v>
      </c>
      <c r="AZ32" s="518">
        <v>0</v>
      </c>
      <c r="BA32" s="518">
        <v>0</v>
      </c>
      <c r="BB32" s="518">
        <v>0</v>
      </c>
      <c r="BC32" s="518">
        <v>0</v>
      </c>
      <c r="BD32" s="518">
        <v>0</v>
      </c>
      <c r="BE32" s="518">
        <v>0</v>
      </c>
      <c r="BF32" s="518">
        <v>0</v>
      </c>
      <c r="BG32" s="518">
        <v>0</v>
      </c>
      <c r="BH32" s="518">
        <v>0</v>
      </c>
      <c r="BI32" s="518">
        <v>0</v>
      </c>
      <c r="BJ32" s="518">
        <v>0</v>
      </c>
      <c r="BK32" s="518">
        <v>0</v>
      </c>
      <c r="BL32" s="518">
        <v>0</v>
      </c>
      <c r="BM32" s="518">
        <v>0</v>
      </c>
      <c r="BN32" s="518">
        <v>0</v>
      </c>
      <c r="BO32" s="518">
        <v>0</v>
      </c>
      <c r="BP32" s="518">
        <v>0</v>
      </c>
      <c r="BQ32" s="518">
        <v>0</v>
      </c>
      <c r="BR32" s="518">
        <v>0</v>
      </c>
      <c r="BS32" s="518">
        <v>0</v>
      </c>
      <c r="BT32" s="518">
        <v>0</v>
      </c>
      <c r="BU32" s="518">
        <v>0</v>
      </c>
      <c r="BV32" s="518">
        <v>0</v>
      </c>
      <c r="BW32" s="518">
        <v>0</v>
      </c>
      <c r="BX32" s="518">
        <v>0</v>
      </c>
      <c r="BY32" s="518">
        <v>0</v>
      </c>
      <c r="BZ32" s="518">
        <v>0</v>
      </c>
      <c r="CA32" s="518">
        <v>0</v>
      </c>
      <c r="CB32" s="518">
        <v>0</v>
      </c>
      <c r="CC32" s="518">
        <v>0</v>
      </c>
      <c r="CD32" s="518">
        <v>0</v>
      </c>
      <c r="CE32" s="518">
        <v>0</v>
      </c>
      <c r="CF32" s="518">
        <v>0</v>
      </c>
      <c r="CG32" s="518">
        <v>0</v>
      </c>
      <c r="CH32" s="518">
        <v>0</v>
      </c>
      <c r="CI32" s="518">
        <v>0</v>
      </c>
      <c r="CJ32" s="518">
        <v>0</v>
      </c>
      <c r="CK32" s="518">
        <v>0</v>
      </c>
      <c r="CL32" s="518">
        <v>0</v>
      </c>
      <c r="CM32" s="518">
        <v>0</v>
      </c>
      <c r="CN32" s="518">
        <v>0</v>
      </c>
      <c r="CO32" s="518">
        <v>0</v>
      </c>
      <c r="CP32" s="518">
        <v>0</v>
      </c>
      <c r="CQ32" s="518">
        <v>0</v>
      </c>
      <c r="CR32" s="518">
        <v>0</v>
      </c>
      <c r="CS32" s="518">
        <v>0</v>
      </c>
      <c r="CT32" s="518">
        <v>0</v>
      </c>
      <c r="CU32" s="518">
        <v>0</v>
      </c>
      <c r="CV32" s="518">
        <v>0</v>
      </c>
      <c r="CW32" s="518">
        <v>0</v>
      </c>
      <c r="CX32" s="518">
        <v>0</v>
      </c>
      <c r="CY32" s="518">
        <v>0</v>
      </c>
      <c r="CZ32" s="518">
        <v>0</v>
      </c>
      <c r="DA32" s="518">
        <v>0</v>
      </c>
      <c r="DB32" s="518">
        <v>0</v>
      </c>
      <c r="DC32" s="518">
        <v>0</v>
      </c>
      <c r="DD32" s="518">
        <v>0</v>
      </c>
      <c r="DE32" s="518">
        <v>0</v>
      </c>
      <c r="DF32" s="518">
        <v>0</v>
      </c>
      <c r="DG32" s="518">
        <v>0</v>
      </c>
      <c r="DH32" s="518">
        <v>0</v>
      </c>
      <c r="DI32" s="518">
        <v>0</v>
      </c>
      <c r="DJ32" s="518">
        <v>0</v>
      </c>
      <c r="DK32" s="518">
        <v>0</v>
      </c>
      <c r="DL32" s="518">
        <v>0</v>
      </c>
      <c r="DM32" s="518">
        <v>0</v>
      </c>
      <c r="DN32" s="518">
        <v>0</v>
      </c>
      <c r="DO32" s="518">
        <v>0</v>
      </c>
      <c r="DP32" s="518">
        <v>0</v>
      </c>
      <c r="DQ32" s="518">
        <v>0</v>
      </c>
      <c r="DR32" s="518">
        <v>0</v>
      </c>
      <c r="DS32" s="518">
        <v>0</v>
      </c>
      <c r="DT32" s="518">
        <v>0</v>
      </c>
      <c r="DU32" s="518">
        <v>0</v>
      </c>
      <c r="DV32" s="518">
        <v>0</v>
      </c>
      <c r="DW32" s="518">
        <v>0</v>
      </c>
      <c r="DX32" s="518">
        <v>0</v>
      </c>
      <c r="DY32" s="477"/>
      <c r="DZ32" s="517" t="s">
        <v>721</v>
      </c>
      <c r="EA32" s="517" t="s">
        <v>1101</v>
      </c>
      <c r="EB32" s="517" t="s">
        <v>25</v>
      </c>
      <c r="EC32" s="518">
        <v>44</v>
      </c>
      <c r="ED32" s="494" t="str">
        <f t="shared" si="0"/>
        <v>SWUC100144</v>
      </c>
      <c r="EE32" s="518">
        <v>10000</v>
      </c>
      <c r="EF32" s="518">
        <v>10000</v>
      </c>
      <c r="EG32" s="518">
        <v>10000</v>
      </c>
      <c r="EH32" s="518">
        <v>10000</v>
      </c>
      <c r="EI32" s="518">
        <v>10000</v>
      </c>
      <c r="EJ32" s="518">
        <v>10000</v>
      </c>
      <c r="EK32" s="518">
        <v>10000</v>
      </c>
      <c r="EL32" s="518">
        <v>10000</v>
      </c>
      <c r="EM32" s="518">
        <v>10000</v>
      </c>
      <c r="EN32" s="518">
        <v>10000</v>
      </c>
      <c r="EO32" s="518">
        <v>0</v>
      </c>
      <c r="EP32" s="518">
        <v>0</v>
      </c>
      <c r="EQ32" s="518">
        <v>0</v>
      </c>
      <c r="ER32" s="518">
        <v>0</v>
      </c>
      <c r="ES32" s="518">
        <v>0</v>
      </c>
      <c r="ET32" s="518">
        <v>0</v>
      </c>
      <c r="EU32" s="518">
        <v>0</v>
      </c>
      <c r="EV32" s="518">
        <v>0</v>
      </c>
      <c r="EW32" s="518">
        <v>0</v>
      </c>
      <c r="EX32" s="518">
        <v>0</v>
      </c>
      <c r="EY32" s="518">
        <v>0</v>
      </c>
      <c r="EZ32" s="518">
        <v>0</v>
      </c>
      <c r="FA32" s="518">
        <v>0</v>
      </c>
      <c r="FB32" s="518">
        <v>0</v>
      </c>
      <c r="FC32" s="518">
        <v>0</v>
      </c>
      <c r="FD32" s="518">
        <v>0</v>
      </c>
      <c r="FE32" s="518">
        <v>0</v>
      </c>
      <c r="FF32" s="518">
        <v>0</v>
      </c>
      <c r="FG32" s="518">
        <v>0</v>
      </c>
      <c r="FH32" s="518">
        <v>0</v>
      </c>
      <c r="FI32" s="518">
        <v>0</v>
      </c>
      <c r="FJ32" s="518">
        <v>0</v>
      </c>
      <c r="FK32" s="518">
        <v>0</v>
      </c>
      <c r="FL32" s="518">
        <v>0</v>
      </c>
      <c r="FM32" s="518">
        <v>0</v>
      </c>
      <c r="FN32" s="518">
        <v>0</v>
      </c>
      <c r="FO32" s="518">
        <v>0</v>
      </c>
      <c r="FP32" s="518">
        <v>0</v>
      </c>
      <c r="FQ32" s="518">
        <v>0</v>
      </c>
      <c r="FR32" s="518">
        <v>0</v>
      </c>
      <c r="FS32" s="518">
        <v>0</v>
      </c>
      <c r="FT32" s="518">
        <v>0</v>
      </c>
      <c r="FU32" s="518">
        <v>0</v>
      </c>
      <c r="FV32" s="518">
        <v>0</v>
      </c>
      <c r="FW32" s="518">
        <v>0</v>
      </c>
      <c r="FX32" s="518">
        <v>0</v>
      </c>
      <c r="FY32" s="518">
        <v>0</v>
      </c>
      <c r="FZ32" s="518">
        <v>0</v>
      </c>
      <c r="GA32" s="518">
        <v>0</v>
      </c>
      <c r="GB32" s="518">
        <v>0</v>
      </c>
      <c r="GC32" s="518">
        <v>0</v>
      </c>
      <c r="GD32" s="518">
        <v>0</v>
      </c>
      <c r="GE32" s="518">
        <v>0</v>
      </c>
      <c r="GF32" s="518">
        <v>0</v>
      </c>
      <c r="GG32" s="518">
        <v>0</v>
      </c>
      <c r="GH32" s="518">
        <v>0</v>
      </c>
      <c r="GI32" s="518">
        <v>0</v>
      </c>
      <c r="GJ32" s="518">
        <v>0</v>
      </c>
      <c r="GK32" s="518">
        <v>0</v>
      </c>
      <c r="GL32" s="518">
        <v>0</v>
      </c>
      <c r="GM32" s="518">
        <v>0</v>
      </c>
      <c r="GN32" s="518">
        <v>0</v>
      </c>
      <c r="GO32" s="518">
        <v>0</v>
      </c>
      <c r="GP32" s="518">
        <v>0</v>
      </c>
      <c r="GQ32" s="518">
        <v>0</v>
      </c>
      <c r="GR32" s="518">
        <v>0</v>
      </c>
      <c r="GS32" s="518">
        <v>0</v>
      </c>
      <c r="GT32" s="518">
        <v>0</v>
      </c>
      <c r="GU32" s="518">
        <v>0</v>
      </c>
      <c r="GV32" s="518">
        <v>0</v>
      </c>
      <c r="GW32" s="518">
        <v>0</v>
      </c>
      <c r="GX32" s="518">
        <v>0</v>
      </c>
      <c r="GY32" s="518">
        <v>0</v>
      </c>
      <c r="GZ32" s="518">
        <v>0</v>
      </c>
      <c r="HA32" s="518">
        <v>0</v>
      </c>
      <c r="HB32" s="518">
        <v>0</v>
      </c>
      <c r="HC32" s="518">
        <v>0</v>
      </c>
      <c r="HD32" s="518">
        <v>0</v>
      </c>
      <c r="HE32" s="518">
        <v>0</v>
      </c>
      <c r="HF32" s="518">
        <v>0</v>
      </c>
      <c r="HG32" s="518">
        <v>0</v>
      </c>
      <c r="HH32" s="518">
        <v>0</v>
      </c>
      <c r="HI32" s="518">
        <v>0</v>
      </c>
      <c r="HJ32" s="518">
        <v>0</v>
      </c>
      <c r="HK32" s="518">
        <v>0</v>
      </c>
      <c r="HL32" s="518">
        <v>0</v>
      </c>
      <c r="HM32" s="518">
        <v>0</v>
      </c>
      <c r="HN32" s="518">
        <v>0</v>
      </c>
      <c r="HO32" s="518">
        <v>0</v>
      </c>
      <c r="HP32" s="518">
        <v>0</v>
      </c>
      <c r="HQ32" s="518">
        <v>0</v>
      </c>
      <c r="HR32" s="518">
        <v>0</v>
      </c>
      <c r="HS32" s="518">
        <v>0</v>
      </c>
      <c r="HT32" s="518">
        <v>0</v>
      </c>
      <c r="HU32" s="518">
        <v>0</v>
      </c>
      <c r="HV32" s="518">
        <v>0</v>
      </c>
      <c r="HW32" s="518">
        <v>0</v>
      </c>
      <c r="HX32" s="518">
        <v>0</v>
      </c>
      <c r="HY32" s="518">
        <v>0</v>
      </c>
      <c r="HZ32" s="518">
        <v>0</v>
      </c>
      <c r="IA32" s="518">
        <v>0</v>
      </c>
      <c r="IB32" s="518">
        <v>0</v>
      </c>
      <c r="IC32" s="518">
        <v>0</v>
      </c>
      <c r="ID32" s="518">
        <v>0</v>
      </c>
      <c r="IE32" s="518">
        <v>0</v>
      </c>
      <c r="IF32" s="518">
        <v>0</v>
      </c>
      <c r="IG32" s="518">
        <v>0</v>
      </c>
      <c r="IH32" s="518">
        <v>0</v>
      </c>
      <c r="II32" s="518">
        <v>0</v>
      </c>
      <c r="IJ32" s="518">
        <v>0</v>
      </c>
      <c r="IK32" s="518">
        <v>0</v>
      </c>
    </row>
    <row r="33" spans="1:245" ht="16.5" hidden="1">
      <c r="A33" s="517" t="s">
        <v>721</v>
      </c>
      <c r="B33" s="517" t="s">
        <v>1101</v>
      </c>
      <c r="C33" s="517" t="s">
        <v>721</v>
      </c>
      <c r="D33" s="558"/>
      <c r="E33" s="517" t="s">
        <v>721</v>
      </c>
      <c r="F33" s="517" t="s">
        <v>25</v>
      </c>
      <c r="G33" s="558"/>
      <c r="H33" s="518">
        <v>45</v>
      </c>
      <c r="I33" s="558"/>
      <c r="J33" s="494" t="str">
        <f t="shared" si="1"/>
        <v>SWUC100145</v>
      </c>
      <c r="K33" s="518">
        <v>258</v>
      </c>
      <c r="M33" s="517" t="s">
        <v>721</v>
      </c>
      <c r="N33" s="517" t="s">
        <v>1101</v>
      </c>
      <c r="O33" s="517" t="s">
        <v>25</v>
      </c>
      <c r="P33" s="518">
        <v>45</v>
      </c>
      <c r="Q33" s="494" t="str">
        <f t="shared" si="2"/>
        <v>SWUC100145</v>
      </c>
      <c r="R33" s="518">
        <v>0</v>
      </c>
      <c r="S33" s="518">
        <v>21</v>
      </c>
      <c r="T33" s="518">
        <v>42</v>
      </c>
      <c r="U33" s="518">
        <v>64</v>
      </c>
      <c r="V33" s="518">
        <v>85</v>
      </c>
      <c r="W33" s="518">
        <v>114</v>
      </c>
      <c r="X33" s="518">
        <v>145</v>
      </c>
      <c r="Y33" s="518">
        <v>179</v>
      </c>
      <c r="Z33" s="518">
        <v>216</v>
      </c>
      <c r="AA33" s="518">
        <v>0</v>
      </c>
      <c r="AB33" s="518">
        <v>0</v>
      </c>
      <c r="AC33" s="518">
        <v>0</v>
      </c>
      <c r="AD33" s="518">
        <v>0</v>
      </c>
      <c r="AE33" s="518">
        <v>0</v>
      </c>
      <c r="AF33" s="518">
        <v>0</v>
      </c>
      <c r="AG33" s="518">
        <v>0</v>
      </c>
      <c r="AH33" s="518">
        <v>0</v>
      </c>
      <c r="AI33" s="518">
        <v>0</v>
      </c>
      <c r="AJ33" s="518">
        <v>0</v>
      </c>
      <c r="AK33" s="518">
        <v>0</v>
      </c>
      <c r="AL33" s="518">
        <v>0</v>
      </c>
      <c r="AM33" s="518">
        <v>0</v>
      </c>
      <c r="AN33" s="518">
        <v>0</v>
      </c>
      <c r="AO33" s="518">
        <v>0</v>
      </c>
      <c r="AP33" s="518">
        <v>0</v>
      </c>
      <c r="AQ33" s="518">
        <v>0</v>
      </c>
      <c r="AR33" s="518">
        <v>0</v>
      </c>
      <c r="AS33" s="518">
        <v>0</v>
      </c>
      <c r="AT33" s="518">
        <v>0</v>
      </c>
      <c r="AU33" s="518">
        <v>0</v>
      </c>
      <c r="AV33" s="518">
        <v>0</v>
      </c>
      <c r="AW33" s="518">
        <v>0</v>
      </c>
      <c r="AX33" s="518">
        <v>0</v>
      </c>
      <c r="AY33" s="518">
        <v>0</v>
      </c>
      <c r="AZ33" s="518">
        <v>0</v>
      </c>
      <c r="BA33" s="518">
        <v>0</v>
      </c>
      <c r="BB33" s="518">
        <v>0</v>
      </c>
      <c r="BC33" s="518">
        <v>0</v>
      </c>
      <c r="BD33" s="518">
        <v>0</v>
      </c>
      <c r="BE33" s="518">
        <v>0</v>
      </c>
      <c r="BF33" s="518">
        <v>0</v>
      </c>
      <c r="BG33" s="518">
        <v>0</v>
      </c>
      <c r="BH33" s="518">
        <v>0</v>
      </c>
      <c r="BI33" s="518">
        <v>0</v>
      </c>
      <c r="BJ33" s="518">
        <v>0</v>
      </c>
      <c r="BK33" s="518">
        <v>0</v>
      </c>
      <c r="BL33" s="518">
        <v>0</v>
      </c>
      <c r="BM33" s="518">
        <v>0</v>
      </c>
      <c r="BN33" s="518">
        <v>0</v>
      </c>
      <c r="BO33" s="518">
        <v>0</v>
      </c>
      <c r="BP33" s="518">
        <v>0</v>
      </c>
      <c r="BQ33" s="518">
        <v>0</v>
      </c>
      <c r="BR33" s="518">
        <v>0</v>
      </c>
      <c r="BS33" s="518">
        <v>0</v>
      </c>
      <c r="BT33" s="518">
        <v>0</v>
      </c>
      <c r="BU33" s="518">
        <v>0</v>
      </c>
      <c r="BV33" s="518">
        <v>0</v>
      </c>
      <c r="BW33" s="518">
        <v>0</v>
      </c>
      <c r="BX33" s="518">
        <v>0</v>
      </c>
      <c r="BY33" s="518">
        <v>0</v>
      </c>
      <c r="BZ33" s="518">
        <v>0</v>
      </c>
      <c r="CA33" s="518">
        <v>0</v>
      </c>
      <c r="CB33" s="518">
        <v>0</v>
      </c>
      <c r="CC33" s="518">
        <v>0</v>
      </c>
      <c r="CD33" s="518">
        <v>0</v>
      </c>
      <c r="CE33" s="518">
        <v>0</v>
      </c>
      <c r="CF33" s="518">
        <v>0</v>
      </c>
      <c r="CG33" s="518">
        <v>0</v>
      </c>
      <c r="CH33" s="518">
        <v>0</v>
      </c>
      <c r="CI33" s="518">
        <v>0</v>
      </c>
      <c r="CJ33" s="518">
        <v>0</v>
      </c>
      <c r="CK33" s="518">
        <v>0</v>
      </c>
      <c r="CL33" s="518">
        <v>0</v>
      </c>
      <c r="CM33" s="518">
        <v>0</v>
      </c>
      <c r="CN33" s="518">
        <v>0</v>
      </c>
      <c r="CO33" s="518">
        <v>0</v>
      </c>
      <c r="CP33" s="518">
        <v>0</v>
      </c>
      <c r="CQ33" s="518">
        <v>0</v>
      </c>
      <c r="CR33" s="518">
        <v>0</v>
      </c>
      <c r="CS33" s="518">
        <v>0</v>
      </c>
      <c r="CT33" s="518">
        <v>0</v>
      </c>
      <c r="CU33" s="518">
        <v>0</v>
      </c>
      <c r="CV33" s="518">
        <v>0</v>
      </c>
      <c r="CW33" s="518">
        <v>0</v>
      </c>
      <c r="CX33" s="518">
        <v>0</v>
      </c>
      <c r="CY33" s="518">
        <v>0</v>
      </c>
      <c r="CZ33" s="518">
        <v>0</v>
      </c>
      <c r="DA33" s="518">
        <v>0</v>
      </c>
      <c r="DB33" s="518">
        <v>0</v>
      </c>
      <c r="DC33" s="518">
        <v>0</v>
      </c>
      <c r="DD33" s="518">
        <v>0</v>
      </c>
      <c r="DE33" s="518">
        <v>0</v>
      </c>
      <c r="DF33" s="518">
        <v>0</v>
      </c>
      <c r="DG33" s="518">
        <v>0</v>
      </c>
      <c r="DH33" s="518">
        <v>0</v>
      </c>
      <c r="DI33" s="518">
        <v>0</v>
      </c>
      <c r="DJ33" s="518">
        <v>0</v>
      </c>
      <c r="DK33" s="518">
        <v>0</v>
      </c>
      <c r="DL33" s="518">
        <v>0</v>
      </c>
      <c r="DM33" s="518">
        <v>0</v>
      </c>
      <c r="DN33" s="518">
        <v>0</v>
      </c>
      <c r="DO33" s="518">
        <v>0</v>
      </c>
      <c r="DP33" s="518">
        <v>0</v>
      </c>
      <c r="DQ33" s="518">
        <v>0</v>
      </c>
      <c r="DR33" s="518">
        <v>0</v>
      </c>
      <c r="DS33" s="518">
        <v>0</v>
      </c>
      <c r="DT33" s="518">
        <v>0</v>
      </c>
      <c r="DU33" s="518">
        <v>0</v>
      </c>
      <c r="DV33" s="518">
        <v>0</v>
      </c>
      <c r="DW33" s="518">
        <v>0</v>
      </c>
      <c r="DX33" s="518">
        <v>0</v>
      </c>
      <c r="DY33" s="477"/>
      <c r="DZ33" s="517" t="s">
        <v>721</v>
      </c>
      <c r="EA33" s="517" t="s">
        <v>1101</v>
      </c>
      <c r="EB33" s="517" t="s">
        <v>25</v>
      </c>
      <c r="EC33" s="518">
        <v>45</v>
      </c>
      <c r="ED33" s="494" t="str">
        <f t="shared" si="0"/>
        <v>SWUC100145</v>
      </c>
      <c r="EE33" s="518">
        <v>10000</v>
      </c>
      <c r="EF33" s="518">
        <v>10000</v>
      </c>
      <c r="EG33" s="518">
        <v>10000</v>
      </c>
      <c r="EH33" s="518">
        <v>10000</v>
      </c>
      <c r="EI33" s="518">
        <v>10000</v>
      </c>
      <c r="EJ33" s="518">
        <v>10000</v>
      </c>
      <c r="EK33" s="518">
        <v>10000</v>
      </c>
      <c r="EL33" s="518">
        <v>10000</v>
      </c>
      <c r="EM33" s="518">
        <v>10000</v>
      </c>
      <c r="EN33" s="518">
        <v>10000</v>
      </c>
      <c r="EO33" s="518">
        <v>0</v>
      </c>
      <c r="EP33" s="518">
        <v>0</v>
      </c>
      <c r="EQ33" s="518">
        <v>0</v>
      </c>
      <c r="ER33" s="518">
        <v>0</v>
      </c>
      <c r="ES33" s="518">
        <v>0</v>
      </c>
      <c r="ET33" s="518">
        <v>0</v>
      </c>
      <c r="EU33" s="518">
        <v>0</v>
      </c>
      <c r="EV33" s="518">
        <v>0</v>
      </c>
      <c r="EW33" s="518">
        <v>0</v>
      </c>
      <c r="EX33" s="518">
        <v>0</v>
      </c>
      <c r="EY33" s="518">
        <v>0</v>
      </c>
      <c r="EZ33" s="518">
        <v>0</v>
      </c>
      <c r="FA33" s="518">
        <v>0</v>
      </c>
      <c r="FB33" s="518">
        <v>0</v>
      </c>
      <c r="FC33" s="518">
        <v>0</v>
      </c>
      <c r="FD33" s="518">
        <v>0</v>
      </c>
      <c r="FE33" s="518">
        <v>0</v>
      </c>
      <c r="FF33" s="518">
        <v>0</v>
      </c>
      <c r="FG33" s="518">
        <v>0</v>
      </c>
      <c r="FH33" s="518">
        <v>0</v>
      </c>
      <c r="FI33" s="518">
        <v>0</v>
      </c>
      <c r="FJ33" s="518">
        <v>0</v>
      </c>
      <c r="FK33" s="518">
        <v>0</v>
      </c>
      <c r="FL33" s="518">
        <v>0</v>
      </c>
      <c r="FM33" s="518">
        <v>0</v>
      </c>
      <c r="FN33" s="518">
        <v>0</v>
      </c>
      <c r="FO33" s="518">
        <v>0</v>
      </c>
      <c r="FP33" s="518">
        <v>0</v>
      </c>
      <c r="FQ33" s="518">
        <v>0</v>
      </c>
      <c r="FR33" s="518">
        <v>0</v>
      </c>
      <c r="FS33" s="518">
        <v>0</v>
      </c>
      <c r="FT33" s="518">
        <v>0</v>
      </c>
      <c r="FU33" s="518">
        <v>0</v>
      </c>
      <c r="FV33" s="518">
        <v>0</v>
      </c>
      <c r="FW33" s="518">
        <v>0</v>
      </c>
      <c r="FX33" s="518">
        <v>0</v>
      </c>
      <c r="FY33" s="518">
        <v>0</v>
      </c>
      <c r="FZ33" s="518">
        <v>0</v>
      </c>
      <c r="GA33" s="518">
        <v>0</v>
      </c>
      <c r="GB33" s="518">
        <v>0</v>
      </c>
      <c r="GC33" s="518">
        <v>0</v>
      </c>
      <c r="GD33" s="518">
        <v>0</v>
      </c>
      <c r="GE33" s="518">
        <v>0</v>
      </c>
      <c r="GF33" s="518">
        <v>0</v>
      </c>
      <c r="GG33" s="518">
        <v>0</v>
      </c>
      <c r="GH33" s="518">
        <v>0</v>
      </c>
      <c r="GI33" s="518">
        <v>0</v>
      </c>
      <c r="GJ33" s="518">
        <v>0</v>
      </c>
      <c r="GK33" s="518">
        <v>0</v>
      </c>
      <c r="GL33" s="518">
        <v>0</v>
      </c>
      <c r="GM33" s="518">
        <v>0</v>
      </c>
      <c r="GN33" s="518">
        <v>0</v>
      </c>
      <c r="GO33" s="518">
        <v>0</v>
      </c>
      <c r="GP33" s="518">
        <v>0</v>
      </c>
      <c r="GQ33" s="518">
        <v>0</v>
      </c>
      <c r="GR33" s="518">
        <v>0</v>
      </c>
      <c r="GS33" s="518">
        <v>0</v>
      </c>
      <c r="GT33" s="518">
        <v>0</v>
      </c>
      <c r="GU33" s="518">
        <v>0</v>
      </c>
      <c r="GV33" s="518">
        <v>0</v>
      </c>
      <c r="GW33" s="518">
        <v>0</v>
      </c>
      <c r="GX33" s="518">
        <v>0</v>
      </c>
      <c r="GY33" s="518">
        <v>0</v>
      </c>
      <c r="GZ33" s="518">
        <v>0</v>
      </c>
      <c r="HA33" s="518">
        <v>0</v>
      </c>
      <c r="HB33" s="518">
        <v>0</v>
      </c>
      <c r="HC33" s="518">
        <v>0</v>
      </c>
      <c r="HD33" s="518">
        <v>0</v>
      </c>
      <c r="HE33" s="518">
        <v>0</v>
      </c>
      <c r="HF33" s="518">
        <v>0</v>
      </c>
      <c r="HG33" s="518">
        <v>0</v>
      </c>
      <c r="HH33" s="518">
        <v>0</v>
      </c>
      <c r="HI33" s="518">
        <v>0</v>
      </c>
      <c r="HJ33" s="518">
        <v>0</v>
      </c>
      <c r="HK33" s="518">
        <v>0</v>
      </c>
      <c r="HL33" s="518">
        <v>0</v>
      </c>
      <c r="HM33" s="518">
        <v>0</v>
      </c>
      <c r="HN33" s="518">
        <v>0</v>
      </c>
      <c r="HO33" s="518">
        <v>0</v>
      </c>
      <c r="HP33" s="518">
        <v>0</v>
      </c>
      <c r="HQ33" s="518">
        <v>0</v>
      </c>
      <c r="HR33" s="518">
        <v>0</v>
      </c>
      <c r="HS33" s="518">
        <v>0</v>
      </c>
      <c r="HT33" s="518">
        <v>0</v>
      </c>
      <c r="HU33" s="518">
        <v>0</v>
      </c>
      <c r="HV33" s="518">
        <v>0</v>
      </c>
      <c r="HW33" s="518">
        <v>0</v>
      </c>
      <c r="HX33" s="518">
        <v>0</v>
      </c>
      <c r="HY33" s="518">
        <v>0</v>
      </c>
      <c r="HZ33" s="518">
        <v>0</v>
      </c>
      <c r="IA33" s="518">
        <v>0</v>
      </c>
      <c r="IB33" s="518">
        <v>0</v>
      </c>
      <c r="IC33" s="518">
        <v>0</v>
      </c>
      <c r="ID33" s="518">
        <v>0</v>
      </c>
      <c r="IE33" s="518">
        <v>0</v>
      </c>
      <c r="IF33" s="518">
        <v>0</v>
      </c>
      <c r="IG33" s="518">
        <v>0</v>
      </c>
      <c r="IH33" s="518">
        <v>0</v>
      </c>
      <c r="II33" s="518">
        <v>0</v>
      </c>
      <c r="IJ33" s="518">
        <v>0</v>
      </c>
      <c r="IK33" s="518">
        <v>0</v>
      </c>
    </row>
    <row r="34" spans="1:245" ht="16.5" hidden="1">
      <c r="A34" s="517" t="s">
        <v>721</v>
      </c>
      <c r="B34" s="517" t="s">
        <v>1101</v>
      </c>
      <c r="C34" s="517" t="s">
        <v>721</v>
      </c>
      <c r="D34" s="558"/>
      <c r="E34" s="517" t="s">
        <v>721</v>
      </c>
      <c r="F34" s="517" t="s">
        <v>25</v>
      </c>
      <c r="G34" s="558"/>
      <c r="H34" s="518">
        <v>46</v>
      </c>
      <c r="I34" s="558"/>
      <c r="J34" s="494" t="str">
        <f t="shared" si="1"/>
        <v>SWUC100146</v>
      </c>
      <c r="K34" s="518">
        <v>276</v>
      </c>
      <c r="M34" s="517" t="s">
        <v>721</v>
      </c>
      <c r="N34" s="517" t="s">
        <v>1101</v>
      </c>
      <c r="O34" s="517" t="s">
        <v>25</v>
      </c>
      <c r="P34" s="518">
        <v>46</v>
      </c>
      <c r="Q34" s="494" t="str">
        <f t="shared" si="2"/>
        <v>SWUC100146</v>
      </c>
      <c r="R34" s="518">
        <v>0</v>
      </c>
      <c r="S34" s="518">
        <v>23</v>
      </c>
      <c r="T34" s="518">
        <v>45</v>
      </c>
      <c r="U34" s="518">
        <v>68</v>
      </c>
      <c r="V34" s="518">
        <v>91</v>
      </c>
      <c r="W34" s="518">
        <v>122</v>
      </c>
      <c r="X34" s="518">
        <v>156</v>
      </c>
      <c r="Y34" s="518">
        <v>192</v>
      </c>
      <c r="Z34" s="518">
        <v>232</v>
      </c>
      <c r="AA34" s="518">
        <v>0</v>
      </c>
      <c r="AB34" s="518">
        <v>0</v>
      </c>
      <c r="AC34" s="518">
        <v>0</v>
      </c>
      <c r="AD34" s="518">
        <v>0</v>
      </c>
      <c r="AE34" s="518">
        <v>0</v>
      </c>
      <c r="AF34" s="518">
        <v>0</v>
      </c>
      <c r="AG34" s="518">
        <v>0</v>
      </c>
      <c r="AH34" s="518">
        <v>0</v>
      </c>
      <c r="AI34" s="518">
        <v>0</v>
      </c>
      <c r="AJ34" s="518">
        <v>0</v>
      </c>
      <c r="AK34" s="518">
        <v>0</v>
      </c>
      <c r="AL34" s="518">
        <v>0</v>
      </c>
      <c r="AM34" s="518">
        <v>0</v>
      </c>
      <c r="AN34" s="518">
        <v>0</v>
      </c>
      <c r="AO34" s="518">
        <v>0</v>
      </c>
      <c r="AP34" s="518">
        <v>0</v>
      </c>
      <c r="AQ34" s="518">
        <v>0</v>
      </c>
      <c r="AR34" s="518">
        <v>0</v>
      </c>
      <c r="AS34" s="518">
        <v>0</v>
      </c>
      <c r="AT34" s="518">
        <v>0</v>
      </c>
      <c r="AU34" s="518">
        <v>0</v>
      </c>
      <c r="AV34" s="518">
        <v>0</v>
      </c>
      <c r="AW34" s="518">
        <v>0</v>
      </c>
      <c r="AX34" s="518">
        <v>0</v>
      </c>
      <c r="AY34" s="518">
        <v>0</v>
      </c>
      <c r="AZ34" s="518">
        <v>0</v>
      </c>
      <c r="BA34" s="518">
        <v>0</v>
      </c>
      <c r="BB34" s="518">
        <v>0</v>
      </c>
      <c r="BC34" s="518">
        <v>0</v>
      </c>
      <c r="BD34" s="518">
        <v>0</v>
      </c>
      <c r="BE34" s="518">
        <v>0</v>
      </c>
      <c r="BF34" s="518">
        <v>0</v>
      </c>
      <c r="BG34" s="518">
        <v>0</v>
      </c>
      <c r="BH34" s="518">
        <v>0</v>
      </c>
      <c r="BI34" s="518">
        <v>0</v>
      </c>
      <c r="BJ34" s="518">
        <v>0</v>
      </c>
      <c r="BK34" s="518">
        <v>0</v>
      </c>
      <c r="BL34" s="518">
        <v>0</v>
      </c>
      <c r="BM34" s="518">
        <v>0</v>
      </c>
      <c r="BN34" s="518">
        <v>0</v>
      </c>
      <c r="BO34" s="518">
        <v>0</v>
      </c>
      <c r="BP34" s="518">
        <v>0</v>
      </c>
      <c r="BQ34" s="518">
        <v>0</v>
      </c>
      <c r="BR34" s="518">
        <v>0</v>
      </c>
      <c r="BS34" s="518">
        <v>0</v>
      </c>
      <c r="BT34" s="518">
        <v>0</v>
      </c>
      <c r="BU34" s="518">
        <v>0</v>
      </c>
      <c r="BV34" s="518">
        <v>0</v>
      </c>
      <c r="BW34" s="518">
        <v>0</v>
      </c>
      <c r="BX34" s="518">
        <v>0</v>
      </c>
      <c r="BY34" s="518">
        <v>0</v>
      </c>
      <c r="BZ34" s="518">
        <v>0</v>
      </c>
      <c r="CA34" s="518">
        <v>0</v>
      </c>
      <c r="CB34" s="518">
        <v>0</v>
      </c>
      <c r="CC34" s="518">
        <v>0</v>
      </c>
      <c r="CD34" s="518">
        <v>0</v>
      </c>
      <c r="CE34" s="518">
        <v>0</v>
      </c>
      <c r="CF34" s="518">
        <v>0</v>
      </c>
      <c r="CG34" s="518">
        <v>0</v>
      </c>
      <c r="CH34" s="518">
        <v>0</v>
      </c>
      <c r="CI34" s="518">
        <v>0</v>
      </c>
      <c r="CJ34" s="518">
        <v>0</v>
      </c>
      <c r="CK34" s="518">
        <v>0</v>
      </c>
      <c r="CL34" s="518">
        <v>0</v>
      </c>
      <c r="CM34" s="518">
        <v>0</v>
      </c>
      <c r="CN34" s="518">
        <v>0</v>
      </c>
      <c r="CO34" s="518">
        <v>0</v>
      </c>
      <c r="CP34" s="518">
        <v>0</v>
      </c>
      <c r="CQ34" s="518">
        <v>0</v>
      </c>
      <c r="CR34" s="518">
        <v>0</v>
      </c>
      <c r="CS34" s="518">
        <v>0</v>
      </c>
      <c r="CT34" s="518">
        <v>0</v>
      </c>
      <c r="CU34" s="518">
        <v>0</v>
      </c>
      <c r="CV34" s="518">
        <v>0</v>
      </c>
      <c r="CW34" s="518">
        <v>0</v>
      </c>
      <c r="CX34" s="518">
        <v>0</v>
      </c>
      <c r="CY34" s="518">
        <v>0</v>
      </c>
      <c r="CZ34" s="518">
        <v>0</v>
      </c>
      <c r="DA34" s="518">
        <v>0</v>
      </c>
      <c r="DB34" s="518">
        <v>0</v>
      </c>
      <c r="DC34" s="518">
        <v>0</v>
      </c>
      <c r="DD34" s="518">
        <v>0</v>
      </c>
      <c r="DE34" s="518">
        <v>0</v>
      </c>
      <c r="DF34" s="518">
        <v>0</v>
      </c>
      <c r="DG34" s="518">
        <v>0</v>
      </c>
      <c r="DH34" s="518">
        <v>0</v>
      </c>
      <c r="DI34" s="518">
        <v>0</v>
      </c>
      <c r="DJ34" s="518">
        <v>0</v>
      </c>
      <c r="DK34" s="518">
        <v>0</v>
      </c>
      <c r="DL34" s="518">
        <v>0</v>
      </c>
      <c r="DM34" s="518">
        <v>0</v>
      </c>
      <c r="DN34" s="518">
        <v>0</v>
      </c>
      <c r="DO34" s="518">
        <v>0</v>
      </c>
      <c r="DP34" s="518">
        <v>0</v>
      </c>
      <c r="DQ34" s="518">
        <v>0</v>
      </c>
      <c r="DR34" s="518">
        <v>0</v>
      </c>
      <c r="DS34" s="518">
        <v>0</v>
      </c>
      <c r="DT34" s="518">
        <v>0</v>
      </c>
      <c r="DU34" s="518">
        <v>0</v>
      </c>
      <c r="DV34" s="518">
        <v>0</v>
      </c>
      <c r="DW34" s="518">
        <v>0</v>
      </c>
      <c r="DX34" s="518">
        <v>0</v>
      </c>
      <c r="DY34" s="477"/>
      <c r="DZ34" s="517" t="s">
        <v>721</v>
      </c>
      <c r="EA34" s="517" t="s">
        <v>1101</v>
      </c>
      <c r="EB34" s="517" t="s">
        <v>25</v>
      </c>
      <c r="EC34" s="518">
        <v>46</v>
      </c>
      <c r="ED34" s="494" t="str">
        <f t="shared" si="0"/>
        <v>SWUC100146</v>
      </c>
      <c r="EE34" s="518">
        <v>10000</v>
      </c>
      <c r="EF34" s="518">
        <v>10000</v>
      </c>
      <c r="EG34" s="518">
        <v>10000</v>
      </c>
      <c r="EH34" s="518">
        <v>10000</v>
      </c>
      <c r="EI34" s="518">
        <v>10000</v>
      </c>
      <c r="EJ34" s="518">
        <v>10000</v>
      </c>
      <c r="EK34" s="518">
        <v>10000</v>
      </c>
      <c r="EL34" s="518">
        <v>10000</v>
      </c>
      <c r="EM34" s="518">
        <v>10000</v>
      </c>
      <c r="EN34" s="518">
        <v>10000</v>
      </c>
      <c r="EO34" s="518">
        <v>0</v>
      </c>
      <c r="EP34" s="518">
        <v>0</v>
      </c>
      <c r="EQ34" s="518">
        <v>0</v>
      </c>
      <c r="ER34" s="518">
        <v>0</v>
      </c>
      <c r="ES34" s="518">
        <v>0</v>
      </c>
      <c r="ET34" s="518">
        <v>0</v>
      </c>
      <c r="EU34" s="518">
        <v>0</v>
      </c>
      <c r="EV34" s="518">
        <v>0</v>
      </c>
      <c r="EW34" s="518">
        <v>0</v>
      </c>
      <c r="EX34" s="518">
        <v>0</v>
      </c>
      <c r="EY34" s="518">
        <v>0</v>
      </c>
      <c r="EZ34" s="518">
        <v>0</v>
      </c>
      <c r="FA34" s="518">
        <v>0</v>
      </c>
      <c r="FB34" s="518">
        <v>0</v>
      </c>
      <c r="FC34" s="518">
        <v>0</v>
      </c>
      <c r="FD34" s="518">
        <v>0</v>
      </c>
      <c r="FE34" s="518">
        <v>0</v>
      </c>
      <c r="FF34" s="518">
        <v>0</v>
      </c>
      <c r="FG34" s="518">
        <v>0</v>
      </c>
      <c r="FH34" s="518">
        <v>0</v>
      </c>
      <c r="FI34" s="518">
        <v>0</v>
      </c>
      <c r="FJ34" s="518">
        <v>0</v>
      </c>
      <c r="FK34" s="518">
        <v>0</v>
      </c>
      <c r="FL34" s="518">
        <v>0</v>
      </c>
      <c r="FM34" s="518">
        <v>0</v>
      </c>
      <c r="FN34" s="518">
        <v>0</v>
      </c>
      <c r="FO34" s="518">
        <v>0</v>
      </c>
      <c r="FP34" s="518">
        <v>0</v>
      </c>
      <c r="FQ34" s="518">
        <v>0</v>
      </c>
      <c r="FR34" s="518">
        <v>0</v>
      </c>
      <c r="FS34" s="518">
        <v>0</v>
      </c>
      <c r="FT34" s="518">
        <v>0</v>
      </c>
      <c r="FU34" s="518">
        <v>0</v>
      </c>
      <c r="FV34" s="518">
        <v>0</v>
      </c>
      <c r="FW34" s="518">
        <v>0</v>
      </c>
      <c r="FX34" s="518">
        <v>0</v>
      </c>
      <c r="FY34" s="518">
        <v>0</v>
      </c>
      <c r="FZ34" s="518">
        <v>0</v>
      </c>
      <c r="GA34" s="518">
        <v>0</v>
      </c>
      <c r="GB34" s="518">
        <v>0</v>
      </c>
      <c r="GC34" s="518">
        <v>0</v>
      </c>
      <c r="GD34" s="518">
        <v>0</v>
      </c>
      <c r="GE34" s="518">
        <v>0</v>
      </c>
      <c r="GF34" s="518">
        <v>0</v>
      </c>
      <c r="GG34" s="518">
        <v>0</v>
      </c>
      <c r="GH34" s="518">
        <v>0</v>
      </c>
      <c r="GI34" s="518">
        <v>0</v>
      </c>
      <c r="GJ34" s="518">
        <v>0</v>
      </c>
      <c r="GK34" s="518">
        <v>0</v>
      </c>
      <c r="GL34" s="518">
        <v>0</v>
      </c>
      <c r="GM34" s="518">
        <v>0</v>
      </c>
      <c r="GN34" s="518">
        <v>0</v>
      </c>
      <c r="GO34" s="518">
        <v>0</v>
      </c>
      <c r="GP34" s="518">
        <v>0</v>
      </c>
      <c r="GQ34" s="518">
        <v>0</v>
      </c>
      <c r="GR34" s="518">
        <v>0</v>
      </c>
      <c r="GS34" s="518">
        <v>0</v>
      </c>
      <c r="GT34" s="518">
        <v>0</v>
      </c>
      <c r="GU34" s="518">
        <v>0</v>
      </c>
      <c r="GV34" s="518">
        <v>0</v>
      </c>
      <c r="GW34" s="518">
        <v>0</v>
      </c>
      <c r="GX34" s="518">
        <v>0</v>
      </c>
      <c r="GY34" s="518">
        <v>0</v>
      </c>
      <c r="GZ34" s="518">
        <v>0</v>
      </c>
      <c r="HA34" s="518">
        <v>0</v>
      </c>
      <c r="HB34" s="518">
        <v>0</v>
      </c>
      <c r="HC34" s="518">
        <v>0</v>
      </c>
      <c r="HD34" s="518">
        <v>0</v>
      </c>
      <c r="HE34" s="518">
        <v>0</v>
      </c>
      <c r="HF34" s="518">
        <v>0</v>
      </c>
      <c r="HG34" s="518">
        <v>0</v>
      </c>
      <c r="HH34" s="518">
        <v>0</v>
      </c>
      <c r="HI34" s="518">
        <v>0</v>
      </c>
      <c r="HJ34" s="518">
        <v>0</v>
      </c>
      <c r="HK34" s="518">
        <v>0</v>
      </c>
      <c r="HL34" s="518">
        <v>0</v>
      </c>
      <c r="HM34" s="518">
        <v>0</v>
      </c>
      <c r="HN34" s="518">
        <v>0</v>
      </c>
      <c r="HO34" s="518">
        <v>0</v>
      </c>
      <c r="HP34" s="518">
        <v>0</v>
      </c>
      <c r="HQ34" s="518">
        <v>0</v>
      </c>
      <c r="HR34" s="518">
        <v>0</v>
      </c>
      <c r="HS34" s="518">
        <v>0</v>
      </c>
      <c r="HT34" s="518">
        <v>0</v>
      </c>
      <c r="HU34" s="518">
        <v>0</v>
      </c>
      <c r="HV34" s="518">
        <v>0</v>
      </c>
      <c r="HW34" s="518">
        <v>0</v>
      </c>
      <c r="HX34" s="518">
        <v>0</v>
      </c>
      <c r="HY34" s="518">
        <v>0</v>
      </c>
      <c r="HZ34" s="518">
        <v>0</v>
      </c>
      <c r="IA34" s="518">
        <v>0</v>
      </c>
      <c r="IB34" s="518">
        <v>0</v>
      </c>
      <c r="IC34" s="518">
        <v>0</v>
      </c>
      <c r="ID34" s="518">
        <v>0</v>
      </c>
      <c r="IE34" s="518">
        <v>0</v>
      </c>
      <c r="IF34" s="518">
        <v>0</v>
      </c>
      <c r="IG34" s="518">
        <v>0</v>
      </c>
      <c r="IH34" s="518">
        <v>0</v>
      </c>
      <c r="II34" s="518">
        <v>0</v>
      </c>
      <c r="IJ34" s="518">
        <v>0</v>
      </c>
      <c r="IK34" s="518">
        <v>0</v>
      </c>
    </row>
    <row r="35" spans="1:245" ht="16.5" hidden="1">
      <c r="A35" s="517" t="s">
        <v>721</v>
      </c>
      <c r="B35" s="517" t="s">
        <v>1101</v>
      </c>
      <c r="C35" s="517" t="s">
        <v>721</v>
      </c>
      <c r="D35" s="558"/>
      <c r="E35" s="517" t="s">
        <v>721</v>
      </c>
      <c r="F35" s="517" t="s">
        <v>25</v>
      </c>
      <c r="G35" s="558"/>
      <c r="H35" s="518">
        <v>47</v>
      </c>
      <c r="I35" s="558"/>
      <c r="J35" s="494" t="str">
        <f t="shared" si="1"/>
        <v>SWUC100147</v>
      </c>
      <c r="K35" s="518">
        <v>294</v>
      </c>
      <c r="M35" s="517" t="s">
        <v>721</v>
      </c>
      <c r="N35" s="517" t="s">
        <v>1101</v>
      </c>
      <c r="O35" s="517" t="s">
        <v>25</v>
      </c>
      <c r="P35" s="518">
        <v>47</v>
      </c>
      <c r="Q35" s="494" t="str">
        <f t="shared" si="2"/>
        <v>SWUC100147</v>
      </c>
      <c r="R35" s="518">
        <v>0</v>
      </c>
      <c r="S35" s="518">
        <v>24</v>
      </c>
      <c r="T35" s="518">
        <v>48</v>
      </c>
      <c r="U35" s="518">
        <v>73</v>
      </c>
      <c r="V35" s="518">
        <v>98</v>
      </c>
      <c r="W35" s="518">
        <v>130</v>
      </c>
      <c r="X35" s="518">
        <v>166</v>
      </c>
      <c r="Y35" s="518">
        <v>205</v>
      </c>
      <c r="Z35" s="518">
        <v>247</v>
      </c>
      <c r="AA35" s="518">
        <v>0</v>
      </c>
      <c r="AB35" s="518">
        <v>0</v>
      </c>
      <c r="AC35" s="518">
        <v>0</v>
      </c>
      <c r="AD35" s="518">
        <v>0</v>
      </c>
      <c r="AE35" s="518">
        <v>0</v>
      </c>
      <c r="AF35" s="518">
        <v>0</v>
      </c>
      <c r="AG35" s="518">
        <v>0</v>
      </c>
      <c r="AH35" s="518">
        <v>0</v>
      </c>
      <c r="AI35" s="518">
        <v>0</v>
      </c>
      <c r="AJ35" s="518">
        <v>0</v>
      </c>
      <c r="AK35" s="518">
        <v>0</v>
      </c>
      <c r="AL35" s="518">
        <v>0</v>
      </c>
      <c r="AM35" s="518">
        <v>0</v>
      </c>
      <c r="AN35" s="518">
        <v>0</v>
      </c>
      <c r="AO35" s="518">
        <v>0</v>
      </c>
      <c r="AP35" s="518">
        <v>0</v>
      </c>
      <c r="AQ35" s="518">
        <v>0</v>
      </c>
      <c r="AR35" s="518">
        <v>0</v>
      </c>
      <c r="AS35" s="518">
        <v>0</v>
      </c>
      <c r="AT35" s="518">
        <v>0</v>
      </c>
      <c r="AU35" s="518">
        <v>0</v>
      </c>
      <c r="AV35" s="518">
        <v>0</v>
      </c>
      <c r="AW35" s="518">
        <v>0</v>
      </c>
      <c r="AX35" s="518">
        <v>0</v>
      </c>
      <c r="AY35" s="518">
        <v>0</v>
      </c>
      <c r="AZ35" s="518">
        <v>0</v>
      </c>
      <c r="BA35" s="518">
        <v>0</v>
      </c>
      <c r="BB35" s="518">
        <v>0</v>
      </c>
      <c r="BC35" s="518">
        <v>0</v>
      </c>
      <c r="BD35" s="518">
        <v>0</v>
      </c>
      <c r="BE35" s="518">
        <v>0</v>
      </c>
      <c r="BF35" s="518">
        <v>0</v>
      </c>
      <c r="BG35" s="518">
        <v>0</v>
      </c>
      <c r="BH35" s="518">
        <v>0</v>
      </c>
      <c r="BI35" s="518">
        <v>0</v>
      </c>
      <c r="BJ35" s="518">
        <v>0</v>
      </c>
      <c r="BK35" s="518">
        <v>0</v>
      </c>
      <c r="BL35" s="518">
        <v>0</v>
      </c>
      <c r="BM35" s="518">
        <v>0</v>
      </c>
      <c r="BN35" s="518">
        <v>0</v>
      </c>
      <c r="BO35" s="518">
        <v>0</v>
      </c>
      <c r="BP35" s="518">
        <v>0</v>
      </c>
      <c r="BQ35" s="518">
        <v>0</v>
      </c>
      <c r="BR35" s="518">
        <v>0</v>
      </c>
      <c r="BS35" s="518">
        <v>0</v>
      </c>
      <c r="BT35" s="518">
        <v>0</v>
      </c>
      <c r="BU35" s="518">
        <v>0</v>
      </c>
      <c r="BV35" s="518">
        <v>0</v>
      </c>
      <c r="BW35" s="518">
        <v>0</v>
      </c>
      <c r="BX35" s="518">
        <v>0</v>
      </c>
      <c r="BY35" s="518">
        <v>0</v>
      </c>
      <c r="BZ35" s="518">
        <v>0</v>
      </c>
      <c r="CA35" s="518">
        <v>0</v>
      </c>
      <c r="CB35" s="518">
        <v>0</v>
      </c>
      <c r="CC35" s="518">
        <v>0</v>
      </c>
      <c r="CD35" s="518">
        <v>0</v>
      </c>
      <c r="CE35" s="518">
        <v>0</v>
      </c>
      <c r="CF35" s="518">
        <v>0</v>
      </c>
      <c r="CG35" s="518">
        <v>0</v>
      </c>
      <c r="CH35" s="518">
        <v>0</v>
      </c>
      <c r="CI35" s="518">
        <v>0</v>
      </c>
      <c r="CJ35" s="518">
        <v>0</v>
      </c>
      <c r="CK35" s="518">
        <v>0</v>
      </c>
      <c r="CL35" s="518">
        <v>0</v>
      </c>
      <c r="CM35" s="518">
        <v>0</v>
      </c>
      <c r="CN35" s="518">
        <v>0</v>
      </c>
      <c r="CO35" s="518">
        <v>0</v>
      </c>
      <c r="CP35" s="518">
        <v>0</v>
      </c>
      <c r="CQ35" s="518">
        <v>0</v>
      </c>
      <c r="CR35" s="518">
        <v>0</v>
      </c>
      <c r="CS35" s="518">
        <v>0</v>
      </c>
      <c r="CT35" s="518">
        <v>0</v>
      </c>
      <c r="CU35" s="518">
        <v>0</v>
      </c>
      <c r="CV35" s="518">
        <v>0</v>
      </c>
      <c r="CW35" s="518">
        <v>0</v>
      </c>
      <c r="CX35" s="518">
        <v>0</v>
      </c>
      <c r="CY35" s="518">
        <v>0</v>
      </c>
      <c r="CZ35" s="518">
        <v>0</v>
      </c>
      <c r="DA35" s="518">
        <v>0</v>
      </c>
      <c r="DB35" s="518">
        <v>0</v>
      </c>
      <c r="DC35" s="518">
        <v>0</v>
      </c>
      <c r="DD35" s="518">
        <v>0</v>
      </c>
      <c r="DE35" s="518">
        <v>0</v>
      </c>
      <c r="DF35" s="518">
        <v>0</v>
      </c>
      <c r="DG35" s="518">
        <v>0</v>
      </c>
      <c r="DH35" s="518">
        <v>0</v>
      </c>
      <c r="DI35" s="518">
        <v>0</v>
      </c>
      <c r="DJ35" s="518">
        <v>0</v>
      </c>
      <c r="DK35" s="518">
        <v>0</v>
      </c>
      <c r="DL35" s="518">
        <v>0</v>
      </c>
      <c r="DM35" s="518">
        <v>0</v>
      </c>
      <c r="DN35" s="518">
        <v>0</v>
      </c>
      <c r="DO35" s="518">
        <v>0</v>
      </c>
      <c r="DP35" s="518">
        <v>0</v>
      </c>
      <c r="DQ35" s="518">
        <v>0</v>
      </c>
      <c r="DR35" s="518">
        <v>0</v>
      </c>
      <c r="DS35" s="518">
        <v>0</v>
      </c>
      <c r="DT35" s="518">
        <v>0</v>
      </c>
      <c r="DU35" s="518">
        <v>0</v>
      </c>
      <c r="DV35" s="518">
        <v>0</v>
      </c>
      <c r="DW35" s="518">
        <v>0</v>
      </c>
      <c r="DX35" s="518">
        <v>0</v>
      </c>
      <c r="DY35" s="477"/>
      <c r="DZ35" s="517" t="s">
        <v>721</v>
      </c>
      <c r="EA35" s="517" t="s">
        <v>1101</v>
      </c>
      <c r="EB35" s="517" t="s">
        <v>25</v>
      </c>
      <c r="EC35" s="518">
        <v>47</v>
      </c>
      <c r="ED35" s="494" t="str">
        <f t="shared" si="0"/>
        <v>SWUC100147</v>
      </c>
      <c r="EE35" s="518">
        <v>10000</v>
      </c>
      <c r="EF35" s="518">
        <v>10000</v>
      </c>
      <c r="EG35" s="518">
        <v>10000</v>
      </c>
      <c r="EH35" s="518">
        <v>10000</v>
      </c>
      <c r="EI35" s="518">
        <v>10000</v>
      </c>
      <c r="EJ35" s="518">
        <v>10000</v>
      </c>
      <c r="EK35" s="518">
        <v>10000</v>
      </c>
      <c r="EL35" s="518">
        <v>10000</v>
      </c>
      <c r="EM35" s="518">
        <v>10000</v>
      </c>
      <c r="EN35" s="518">
        <v>10000</v>
      </c>
      <c r="EO35" s="518">
        <v>0</v>
      </c>
      <c r="EP35" s="518">
        <v>0</v>
      </c>
      <c r="EQ35" s="518">
        <v>0</v>
      </c>
      <c r="ER35" s="518">
        <v>0</v>
      </c>
      <c r="ES35" s="518">
        <v>0</v>
      </c>
      <c r="ET35" s="518">
        <v>0</v>
      </c>
      <c r="EU35" s="518">
        <v>0</v>
      </c>
      <c r="EV35" s="518">
        <v>0</v>
      </c>
      <c r="EW35" s="518">
        <v>0</v>
      </c>
      <c r="EX35" s="518">
        <v>0</v>
      </c>
      <c r="EY35" s="518">
        <v>0</v>
      </c>
      <c r="EZ35" s="518">
        <v>0</v>
      </c>
      <c r="FA35" s="518">
        <v>0</v>
      </c>
      <c r="FB35" s="518">
        <v>0</v>
      </c>
      <c r="FC35" s="518">
        <v>0</v>
      </c>
      <c r="FD35" s="518">
        <v>0</v>
      </c>
      <c r="FE35" s="518">
        <v>0</v>
      </c>
      <c r="FF35" s="518">
        <v>0</v>
      </c>
      <c r="FG35" s="518">
        <v>0</v>
      </c>
      <c r="FH35" s="518">
        <v>0</v>
      </c>
      <c r="FI35" s="518">
        <v>0</v>
      </c>
      <c r="FJ35" s="518">
        <v>0</v>
      </c>
      <c r="FK35" s="518">
        <v>0</v>
      </c>
      <c r="FL35" s="518">
        <v>0</v>
      </c>
      <c r="FM35" s="518">
        <v>0</v>
      </c>
      <c r="FN35" s="518">
        <v>0</v>
      </c>
      <c r="FO35" s="518">
        <v>0</v>
      </c>
      <c r="FP35" s="518">
        <v>0</v>
      </c>
      <c r="FQ35" s="518">
        <v>0</v>
      </c>
      <c r="FR35" s="518">
        <v>0</v>
      </c>
      <c r="FS35" s="518">
        <v>0</v>
      </c>
      <c r="FT35" s="518">
        <v>0</v>
      </c>
      <c r="FU35" s="518">
        <v>0</v>
      </c>
      <c r="FV35" s="518">
        <v>0</v>
      </c>
      <c r="FW35" s="518">
        <v>0</v>
      </c>
      <c r="FX35" s="518">
        <v>0</v>
      </c>
      <c r="FY35" s="518">
        <v>0</v>
      </c>
      <c r="FZ35" s="518">
        <v>0</v>
      </c>
      <c r="GA35" s="518">
        <v>0</v>
      </c>
      <c r="GB35" s="518">
        <v>0</v>
      </c>
      <c r="GC35" s="518">
        <v>0</v>
      </c>
      <c r="GD35" s="518">
        <v>0</v>
      </c>
      <c r="GE35" s="518">
        <v>0</v>
      </c>
      <c r="GF35" s="518">
        <v>0</v>
      </c>
      <c r="GG35" s="518">
        <v>0</v>
      </c>
      <c r="GH35" s="518">
        <v>0</v>
      </c>
      <c r="GI35" s="518">
        <v>0</v>
      </c>
      <c r="GJ35" s="518">
        <v>0</v>
      </c>
      <c r="GK35" s="518">
        <v>0</v>
      </c>
      <c r="GL35" s="518">
        <v>0</v>
      </c>
      <c r="GM35" s="518">
        <v>0</v>
      </c>
      <c r="GN35" s="518">
        <v>0</v>
      </c>
      <c r="GO35" s="518">
        <v>0</v>
      </c>
      <c r="GP35" s="518">
        <v>0</v>
      </c>
      <c r="GQ35" s="518">
        <v>0</v>
      </c>
      <c r="GR35" s="518">
        <v>0</v>
      </c>
      <c r="GS35" s="518">
        <v>0</v>
      </c>
      <c r="GT35" s="518">
        <v>0</v>
      </c>
      <c r="GU35" s="518">
        <v>0</v>
      </c>
      <c r="GV35" s="518">
        <v>0</v>
      </c>
      <c r="GW35" s="518">
        <v>0</v>
      </c>
      <c r="GX35" s="518">
        <v>0</v>
      </c>
      <c r="GY35" s="518">
        <v>0</v>
      </c>
      <c r="GZ35" s="518">
        <v>0</v>
      </c>
      <c r="HA35" s="518">
        <v>0</v>
      </c>
      <c r="HB35" s="518">
        <v>0</v>
      </c>
      <c r="HC35" s="518">
        <v>0</v>
      </c>
      <c r="HD35" s="518">
        <v>0</v>
      </c>
      <c r="HE35" s="518">
        <v>0</v>
      </c>
      <c r="HF35" s="518">
        <v>0</v>
      </c>
      <c r="HG35" s="518">
        <v>0</v>
      </c>
      <c r="HH35" s="518">
        <v>0</v>
      </c>
      <c r="HI35" s="518">
        <v>0</v>
      </c>
      <c r="HJ35" s="518">
        <v>0</v>
      </c>
      <c r="HK35" s="518">
        <v>0</v>
      </c>
      <c r="HL35" s="518">
        <v>0</v>
      </c>
      <c r="HM35" s="518">
        <v>0</v>
      </c>
      <c r="HN35" s="518">
        <v>0</v>
      </c>
      <c r="HO35" s="518">
        <v>0</v>
      </c>
      <c r="HP35" s="518">
        <v>0</v>
      </c>
      <c r="HQ35" s="518">
        <v>0</v>
      </c>
      <c r="HR35" s="518">
        <v>0</v>
      </c>
      <c r="HS35" s="518">
        <v>0</v>
      </c>
      <c r="HT35" s="518">
        <v>0</v>
      </c>
      <c r="HU35" s="518">
        <v>0</v>
      </c>
      <c r="HV35" s="518">
        <v>0</v>
      </c>
      <c r="HW35" s="518">
        <v>0</v>
      </c>
      <c r="HX35" s="518">
        <v>0</v>
      </c>
      <c r="HY35" s="518">
        <v>0</v>
      </c>
      <c r="HZ35" s="518">
        <v>0</v>
      </c>
      <c r="IA35" s="518">
        <v>0</v>
      </c>
      <c r="IB35" s="518">
        <v>0</v>
      </c>
      <c r="IC35" s="518">
        <v>0</v>
      </c>
      <c r="ID35" s="518">
        <v>0</v>
      </c>
      <c r="IE35" s="518">
        <v>0</v>
      </c>
      <c r="IF35" s="518">
        <v>0</v>
      </c>
      <c r="IG35" s="518">
        <v>0</v>
      </c>
      <c r="IH35" s="518">
        <v>0</v>
      </c>
      <c r="II35" s="518">
        <v>0</v>
      </c>
      <c r="IJ35" s="518">
        <v>0</v>
      </c>
      <c r="IK35" s="518">
        <v>0</v>
      </c>
    </row>
    <row r="36" spans="1:245" ht="16.5" hidden="1">
      <c r="A36" s="517" t="s">
        <v>721</v>
      </c>
      <c r="B36" s="517" t="s">
        <v>1101</v>
      </c>
      <c r="C36" s="517" t="s">
        <v>721</v>
      </c>
      <c r="D36" s="558"/>
      <c r="E36" s="517" t="s">
        <v>721</v>
      </c>
      <c r="F36" s="517" t="s">
        <v>25</v>
      </c>
      <c r="G36" s="558"/>
      <c r="H36" s="518">
        <v>48</v>
      </c>
      <c r="I36" s="558"/>
      <c r="J36" s="494" t="str">
        <f t="shared" si="1"/>
        <v>SWUC100148</v>
      </c>
      <c r="K36" s="518">
        <v>312</v>
      </c>
      <c r="M36" s="517" t="s">
        <v>721</v>
      </c>
      <c r="N36" s="517" t="s">
        <v>1101</v>
      </c>
      <c r="O36" s="517" t="s">
        <v>25</v>
      </c>
      <c r="P36" s="518">
        <v>48</v>
      </c>
      <c r="Q36" s="494" t="str">
        <f t="shared" si="2"/>
        <v>SWUC100148</v>
      </c>
      <c r="R36" s="518">
        <v>0</v>
      </c>
      <c r="S36" s="518">
        <v>26</v>
      </c>
      <c r="T36" s="518">
        <v>52</v>
      </c>
      <c r="U36" s="518">
        <v>77</v>
      </c>
      <c r="V36" s="518">
        <v>104</v>
      </c>
      <c r="W36" s="518">
        <v>138</v>
      </c>
      <c r="X36" s="518">
        <v>177</v>
      </c>
      <c r="Y36" s="518">
        <v>218</v>
      </c>
      <c r="Z36" s="518">
        <v>262</v>
      </c>
      <c r="AA36" s="518">
        <v>0</v>
      </c>
      <c r="AB36" s="518">
        <v>0</v>
      </c>
      <c r="AC36" s="518">
        <v>0</v>
      </c>
      <c r="AD36" s="518">
        <v>0</v>
      </c>
      <c r="AE36" s="518">
        <v>0</v>
      </c>
      <c r="AF36" s="518">
        <v>0</v>
      </c>
      <c r="AG36" s="518">
        <v>0</v>
      </c>
      <c r="AH36" s="518">
        <v>0</v>
      </c>
      <c r="AI36" s="518">
        <v>0</v>
      </c>
      <c r="AJ36" s="518">
        <v>0</v>
      </c>
      <c r="AK36" s="518">
        <v>0</v>
      </c>
      <c r="AL36" s="518">
        <v>0</v>
      </c>
      <c r="AM36" s="518">
        <v>0</v>
      </c>
      <c r="AN36" s="518">
        <v>0</v>
      </c>
      <c r="AO36" s="518">
        <v>0</v>
      </c>
      <c r="AP36" s="518">
        <v>0</v>
      </c>
      <c r="AQ36" s="518">
        <v>0</v>
      </c>
      <c r="AR36" s="518">
        <v>0</v>
      </c>
      <c r="AS36" s="518">
        <v>0</v>
      </c>
      <c r="AT36" s="518">
        <v>0</v>
      </c>
      <c r="AU36" s="518">
        <v>0</v>
      </c>
      <c r="AV36" s="518">
        <v>0</v>
      </c>
      <c r="AW36" s="518">
        <v>0</v>
      </c>
      <c r="AX36" s="518">
        <v>0</v>
      </c>
      <c r="AY36" s="518">
        <v>0</v>
      </c>
      <c r="AZ36" s="518">
        <v>0</v>
      </c>
      <c r="BA36" s="518">
        <v>0</v>
      </c>
      <c r="BB36" s="518">
        <v>0</v>
      </c>
      <c r="BC36" s="518">
        <v>0</v>
      </c>
      <c r="BD36" s="518">
        <v>0</v>
      </c>
      <c r="BE36" s="518">
        <v>0</v>
      </c>
      <c r="BF36" s="518">
        <v>0</v>
      </c>
      <c r="BG36" s="518">
        <v>0</v>
      </c>
      <c r="BH36" s="518">
        <v>0</v>
      </c>
      <c r="BI36" s="518">
        <v>0</v>
      </c>
      <c r="BJ36" s="518">
        <v>0</v>
      </c>
      <c r="BK36" s="518">
        <v>0</v>
      </c>
      <c r="BL36" s="518">
        <v>0</v>
      </c>
      <c r="BM36" s="518">
        <v>0</v>
      </c>
      <c r="BN36" s="518">
        <v>0</v>
      </c>
      <c r="BO36" s="518">
        <v>0</v>
      </c>
      <c r="BP36" s="518">
        <v>0</v>
      </c>
      <c r="BQ36" s="518">
        <v>0</v>
      </c>
      <c r="BR36" s="518">
        <v>0</v>
      </c>
      <c r="BS36" s="518">
        <v>0</v>
      </c>
      <c r="BT36" s="518">
        <v>0</v>
      </c>
      <c r="BU36" s="518">
        <v>0</v>
      </c>
      <c r="BV36" s="518">
        <v>0</v>
      </c>
      <c r="BW36" s="518">
        <v>0</v>
      </c>
      <c r="BX36" s="518">
        <v>0</v>
      </c>
      <c r="BY36" s="518">
        <v>0</v>
      </c>
      <c r="BZ36" s="518">
        <v>0</v>
      </c>
      <c r="CA36" s="518">
        <v>0</v>
      </c>
      <c r="CB36" s="518">
        <v>0</v>
      </c>
      <c r="CC36" s="518">
        <v>0</v>
      </c>
      <c r="CD36" s="518">
        <v>0</v>
      </c>
      <c r="CE36" s="518">
        <v>0</v>
      </c>
      <c r="CF36" s="518">
        <v>0</v>
      </c>
      <c r="CG36" s="518">
        <v>0</v>
      </c>
      <c r="CH36" s="518">
        <v>0</v>
      </c>
      <c r="CI36" s="518">
        <v>0</v>
      </c>
      <c r="CJ36" s="518">
        <v>0</v>
      </c>
      <c r="CK36" s="518">
        <v>0</v>
      </c>
      <c r="CL36" s="518">
        <v>0</v>
      </c>
      <c r="CM36" s="518">
        <v>0</v>
      </c>
      <c r="CN36" s="518">
        <v>0</v>
      </c>
      <c r="CO36" s="518">
        <v>0</v>
      </c>
      <c r="CP36" s="518">
        <v>0</v>
      </c>
      <c r="CQ36" s="518">
        <v>0</v>
      </c>
      <c r="CR36" s="518">
        <v>0</v>
      </c>
      <c r="CS36" s="518">
        <v>0</v>
      </c>
      <c r="CT36" s="518">
        <v>0</v>
      </c>
      <c r="CU36" s="518">
        <v>0</v>
      </c>
      <c r="CV36" s="518">
        <v>0</v>
      </c>
      <c r="CW36" s="518">
        <v>0</v>
      </c>
      <c r="CX36" s="518">
        <v>0</v>
      </c>
      <c r="CY36" s="518">
        <v>0</v>
      </c>
      <c r="CZ36" s="518">
        <v>0</v>
      </c>
      <c r="DA36" s="518">
        <v>0</v>
      </c>
      <c r="DB36" s="518">
        <v>0</v>
      </c>
      <c r="DC36" s="518">
        <v>0</v>
      </c>
      <c r="DD36" s="518">
        <v>0</v>
      </c>
      <c r="DE36" s="518">
        <v>0</v>
      </c>
      <c r="DF36" s="518">
        <v>0</v>
      </c>
      <c r="DG36" s="518">
        <v>0</v>
      </c>
      <c r="DH36" s="518">
        <v>0</v>
      </c>
      <c r="DI36" s="518">
        <v>0</v>
      </c>
      <c r="DJ36" s="518">
        <v>0</v>
      </c>
      <c r="DK36" s="518">
        <v>0</v>
      </c>
      <c r="DL36" s="518">
        <v>0</v>
      </c>
      <c r="DM36" s="518">
        <v>0</v>
      </c>
      <c r="DN36" s="518">
        <v>0</v>
      </c>
      <c r="DO36" s="518">
        <v>0</v>
      </c>
      <c r="DP36" s="518">
        <v>0</v>
      </c>
      <c r="DQ36" s="518">
        <v>0</v>
      </c>
      <c r="DR36" s="518">
        <v>0</v>
      </c>
      <c r="DS36" s="518">
        <v>0</v>
      </c>
      <c r="DT36" s="518">
        <v>0</v>
      </c>
      <c r="DU36" s="518">
        <v>0</v>
      </c>
      <c r="DV36" s="518">
        <v>0</v>
      </c>
      <c r="DW36" s="518">
        <v>0</v>
      </c>
      <c r="DX36" s="518">
        <v>0</v>
      </c>
      <c r="DY36" s="477"/>
      <c r="DZ36" s="517" t="s">
        <v>721</v>
      </c>
      <c r="EA36" s="517" t="s">
        <v>1101</v>
      </c>
      <c r="EB36" s="517" t="s">
        <v>25</v>
      </c>
      <c r="EC36" s="518">
        <v>48</v>
      </c>
      <c r="ED36" s="494" t="str">
        <f t="shared" si="0"/>
        <v>SWUC100148</v>
      </c>
      <c r="EE36" s="518">
        <v>10000</v>
      </c>
      <c r="EF36" s="518">
        <v>10000</v>
      </c>
      <c r="EG36" s="518">
        <v>10000</v>
      </c>
      <c r="EH36" s="518">
        <v>10000</v>
      </c>
      <c r="EI36" s="518">
        <v>10000</v>
      </c>
      <c r="EJ36" s="518">
        <v>10000</v>
      </c>
      <c r="EK36" s="518">
        <v>10000</v>
      </c>
      <c r="EL36" s="518">
        <v>10000</v>
      </c>
      <c r="EM36" s="518">
        <v>10000</v>
      </c>
      <c r="EN36" s="518">
        <v>10000</v>
      </c>
      <c r="EO36" s="518">
        <v>0</v>
      </c>
      <c r="EP36" s="518">
        <v>0</v>
      </c>
      <c r="EQ36" s="518">
        <v>0</v>
      </c>
      <c r="ER36" s="518">
        <v>0</v>
      </c>
      <c r="ES36" s="518">
        <v>0</v>
      </c>
      <c r="ET36" s="518">
        <v>0</v>
      </c>
      <c r="EU36" s="518">
        <v>0</v>
      </c>
      <c r="EV36" s="518">
        <v>0</v>
      </c>
      <c r="EW36" s="518">
        <v>0</v>
      </c>
      <c r="EX36" s="518">
        <v>0</v>
      </c>
      <c r="EY36" s="518">
        <v>0</v>
      </c>
      <c r="EZ36" s="518">
        <v>0</v>
      </c>
      <c r="FA36" s="518">
        <v>0</v>
      </c>
      <c r="FB36" s="518">
        <v>0</v>
      </c>
      <c r="FC36" s="518">
        <v>0</v>
      </c>
      <c r="FD36" s="518">
        <v>0</v>
      </c>
      <c r="FE36" s="518">
        <v>0</v>
      </c>
      <c r="FF36" s="518">
        <v>0</v>
      </c>
      <c r="FG36" s="518">
        <v>0</v>
      </c>
      <c r="FH36" s="518">
        <v>0</v>
      </c>
      <c r="FI36" s="518">
        <v>0</v>
      </c>
      <c r="FJ36" s="518">
        <v>0</v>
      </c>
      <c r="FK36" s="518">
        <v>0</v>
      </c>
      <c r="FL36" s="518">
        <v>0</v>
      </c>
      <c r="FM36" s="518">
        <v>0</v>
      </c>
      <c r="FN36" s="518">
        <v>0</v>
      </c>
      <c r="FO36" s="518">
        <v>0</v>
      </c>
      <c r="FP36" s="518">
        <v>0</v>
      </c>
      <c r="FQ36" s="518">
        <v>0</v>
      </c>
      <c r="FR36" s="518">
        <v>0</v>
      </c>
      <c r="FS36" s="518">
        <v>0</v>
      </c>
      <c r="FT36" s="518">
        <v>0</v>
      </c>
      <c r="FU36" s="518">
        <v>0</v>
      </c>
      <c r="FV36" s="518">
        <v>0</v>
      </c>
      <c r="FW36" s="518">
        <v>0</v>
      </c>
      <c r="FX36" s="518">
        <v>0</v>
      </c>
      <c r="FY36" s="518">
        <v>0</v>
      </c>
      <c r="FZ36" s="518">
        <v>0</v>
      </c>
      <c r="GA36" s="518">
        <v>0</v>
      </c>
      <c r="GB36" s="518">
        <v>0</v>
      </c>
      <c r="GC36" s="518">
        <v>0</v>
      </c>
      <c r="GD36" s="518">
        <v>0</v>
      </c>
      <c r="GE36" s="518">
        <v>0</v>
      </c>
      <c r="GF36" s="518">
        <v>0</v>
      </c>
      <c r="GG36" s="518">
        <v>0</v>
      </c>
      <c r="GH36" s="518">
        <v>0</v>
      </c>
      <c r="GI36" s="518">
        <v>0</v>
      </c>
      <c r="GJ36" s="518">
        <v>0</v>
      </c>
      <c r="GK36" s="518">
        <v>0</v>
      </c>
      <c r="GL36" s="518">
        <v>0</v>
      </c>
      <c r="GM36" s="518">
        <v>0</v>
      </c>
      <c r="GN36" s="518">
        <v>0</v>
      </c>
      <c r="GO36" s="518">
        <v>0</v>
      </c>
      <c r="GP36" s="518">
        <v>0</v>
      </c>
      <c r="GQ36" s="518">
        <v>0</v>
      </c>
      <c r="GR36" s="518">
        <v>0</v>
      </c>
      <c r="GS36" s="518">
        <v>0</v>
      </c>
      <c r="GT36" s="518">
        <v>0</v>
      </c>
      <c r="GU36" s="518">
        <v>0</v>
      </c>
      <c r="GV36" s="518">
        <v>0</v>
      </c>
      <c r="GW36" s="518">
        <v>0</v>
      </c>
      <c r="GX36" s="518">
        <v>0</v>
      </c>
      <c r="GY36" s="518">
        <v>0</v>
      </c>
      <c r="GZ36" s="518">
        <v>0</v>
      </c>
      <c r="HA36" s="518">
        <v>0</v>
      </c>
      <c r="HB36" s="518">
        <v>0</v>
      </c>
      <c r="HC36" s="518">
        <v>0</v>
      </c>
      <c r="HD36" s="518">
        <v>0</v>
      </c>
      <c r="HE36" s="518">
        <v>0</v>
      </c>
      <c r="HF36" s="518">
        <v>0</v>
      </c>
      <c r="HG36" s="518">
        <v>0</v>
      </c>
      <c r="HH36" s="518">
        <v>0</v>
      </c>
      <c r="HI36" s="518">
        <v>0</v>
      </c>
      <c r="HJ36" s="518">
        <v>0</v>
      </c>
      <c r="HK36" s="518">
        <v>0</v>
      </c>
      <c r="HL36" s="518">
        <v>0</v>
      </c>
      <c r="HM36" s="518">
        <v>0</v>
      </c>
      <c r="HN36" s="518">
        <v>0</v>
      </c>
      <c r="HO36" s="518">
        <v>0</v>
      </c>
      <c r="HP36" s="518">
        <v>0</v>
      </c>
      <c r="HQ36" s="518">
        <v>0</v>
      </c>
      <c r="HR36" s="518">
        <v>0</v>
      </c>
      <c r="HS36" s="518">
        <v>0</v>
      </c>
      <c r="HT36" s="518">
        <v>0</v>
      </c>
      <c r="HU36" s="518">
        <v>0</v>
      </c>
      <c r="HV36" s="518">
        <v>0</v>
      </c>
      <c r="HW36" s="518">
        <v>0</v>
      </c>
      <c r="HX36" s="518">
        <v>0</v>
      </c>
      <c r="HY36" s="518">
        <v>0</v>
      </c>
      <c r="HZ36" s="518">
        <v>0</v>
      </c>
      <c r="IA36" s="518">
        <v>0</v>
      </c>
      <c r="IB36" s="518">
        <v>0</v>
      </c>
      <c r="IC36" s="518">
        <v>0</v>
      </c>
      <c r="ID36" s="518">
        <v>0</v>
      </c>
      <c r="IE36" s="518">
        <v>0</v>
      </c>
      <c r="IF36" s="518">
        <v>0</v>
      </c>
      <c r="IG36" s="518">
        <v>0</v>
      </c>
      <c r="IH36" s="518">
        <v>0</v>
      </c>
      <c r="II36" s="518">
        <v>0</v>
      </c>
      <c r="IJ36" s="518">
        <v>0</v>
      </c>
      <c r="IK36" s="518">
        <v>0</v>
      </c>
    </row>
    <row r="37" spans="1:245" ht="16.5" hidden="1">
      <c r="A37" s="517" t="s">
        <v>721</v>
      </c>
      <c r="B37" s="517" t="s">
        <v>1101</v>
      </c>
      <c r="C37" s="517" t="s">
        <v>721</v>
      </c>
      <c r="D37" s="558"/>
      <c r="E37" s="517" t="s">
        <v>721</v>
      </c>
      <c r="F37" s="517" t="s">
        <v>25</v>
      </c>
      <c r="G37" s="558"/>
      <c r="H37" s="518">
        <v>49</v>
      </c>
      <c r="I37" s="558"/>
      <c r="J37" s="494" t="str">
        <f t="shared" si="1"/>
        <v>SWUC100149</v>
      </c>
      <c r="K37" s="518">
        <v>330</v>
      </c>
      <c r="M37" s="517" t="s">
        <v>721</v>
      </c>
      <c r="N37" s="517" t="s">
        <v>1101</v>
      </c>
      <c r="O37" s="517" t="s">
        <v>25</v>
      </c>
      <c r="P37" s="518">
        <v>49</v>
      </c>
      <c r="Q37" s="494" t="str">
        <f t="shared" si="2"/>
        <v>SWUC100149</v>
      </c>
      <c r="R37" s="518">
        <v>0</v>
      </c>
      <c r="S37" s="518">
        <v>27</v>
      </c>
      <c r="T37" s="518">
        <v>55</v>
      </c>
      <c r="U37" s="518">
        <v>82</v>
      </c>
      <c r="V37" s="518">
        <v>110</v>
      </c>
      <c r="W37" s="518">
        <v>146</v>
      </c>
      <c r="X37" s="518">
        <v>186</v>
      </c>
      <c r="Y37" s="518">
        <v>230</v>
      </c>
      <c r="Z37" s="518">
        <v>276</v>
      </c>
      <c r="AA37" s="518">
        <v>0</v>
      </c>
      <c r="AB37" s="518">
        <v>0</v>
      </c>
      <c r="AC37" s="518">
        <v>0</v>
      </c>
      <c r="AD37" s="518">
        <v>0</v>
      </c>
      <c r="AE37" s="518">
        <v>0</v>
      </c>
      <c r="AF37" s="518">
        <v>0</v>
      </c>
      <c r="AG37" s="518">
        <v>0</v>
      </c>
      <c r="AH37" s="518">
        <v>0</v>
      </c>
      <c r="AI37" s="518">
        <v>0</v>
      </c>
      <c r="AJ37" s="518">
        <v>0</v>
      </c>
      <c r="AK37" s="518">
        <v>0</v>
      </c>
      <c r="AL37" s="518">
        <v>0</v>
      </c>
      <c r="AM37" s="518">
        <v>0</v>
      </c>
      <c r="AN37" s="518">
        <v>0</v>
      </c>
      <c r="AO37" s="518">
        <v>0</v>
      </c>
      <c r="AP37" s="518">
        <v>0</v>
      </c>
      <c r="AQ37" s="518">
        <v>0</v>
      </c>
      <c r="AR37" s="518">
        <v>0</v>
      </c>
      <c r="AS37" s="518">
        <v>0</v>
      </c>
      <c r="AT37" s="518">
        <v>0</v>
      </c>
      <c r="AU37" s="518">
        <v>0</v>
      </c>
      <c r="AV37" s="518">
        <v>0</v>
      </c>
      <c r="AW37" s="518">
        <v>0</v>
      </c>
      <c r="AX37" s="518">
        <v>0</v>
      </c>
      <c r="AY37" s="518">
        <v>0</v>
      </c>
      <c r="AZ37" s="518">
        <v>0</v>
      </c>
      <c r="BA37" s="518">
        <v>0</v>
      </c>
      <c r="BB37" s="518">
        <v>0</v>
      </c>
      <c r="BC37" s="518">
        <v>0</v>
      </c>
      <c r="BD37" s="518">
        <v>0</v>
      </c>
      <c r="BE37" s="518">
        <v>0</v>
      </c>
      <c r="BF37" s="518">
        <v>0</v>
      </c>
      <c r="BG37" s="518">
        <v>0</v>
      </c>
      <c r="BH37" s="518">
        <v>0</v>
      </c>
      <c r="BI37" s="518">
        <v>0</v>
      </c>
      <c r="BJ37" s="518">
        <v>0</v>
      </c>
      <c r="BK37" s="518">
        <v>0</v>
      </c>
      <c r="BL37" s="518">
        <v>0</v>
      </c>
      <c r="BM37" s="518">
        <v>0</v>
      </c>
      <c r="BN37" s="518">
        <v>0</v>
      </c>
      <c r="BO37" s="518">
        <v>0</v>
      </c>
      <c r="BP37" s="518">
        <v>0</v>
      </c>
      <c r="BQ37" s="518">
        <v>0</v>
      </c>
      <c r="BR37" s="518">
        <v>0</v>
      </c>
      <c r="BS37" s="518">
        <v>0</v>
      </c>
      <c r="BT37" s="518">
        <v>0</v>
      </c>
      <c r="BU37" s="518">
        <v>0</v>
      </c>
      <c r="BV37" s="518">
        <v>0</v>
      </c>
      <c r="BW37" s="518">
        <v>0</v>
      </c>
      <c r="BX37" s="518">
        <v>0</v>
      </c>
      <c r="BY37" s="518">
        <v>0</v>
      </c>
      <c r="BZ37" s="518">
        <v>0</v>
      </c>
      <c r="CA37" s="518">
        <v>0</v>
      </c>
      <c r="CB37" s="518">
        <v>0</v>
      </c>
      <c r="CC37" s="518">
        <v>0</v>
      </c>
      <c r="CD37" s="518">
        <v>0</v>
      </c>
      <c r="CE37" s="518">
        <v>0</v>
      </c>
      <c r="CF37" s="518">
        <v>0</v>
      </c>
      <c r="CG37" s="518">
        <v>0</v>
      </c>
      <c r="CH37" s="518">
        <v>0</v>
      </c>
      <c r="CI37" s="518">
        <v>0</v>
      </c>
      <c r="CJ37" s="518">
        <v>0</v>
      </c>
      <c r="CK37" s="518">
        <v>0</v>
      </c>
      <c r="CL37" s="518">
        <v>0</v>
      </c>
      <c r="CM37" s="518">
        <v>0</v>
      </c>
      <c r="CN37" s="518">
        <v>0</v>
      </c>
      <c r="CO37" s="518">
        <v>0</v>
      </c>
      <c r="CP37" s="518">
        <v>0</v>
      </c>
      <c r="CQ37" s="518">
        <v>0</v>
      </c>
      <c r="CR37" s="518">
        <v>0</v>
      </c>
      <c r="CS37" s="518">
        <v>0</v>
      </c>
      <c r="CT37" s="518">
        <v>0</v>
      </c>
      <c r="CU37" s="518">
        <v>0</v>
      </c>
      <c r="CV37" s="518">
        <v>0</v>
      </c>
      <c r="CW37" s="518">
        <v>0</v>
      </c>
      <c r="CX37" s="518">
        <v>0</v>
      </c>
      <c r="CY37" s="518">
        <v>0</v>
      </c>
      <c r="CZ37" s="518">
        <v>0</v>
      </c>
      <c r="DA37" s="518">
        <v>0</v>
      </c>
      <c r="DB37" s="518">
        <v>0</v>
      </c>
      <c r="DC37" s="518">
        <v>0</v>
      </c>
      <c r="DD37" s="518">
        <v>0</v>
      </c>
      <c r="DE37" s="518">
        <v>0</v>
      </c>
      <c r="DF37" s="518">
        <v>0</v>
      </c>
      <c r="DG37" s="518">
        <v>0</v>
      </c>
      <c r="DH37" s="518">
        <v>0</v>
      </c>
      <c r="DI37" s="518">
        <v>0</v>
      </c>
      <c r="DJ37" s="518">
        <v>0</v>
      </c>
      <c r="DK37" s="518">
        <v>0</v>
      </c>
      <c r="DL37" s="518">
        <v>0</v>
      </c>
      <c r="DM37" s="518">
        <v>0</v>
      </c>
      <c r="DN37" s="518">
        <v>0</v>
      </c>
      <c r="DO37" s="518">
        <v>0</v>
      </c>
      <c r="DP37" s="518">
        <v>0</v>
      </c>
      <c r="DQ37" s="518">
        <v>0</v>
      </c>
      <c r="DR37" s="518">
        <v>0</v>
      </c>
      <c r="DS37" s="518">
        <v>0</v>
      </c>
      <c r="DT37" s="518">
        <v>0</v>
      </c>
      <c r="DU37" s="518">
        <v>0</v>
      </c>
      <c r="DV37" s="518">
        <v>0</v>
      </c>
      <c r="DW37" s="518">
        <v>0</v>
      </c>
      <c r="DX37" s="518">
        <v>0</v>
      </c>
      <c r="DY37" s="477"/>
      <c r="DZ37" s="517" t="s">
        <v>721</v>
      </c>
      <c r="EA37" s="517" t="s">
        <v>1101</v>
      </c>
      <c r="EB37" s="517" t="s">
        <v>25</v>
      </c>
      <c r="EC37" s="518">
        <v>49</v>
      </c>
      <c r="ED37" s="494" t="str">
        <f t="shared" si="0"/>
        <v>SWUC100149</v>
      </c>
      <c r="EE37" s="518">
        <v>10000</v>
      </c>
      <c r="EF37" s="518">
        <v>10000</v>
      </c>
      <c r="EG37" s="518">
        <v>10000</v>
      </c>
      <c r="EH37" s="518">
        <v>10000</v>
      </c>
      <c r="EI37" s="518">
        <v>10000</v>
      </c>
      <c r="EJ37" s="518">
        <v>10000</v>
      </c>
      <c r="EK37" s="518">
        <v>10000</v>
      </c>
      <c r="EL37" s="518">
        <v>10000</v>
      </c>
      <c r="EM37" s="518">
        <v>10000</v>
      </c>
      <c r="EN37" s="518">
        <v>10000</v>
      </c>
      <c r="EO37" s="518">
        <v>0</v>
      </c>
      <c r="EP37" s="518">
        <v>0</v>
      </c>
      <c r="EQ37" s="518">
        <v>0</v>
      </c>
      <c r="ER37" s="518">
        <v>0</v>
      </c>
      <c r="ES37" s="518">
        <v>0</v>
      </c>
      <c r="ET37" s="518">
        <v>0</v>
      </c>
      <c r="EU37" s="518">
        <v>0</v>
      </c>
      <c r="EV37" s="518">
        <v>0</v>
      </c>
      <c r="EW37" s="518">
        <v>0</v>
      </c>
      <c r="EX37" s="518">
        <v>0</v>
      </c>
      <c r="EY37" s="518">
        <v>0</v>
      </c>
      <c r="EZ37" s="518">
        <v>0</v>
      </c>
      <c r="FA37" s="518">
        <v>0</v>
      </c>
      <c r="FB37" s="518">
        <v>0</v>
      </c>
      <c r="FC37" s="518">
        <v>0</v>
      </c>
      <c r="FD37" s="518">
        <v>0</v>
      </c>
      <c r="FE37" s="518">
        <v>0</v>
      </c>
      <c r="FF37" s="518">
        <v>0</v>
      </c>
      <c r="FG37" s="518">
        <v>0</v>
      </c>
      <c r="FH37" s="518">
        <v>0</v>
      </c>
      <c r="FI37" s="518">
        <v>0</v>
      </c>
      <c r="FJ37" s="518">
        <v>0</v>
      </c>
      <c r="FK37" s="518">
        <v>0</v>
      </c>
      <c r="FL37" s="518">
        <v>0</v>
      </c>
      <c r="FM37" s="518">
        <v>0</v>
      </c>
      <c r="FN37" s="518">
        <v>0</v>
      </c>
      <c r="FO37" s="518">
        <v>0</v>
      </c>
      <c r="FP37" s="518">
        <v>0</v>
      </c>
      <c r="FQ37" s="518">
        <v>0</v>
      </c>
      <c r="FR37" s="518">
        <v>0</v>
      </c>
      <c r="FS37" s="518">
        <v>0</v>
      </c>
      <c r="FT37" s="518">
        <v>0</v>
      </c>
      <c r="FU37" s="518">
        <v>0</v>
      </c>
      <c r="FV37" s="518">
        <v>0</v>
      </c>
      <c r="FW37" s="518">
        <v>0</v>
      </c>
      <c r="FX37" s="518">
        <v>0</v>
      </c>
      <c r="FY37" s="518">
        <v>0</v>
      </c>
      <c r="FZ37" s="518">
        <v>0</v>
      </c>
      <c r="GA37" s="518">
        <v>0</v>
      </c>
      <c r="GB37" s="518">
        <v>0</v>
      </c>
      <c r="GC37" s="518">
        <v>0</v>
      </c>
      <c r="GD37" s="518">
        <v>0</v>
      </c>
      <c r="GE37" s="518">
        <v>0</v>
      </c>
      <c r="GF37" s="518">
        <v>0</v>
      </c>
      <c r="GG37" s="518">
        <v>0</v>
      </c>
      <c r="GH37" s="518">
        <v>0</v>
      </c>
      <c r="GI37" s="518">
        <v>0</v>
      </c>
      <c r="GJ37" s="518">
        <v>0</v>
      </c>
      <c r="GK37" s="518">
        <v>0</v>
      </c>
      <c r="GL37" s="518">
        <v>0</v>
      </c>
      <c r="GM37" s="518">
        <v>0</v>
      </c>
      <c r="GN37" s="518">
        <v>0</v>
      </c>
      <c r="GO37" s="518">
        <v>0</v>
      </c>
      <c r="GP37" s="518">
        <v>0</v>
      </c>
      <c r="GQ37" s="518">
        <v>0</v>
      </c>
      <c r="GR37" s="518">
        <v>0</v>
      </c>
      <c r="GS37" s="518">
        <v>0</v>
      </c>
      <c r="GT37" s="518">
        <v>0</v>
      </c>
      <c r="GU37" s="518">
        <v>0</v>
      </c>
      <c r="GV37" s="518">
        <v>0</v>
      </c>
      <c r="GW37" s="518">
        <v>0</v>
      </c>
      <c r="GX37" s="518">
        <v>0</v>
      </c>
      <c r="GY37" s="518">
        <v>0</v>
      </c>
      <c r="GZ37" s="518">
        <v>0</v>
      </c>
      <c r="HA37" s="518">
        <v>0</v>
      </c>
      <c r="HB37" s="518">
        <v>0</v>
      </c>
      <c r="HC37" s="518">
        <v>0</v>
      </c>
      <c r="HD37" s="518">
        <v>0</v>
      </c>
      <c r="HE37" s="518">
        <v>0</v>
      </c>
      <c r="HF37" s="518">
        <v>0</v>
      </c>
      <c r="HG37" s="518">
        <v>0</v>
      </c>
      <c r="HH37" s="518">
        <v>0</v>
      </c>
      <c r="HI37" s="518">
        <v>0</v>
      </c>
      <c r="HJ37" s="518">
        <v>0</v>
      </c>
      <c r="HK37" s="518">
        <v>0</v>
      </c>
      <c r="HL37" s="518">
        <v>0</v>
      </c>
      <c r="HM37" s="518">
        <v>0</v>
      </c>
      <c r="HN37" s="518">
        <v>0</v>
      </c>
      <c r="HO37" s="518">
        <v>0</v>
      </c>
      <c r="HP37" s="518">
        <v>0</v>
      </c>
      <c r="HQ37" s="518">
        <v>0</v>
      </c>
      <c r="HR37" s="518">
        <v>0</v>
      </c>
      <c r="HS37" s="518">
        <v>0</v>
      </c>
      <c r="HT37" s="518">
        <v>0</v>
      </c>
      <c r="HU37" s="518">
        <v>0</v>
      </c>
      <c r="HV37" s="518">
        <v>0</v>
      </c>
      <c r="HW37" s="518">
        <v>0</v>
      </c>
      <c r="HX37" s="518">
        <v>0</v>
      </c>
      <c r="HY37" s="518">
        <v>0</v>
      </c>
      <c r="HZ37" s="518">
        <v>0</v>
      </c>
      <c r="IA37" s="518">
        <v>0</v>
      </c>
      <c r="IB37" s="518">
        <v>0</v>
      </c>
      <c r="IC37" s="518">
        <v>0</v>
      </c>
      <c r="ID37" s="518">
        <v>0</v>
      </c>
      <c r="IE37" s="518">
        <v>0</v>
      </c>
      <c r="IF37" s="518">
        <v>0</v>
      </c>
      <c r="IG37" s="518">
        <v>0</v>
      </c>
      <c r="IH37" s="518">
        <v>0</v>
      </c>
      <c r="II37" s="518">
        <v>0</v>
      </c>
      <c r="IJ37" s="518">
        <v>0</v>
      </c>
      <c r="IK37" s="518">
        <v>0</v>
      </c>
    </row>
    <row r="38" spans="1:245" ht="16.5" hidden="1">
      <c r="A38" s="517" t="s">
        <v>721</v>
      </c>
      <c r="B38" s="517" t="s">
        <v>1101</v>
      </c>
      <c r="C38" s="517" t="s">
        <v>721</v>
      </c>
      <c r="D38" s="558"/>
      <c r="E38" s="517" t="s">
        <v>721</v>
      </c>
      <c r="F38" s="517" t="s">
        <v>25</v>
      </c>
      <c r="G38" s="558"/>
      <c r="H38" s="518">
        <v>50</v>
      </c>
      <c r="I38" s="558"/>
      <c r="J38" s="494" t="str">
        <f t="shared" si="1"/>
        <v>SWUC100150</v>
      </c>
      <c r="K38" s="518">
        <v>350</v>
      </c>
      <c r="M38" s="517" t="s">
        <v>721</v>
      </c>
      <c r="N38" s="517" t="s">
        <v>1101</v>
      </c>
      <c r="O38" s="517" t="s">
        <v>25</v>
      </c>
      <c r="P38" s="518">
        <v>50</v>
      </c>
      <c r="Q38" s="494" t="str">
        <f t="shared" si="2"/>
        <v>SWUC100150</v>
      </c>
      <c r="R38" s="518">
        <v>0</v>
      </c>
      <c r="S38" s="518">
        <v>29</v>
      </c>
      <c r="T38" s="518">
        <v>58</v>
      </c>
      <c r="U38" s="518">
        <v>87</v>
      </c>
      <c r="V38" s="518">
        <v>116</v>
      </c>
      <c r="W38" s="518">
        <v>154</v>
      </c>
      <c r="X38" s="518">
        <v>196</v>
      </c>
      <c r="Y38" s="518">
        <v>243</v>
      </c>
      <c r="Z38" s="518">
        <v>293</v>
      </c>
      <c r="AA38" s="518">
        <v>0</v>
      </c>
      <c r="AB38" s="518">
        <v>0</v>
      </c>
      <c r="AC38" s="518">
        <v>0</v>
      </c>
      <c r="AD38" s="518">
        <v>0</v>
      </c>
      <c r="AE38" s="518">
        <v>0</v>
      </c>
      <c r="AF38" s="518">
        <v>0</v>
      </c>
      <c r="AG38" s="518">
        <v>0</v>
      </c>
      <c r="AH38" s="518">
        <v>0</v>
      </c>
      <c r="AI38" s="518">
        <v>0</v>
      </c>
      <c r="AJ38" s="518">
        <v>0</v>
      </c>
      <c r="AK38" s="518">
        <v>0</v>
      </c>
      <c r="AL38" s="518">
        <v>0</v>
      </c>
      <c r="AM38" s="518">
        <v>0</v>
      </c>
      <c r="AN38" s="518">
        <v>0</v>
      </c>
      <c r="AO38" s="518">
        <v>0</v>
      </c>
      <c r="AP38" s="518">
        <v>0</v>
      </c>
      <c r="AQ38" s="518">
        <v>0</v>
      </c>
      <c r="AR38" s="518">
        <v>0</v>
      </c>
      <c r="AS38" s="518">
        <v>0</v>
      </c>
      <c r="AT38" s="518">
        <v>0</v>
      </c>
      <c r="AU38" s="518">
        <v>0</v>
      </c>
      <c r="AV38" s="518">
        <v>0</v>
      </c>
      <c r="AW38" s="518">
        <v>0</v>
      </c>
      <c r="AX38" s="518">
        <v>0</v>
      </c>
      <c r="AY38" s="518">
        <v>0</v>
      </c>
      <c r="AZ38" s="518">
        <v>0</v>
      </c>
      <c r="BA38" s="518">
        <v>0</v>
      </c>
      <c r="BB38" s="518">
        <v>0</v>
      </c>
      <c r="BC38" s="518">
        <v>0</v>
      </c>
      <c r="BD38" s="518">
        <v>0</v>
      </c>
      <c r="BE38" s="518">
        <v>0</v>
      </c>
      <c r="BF38" s="518">
        <v>0</v>
      </c>
      <c r="BG38" s="518">
        <v>0</v>
      </c>
      <c r="BH38" s="518">
        <v>0</v>
      </c>
      <c r="BI38" s="518">
        <v>0</v>
      </c>
      <c r="BJ38" s="518">
        <v>0</v>
      </c>
      <c r="BK38" s="518">
        <v>0</v>
      </c>
      <c r="BL38" s="518">
        <v>0</v>
      </c>
      <c r="BM38" s="518">
        <v>0</v>
      </c>
      <c r="BN38" s="518">
        <v>0</v>
      </c>
      <c r="BO38" s="518">
        <v>0</v>
      </c>
      <c r="BP38" s="518">
        <v>0</v>
      </c>
      <c r="BQ38" s="518">
        <v>0</v>
      </c>
      <c r="BR38" s="518">
        <v>0</v>
      </c>
      <c r="BS38" s="518">
        <v>0</v>
      </c>
      <c r="BT38" s="518">
        <v>0</v>
      </c>
      <c r="BU38" s="518">
        <v>0</v>
      </c>
      <c r="BV38" s="518">
        <v>0</v>
      </c>
      <c r="BW38" s="518">
        <v>0</v>
      </c>
      <c r="BX38" s="518">
        <v>0</v>
      </c>
      <c r="BY38" s="518">
        <v>0</v>
      </c>
      <c r="BZ38" s="518">
        <v>0</v>
      </c>
      <c r="CA38" s="518">
        <v>0</v>
      </c>
      <c r="CB38" s="518">
        <v>0</v>
      </c>
      <c r="CC38" s="518">
        <v>0</v>
      </c>
      <c r="CD38" s="518">
        <v>0</v>
      </c>
      <c r="CE38" s="518">
        <v>0</v>
      </c>
      <c r="CF38" s="518">
        <v>0</v>
      </c>
      <c r="CG38" s="518">
        <v>0</v>
      </c>
      <c r="CH38" s="518">
        <v>0</v>
      </c>
      <c r="CI38" s="518">
        <v>0</v>
      </c>
      <c r="CJ38" s="518">
        <v>0</v>
      </c>
      <c r="CK38" s="518">
        <v>0</v>
      </c>
      <c r="CL38" s="518">
        <v>0</v>
      </c>
      <c r="CM38" s="518">
        <v>0</v>
      </c>
      <c r="CN38" s="518">
        <v>0</v>
      </c>
      <c r="CO38" s="518">
        <v>0</v>
      </c>
      <c r="CP38" s="518">
        <v>0</v>
      </c>
      <c r="CQ38" s="518">
        <v>0</v>
      </c>
      <c r="CR38" s="518">
        <v>0</v>
      </c>
      <c r="CS38" s="518">
        <v>0</v>
      </c>
      <c r="CT38" s="518">
        <v>0</v>
      </c>
      <c r="CU38" s="518">
        <v>0</v>
      </c>
      <c r="CV38" s="518">
        <v>0</v>
      </c>
      <c r="CW38" s="518">
        <v>0</v>
      </c>
      <c r="CX38" s="518">
        <v>0</v>
      </c>
      <c r="CY38" s="518">
        <v>0</v>
      </c>
      <c r="CZ38" s="518">
        <v>0</v>
      </c>
      <c r="DA38" s="518">
        <v>0</v>
      </c>
      <c r="DB38" s="518">
        <v>0</v>
      </c>
      <c r="DC38" s="518">
        <v>0</v>
      </c>
      <c r="DD38" s="518">
        <v>0</v>
      </c>
      <c r="DE38" s="518">
        <v>0</v>
      </c>
      <c r="DF38" s="518">
        <v>0</v>
      </c>
      <c r="DG38" s="518">
        <v>0</v>
      </c>
      <c r="DH38" s="518">
        <v>0</v>
      </c>
      <c r="DI38" s="518">
        <v>0</v>
      </c>
      <c r="DJ38" s="518">
        <v>0</v>
      </c>
      <c r="DK38" s="518">
        <v>0</v>
      </c>
      <c r="DL38" s="518">
        <v>0</v>
      </c>
      <c r="DM38" s="518">
        <v>0</v>
      </c>
      <c r="DN38" s="518">
        <v>0</v>
      </c>
      <c r="DO38" s="518">
        <v>0</v>
      </c>
      <c r="DP38" s="518">
        <v>0</v>
      </c>
      <c r="DQ38" s="518">
        <v>0</v>
      </c>
      <c r="DR38" s="518">
        <v>0</v>
      </c>
      <c r="DS38" s="518">
        <v>0</v>
      </c>
      <c r="DT38" s="518">
        <v>0</v>
      </c>
      <c r="DU38" s="518">
        <v>0</v>
      </c>
      <c r="DV38" s="518">
        <v>0</v>
      </c>
      <c r="DW38" s="518">
        <v>0</v>
      </c>
      <c r="DX38" s="518">
        <v>0</v>
      </c>
      <c r="DY38" s="477"/>
      <c r="DZ38" s="517" t="s">
        <v>721</v>
      </c>
      <c r="EA38" s="517" t="s">
        <v>1101</v>
      </c>
      <c r="EB38" s="517" t="s">
        <v>25</v>
      </c>
      <c r="EC38" s="518">
        <v>50</v>
      </c>
      <c r="ED38" s="494" t="str">
        <f t="shared" si="0"/>
        <v>SWUC100150</v>
      </c>
      <c r="EE38" s="518">
        <v>10000</v>
      </c>
      <c r="EF38" s="518">
        <v>10000</v>
      </c>
      <c r="EG38" s="518">
        <v>10000</v>
      </c>
      <c r="EH38" s="518">
        <v>10000</v>
      </c>
      <c r="EI38" s="518">
        <v>10000</v>
      </c>
      <c r="EJ38" s="518">
        <v>10000</v>
      </c>
      <c r="EK38" s="518">
        <v>10000</v>
      </c>
      <c r="EL38" s="518">
        <v>10000</v>
      </c>
      <c r="EM38" s="518">
        <v>10000</v>
      </c>
      <c r="EN38" s="518">
        <v>10000</v>
      </c>
      <c r="EO38" s="518">
        <v>0</v>
      </c>
      <c r="EP38" s="518">
        <v>0</v>
      </c>
      <c r="EQ38" s="518">
        <v>0</v>
      </c>
      <c r="ER38" s="518">
        <v>0</v>
      </c>
      <c r="ES38" s="518">
        <v>0</v>
      </c>
      <c r="ET38" s="518">
        <v>0</v>
      </c>
      <c r="EU38" s="518">
        <v>0</v>
      </c>
      <c r="EV38" s="518">
        <v>0</v>
      </c>
      <c r="EW38" s="518">
        <v>0</v>
      </c>
      <c r="EX38" s="518">
        <v>0</v>
      </c>
      <c r="EY38" s="518">
        <v>0</v>
      </c>
      <c r="EZ38" s="518">
        <v>0</v>
      </c>
      <c r="FA38" s="518">
        <v>0</v>
      </c>
      <c r="FB38" s="518">
        <v>0</v>
      </c>
      <c r="FC38" s="518">
        <v>0</v>
      </c>
      <c r="FD38" s="518">
        <v>0</v>
      </c>
      <c r="FE38" s="518">
        <v>0</v>
      </c>
      <c r="FF38" s="518">
        <v>0</v>
      </c>
      <c r="FG38" s="518">
        <v>0</v>
      </c>
      <c r="FH38" s="518">
        <v>0</v>
      </c>
      <c r="FI38" s="518">
        <v>0</v>
      </c>
      <c r="FJ38" s="518">
        <v>0</v>
      </c>
      <c r="FK38" s="518">
        <v>0</v>
      </c>
      <c r="FL38" s="518">
        <v>0</v>
      </c>
      <c r="FM38" s="518">
        <v>0</v>
      </c>
      <c r="FN38" s="518">
        <v>0</v>
      </c>
      <c r="FO38" s="518">
        <v>0</v>
      </c>
      <c r="FP38" s="518">
        <v>0</v>
      </c>
      <c r="FQ38" s="518">
        <v>0</v>
      </c>
      <c r="FR38" s="518">
        <v>0</v>
      </c>
      <c r="FS38" s="518">
        <v>0</v>
      </c>
      <c r="FT38" s="518">
        <v>0</v>
      </c>
      <c r="FU38" s="518">
        <v>0</v>
      </c>
      <c r="FV38" s="518">
        <v>0</v>
      </c>
      <c r="FW38" s="518">
        <v>0</v>
      </c>
      <c r="FX38" s="518">
        <v>0</v>
      </c>
      <c r="FY38" s="518">
        <v>0</v>
      </c>
      <c r="FZ38" s="518">
        <v>0</v>
      </c>
      <c r="GA38" s="518">
        <v>0</v>
      </c>
      <c r="GB38" s="518">
        <v>0</v>
      </c>
      <c r="GC38" s="518">
        <v>0</v>
      </c>
      <c r="GD38" s="518">
        <v>0</v>
      </c>
      <c r="GE38" s="518">
        <v>0</v>
      </c>
      <c r="GF38" s="518">
        <v>0</v>
      </c>
      <c r="GG38" s="518">
        <v>0</v>
      </c>
      <c r="GH38" s="518">
        <v>0</v>
      </c>
      <c r="GI38" s="518">
        <v>0</v>
      </c>
      <c r="GJ38" s="518">
        <v>0</v>
      </c>
      <c r="GK38" s="518">
        <v>0</v>
      </c>
      <c r="GL38" s="518">
        <v>0</v>
      </c>
      <c r="GM38" s="518">
        <v>0</v>
      </c>
      <c r="GN38" s="518">
        <v>0</v>
      </c>
      <c r="GO38" s="518">
        <v>0</v>
      </c>
      <c r="GP38" s="518">
        <v>0</v>
      </c>
      <c r="GQ38" s="518">
        <v>0</v>
      </c>
      <c r="GR38" s="518">
        <v>0</v>
      </c>
      <c r="GS38" s="518">
        <v>0</v>
      </c>
      <c r="GT38" s="518">
        <v>0</v>
      </c>
      <c r="GU38" s="518">
        <v>0</v>
      </c>
      <c r="GV38" s="518">
        <v>0</v>
      </c>
      <c r="GW38" s="518">
        <v>0</v>
      </c>
      <c r="GX38" s="518">
        <v>0</v>
      </c>
      <c r="GY38" s="518">
        <v>0</v>
      </c>
      <c r="GZ38" s="518">
        <v>0</v>
      </c>
      <c r="HA38" s="518">
        <v>0</v>
      </c>
      <c r="HB38" s="518">
        <v>0</v>
      </c>
      <c r="HC38" s="518">
        <v>0</v>
      </c>
      <c r="HD38" s="518">
        <v>0</v>
      </c>
      <c r="HE38" s="518">
        <v>0</v>
      </c>
      <c r="HF38" s="518">
        <v>0</v>
      </c>
      <c r="HG38" s="518">
        <v>0</v>
      </c>
      <c r="HH38" s="518">
        <v>0</v>
      </c>
      <c r="HI38" s="518">
        <v>0</v>
      </c>
      <c r="HJ38" s="518">
        <v>0</v>
      </c>
      <c r="HK38" s="518">
        <v>0</v>
      </c>
      <c r="HL38" s="518">
        <v>0</v>
      </c>
      <c r="HM38" s="518">
        <v>0</v>
      </c>
      <c r="HN38" s="518">
        <v>0</v>
      </c>
      <c r="HO38" s="518">
        <v>0</v>
      </c>
      <c r="HP38" s="518">
        <v>0</v>
      </c>
      <c r="HQ38" s="518">
        <v>0</v>
      </c>
      <c r="HR38" s="518">
        <v>0</v>
      </c>
      <c r="HS38" s="518">
        <v>0</v>
      </c>
      <c r="HT38" s="518">
        <v>0</v>
      </c>
      <c r="HU38" s="518">
        <v>0</v>
      </c>
      <c r="HV38" s="518">
        <v>0</v>
      </c>
      <c r="HW38" s="518">
        <v>0</v>
      </c>
      <c r="HX38" s="518">
        <v>0</v>
      </c>
      <c r="HY38" s="518">
        <v>0</v>
      </c>
      <c r="HZ38" s="518">
        <v>0</v>
      </c>
      <c r="IA38" s="518">
        <v>0</v>
      </c>
      <c r="IB38" s="518">
        <v>0</v>
      </c>
      <c r="IC38" s="518">
        <v>0</v>
      </c>
      <c r="ID38" s="518">
        <v>0</v>
      </c>
      <c r="IE38" s="518">
        <v>0</v>
      </c>
      <c r="IF38" s="518">
        <v>0</v>
      </c>
      <c r="IG38" s="518">
        <v>0</v>
      </c>
      <c r="IH38" s="518">
        <v>0</v>
      </c>
      <c r="II38" s="518">
        <v>0</v>
      </c>
      <c r="IJ38" s="518">
        <v>0</v>
      </c>
      <c r="IK38" s="518">
        <v>0</v>
      </c>
    </row>
    <row r="39" spans="1:245" ht="16.5" hidden="1">
      <c r="A39" s="517" t="s">
        <v>721</v>
      </c>
      <c r="B39" s="517" t="s">
        <v>1101</v>
      </c>
      <c r="C39" s="517" t="s">
        <v>721</v>
      </c>
      <c r="D39" s="558"/>
      <c r="E39" s="517" t="s">
        <v>721</v>
      </c>
      <c r="F39" s="517" t="s">
        <v>25</v>
      </c>
      <c r="G39" s="558"/>
      <c r="H39" s="518">
        <v>51</v>
      </c>
      <c r="I39" s="558"/>
      <c r="J39" s="494" t="str">
        <f t="shared" si="1"/>
        <v>SWUC100151</v>
      </c>
      <c r="K39" s="518">
        <v>381</v>
      </c>
      <c r="M39" s="517" t="s">
        <v>721</v>
      </c>
      <c r="N39" s="517" t="s">
        <v>1101</v>
      </c>
      <c r="O39" s="517" t="s">
        <v>25</v>
      </c>
      <c r="P39" s="518">
        <v>51</v>
      </c>
      <c r="Q39" s="494" t="str">
        <f t="shared" si="2"/>
        <v>SWUC100151</v>
      </c>
      <c r="R39" s="518">
        <v>0</v>
      </c>
      <c r="S39" s="518">
        <v>32</v>
      </c>
      <c r="T39" s="518">
        <v>63</v>
      </c>
      <c r="U39" s="518">
        <v>95</v>
      </c>
      <c r="V39" s="518">
        <v>126</v>
      </c>
      <c r="W39" s="518">
        <v>168</v>
      </c>
      <c r="X39" s="518">
        <v>214</v>
      </c>
      <c r="Y39" s="518">
        <v>266</v>
      </c>
      <c r="Z39" s="518">
        <v>321</v>
      </c>
      <c r="AA39" s="518">
        <v>0</v>
      </c>
      <c r="AB39" s="518">
        <v>0</v>
      </c>
      <c r="AC39" s="518">
        <v>0</v>
      </c>
      <c r="AD39" s="518">
        <v>0</v>
      </c>
      <c r="AE39" s="518">
        <v>0</v>
      </c>
      <c r="AF39" s="518">
        <v>0</v>
      </c>
      <c r="AG39" s="518">
        <v>0</v>
      </c>
      <c r="AH39" s="518">
        <v>0</v>
      </c>
      <c r="AI39" s="518">
        <v>0</v>
      </c>
      <c r="AJ39" s="518">
        <v>0</v>
      </c>
      <c r="AK39" s="518">
        <v>0</v>
      </c>
      <c r="AL39" s="518">
        <v>0</v>
      </c>
      <c r="AM39" s="518">
        <v>0</v>
      </c>
      <c r="AN39" s="518">
        <v>0</v>
      </c>
      <c r="AO39" s="518">
        <v>0</v>
      </c>
      <c r="AP39" s="518">
        <v>0</v>
      </c>
      <c r="AQ39" s="518">
        <v>0</v>
      </c>
      <c r="AR39" s="518">
        <v>0</v>
      </c>
      <c r="AS39" s="518">
        <v>0</v>
      </c>
      <c r="AT39" s="518">
        <v>0</v>
      </c>
      <c r="AU39" s="518">
        <v>0</v>
      </c>
      <c r="AV39" s="518">
        <v>0</v>
      </c>
      <c r="AW39" s="518">
        <v>0</v>
      </c>
      <c r="AX39" s="518">
        <v>0</v>
      </c>
      <c r="AY39" s="518">
        <v>0</v>
      </c>
      <c r="AZ39" s="518">
        <v>0</v>
      </c>
      <c r="BA39" s="518">
        <v>0</v>
      </c>
      <c r="BB39" s="518">
        <v>0</v>
      </c>
      <c r="BC39" s="518">
        <v>0</v>
      </c>
      <c r="BD39" s="518">
        <v>0</v>
      </c>
      <c r="BE39" s="518">
        <v>0</v>
      </c>
      <c r="BF39" s="518">
        <v>0</v>
      </c>
      <c r="BG39" s="518">
        <v>0</v>
      </c>
      <c r="BH39" s="518">
        <v>0</v>
      </c>
      <c r="BI39" s="518">
        <v>0</v>
      </c>
      <c r="BJ39" s="518">
        <v>0</v>
      </c>
      <c r="BK39" s="518">
        <v>0</v>
      </c>
      <c r="BL39" s="518">
        <v>0</v>
      </c>
      <c r="BM39" s="518">
        <v>0</v>
      </c>
      <c r="BN39" s="518">
        <v>0</v>
      </c>
      <c r="BO39" s="518">
        <v>0</v>
      </c>
      <c r="BP39" s="518">
        <v>0</v>
      </c>
      <c r="BQ39" s="518">
        <v>0</v>
      </c>
      <c r="BR39" s="518">
        <v>0</v>
      </c>
      <c r="BS39" s="518">
        <v>0</v>
      </c>
      <c r="BT39" s="518">
        <v>0</v>
      </c>
      <c r="BU39" s="518">
        <v>0</v>
      </c>
      <c r="BV39" s="518">
        <v>0</v>
      </c>
      <c r="BW39" s="518">
        <v>0</v>
      </c>
      <c r="BX39" s="518">
        <v>0</v>
      </c>
      <c r="BY39" s="518">
        <v>0</v>
      </c>
      <c r="BZ39" s="518">
        <v>0</v>
      </c>
      <c r="CA39" s="518">
        <v>0</v>
      </c>
      <c r="CB39" s="518">
        <v>0</v>
      </c>
      <c r="CC39" s="518">
        <v>0</v>
      </c>
      <c r="CD39" s="518">
        <v>0</v>
      </c>
      <c r="CE39" s="518">
        <v>0</v>
      </c>
      <c r="CF39" s="518">
        <v>0</v>
      </c>
      <c r="CG39" s="518">
        <v>0</v>
      </c>
      <c r="CH39" s="518">
        <v>0</v>
      </c>
      <c r="CI39" s="518">
        <v>0</v>
      </c>
      <c r="CJ39" s="518">
        <v>0</v>
      </c>
      <c r="CK39" s="518">
        <v>0</v>
      </c>
      <c r="CL39" s="518">
        <v>0</v>
      </c>
      <c r="CM39" s="518">
        <v>0</v>
      </c>
      <c r="CN39" s="518">
        <v>0</v>
      </c>
      <c r="CO39" s="518">
        <v>0</v>
      </c>
      <c r="CP39" s="518">
        <v>0</v>
      </c>
      <c r="CQ39" s="518">
        <v>0</v>
      </c>
      <c r="CR39" s="518">
        <v>0</v>
      </c>
      <c r="CS39" s="518">
        <v>0</v>
      </c>
      <c r="CT39" s="518">
        <v>0</v>
      </c>
      <c r="CU39" s="518">
        <v>0</v>
      </c>
      <c r="CV39" s="518">
        <v>0</v>
      </c>
      <c r="CW39" s="518">
        <v>0</v>
      </c>
      <c r="CX39" s="518">
        <v>0</v>
      </c>
      <c r="CY39" s="518">
        <v>0</v>
      </c>
      <c r="CZ39" s="518">
        <v>0</v>
      </c>
      <c r="DA39" s="518">
        <v>0</v>
      </c>
      <c r="DB39" s="518">
        <v>0</v>
      </c>
      <c r="DC39" s="518">
        <v>0</v>
      </c>
      <c r="DD39" s="518">
        <v>0</v>
      </c>
      <c r="DE39" s="518">
        <v>0</v>
      </c>
      <c r="DF39" s="518">
        <v>0</v>
      </c>
      <c r="DG39" s="518">
        <v>0</v>
      </c>
      <c r="DH39" s="518">
        <v>0</v>
      </c>
      <c r="DI39" s="518">
        <v>0</v>
      </c>
      <c r="DJ39" s="518">
        <v>0</v>
      </c>
      <c r="DK39" s="518">
        <v>0</v>
      </c>
      <c r="DL39" s="518">
        <v>0</v>
      </c>
      <c r="DM39" s="518">
        <v>0</v>
      </c>
      <c r="DN39" s="518">
        <v>0</v>
      </c>
      <c r="DO39" s="518">
        <v>0</v>
      </c>
      <c r="DP39" s="518">
        <v>0</v>
      </c>
      <c r="DQ39" s="518">
        <v>0</v>
      </c>
      <c r="DR39" s="518">
        <v>0</v>
      </c>
      <c r="DS39" s="518">
        <v>0</v>
      </c>
      <c r="DT39" s="518">
        <v>0</v>
      </c>
      <c r="DU39" s="518">
        <v>0</v>
      </c>
      <c r="DV39" s="518">
        <v>0</v>
      </c>
      <c r="DW39" s="518">
        <v>0</v>
      </c>
      <c r="DX39" s="518">
        <v>0</v>
      </c>
      <c r="DY39" s="477"/>
      <c r="DZ39" s="517" t="s">
        <v>721</v>
      </c>
      <c r="EA39" s="517" t="s">
        <v>1101</v>
      </c>
      <c r="EB39" s="517" t="s">
        <v>25</v>
      </c>
      <c r="EC39" s="518">
        <v>51</v>
      </c>
      <c r="ED39" s="494" t="str">
        <f t="shared" si="0"/>
        <v>SWUC100151</v>
      </c>
      <c r="EE39" s="518">
        <v>10000</v>
      </c>
      <c r="EF39" s="518">
        <v>10000</v>
      </c>
      <c r="EG39" s="518">
        <v>10000</v>
      </c>
      <c r="EH39" s="518">
        <v>10000</v>
      </c>
      <c r="EI39" s="518">
        <v>10000</v>
      </c>
      <c r="EJ39" s="518">
        <v>10000</v>
      </c>
      <c r="EK39" s="518">
        <v>10000</v>
      </c>
      <c r="EL39" s="518">
        <v>10000</v>
      </c>
      <c r="EM39" s="518">
        <v>10000</v>
      </c>
      <c r="EN39" s="518">
        <v>10000</v>
      </c>
      <c r="EO39" s="518">
        <v>0</v>
      </c>
      <c r="EP39" s="518">
        <v>0</v>
      </c>
      <c r="EQ39" s="518">
        <v>0</v>
      </c>
      <c r="ER39" s="518">
        <v>0</v>
      </c>
      <c r="ES39" s="518">
        <v>0</v>
      </c>
      <c r="ET39" s="518">
        <v>0</v>
      </c>
      <c r="EU39" s="518">
        <v>0</v>
      </c>
      <c r="EV39" s="518">
        <v>0</v>
      </c>
      <c r="EW39" s="518">
        <v>0</v>
      </c>
      <c r="EX39" s="518">
        <v>0</v>
      </c>
      <c r="EY39" s="518">
        <v>0</v>
      </c>
      <c r="EZ39" s="518">
        <v>0</v>
      </c>
      <c r="FA39" s="518">
        <v>0</v>
      </c>
      <c r="FB39" s="518">
        <v>0</v>
      </c>
      <c r="FC39" s="518">
        <v>0</v>
      </c>
      <c r="FD39" s="518">
        <v>0</v>
      </c>
      <c r="FE39" s="518">
        <v>0</v>
      </c>
      <c r="FF39" s="518">
        <v>0</v>
      </c>
      <c r="FG39" s="518">
        <v>0</v>
      </c>
      <c r="FH39" s="518">
        <v>0</v>
      </c>
      <c r="FI39" s="518">
        <v>0</v>
      </c>
      <c r="FJ39" s="518">
        <v>0</v>
      </c>
      <c r="FK39" s="518">
        <v>0</v>
      </c>
      <c r="FL39" s="518">
        <v>0</v>
      </c>
      <c r="FM39" s="518">
        <v>0</v>
      </c>
      <c r="FN39" s="518">
        <v>0</v>
      </c>
      <c r="FO39" s="518">
        <v>0</v>
      </c>
      <c r="FP39" s="518">
        <v>0</v>
      </c>
      <c r="FQ39" s="518">
        <v>0</v>
      </c>
      <c r="FR39" s="518">
        <v>0</v>
      </c>
      <c r="FS39" s="518">
        <v>0</v>
      </c>
      <c r="FT39" s="518">
        <v>0</v>
      </c>
      <c r="FU39" s="518">
        <v>0</v>
      </c>
      <c r="FV39" s="518">
        <v>0</v>
      </c>
      <c r="FW39" s="518">
        <v>0</v>
      </c>
      <c r="FX39" s="518">
        <v>0</v>
      </c>
      <c r="FY39" s="518">
        <v>0</v>
      </c>
      <c r="FZ39" s="518">
        <v>0</v>
      </c>
      <c r="GA39" s="518">
        <v>0</v>
      </c>
      <c r="GB39" s="518">
        <v>0</v>
      </c>
      <c r="GC39" s="518">
        <v>0</v>
      </c>
      <c r="GD39" s="518">
        <v>0</v>
      </c>
      <c r="GE39" s="518">
        <v>0</v>
      </c>
      <c r="GF39" s="518">
        <v>0</v>
      </c>
      <c r="GG39" s="518">
        <v>0</v>
      </c>
      <c r="GH39" s="518">
        <v>0</v>
      </c>
      <c r="GI39" s="518">
        <v>0</v>
      </c>
      <c r="GJ39" s="518">
        <v>0</v>
      </c>
      <c r="GK39" s="518">
        <v>0</v>
      </c>
      <c r="GL39" s="518">
        <v>0</v>
      </c>
      <c r="GM39" s="518">
        <v>0</v>
      </c>
      <c r="GN39" s="518">
        <v>0</v>
      </c>
      <c r="GO39" s="518">
        <v>0</v>
      </c>
      <c r="GP39" s="518">
        <v>0</v>
      </c>
      <c r="GQ39" s="518">
        <v>0</v>
      </c>
      <c r="GR39" s="518">
        <v>0</v>
      </c>
      <c r="GS39" s="518">
        <v>0</v>
      </c>
      <c r="GT39" s="518">
        <v>0</v>
      </c>
      <c r="GU39" s="518">
        <v>0</v>
      </c>
      <c r="GV39" s="518">
        <v>0</v>
      </c>
      <c r="GW39" s="518">
        <v>0</v>
      </c>
      <c r="GX39" s="518">
        <v>0</v>
      </c>
      <c r="GY39" s="518">
        <v>0</v>
      </c>
      <c r="GZ39" s="518">
        <v>0</v>
      </c>
      <c r="HA39" s="518">
        <v>0</v>
      </c>
      <c r="HB39" s="518">
        <v>0</v>
      </c>
      <c r="HC39" s="518">
        <v>0</v>
      </c>
      <c r="HD39" s="518">
        <v>0</v>
      </c>
      <c r="HE39" s="518">
        <v>0</v>
      </c>
      <c r="HF39" s="518">
        <v>0</v>
      </c>
      <c r="HG39" s="518">
        <v>0</v>
      </c>
      <c r="HH39" s="518">
        <v>0</v>
      </c>
      <c r="HI39" s="518">
        <v>0</v>
      </c>
      <c r="HJ39" s="518">
        <v>0</v>
      </c>
      <c r="HK39" s="518">
        <v>0</v>
      </c>
      <c r="HL39" s="518">
        <v>0</v>
      </c>
      <c r="HM39" s="518">
        <v>0</v>
      </c>
      <c r="HN39" s="518">
        <v>0</v>
      </c>
      <c r="HO39" s="518">
        <v>0</v>
      </c>
      <c r="HP39" s="518">
        <v>0</v>
      </c>
      <c r="HQ39" s="518">
        <v>0</v>
      </c>
      <c r="HR39" s="518">
        <v>0</v>
      </c>
      <c r="HS39" s="518">
        <v>0</v>
      </c>
      <c r="HT39" s="518">
        <v>0</v>
      </c>
      <c r="HU39" s="518">
        <v>0</v>
      </c>
      <c r="HV39" s="518">
        <v>0</v>
      </c>
      <c r="HW39" s="518">
        <v>0</v>
      </c>
      <c r="HX39" s="518">
        <v>0</v>
      </c>
      <c r="HY39" s="518">
        <v>0</v>
      </c>
      <c r="HZ39" s="518">
        <v>0</v>
      </c>
      <c r="IA39" s="518">
        <v>0</v>
      </c>
      <c r="IB39" s="518">
        <v>0</v>
      </c>
      <c r="IC39" s="518">
        <v>0</v>
      </c>
      <c r="ID39" s="518">
        <v>0</v>
      </c>
      <c r="IE39" s="518">
        <v>0</v>
      </c>
      <c r="IF39" s="518">
        <v>0</v>
      </c>
      <c r="IG39" s="518">
        <v>0</v>
      </c>
      <c r="IH39" s="518">
        <v>0</v>
      </c>
      <c r="II39" s="518">
        <v>0</v>
      </c>
      <c r="IJ39" s="518">
        <v>0</v>
      </c>
      <c r="IK39" s="518">
        <v>0</v>
      </c>
    </row>
    <row r="40" spans="1:245" ht="16.5" hidden="1">
      <c r="A40" s="517" t="s">
        <v>721</v>
      </c>
      <c r="B40" s="517" t="s">
        <v>1101</v>
      </c>
      <c r="C40" s="517" t="s">
        <v>721</v>
      </c>
      <c r="D40" s="558"/>
      <c r="E40" s="517" t="s">
        <v>721</v>
      </c>
      <c r="F40" s="517" t="s">
        <v>25</v>
      </c>
      <c r="G40" s="558"/>
      <c r="H40" s="518">
        <v>52</v>
      </c>
      <c r="I40" s="558"/>
      <c r="J40" s="494" t="str">
        <f t="shared" si="1"/>
        <v>SWUC100152</v>
      </c>
      <c r="K40" s="518">
        <v>412</v>
      </c>
      <c r="M40" s="517" t="s">
        <v>721</v>
      </c>
      <c r="N40" s="517" t="s">
        <v>1101</v>
      </c>
      <c r="O40" s="517" t="s">
        <v>25</v>
      </c>
      <c r="P40" s="518">
        <v>52</v>
      </c>
      <c r="Q40" s="494" t="str">
        <f t="shared" si="2"/>
        <v>SWUC100152</v>
      </c>
      <c r="R40" s="518">
        <v>0</v>
      </c>
      <c r="S40" s="518">
        <v>34</v>
      </c>
      <c r="T40" s="518">
        <v>68</v>
      </c>
      <c r="U40" s="518">
        <v>102</v>
      </c>
      <c r="V40" s="518">
        <v>137</v>
      </c>
      <c r="W40" s="518">
        <v>182</v>
      </c>
      <c r="X40" s="518">
        <v>233</v>
      </c>
      <c r="Y40" s="518">
        <v>288</v>
      </c>
      <c r="Z40" s="518">
        <v>346</v>
      </c>
      <c r="AA40" s="518">
        <v>0</v>
      </c>
      <c r="AB40" s="518">
        <v>0</v>
      </c>
      <c r="AC40" s="518">
        <v>0</v>
      </c>
      <c r="AD40" s="518">
        <v>0</v>
      </c>
      <c r="AE40" s="518">
        <v>0</v>
      </c>
      <c r="AF40" s="518">
        <v>0</v>
      </c>
      <c r="AG40" s="518">
        <v>0</v>
      </c>
      <c r="AH40" s="518">
        <v>0</v>
      </c>
      <c r="AI40" s="518">
        <v>0</v>
      </c>
      <c r="AJ40" s="518">
        <v>0</v>
      </c>
      <c r="AK40" s="518">
        <v>0</v>
      </c>
      <c r="AL40" s="518">
        <v>0</v>
      </c>
      <c r="AM40" s="518">
        <v>0</v>
      </c>
      <c r="AN40" s="518">
        <v>0</v>
      </c>
      <c r="AO40" s="518">
        <v>0</v>
      </c>
      <c r="AP40" s="518">
        <v>0</v>
      </c>
      <c r="AQ40" s="518">
        <v>0</v>
      </c>
      <c r="AR40" s="518">
        <v>0</v>
      </c>
      <c r="AS40" s="518">
        <v>0</v>
      </c>
      <c r="AT40" s="518">
        <v>0</v>
      </c>
      <c r="AU40" s="518">
        <v>0</v>
      </c>
      <c r="AV40" s="518">
        <v>0</v>
      </c>
      <c r="AW40" s="518">
        <v>0</v>
      </c>
      <c r="AX40" s="518">
        <v>0</v>
      </c>
      <c r="AY40" s="518">
        <v>0</v>
      </c>
      <c r="AZ40" s="518">
        <v>0</v>
      </c>
      <c r="BA40" s="518">
        <v>0</v>
      </c>
      <c r="BB40" s="518">
        <v>0</v>
      </c>
      <c r="BC40" s="518">
        <v>0</v>
      </c>
      <c r="BD40" s="518">
        <v>0</v>
      </c>
      <c r="BE40" s="518">
        <v>0</v>
      </c>
      <c r="BF40" s="518">
        <v>0</v>
      </c>
      <c r="BG40" s="518">
        <v>0</v>
      </c>
      <c r="BH40" s="518">
        <v>0</v>
      </c>
      <c r="BI40" s="518">
        <v>0</v>
      </c>
      <c r="BJ40" s="518">
        <v>0</v>
      </c>
      <c r="BK40" s="518">
        <v>0</v>
      </c>
      <c r="BL40" s="518">
        <v>0</v>
      </c>
      <c r="BM40" s="518">
        <v>0</v>
      </c>
      <c r="BN40" s="518">
        <v>0</v>
      </c>
      <c r="BO40" s="518">
        <v>0</v>
      </c>
      <c r="BP40" s="518">
        <v>0</v>
      </c>
      <c r="BQ40" s="518">
        <v>0</v>
      </c>
      <c r="BR40" s="518">
        <v>0</v>
      </c>
      <c r="BS40" s="518">
        <v>0</v>
      </c>
      <c r="BT40" s="518">
        <v>0</v>
      </c>
      <c r="BU40" s="518">
        <v>0</v>
      </c>
      <c r="BV40" s="518">
        <v>0</v>
      </c>
      <c r="BW40" s="518">
        <v>0</v>
      </c>
      <c r="BX40" s="518">
        <v>0</v>
      </c>
      <c r="BY40" s="518">
        <v>0</v>
      </c>
      <c r="BZ40" s="518">
        <v>0</v>
      </c>
      <c r="CA40" s="518">
        <v>0</v>
      </c>
      <c r="CB40" s="518">
        <v>0</v>
      </c>
      <c r="CC40" s="518">
        <v>0</v>
      </c>
      <c r="CD40" s="518">
        <v>0</v>
      </c>
      <c r="CE40" s="518">
        <v>0</v>
      </c>
      <c r="CF40" s="518">
        <v>0</v>
      </c>
      <c r="CG40" s="518">
        <v>0</v>
      </c>
      <c r="CH40" s="518">
        <v>0</v>
      </c>
      <c r="CI40" s="518">
        <v>0</v>
      </c>
      <c r="CJ40" s="518">
        <v>0</v>
      </c>
      <c r="CK40" s="518">
        <v>0</v>
      </c>
      <c r="CL40" s="518">
        <v>0</v>
      </c>
      <c r="CM40" s="518">
        <v>0</v>
      </c>
      <c r="CN40" s="518">
        <v>0</v>
      </c>
      <c r="CO40" s="518">
        <v>0</v>
      </c>
      <c r="CP40" s="518">
        <v>0</v>
      </c>
      <c r="CQ40" s="518">
        <v>0</v>
      </c>
      <c r="CR40" s="518">
        <v>0</v>
      </c>
      <c r="CS40" s="518">
        <v>0</v>
      </c>
      <c r="CT40" s="518">
        <v>0</v>
      </c>
      <c r="CU40" s="518">
        <v>0</v>
      </c>
      <c r="CV40" s="518">
        <v>0</v>
      </c>
      <c r="CW40" s="518">
        <v>0</v>
      </c>
      <c r="CX40" s="518">
        <v>0</v>
      </c>
      <c r="CY40" s="518">
        <v>0</v>
      </c>
      <c r="CZ40" s="518">
        <v>0</v>
      </c>
      <c r="DA40" s="518">
        <v>0</v>
      </c>
      <c r="DB40" s="518">
        <v>0</v>
      </c>
      <c r="DC40" s="518">
        <v>0</v>
      </c>
      <c r="DD40" s="518">
        <v>0</v>
      </c>
      <c r="DE40" s="518">
        <v>0</v>
      </c>
      <c r="DF40" s="518">
        <v>0</v>
      </c>
      <c r="DG40" s="518">
        <v>0</v>
      </c>
      <c r="DH40" s="518">
        <v>0</v>
      </c>
      <c r="DI40" s="518">
        <v>0</v>
      </c>
      <c r="DJ40" s="518">
        <v>0</v>
      </c>
      <c r="DK40" s="518">
        <v>0</v>
      </c>
      <c r="DL40" s="518">
        <v>0</v>
      </c>
      <c r="DM40" s="518">
        <v>0</v>
      </c>
      <c r="DN40" s="518">
        <v>0</v>
      </c>
      <c r="DO40" s="518">
        <v>0</v>
      </c>
      <c r="DP40" s="518">
        <v>0</v>
      </c>
      <c r="DQ40" s="518">
        <v>0</v>
      </c>
      <c r="DR40" s="518">
        <v>0</v>
      </c>
      <c r="DS40" s="518">
        <v>0</v>
      </c>
      <c r="DT40" s="518">
        <v>0</v>
      </c>
      <c r="DU40" s="518">
        <v>0</v>
      </c>
      <c r="DV40" s="518">
        <v>0</v>
      </c>
      <c r="DW40" s="518">
        <v>0</v>
      </c>
      <c r="DX40" s="518">
        <v>0</v>
      </c>
      <c r="DY40" s="477"/>
      <c r="DZ40" s="517" t="s">
        <v>721</v>
      </c>
      <c r="EA40" s="517" t="s">
        <v>1101</v>
      </c>
      <c r="EB40" s="517" t="s">
        <v>25</v>
      </c>
      <c r="EC40" s="518">
        <v>52</v>
      </c>
      <c r="ED40" s="494" t="str">
        <f t="shared" si="0"/>
        <v>SWUC100152</v>
      </c>
      <c r="EE40" s="518">
        <v>10000</v>
      </c>
      <c r="EF40" s="518">
        <v>10000</v>
      </c>
      <c r="EG40" s="518">
        <v>10000</v>
      </c>
      <c r="EH40" s="518">
        <v>10000</v>
      </c>
      <c r="EI40" s="518">
        <v>10000</v>
      </c>
      <c r="EJ40" s="518">
        <v>10000</v>
      </c>
      <c r="EK40" s="518">
        <v>10000</v>
      </c>
      <c r="EL40" s="518">
        <v>10000</v>
      </c>
      <c r="EM40" s="518">
        <v>10000</v>
      </c>
      <c r="EN40" s="518">
        <v>10000</v>
      </c>
      <c r="EO40" s="518">
        <v>0</v>
      </c>
      <c r="EP40" s="518">
        <v>0</v>
      </c>
      <c r="EQ40" s="518">
        <v>0</v>
      </c>
      <c r="ER40" s="518">
        <v>0</v>
      </c>
      <c r="ES40" s="518">
        <v>0</v>
      </c>
      <c r="ET40" s="518">
        <v>0</v>
      </c>
      <c r="EU40" s="518">
        <v>0</v>
      </c>
      <c r="EV40" s="518">
        <v>0</v>
      </c>
      <c r="EW40" s="518">
        <v>0</v>
      </c>
      <c r="EX40" s="518">
        <v>0</v>
      </c>
      <c r="EY40" s="518">
        <v>0</v>
      </c>
      <c r="EZ40" s="518">
        <v>0</v>
      </c>
      <c r="FA40" s="518">
        <v>0</v>
      </c>
      <c r="FB40" s="518">
        <v>0</v>
      </c>
      <c r="FC40" s="518">
        <v>0</v>
      </c>
      <c r="FD40" s="518">
        <v>0</v>
      </c>
      <c r="FE40" s="518">
        <v>0</v>
      </c>
      <c r="FF40" s="518">
        <v>0</v>
      </c>
      <c r="FG40" s="518">
        <v>0</v>
      </c>
      <c r="FH40" s="518">
        <v>0</v>
      </c>
      <c r="FI40" s="518">
        <v>0</v>
      </c>
      <c r="FJ40" s="518">
        <v>0</v>
      </c>
      <c r="FK40" s="518">
        <v>0</v>
      </c>
      <c r="FL40" s="518">
        <v>0</v>
      </c>
      <c r="FM40" s="518">
        <v>0</v>
      </c>
      <c r="FN40" s="518">
        <v>0</v>
      </c>
      <c r="FO40" s="518">
        <v>0</v>
      </c>
      <c r="FP40" s="518">
        <v>0</v>
      </c>
      <c r="FQ40" s="518">
        <v>0</v>
      </c>
      <c r="FR40" s="518">
        <v>0</v>
      </c>
      <c r="FS40" s="518">
        <v>0</v>
      </c>
      <c r="FT40" s="518">
        <v>0</v>
      </c>
      <c r="FU40" s="518">
        <v>0</v>
      </c>
      <c r="FV40" s="518">
        <v>0</v>
      </c>
      <c r="FW40" s="518">
        <v>0</v>
      </c>
      <c r="FX40" s="518">
        <v>0</v>
      </c>
      <c r="FY40" s="518">
        <v>0</v>
      </c>
      <c r="FZ40" s="518">
        <v>0</v>
      </c>
      <c r="GA40" s="518">
        <v>0</v>
      </c>
      <c r="GB40" s="518">
        <v>0</v>
      </c>
      <c r="GC40" s="518">
        <v>0</v>
      </c>
      <c r="GD40" s="518">
        <v>0</v>
      </c>
      <c r="GE40" s="518">
        <v>0</v>
      </c>
      <c r="GF40" s="518">
        <v>0</v>
      </c>
      <c r="GG40" s="518">
        <v>0</v>
      </c>
      <c r="GH40" s="518">
        <v>0</v>
      </c>
      <c r="GI40" s="518">
        <v>0</v>
      </c>
      <c r="GJ40" s="518">
        <v>0</v>
      </c>
      <c r="GK40" s="518">
        <v>0</v>
      </c>
      <c r="GL40" s="518">
        <v>0</v>
      </c>
      <c r="GM40" s="518">
        <v>0</v>
      </c>
      <c r="GN40" s="518">
        <v>0</v>
      </c>
      <c r="GO40" s="518">
        <v>0</v>
      </c>
      <c r="GP40" s="518">
        <v>0</v>
      </c>
      <c r="GQ40" s="518">
        <v>0</v>
      </c>
      <c r="GR40" s="518">
        <v>0</v>
      </c>
      <c r="GS40" s="518">
        <v>0</v>
      </c>
      <c r="GT40" s="518">
        <v>0</v>
      </c>
      <c r="GU40" s="518">
        <v>0</v>
      </c>
      <c r="GV40" s="518">
        <v>0</v>
      </c>
      <c r="GW40" s="518">
        <v>0</v>
      </c>
      <c r="GX40" s="518">
        <v>0</v>
      </c>
      <c r="GY40" s="518">
        <v>0</v>
      </c>
      <c r="GZ40" s="518">
        <v>0</v>
      </c>
      <c r="HA40" s="518">
        <v>0</v>
      </c>
      <c r="HB40" s="518">
        <v>0</v>
      </c>
      <c r="HC40" s="518">
        <v>0</v>
      </c>
      <c r="HD40" s="518">
        <v>0</v>
      </c>
      <c r="HE40" s="518">
        <v>0</v>
      </c>
      <c r="HF40" s="518">
        <v>0</v>
      </c>
      <c r="HG40" s="518">
        <v>0</v>
      </c>
      <c r="HH40" s="518">
        <v>0</v>
      </c>
      <c r="HI40" s="518">
        <v>0</v>
      </c>
      <c r="HJ40" s="518">
        <v>0</v>
      </c>
      <c r="HK40" s="518">
        <v>0</v>
      </c>
      <c r="HL40" s="518">
        <v>0</v>
      </c>
      <c r="HM40" s="518">
        <v>0</v>
      </c>
      <c r="HN40" s="518">
        <v>0</v>
      </c>
      <c r="HO40" s="518">
        <v>0</v>
      </c>
      <c r="HP40" s="518">
        <v>0</v>
      </c>
      <c r="HQ40" s="518">
        <v>0</v>
      </c>
      <c r="HR40" s="518">
        <v>0</v>
      </c>
      <c r="HS40" s="518">
        <v>0</v>
      </c>
      <c r="HT40" s="518">
        <v>0</v>
      </c>
      <c r="HU40" s="518">
        <v>0</v>
      </c>
      <c r="HV40" s="518">
        <v>0</v>
      </c>
      <c r="HW40" s="518">
        <v>0</v>
      </c>
      <c r="HX40" s="518">
        <v>0</v>
      </c>
      <c r="HY40" s="518">
        <v>0</v>
      </c>
      <c r="HZ40" s="518">
        <v>0</v>
      </c>
      <c r="IA40" s="518">
        <v>0</v>
      </c>
      <c r="IB40" s="518">
        <v>0</v>
      </c>
      <c r="IC40" s="518">
        <v>0</v>
      </c>
      <c r="ID40" s="518">
        <v>0</v>
      </c>
      <c r="IE40" s="518">
        <v>0</v>
      </c>
      <c r="IF40" s="518">
        <v>0</v>
      </c>
      <c r="IG40" s="518">
        <v>0</v>
      </c>
      <c r="IH40" s="518">
        <v>0</v>
      </c>
      <c r="II40" s="518">
        <v>0</v>
      </c>
      <c r="IJ40" s="518">
        <v>0</v>
      </c>
      <c r="IK40" s="518">
        <v>0</v>
      </c>
    </row>
    <row r="41" spans="1:245" ht="16.5" hidden="1">
      <c r="A41" s="517" t="s">
        <v>721</v>
      </c>
      <c r="B41" s="517" t="s">
        <v>1101</v>
      </c>
      <c r="C41" s="517" t="s">
        <v>721</v>
      </c>
      <c r="D41" s="558"/>
      <c r="E41" s="517" t="s">
        <v>721</v>
      </c>
      <c r="F41" s="517" t="s">
        <v>25</v>
      </c>
      <c r="G41" s="558"/>
      <c r="H41" s="518">
        <v>53</v>
      </c>
      <c r="I41" s="558"/>
      <c r="J41" s="494" t="str">
        <f t="shared" si="1"/>
        <v>SWUC100153</v>
      </c>
      <c r="K41" s="518">
        <v>443</v>
      </c>
      <c r="M41" s="517" t="s">
        <v>721</v>
      </c>
      <c r="N41" s="517" t="s">
        <v>1101</v>
      </c>
      <c r="O41" s="517" t="s">
        <v>25</v>
      </c>
      <c r="P41" s="518">
        <v>53</v>
      </c>
      <c r="Q41" s="494" t="str">
        <f t="shared" si="2"/>
        <v>SWUC100153</v>
      </c>
      <c r="R41" s="518">
        <v>0</v>
      </c>
      <c r="S41" s="518">
        <v>37</v>
      </c>
      <c r="T41" s="518">
        <v>74</v>
      </c>
      <c r="U41" s="518">
        <v>110</v>
      </c>
      <c r="V41" s="518">
        <v>146</v>
      </c>
      <c r="W41" s="518">
        <v>196</v>
      </c>
      <c r="X41" s="518">
        <v>252</v>
      </c>
      <c r="Y41" s="518">
        <v>310</v>
      </c>
      <c r="Z41" s="518">
        <v>372</v>
      </c>
      <c r="AA41" s="518">
        <v>0</v>
      </c>
      <c r="AB41" s="518">
        <v>0</v>
      </c>
      <c r="AC41" s="518">
        <v>0</v>
      </c>
      <c r="AD41" s="518">
        <v>0</v>
      </c>
      <c r="AE41" s="518">
        <v>0</v>
      </c>
      <c r="AF41" s="518">
        <v>0</v>
      </c>
      <c r="AG41" s="518">
        <v>0</v>
      </c>
      <c r="AH41" s="518">
        <v>0</v>
      </c>
      <c r="AI41" s="518">
        <v>0</v>
      </c>
      <c r="AJ41" s="518">
        <v>0</v>
      </c>
      <c r="AK41" s="518">
        <v>0</v>
      </c>
      <c r="AL41" s="518">
        <v>0</v>
      </c>
      <c r="AM41" s="518">
        <v>0</v>
      </c>
      <c r="AN41" s="518">
        <v>0</v>
      </c>
      <c r="AO41" s="518">
        <v>0</v>
      </c>
      <c r="AP41" s="518">
        <v>0</v>
      </c>
      <c r="AQ41" s="518">
        <v>0</v>
      </c>
      <c r="AR41" s="518">
        <v>0</v>
      </c>
      <c r="AS41" s="518">
        <v>0</v>
      </c>
      <c r="AT41" s="518">
        <v>0</v>
      </c>
      <c r="AU41" s="518">
        <v>0</v>
      </c>
      <c r="AV41" s="518">
        <v>0</v>
      </c>
      <c r="AW41" s="518">
        <v>0</v>
      </c>
      <c r="AX41" s="518">
        <v>0</v>
      </c>
      <c r="AY41" s="518">
        <v>0</v>
      </c>
      <c r="AZ41" s="518">
        <v>0</v>
      </c>
      <c r="BA41" s="518">
        <v>0</v>
      </c>
      <c r="BB41" s="518">
        <v>0</v>
      </c>
      <c r="BC41" s="518">
        <v>0</v>
      </c>
      <c r="BD41" s="518">
        <v>0</v>
      </c>
      <c r="BE41" s="518">
        <v>0</v>
      </c>
      <c r="BF41" s="518">
        <v>0</v>
      </c>
      <c r="BG41" s="518">
        <v>0</v>
      </c>
      <c r="BH41" s="518">
        <v>0</v>
      </c>
      <c r="BI41" s="518">
        <v>0</v>
      </c>
      <c r="BJ41" s="518">
        <v>0</v>
      </c>
      <c r="BK41" s="518">
        <v>0</v>
      </c>
      <c r="BL41" s="518">
        <v>0</v>
      </c>
      <c r="BM41" s="518">
        <v>0</v>
      </c>
      <c r="BN41" s="518">
        <v>0</v>
      </c>
      <c r="BO41" s="518">
        <v>0</v>
      </c>
      <c r="BP41" s="518">
        <v>0</v>
      </c>
      <c r="BQ41" s="518">
        <v>0</v>
      </c>
      <c r="BR41" s="518">
        <v>0</v>
      </c>
      <c r="BS41" s="518">
        <v>0</v>
      </c>
      <c r="BT41" s="518">
        <v>0</v>
      </c>
      <c r="BU41" s="518">
        <v>0</v>
      </c>
      <c r="BV41" s="518">
        <v>0</v>
      </c>
      <c r="BW41" s="518">
        <v>0</v>
      </c>
      <c r="BX41" s="518">
        <v>0</v>
      </c>
      <c r="BY41" s="518">
        <v>0</v>
      </c>
      <c r="BZ41" s="518">
        <v>0</v>
      </c>
      <c r="CA41" s="518">
        <v>0</v>
      </c>
      <c r="CB41" s="518">
        <v>0</v>
      </c>
      <c r="CC41" s="518">
        <v>0</v>
      </c>
      <c r="CD41" s="518">
        <v>0</v>
      </c>
      <c r="CE41" s="518">
        <v>0</v>
      </c>
      <c r="CF41" s="518">
        <v>0</v>
      </c>
      <c r="CG41" s="518">
        <v>0</v>
      </c>
      <c r="CH41" s="518">
        <v>0</v>
      </c>
      <c r="CI41" s="518">
        <v>0</v>
      </c>
      <c r="CJ41" s="518">
        <v>0</v>
      </c>
      <c r="CK41" s="518">
        <v>0</v>
      </c>
      <c r="CL41" s="518">
        <v>0</v>
      </c>
      <c r="CM41" s="518">
        <v>0</v>
      </c>
      <c r="CN41" s="518">
        <v>0</v>
      </c>
      <c r="CO41" s="518">
        <v>0</v>
      </c>
      <c r="CP41" s="518">
        <v>0</v>
      </c>
      <c r="CQ41" s="518">
        <v>0</v>
      </c>
      <c r="CR41" s="518">
        <v>0</v>
      </c>
      <c r="CS41" s="518">
        <v>0</v>
      </c>
      <c r="CT41" s="518">
        <v>0</v>
      </c>
      <c r="CU41" s="518">
        <v>0</v>
      </c>
      <c r="CV41" s="518">
        <v>0</v>
      </c>
      <c r="CW41" s="518">
        <v>0</v>
      </c>
      <c r="CX41" s="518">
        <v>0</v>
      </c>
      <c r="CY41" s="518">
        <v>0</v>
      </c>
      <c r="CZ41" s="518">
        <v>0</v>
      </c>
      <c r="DA41" s="518">
        <v>0</v>
      </c>
      <c r="DB41" s="518">
        <v>0</v>
      </c>
      <c r="DC41" s="518">
        <v>0</v>
      </c>
      <c r="DD41" s="518">
        <v>0</v>
      </c>
      <c r="DE41" s="518">
        <v>0</v>
      </c>
      <c r="DF41" s="518">
        <v>0</v>
      </c>
      <c r="DG41" s="518">
        <v>0</v>
      </c>
      <c r="DH41" s="518">
        <v>0</v>
      </c>
      <c r="DI41" s="518">
        <v>0</v>
      </c>
      <c r="DJ41" s="518">
        <v>0</v>
      </c>
      <c r="DK41" s="518">
        <v>0</v>
      </c>
      <c r="DL41" s="518">
        <v>0</v>
      </c>
      <c r="DM41" s="518">
        <v>0</v>
      </c>
      <c r="DN41" s="518">
        <v>0</v>
      </c>
      <c r="DO41" s="518">
        <v>0</v>
      </c>
      <c r="DP41" s="518">
        <v>0</v>
      </c>
      <c r="DQ41" s="518">
        <v>0</v>
      </c>
      <c r="DR41" s="518">
        <v>0</v>
      </c>
      <c r="DS41" s="518">
        <v>0</v>
      </c>
      <c r="DT41" s="518">
        <v>0</v>
      </c>
      <c r="DU41" s="518">
        <v>0</v>
      </c>
      <c r="DV41" s="518">
        <v>0</v>
      </c>
      <c r="DW41" s="518">
        <v>0</v>
      </c>
      <c r="DX41" s="518">
        <v>0</v>
      </c>
      <c r="DY41" s="477"/>
      <c r="DZ41" s="517" t="s">
        <v>721</v>
      </c>
      <c r="EA41" s="517" t="s">
        <v>1101</v>
      </c>
      <c r="EB41" s="517" t="s">
        <v>25</v>
      </c>
      <c r="EC41" s="518">
        <v>53</v>
      </c>
      <c r="ED41" s="494" t="str">
        <f t="shared" si="0"/>
        <v>SWUC100153</v>
      </c>
      <c r="EE41" s="518">
        <v>10000</v>
      </c>
      <c r="EF41" s="518">
        <v>10000</v>
      </c>
      <c r="EG41" s="518">
        <v>10000</v>
      </c>
      <c r="EH41" s="518">
        <v>10000</v>
      </c>
      <c r="EI41" s="518">
        <v>10000</v>
      </c>
      <c r="EJ41" s="518">
        <v>10000</v>
      </c>
      <c r="EK41" s="518">
        <v>10000</v>
      </c>
      <c r="EL41" s="518">
        <v>10000</v>
      </c>
      <c r="EM41" s="518">
        <v>10000</v>
      </c>
      <c r="EN41" s="518">
        <v>10000</v>
      </c>
      <c r="EO41" s="518">
        <v>0</v>
      </c>
      <c r="EP41" s="518">
        <v>0</v>
      </c>
      <c r="EQ41" s="518">
        <v>0</v>
      </c>
      <c r="ER41" s="518">
        <v>0</v>
      </c>
      <c r="ES41" s="518">
        <v>0</v>
      </c>
      <c r="ET41" s="518">
        <v>0</v>
      </c>
      <c r="EU41" s="518">
        <v>0</v>
      </c>
      <c r="EV41" s="518">
        <v>0</v>
      </c>
      <c r="EW41" s="518">
        <v>0</v>
      </c>
      <c r="EX41" s="518">
        <v>0</v>
      </c>
      <c r="EY41" s="518">
        <v>0</v>
      </c>
      <c r="EZ41" s="518">
        <v>0</v>
      </c>
      <c r="FA41" s="518">
        <v>0</v>
      </c>
      <c r="FB41" s="518">
        <v>0</v>
      </c>
      <c r="FC41" s="518">
        <v>0</v>
      </c>
      <c r="FD41" s="518">
        <v>0</v>
      </c>
      <c r="FE41" s="518">
        <v>0</v>
      </c>
      <c r="FF41" s="518">
        <v>0</v>
      </c>
      <c r="FG41" s="518">
        <v>0</v>
      </c>
      <c r="FH41" s="518">
        <v>0</v>
      </c>
      <c r="FI41" s="518">
        <v>0</v>
      </c>
      <c r="FJ41" s="518">
        <v>0</v>
      </c>
      <c r="FK41" s="518">
        <v>0</v>
      </c>
      <c r="FL41" s="518">
        <v>0</v>
      </c>
      <c r="FM41" s="518">
        <v>0</v>
      </c>
      <c r="FN41" s="518">
        <v>0</v>
      </c>
      <c r="FO41" s="518">
        <v>0</v>
      </c>
      <c r="FP41" s="518">
        <v>0</v>
      </c>
      <c r="FQ41" s="518">
        <v>0</v>
      </c>
      <c r="FR41" s="518">
        <v>0</v>
      </c>
      <c r="FS41" s="518">
        <v>0</v>
      </c>
      <c r="FT41" s="518">
        <v>0</v>
      </c>
      <c r="FU41" s="518">
        <v>0</v>
      </c>
      <c r="FV41" s="518">
        <v>0</v>
      </c>
      <c r="FW41" s="518">
        <v>0</v>
      </c>
      <c r="FX41" s="518">
        <v>0</v>
      </c>
      <c r="FY41" s="518">
        <v>0</v>
      </c>
      <c r="FZ41" s="518">
        <v>0</v>
      </c>
      <c r="GA41" s="518">
        <v>0</v>
      </c>
      <c r="GB41" s="518">
        <v>0</v>
      </c>
      <c r="GC41" s="518">
        <v>0</v>
      </c>
      <c r="GD41" s="518">
        <v>0</v>
      </c>
      <c r="GE41" s="518">
        <v>0</v>
      </c>
      <c r="GF41" s="518">
        <v>0</v>
      </c>
      <c r="GG41" s="518">
        <v>0</v>
      </c>
      <c r="GH41" s="518">
        <v>0</v>
      </c>
      <c r="GI41" s="518">
        <v>0</v>
      </c>
      <c r="GJ41" s="518">
        <v>0</v>
      </c>
      <c r="GK41" s="518">
        <v>0</v>
      </c>
      <c r="GL41" s="518">
        <v>0</v>
      </c>
      <c r="GM41" s="518">
        <v>0</v>
      </c>
      <c r="GN41" s="518">
        <v>0</v>
      </c>
      <c r="GO41" s="518">
        <v>0</v>
      </c>
      <c r="GP41" s="518">
        <v>0</v>
      </c>
      <c r="GQ41" s="518">
        <v>0</v>
      </c>
      <c r="GR41" s="518">
        <v>0</v>
      </c>
      <c r="GS41" s="518">
        <v>0</v>
      </c>
      <c r="GT41" s="518">
        <v>0</v>
      </c>
      <c r="GU41" s="518">
        <v>0</v>
      </c>
      <c r="GV41" s="518">
        <v>0</v>
      </c>
      <c r="GW41" s="518">
        <v>0</v>
      </c>
      <c r="GX41" s="518">
        <v>0</v>
      </c>
      <c r="GY41" s="518">
        <v>0</v>
      </c>
      <c r="GZ41" s="518">
        <v>0</v>
      </c>
      <c r="HA41" s="518">
        <v>0</v>
      </c>
      <c r="HB41" s="518">
        <v>0</v>
      </c>
      <c r="HC41" s="518">
        <v>0</v>
      </c>
      <c r="HD41" s="518">
        <v>0</v>
      </c>
      <c r="HE41" s="518">
        <v>0</v>
      </c>
      <c r="HF41" s="518">
        <v>0</v>
      </c>
      <c r="HG41" s="518">
        <v>0</v>
      </c>
      <c r="HH41" s="518">
        <v>0</v>
      </c>
      <c r="HI41" s="518">
        <v>0</v>
      </c>
      <c r="HJ41" s="518">
        <v>0</v>
      </c>
      <c r="HK41" s="518">
        <v>0</v>
      </c>
      <c r="HL41" s="518">
        <v>0</v>
      </c>
      <c r="HM41" s="518">
        <v>0</v>
      </c>
      <c r="HN41" s="518">
        <v>0</v>
      </c>
      <c r="HO41" s="518">
        <v>0</v>
      </c>
      <c r="HP41" s="518">
        <v>0</v>
      </c>
      <c r="HQ41" s="518">
        <v>0</v>
      </c>
      <c r="HR41" s="518">
        <v>0</v>
      </c>
      <c r="HS41" s="518">
        <v>0</v>
      </c>
      <c r="HT41" s="518">
        <v>0</v>
      </c>
      <c r="HU41" s="518">
        <v>0</v>
      </c>
      <c r="HV41" s="518">
        <v>0</v>
      </c>
      <c r="HW41" s="518">
        <v>0</v>
      </c>
      <c r="HX41" s="518">
        <v>0</v>
      </c>
      <c r="HY41" s="518">
        <v>0</v>
      </c>
      <c r="HZ41" s="518">
        <v>0</v>
      </c>
      <c r="IA41" s="518">
        <v>0</v>
      </c>
      <c r="IB41" s="518">
        <v>0</v>
      </c>
      <c r="IC41" s="518">
        <v>0</v>
      </c>
      <c r="ID41" s="518">
        <v>0</v>
      </c>
      <c r="IE41" s="518">
        <v>0</v>
      </c>
      <c r="IF41" s="518">
        <v>0</v>
      </c>
      <c r="IG41" s="518">
        <v>0</v>
      </c>
      <c r="IH41" s="518">
        <v>0</v>
      </c>
      <c r="II41" s="518">
        <v>0</v>
      </c>
      <c r="IJ41" s="518">
        <v>0</v>
      </c>
      <c r="IK41" s="518">
        <v>0</v>
      </c>
    </row>
    <row r="42" spans="1:245" ht="16.5" hidden="1">
      <c r="A42" s="517" t="s">
        <v>721</v>
      </c>
      <c r="B42" s="517" t="s">
        <v>1101</v>
      </c>
      <c r="C42" s="517" t="s">
        <v>721</v>
      </c>
      <c r="D42" s="558"/>
      <c r="E42" s="517" t="s">
        <v>721</v>
      </c>
      <c r="F42" s="517" t="s">
        <v>25</v>
      </c>
      <c r="G42" s="558"/>
      <c r="H42" s="518">
        <v>54</v>
      </c>
      <c r="I42" s="558"/>
      <c r="J42" s="494" t="str">
        <f t="shared" si="1"/>
        <v>SWUC100154</v>
      </c>
      <c r="K42" s="518">
        <v>474</v>
      </c>
      <c r="M42" s="517" t="s">
        <v>721</v>
      </c>
      <c r="N42" s="517" t="s">
        <v>1101</v>
      </c>
      <c r="O42" s="517" t="s">
        <v>25</v>
      </c>
      <c r="P42" s="518">
        <v>54</v>
      </c>
      <c r="Q42" s="494" t="str">
        <f t="shared" si="2"/>
        <v>SWUC100154</v>
      </c>
      <c r="R42" s="518">
        <v>0</v>
      </c>
      <c r="S42" s="518">
        <v>39</v>
      </c>
      <c r="T42" s="518">
        <v>78</v>
      </c>
      <c r="U42" s="518">
        <v>117</v>
      </c>
      <c r="V42" s="518">
        <v>157</v>
      </c>
      <c r="W42" s="518">
        <v>210</v>
      </c>
      <c r="X42" s="518">
        <v>268</v>
      </c>
      <c r="Y42" s="518">
        <v>329</v>
      </c>
      <c r="Z42" s="518">
        <v>397</v>
      </c>
      <c r="AA42" s="518">
        <v>0</v>
      </c>
      <c r="AB42" s="518">
        <v>0</v>
      </c>
      <c r="AC42" s="518">
        <v>0</v>
      </c>
      <c r="AD42" s="518">
        <v>0</v>
      </c>
      <c r="AE42" s="518">
        <v>0</v>
      </c>
      <c r="AF42" s="518">
        <v>0</v>
      </c>
      <c r="AG42" s="518">
        <v>0</v>
      </c>
      <c r="AH42" s="518">
        <v>0</v>
      </c>
      <c r="AI42" s="518">
        <v>0</v>
      </c>
      <c r="AJ42" s="518">
        <v>0</v>
      </c>
      <c r="AK42" s="518">
        <v>0</v>
      </c>
      <c r="AL42" s="518">
        <v>0</v>
      </c>
      <c r="AM42" s="518">
        <v>0</v>
      </c>
      <c r="AN42" s="518">
        <v>0</v>
      </c>
      <c r="AO42" s="518">
        <v>0</v>
      </c>
      <c r="AP42" s="518">
        <v>0</v>
      </c>
      <c r="AQ42" s="518">
        <v>0</v>
      </c>
      <c r="AR42" s="518">
        <v>0</v>
      </c>
      <c r="AS42" s="518">
        <v>0</v>
      </c>
      <c r="AT42" s="518">
        <v>0</v>
      </c>
      <c r="AU42" s="518">
        <v>0</v>
      </c>
      <c r="AV42" s="518">
        <v>0</v>
      </c>
      <c r="AW42" s="518">
        <v>0</v>
      </c>
      <c r="AX42" s="518">
        <v>0</v>
      </c>
      <c r="AY42" s="518">
        <v>0</v>
      </c>
      <c r="AZ42" s="518">
        <v>0</v>
      </c>
      <c r="BA42" s="518">
        <v>0</v>
      </c>
      <c r="BB42" s="518">
        <v>0</v>
      </c>
      <c r="BC42" s="518">
        <v>0</v>
      </c>
      <c r="BD42" s="518">
        <v>0</v>
      </c>
      <c r="BE42" s="518">
        <v>0</v>
      </c>
      <c r="BF42" s="518">
        <v>0</v>
      </c>
      <c r="BG42" s="518">
        <v>0</v>
      </c>
      <c r="BH42" s="518">
        <v>0</v>
      </c>
      <c r="BI42" s="518">
        <v>0</v>
      </c>
      <c r="BJ42" s="518">
        <v>0</v>
      </c>
      <c r="BK42" s="518">
        <v>0</v>
      </c>
      <c r="BL42" s="518">
        <v>0</v>
      </c>
      <c r="BM42" s="518">
        <v>0</v>
      </c>
      <c r="BN42" s="518">
        <v>0</v>
      </c>
      <c r="BO42" s="518">
        <v>0</v>
      </c>
      <c r="BP42" s="518">
        <v>0</v>
      </c>
      <c r="BQ42" s="518">
        <v>0</v>
      </c>
      <c r="BR42" s="518">
        <v>0</v>
      </c>
      <c r="BS42" s="518">
        <v>0</v>
      </c>
      <c r="BT42" s="518">
        <v>0</v>
      </c>
      <c r="BU42" s="518">
        <v>0</v>
      </c>
      <c r="BV42" s="518">
        <v>0</v>
      </c>
      <c r="BW42" s="518">
        <v>0</v>
      </c>
      <c r="BX42" s="518">
        <v>0</v>
      </c>
      <c r="BY42" s="518">
        <v>0</v>
      </c>
      <c r="BZ42" s="518">
        <v>0</v>
      </c>
      <c r="CA42" s="518">
        <v>0</v>
      </c>
      <c r="CB42" s="518">
        <v>0</v>
      </c>
      <c r="CC42" s="518">
        <v>0</v>
      </c>
      <c r="CD42" s="518">
        <v>0</v>
      </c>
      <c r="CE42" s="518">
        <v>0</v>
      </c>
      <c r="CF42" s="518">
        <v>0</v>
      </c>
      <c r="CG42" s="518">
        <v>0</v>
      </c>
      <c r="CH42" s="518">
        <v>0</v>
      </c>
      <c r="CI42" s="518">
        <v>0</v>
      </c>
      <c r="CJ42" s="518">
        <v>0</v>
      </c>
      <c r="CK42" s="518">
        <v>0</v>
      </c>
      <c r="CL42" s="518">
        <v>0</v>
      </c>
      <c r="CM42" s="518">
        <v>0</v>
      </c>
      <c r="CN42" s="518">
        <v>0</v>
      </c>
      <c r="CO42" s="518">
        <v>0</v>
      </c>
      <c r="CP42" s="518">
        <v>0</v>
      </c>
      <c r="CQ42" s="518">
        <v>0</v>
      </c>
      <c r="CR42" s="518">
        <v>0</v>
      </c>
      <c r="CS42" s="518">
        <v>0</v>
      </c>
      <c r="CT42" s="518">
        <v>0</v>
      </c>
      <c r="CU42" s="518">
        <v>0</v>
      </c>
      <c r="CV42" s="518">
        <v>0</v>
      </c>
      <c r="CW42" s="518">
        <v>0</v>
      </c>
      <c r="CX42" s="518">
        <v>0</v>
      </c>
      <c r="CY42" s="518">
        <v>0</v>
      </c>
      <c r="CZ42" s="518">
        <v>0</v>
      </c>
      <c r="DA42" s="518">
        <v>0</v>
      </c>
      <c r="DB42" s="518">
        <v>0</v>
      </c>
      <c r="DC42" s="518">
        <v>0</v>
      </c>
      <c r="DD42" s="518">
        <v>0</v>
      </c>
      <c r="DE42" s="518">
        <v>0</v>
      </c>
      <c r="DF42" s="518">
        <v>0</v>
      </c>
      <c r="DG42" s="518">
        <v>0</v>
      </c>
      <c r="DH42" s="518">
        <v>0</v>
      </c>
      <c r="DI42" s="518">
        <v>0</v>
      </c>
      <c r="DJ42" s="518">
        <v>0</v>
      </c>
      <c r="DK42" s="518">
        <v>0</v>
      </c>
      <c r="DL42" s="518">
        <v>0</v>
      </c>
      <c r="DM42" s="518">
        <v>0</v>
      </c>
      <c r="DN42" s="518">
        <v>0</v>
      </c>
      <c r="DO42" s="518">
        <v>0</v>
      </c>
      <c r="DP42" s="518">
        <v>0</v>
      </c>
      <c r="DQ42" s="518">
        <v>0</v>
      </c>
      <c r="DR42" s="518">
        <v>0</v>
      </c>
      <c r="DS42" s="518">
        <v>0</v>
      </c>
      <c r="DT42" s="518">
        <v>0</v>
      </c>
      <c r="DU42" s="518">
        <v>0</v>
      </c>
      <c r="DV42" s="518">
        <v>0</v>
      </c>
      <c r="DW42" s="518">
        <v>0</v>
      </c>
      <c r="DX42" s="518">
        <v>0</v>
      </c>
      <c r="DY42" s="477"/>
      <c r="DZ42" s="517" t="s">
        <v>721</v>
      </c>
      <c r="EA42" s="517" t="s">
        <v>1101</v>
      </c>
      <c r="EB42" s="517" t="s">
        <v>25</v>
      </c>
      <c r="EC42" s="518">
        <v>54</v>
      </c>
      <c r="ED42" s="494" t="str">
        <f t="shared" si="0"/>
        <v>SWUC100154</v>
      </c>
      <c r="EE42" s="518">
        <v>10000</v>
      </c>
      <c r="EF42" s="518">
        <v>10000</v>
      </c>
      <c r="EG42" s="518">
        <v>10000</v>
      </c>
      <c r="EH42" s="518">
        <v>10000</v>
      </c>
      <c r="EI42" s="518">
        <v>10000</v>
      </c>
      <c r="EJ42" s="518">
        <v>10000</v>
      </c>
      <c r="EK42" s="518">
        <v>10000</v>
      </c>
      <c r="EL42" s="518">
        <v>10000</v>
      </c>
      <c r="EM42" s="518">
        <v>10000</v>
      </c>
      <c r="EN42" s="518">
        <v>10000</v>
      </c>
      <c r="EO42" s="518">
        <v>0</v>
      </c>
      <c r="EP42" s="518">
        <v>0</v>
      </c>
      <c r="EQ42" s="518">
        <v>0</v>
      </c>
      <c r="ER42" s="518">
        <v>0</v>
      </c>
      <c r="ES42" s="518">
        <v>0</v>
      </c>
      <c r="ET42" s="518">
        <v>0</v>
      </c>
      <c r="EU42" s="518">
        <v>0</v>
      </c>
      <c r="EV42" s="518">
        <v>0</v>
      </c>
      <c r="EW42" s="518">
        <v>0</v>
      </c>
      <c r="EX42" s="518">
        <v>0</v>
      </c>
      <c r="EY42" s="518">
        <v>0</v>
      </c>
      <c r="EZ42" s="518">
        <v>0</v>
      </c>
      <c r="FA42" s="518">
        <v>0</v>
      </c>
      <c r="FB42" s="518">
        <v>0</v>
      </c>
      <c r="FC42" s="518">
        <v>0</v>
      </c>
      <c r="FD42" s="518">
        <v>0</v>
      </c>
      <c r="FE42" s="518">
        <v>0</v>
      </c>
      <c r="FF42" s="518">
        <v>0</v>
      </c>
      <c r="FG42" s="518">
        <v>0</v>
      </c>
      <c r="FH42" s="518">
        <v>0</v>
      </c>
      <c r="FI42" s="518">
        <v>0</v>
      </c>
      <c r="FJ42" s="518">
        <v>0</v>
      </c>
      <c r="FK42" s="518">
        <v>0</v>
      </c>
      <c r="FL42" s="518">
        <v>0</v>
      </c>
      <c r="FM42" s="518">
        <v>0</v>
      </c>
      <c r="FN42" s="518">
        <v>0</v>
      </c>
      <c r="FO42" s="518">
        <v>0</v>
      </c>
      <c r="FP42" s="518">
        <v>0</v>
      </c>
      <c r="FQ42" s="518">
        <v>0</v>
      </c>
      <c r="FR42" s="518">
        <v>0</v>
      </c>
      <c r="FS42" s="518">
        <v>0</v>
      </c>
      <c r="FT42" s="518">
        <v>0</v>
      </c>
      <c r="FU42" s="518">
        <v>0</v>
      </c>
      <c r="FV42" s="518">
        <v>0</v>
      </c>
      <c r="FW42" s="518">
        <v>0</v>
      </c>
      <c r="FX42" s="518">
        <v>0</v>
      </c>
      <c r="FY42" s="518">
        <v>0</v>
      </c>
      <c r="FZ42" s="518">
        <v>0</v>
      </c>
      <c r="GA42" s="518">
        <v>0</v>
      </c>
      <c r="GB42" s="518">
        <v>0</v>
      </c>
      <c r="GC42" s="518">
        <v>0</v>
      </c>
      <c r="GD42" s="518">
        <v>0</v>
      </c>
      <c r="GE42" s="518">
        <v>0</v>
      </c>
      <c r="GF42" s="518">
        <v>0</v>
      </c>
      <c r="GG42" s="518">
        <v>0</v>
      </c>
      <c r="GH42" s="518">
        <v>0</v>
      </c>
      <c r="GI42" s="518">
        <v>0</v>
      </c>
      <c r="GJ42" s="518">
        <v>0</v>
      </c>
      <c r="GK42" s="518">
        <v>0</v>
      </c>
      <c r="GL42" s="518">
        <v>0</v>
      </c>
      <c r="GM42" s="518">
        <v>0</v>
      </c>
      <c r="GN42" s="518">
        <v>0</v>
      </c>
      <c r="GO42" s="518">
        <v>0</v>
      </c>
      <c r="GP42" s="518">
        <v>0</v>
      </c>
      <c r="GQ42" s="518">
        <v>0</v>
      </c>
      <c r="GR42" s="518">
        <v>0</v>
      </c>
      <c r="GS42" s="518">
        <v>0</v>
      </c>
      <c r="GT42" s="518">
        <v>0</v>
      </c>
      <c r="GU42" s="518">
        <v>0</v>
      </c>
      <c r="GV42" s="518">
        <v>0</v>
      </c>
      <c r="GW42" s="518">
        <v>0</v>
      </c>
      <c r="GX42" s="518">
        <v>0</v>
      </c>
      <c r="GY42" s="518">
        <v>0</v>
      </c>
      <c r="GZ42" s="518">
        <v>0</v>
      </c>
      <c r="HA42" s="518">
        <v>0</v>
      </c>
      <c r="HB42" s="518">
        <v>0</v>
      </c>
      <c r="HC42" s="518">
        <v>0</v>
      </c>
      <c r="HD42" s="518">
        <v>0</v>
      </c>
      <c r="HE42" s="518">
        <v>0</v>
      </c>
      <c r="HF42" s="518">
        <v>0</v>
      </c>
      <c r="HG42" s="518">
        <v>0</v>
      </c>
      <c r="HH42" s="518">
        <v>0</v>
      </c>
      <c r="HI42" s="518">
        <v>0</v>
      </c>
      <c r="HJ42" s="518">
        <v>0</v>
      </c>
      <c r="HK42" s="518">
        <v>0</v>
      </c>
      <c r="HL42" s="518">
        <v>0</v>
      </c>
      <c r="HM42" s="518">
        <v>0</v>
      </c>
      <c r="HN42" s="518">
        <v>0</v>
      </c>
      <c r="HO42" s="518">
        <v>0</v>
      </c>
      <c r="HP42" s="518">
        <v>0</v>
      </c>
      <c r="HQ42" s="518">
        <v>0</v>
      </c>
      <c r="HR42" s="518">
        <v>0</v>
      </c>
      <c r="HS42" s="518">
        <v>0</v>
      </c>
      <c r="HT42" s="518">
        <v>0</v>
      </c>
      <c r="HU42" s="518">
        <v>0</v>
      </c>
      <c r="HV42" s="518">
        <v>0</v>
      </c>
      <c r="HW42" s="518">
        <v>0</v>
      </c>
      <c r="HX42" s="518">
        <v>0</v>
      </c>
      <c r="HY42" s="518">
        <v>0</v>
      </c>
      <c r="HZ42" s="518">
        <v>0</v>
      </c>
      <c r="IA42" s="518">
        <v>0</v>
      </c>
      <c r="IB42" s="518">
        <v>0</v>
      </c>
      <c r="IC42" s="518">
        <v>0</v>
      </c>
      <c r="ID42" s="518">
        <v>0</v>
      </c>
      <c r="IE42" s="518">
        <v>0</v>
      </c>
      <c r="IF42" s="518">
        <v>0</v>
      </c>
      <c r="IG42" s="518">
        <v>0</v>
      </c>
      <c r="IH42" s="518">
        <v>0</v>
      </c>
      <c r="II42" s="518">
        <v>0</v>
      </c>
      <c r="IJ42" s="518">
        <v>0</v>
      </c>
      <c r="IK42" s="518">
        <v>0</v>
      </c>
    </row>
    <row r="43" spans="1:245" ht="16.5" hidden="1">
      <c r="A43" s="517" t="s">
        <v>721</v>
      </c>
      <c r="B43" s="517" t="s">
        <v>1101</v>
      </c>
      <c r="C43" s="517" t="s">
        <v>721</v>
      </c>
      <c r="D43" s="558"/>
      <c r="E43" s="517" t="s">
        <v>721</v>
      </c>
      <c r="F43" s="517" t="s">
        <v>25</v>
      </c>
      <c r="G43" s="558"/>
      <c r="H43" s="518">
        <v>55</v>
      </c>
      <c r="I43" s="558"/>
      <c r="J43" s="494" t="str">
        <f t="shared" si="1"/>
        <v>SWUC100155</v>
      </c>
      <c r="K43" s="518">
        <v>505</v>
      </c>
      <c r="M43" s="517" t="s">
        <v>721</v>
      </c>
      <c r="N43" s="517" t="s">
        <v>1101</v>
      </c>
      <c r="O43" s="517" t="s">
        <v>25</v>
      </c>
      <c r="P43" s="518">
        <v>55</v>
      </c>
      <c r="Q43" s="494" t="str">
        <f t="shared" si="2"/>
        <v>SWUC100155</v>
      </c>
      <c r="R43" s="518">
        <v>0</v>
      </c>
      <c r="S43" s="518">
        <v>41</v>
      </c>
      <c r="T43" s="518">
        <v>83</v>
      </c>
      <c r="U43" s="518">
        <v>125</v>
      </c>
      <c r="V43" s="518">
        <v>168</v>
      </c>
      <c r="W43" s="518">
        <v>223</v>
      </c>
      <c r="X43" s="518">
        <v>284</v>
      </c>
      <c r="Y43" s="518">
        <v>350</v>
      </c>
      <c r="Z43" s="518">
        <v>423</v>
      </c>
      <c r="AA43" s="518">
        <v>0</v>
      </c>
      <c r="AB43" s="518">
        <v>0</v>
      </c>
      <c r="AC43" s="518">
        <v>0</v>
      </c>
      <c r="AD43" s="518">
        <v>0</v>
      </c>
      <c r="AE43" s="518">
        <v>0</v>
      </c>
      <c r="AF43" s="518">
        <v>0</v>
      </c>
      <c r="AG43" s="518">
        <v>0</v>
      </c>
      <c r="AH43" s="518">
        <v>0</v>
      </c>
      <c r="AI43" s="518">
        <v>0</v>
      </c>
      <c r="AJ43" s="518">
        <v>0</v>
      </c>
      <c r="AK43" s="518">
        <v>0</v>
      </c>
      <c r="AL43" s="518">
        <v>0</v>
      </c>
      <c r="AM43" s="518">
        <v>0</v>
      </c>
      <c r="AN43" s="518">
        <v>0</v>
      </c>
      <c r="AO43" s="518">
        <v>0</v>
      </c>
      <c r="AP43" s="518">
        <v>0</v>
      </c>
      <c r="AQ43" s="518">
        <v>0</v>
      </c>
      <c r="AR43" s="518">
        <v>0</v>
      </c>
      <c r="AS43" s="518">
        <v>0</v>
      </c>
      <c r="AT43" s="518">
        <v>0</v>
      </c>
      <c r="AU43" s="518">
        <v>0</v>
      </c>
      <c r="AV43" s="518">
        <v>0</v>
      </c>
      <c r="AW43" s="518">
        <v>0</v>
      </c>
      <c r="AX43" s="518">
        <v>0</v>
      </c>
      <c r="AY43" s="518">
        <v>0</v>
      </c>
      <c r="AZ43" s="518">
        <v>0</v>
      </c>
      <c r="BA43" s="518">
        <v>0</v>
      </c>
      <c r="BB43" s="518">
        <v>0</v>
      </c>
      <c r="BC43" s="518">
        <v>0</v>
      </c>
      <c r="BD43" s="518">
        <v>0</v>
      </c>
      <c r="BE43" s="518">
        <v>0</v>
      </c>
      <c r="BF43" s="518">
        <v>0</v>
      </c>
      <c r="BG43" s="518">
        <v>0</v>
      </c>
      <c r="BH43" s="518">
        <v>0</v>
      </c>
      <c r="BI43" s="518">
        <v>0</v>
      </c>
      <c r="BJ43" s="518">
        <v>0</v>
      </c>
      <c r="BK43" s="518">
        <v>0</v>
      </c>
      <c r="BL43" s="518">
        <v>0</v>
      </c>
      <c r="BM43" s="518">
        <v>0</v>
      </c>
      <c r="BN43" s="518">
        <v>0</v>
      </c>
      <c r="BO43" s="518">
        <v>0</v>
      </c>
      <c r="BP43" s="518">
        <v>0</v>
      </c>
      <c r="BQ43" s="518">
        <v>0</v>
      </c>
      <c r="BR43" s="518">
        <v>0</v>
      </c>
      <c r="BS43" s="518">
        <v>0</v>
      </c>
      <c r="BT43" s="518">
        <v>0</v>
      </c>
      <c r="BU43" s="518">
        <v>0</v>
      </c>
      <c r="BV43" s="518">
        <v>0</v>
      </c>
      <c r="BW43" s="518">
        <v>0</v>
      </c>
      <c r="BX43" s="518">
        <v>0</v>
      </c>
      <c r="BY43" s="518">
        <v>0</v>
      </c>
      <c r="BZ43" s="518">
        <v>0</v>
      </c>
      <c r="CA43" s="518">
        <v>0</v>
      </c>
      <c r="CB43" s="518">
        <v>0</v>
      </c>
      <c r="CC43" s="518">
        <v>0</v>
      </c>
      <c r="CD43" s="518">
        <v>0</v>
      </c>
      <c r="CE43" s="518">
        <v>0</v>
      </c>
      <c r="CF43" s="518">
        <v>0</v>
      </c>
      <c r="CG43" s="518">
        <v>0</v>
      </c>
      <c r="CH43" s="518">
        <v>0</v>
      </c>
      <c r="CI43" s="518">
        <v>0</v>
      </c>
      <c r="CJ43" s="518">
        <v>0</v>
      </c>
      <c r="CK43" s="518">
        <v>0</v>
      </c>
      <c r="CL43" s="518">
        <v>0</v>
      </c>
      <c r="CM43" s="518">
        <v>0</v>
      </c>
      <c r="CN43" s="518">
        <v>0</v>
      </c>
      <c r="CO43" s="518">
        <v>0</v>
      </c>
      <c r="CP43" s="518">
        <v>0</v>
      </c>
      <c r="CQ43" s="518">
        <v>0</v>
      </c>
      <c r="CR43" s="518">
        <v>0</v>
      </c>
      <c r="CS43" s="518">
        <v>0</v>
      </c>
      <c r="CT43" s="518">
        <v>0</v>
      </c>
      <c r="CU43" s="518">
        <v>0</v>
      </c>
      <c r="CV43" s="518">
        <v>0</v>
      </c>
      <c r="CW43" s="518">
        <v>0</v>
      </c>
      <c r="CX43" s="518">
        <v>0</v>
      </c>
      <c r="CY43" s="518">
        <v>0</v>
      </c>
      <c r="CZ43" s="518">
        <v>0</v>
      </c>
      <c r="DA43" s="518">
        <v>0</v>
      </c>
      <c r="DB43" s="518">
        <v>0</v>
      </c>
      <c r="DC43" s="518">
        <v>0</v>
      </c>
      <c r="DD43" s="518">
        <v>0</v>
      </c>
      <c r="DE43" s="518">
        <v>0</v>
      </c>
      <c r="DF43" s="518">
        <v>0</v>
      </c>
      <c r="DG43" s="518">
        <v>0</v>
      </c>
      <c r="DH43" s="518">
        <v>0</v>
      </c>
      <c r="DI43" s="518">
        <v>0</v>
      </c>
      <c r="DJ43" s="518">
        <v>0</v>
      </c>
      <c r="DK43" s="518">
        <v>0</v>
      </c>
      <c r="DL43" s="518">
        <v>0</v>
      </c>
      <c r="DM43" s="518">
        <v>0</v>
      </c>
      <c r="DN43" s="518">
        <v>0</v>
      </c>
      <c r="DO43" s="518">
        <v>0</v>
      </c>
      <c r="DP43" s="518">
        <v>0</v>
      </c>
      <c r="DQ43" s="518">
        <v>0</v>
      </c>
      <c r="DR43" s="518">
        <v>0</v>
      </c>
      <c r="DS43" s="518">
        <v>0</v>
      </c>
      <c r="DT43" s="518">
        <v>0</v>
      </c>
      <c r="DU43" s="518">
        <v>0</v>
      </c>
      <c r="DV43" s="518">
        <v>0</v>
      </c>
      <c r="DW43" s="518">
        <v>0</v>
      </c>
      <c r="DX43" s="518">
        <v>0</v>
      </c>
      <c r="DY43" s="477"/>
      <c r="DZ43" s="517" t="s">
        <v>721</v>
      </c>
      <c r="EA43" s="517" t="s">
        <v>1101</v>
      </c>
      <c r="EB43" s="517" t="s">
        <v>25</v>
      </c>
      <c r="EC43" s="518">
        <v>55</v>
      </c>
      <c r="ED43" s="494" t="str">
        <f t="shared" si="0"/>
        <v>SWUC100155</v>
      </c>
      <c r="EE43" s="518">
        <v>10000</v>
      </c>
      <c r="EF43" s="518">
        <v>10000</v>
      </c>
      <c r="EG43" s="518">
        <v>10000</v>
      </c>
      <c r="EH43" s="518">
        <v>10000</v>
      </c>
      <c r="EI43" s="518">
        <v>10000</v>
      </c>
      <c r="EJ43" s="518">
        <v>10000</v>
      </c>
      <c r="EK43" s="518">
        <v>10000</v>
      </c>
      <c r="EL43" s="518">
        <v>10000</v>
      </c>
      <c r="EM43" s="518">
        <v>10000</v>
      </c>
      <c r="EN43" s="518">
        <v>10000</v>
      </c>
      <c r="EO43" s="518">
        <v>0</v>
      </c>
      <c r="EP43" s="518">
        <v>0</v>
      </c>
      <c r="EQ43" s="518">
        <v>0</v>
      </c>
      <c r="ER43" s="518">
        <v>0</v>
      </c>
      <c r="ES43" s="518">
        <v>0</v>
      </c>
      <c r="ET43" s="518">
        <v>0</v>
      </c>
      <c r="EU43" s="518">
        <v>0</v>
      </c>
      <c r="EV43" s="518">
        <v>0</v>
      </c>
      <c r="EW43" s="518">
        <v>0</v>
      </c>
      <c r="EX43" s="518">
        <v>0</v>
      </c>
      <c r="EY43" s="518">
        <v>0</v>
      </c>
      <c r="EZ43" s="518">
        <v>0</v>
      </c>
      <c r="FA43" s="518">
        <v>0</v>
      </c>
      <c r="FB43" s="518">
        <v>0</v>
      </c>
      <c r="FC43" s="518">
        <v>0</v>
      </c>
      <c r="FD43" s="518">
        <v>0</v>
      </c>
      <c r="FE43" s="518">
        <v>0</v>
      </c>
      <c r="FF43" s="518">
        <v>0</v>
      </c>
      <c r="FG43" s="518">
        <v>0</v>
      </c>
      <c r="FH43" s="518">
        <v>0</v>
      </c>
      <c r="FI43" s="518">
        <v>0</v>
      </c>
      <c r="FJ43" s="518">
        <v>0</v>
      </c>
      <c r="FK43" s="518">
        <v>0</v>
      </c>
      <c r="FL43" s="518">
        <v>0</v>
      </c>
      <c r="FM43" s="518">
        <v>0</v>
      </c>
      <c r="FN43" s="518">
        <v>0</v>
      </c>
      <c r="FO43" s="518">
        <v>0</v>
      </c>
      <c r="FP43" s="518">
        <v>0</v>
      </c>
      <c r="FQ43" s="518">
        <v>0</v>
      </c>
      <c r="FR43" s="518">
        <v>0</v>
      </c>
      <c r="FS43" s="518">
        <v>0</v>
      </c>
      <c r="FT43" s="518">
        <v>0</v>
      </c>
      <c r="FU43" s="518">
        <v>0</v>
      </c>
      <c r="FV43" s="518">
        <v>0</v>
      </c>
      <c r="FW43" s="518">
        <v>0</v>
      </c>
      <c r="FX43" s="518">
        <v>0</v>
      </c>
      <c r="FY43" s="518">
        <v>0</v>
      </c>
      <c r="FZ43" s="518">
        <v>0</v>
      </c>
      <c r="GA43" s="518">
        <v>0</v>
      </c>
      <c r="GB43" s="518">
        <v>0</v>
      </c>
      <c r="GC43" s="518">
        <v>0</v>
      </c>
      <c r="GD43" s="518">
        <v>0</v>
      </c>
      <c r="GE43" s="518">
        <v>0</v>
      </c>
      <c r="GF43" s="518">
        <v>0</v>
      </c>
      <c r="GG43" s="518">
        <v>0</v>
      </c>
      <c r="GH43" s="518">
        <v>0</v>
      </c>
      <c r="GI43" s="518">
        <v>0</v>
      </c>
      <c r="GJ43" s="518">
        <v>0</v>
      </c>
      <c r="GK43" s="518">
        <v>0</v>
      </c>
      <c r="GL43" s="518">
        <v>0</v>
      </c>
      <c r="GM43" s="518">
        <v>0</v>
      </c>
      <c r="GN43" s="518">
        <v>0</v>
      </c>
      <c r="GO43" s="518">
        <v>0</v>
      </c>
      <c r="GP43" s="518">
        <v>0</v>
      </c>
      <c r="GQ43" s="518">
        <v>0</v>
      </c>
      <c r="GR43" s="518">
        <v>0</v>
      </c>
      <c r="GS43" s="518">
        <v>0</v>
      </c>
      <c r="GT43" s="518">
        <v>0</v>
      </c>
      <c r="GU43" s="518">
        <v>0</v>
      </c>
      <c r="GV43" s="518">
        <v>0</v>
      </c>
      <c r="GW43" s="518">
        <v>0</v>
      </c>
      <c r="GX43" s="518">
        <v>0</v>
      </c>
      <c r="GY43" s="518">
        <v>0</v>
      </c>
      <c r="GZ43" s="518">
        <v>0</v>
      </c>
      <c r="HA43" s="518">
        <v>0</v>
      </c>
      <c r="HB43" s="518">
        <v>0</v>
      </c>
      <c r="HC43" s="518">
        <v>0</v>
      </c>
      <c r="HD43" s="518">
        <v>0</v>
      </c>
      <c r="HE43" s="518">
        <v>0</v>
      </c>
      <c r="HF43" s="518">
        <v>0</v>
      </c>
      <c r="HG43" s="518">
        <v>0</v>
      </c>
      <c r="HH43" s="518">
        <v>0</v>
      </c>
      <c r="HI43" s="518">
        <v>0</v>
      </c>
      <c r="HJ43" s="518">
        <v>0</v>
      </c>
      <c r="HK43" s="518">
        <v>0</v>
      </c>
      <c r="HL43" s="518">
        <v>0</v>
      </c>
      <c r="HM43" s="518">
        <v>0</v>
      </c>
      <c r="HN43" s="518">
        <v>0</v>
      </c>
      <c r="HO43" s="518">
        <v>0</v>
      </c>
      <c r="HP43" s="518">
        <v>0</v>
      </c>
      <c r="HQ43" s="518">
        <v>0</v>
      </c>
      <c r="HR43" s="518">
        <v>0</v>
      </c>
      <c r="HS43" s="518">
        <v>0</v>
      </c>
      <c r="HT43" s="518">
        <v>0</v>
      </c>
      <c r="HU43" s="518">
        <v>0</v>
      </c>
      <c r="HV43" s="518">
        <v>0</v>
      </c>
      <c r="HW43" s="518">
        <v>0</v>
      </c>
      <c r="HX43" s="518">
        <v>0</v>
      </c>
      <c r="HY43" s="518">
        <v>0</v>
      </c>
      <c r="HZ43" s="518">
        <v>0</v>
      </c>
      <c r="IA43" s="518">
        <v>0</v>
      </c>
      <c r="IB43" s="518">
        <v>0</v>
      </c>
      <c r="IC43" s="518">
        <v>0</v>
      </c>
      <c r="ID43" s="518">
        <v>0</v>
      </c>
      <c r="IE43" s="518">
        <v>0</v>
      </c>
      <c r="IF43" s="518">
        <v>0</v>
      </c>
      <c r="IG43" s="518">
        <v>0</v>
      </c>
      <c r="IH43" s="518">
        <v>0</v>
      </c>
      <c r="II43" s="518">
        <v>0</v>
      </c>
      <c r="IJ43" s="518">
        <v>0</v>
      </c>
      <c r="IK43" s="518">
        <v>0</v>
      </c>
    </row>
    <row r="44" spans="1:245" ht="16.5" hidden="1">
      <c r="A44" s="517" t="s">
        <v>721</v>
      </c>
      <c r="B44" s="517" t="s">
        <v>1101</v>
      </c>
      <c r="C44" s="517" t="s">
        <v>721</v>
      </c>
      <c r="D44" s="558"/>
      <c r="E44" s="517" t="s">
        <v>721</v>
      </c>
      <c r="F44" s="517" t="s">
        <v>25</v>
      </c>
      <c r="G44" s="558"/>
      <c r="H44" s="518">
        <v>56</v>
      </c>
      <c r="I44" s="558"/>
      <c r="J44" s="494" t="str">
        <f t="shared" si="1"/>
        <v>SWUC100156</v>
      </c>
      <c r="K44" s="518">
        <v>536</v>
      </c>
      <c r="M44" s="517" t="s">
        <v>721</v>
      </c>
      <c r="N44" s="517" t="s">
        <v>1101</v>
      </c>
      <c r="O44" s="517" t="s">
        <v>25</v>
      </c>
      <c r="P44" s="518">
        <v>56</v>
      </c>
      <c r="Q44" s="494" t="str">
        <f t="shared" si="2"/>
        <v>SWUC100156</v>
      </c>
      <c r="R44" s="518">
        <v>0</v>
      </c>
      <c r="S44" s="518">
        <v>44</v>
      </c>
      <c r="T44" s="518">
        <v>89</v>
      </c>
      <c r="U44" s="518">
        <v>134</v>
      </c>
      <c r="V44" s="518">
        <v>177</v>
      </c>
      <c r="W44" s="518">
        <v>235</v>
      </c>
      <c r="X44" s="518">
        <v>299</v>
      </c>
      <c r="Y44" s="518">
        <v>370</v>
      </c>
      <c r="Z44" s="518">
        <v>447</v>
      </c>
      <c r="AA44" s="518">
        <v>0</v>
      </c>
      <c r="AB44" s="518">
        <v>0</v>
      </c>
      <c r="AC44" s="518">
        <v>0</v>
      </c>
      <c r="AD44" s="518">
        <v>0</v>
      </c>
      <c r="AE44" s="518">
        <v>0</v>
      </c>
      <c r="AF44" s="518">
        <v>0</v>
      </c>
      <c r="AG44" s="518">
        <v>0</v>
      </c>
      <c r="AH44" s="518">
        <v>0</v>
      </c>
      <c r="AI44" s="518">
        <v>0</v>
      </c>
      <c r="AJ44" s="518">
        <v>0</v>
      </c>
      <c r="AK44" s="518">
        <v>0</v>
      </c>
      <c r="AL44" s="518">
        <v>0</v>
      </c>
      <c r="AM44" s="518">
        <v>0</v>
      </c>
      <c r="AN44" s="518">
        <v>0</v>
      </c>
      <c r="AO44" s="518">
        <v>0</v>
      </c>
      <c r="AP44" s="518">
        <v>0</v>
      </c>
      <c r="AQ44" s="518">
        <v>0</v>
      </c>
      <c r="AR44" s="518">
        <v>0</v>
      </c>
      <c r="AS44" s="518">
        <v>0</v>
      </c>
      <c r="AT44" s="518">
        <v>0</v>
      </c>
      <c r="AU44" s="518">
        <v>0</v>
      </c>
      <c r="AV44" s="518">
        <v>0</v>
      </c>
      <c r="AW44" s="518">
        <v>0</v>
      </c>
      <c r="AX44" s="518">
        <v>0</v>
      </c>
      <c r="AY44" s="518">
        <v>0</v>
      </c>
      <c r="AZ44" s="518">
        <v>0</v>
      </c>
      <c r="BA44" s="518">
        <v>0</v>
      </c>
      <c r="BB44" s="518">
        <v>0</v>
      </c>
      <c r="BC44" s="518">
        <v>0</v>
      </c>
      <c r="BD44" s="518">
        <v>0</v>
      </c>
      <c r="BE44" s="518">
        <v>0</v>
      </c>
      <c r="BF44" s="518">
        <v>0</v>
      </c>
      <c r="BG44" s="518">
        <v>0</v>
      </c>
      <c r="BH44" s="518">
        <v>0</v>
      </c>
      <c r="BI44" s="518">
        <v>0</v>
      </c>
      <c r="BJ44" s="518">
        <v>0</v>
      </c>
      <c r="BK44" s="518">
        <v>0</v>
      </c>
      <c r="BL44" s="518">
        <v>0</v>
      </c>
      <c r="BM44" s="518">
        <v>0</v>
      </c>
      <c r="BN44" s="518">
        <v>0</v>
      </c>
      <c r="BO44" s="518">
        <v>0</v>
      </c>
      <c r="BP44" s="518">
        <v>0</v>
      </c>
      <c r="BQ44" s="518">
        <v>0</v>
      </c>
      <c r="BR44" s="518">
        <v>0</v>
      </c>
      <c r="BS44" s="518">
        <v>0</v>
      </c>
      <c r="BT44" s="518">
        <v>0</v>
      </c>
      <c r="BU44" s="518">
        <v>0</v>
      </c>
      <c r="BV44" s="518">
        <v>0</v>
      </c>
      <c r="BW44" s="518">
        <v>0</v>
      </c>
      <c r="BX44" s="518">
        <v>0</v>
      </c>
      <c r="BY44" s="518">
        <v>0</v>
      </c>
      <c r="BZ44" s="518">
        <v>0</v>
      </c>
      <c r="CA44" s="518">
        <v>0</v>
      </c>
      <c r="CB44" s="518">
        <v>0</v>
      </c>
      <c r="CC44" s="518">
        <v>0</v>
      </c>
      <c r="CD44" s="518">
        <v>0</v>
      </c>
      <c r="CE44" s="518">
        <v>0</v>
      </c>
      <c r="CF44" s="518">
        <v>0</v>
      </c>
      <c r="CG44" s="518">
        <v>0</v>
      </c>
      <c r="CH44" s="518">
        <v>0</v>
      </c>
      <c r="CI44" s="518">
        <v>0</v>
      </c>
      <c r="CJ44" s="518">
        <v>0</v>
      </c>
      <c r="CK44" s="518">
        <v>0</v>
      </c>
      <c r="CL44" s="518">
        <v>0</v>
      </c>
      <c r="CM44" s="518">
        <v>0</v>
      </c>
      <c r="CN44" s="518">
        <v>0</v>
      </c>
      <c r="CO44" s="518">
        <v>0</v>
      </c>
      <c r="CP44" s="518">
        <v>0</v>
      </c>
      <c r="CQ44" s="518">
        <v>0</v>
      </c>
      <c r="CR44" s="518">
        <v>0</v>
      </c>
      <c r="CS44" s="518">
        <v>0</v>
      </c>
      <c r="CT44" s="518">
        <v>0</v>
      </c>
      <c r="CU44" s="518">
        <v>0</v>
      </c>
      <c r="CV44" s="518">
        <v>0</v>
      </c>
      <c r="CW44" s="518">
        <v>0</v>
      </c>
      <c r="CX44" s="518">
        <v>0</v>
      </c>
      <c r="CY44" s="518">
        <v>0</v>
      </c>
      <c r="CZ44" s="518">
        <v>0</v>
      </c>
      <c r="DA44" s="518">
        <v>0</v>
      </c>
      <c r="DB44" s="518">
        <v>0</v>
      </c>
      <c r="DC44" s="518">
        <v>0</v>
      </c>
      <c r="DD44" s="518">
        <v>0</v>
      </c>
      <c r="DE44" s="518">
        <v>0</v>
      </c>
      <c r="DF44" s="518">
        <v>0</v>
      </c>
      <c r="DG44" s="518">
        <v>0</v>
      </c>
      <c r="DH44" s="518">
        <v>0</v>
      </c>
      <c r="DI44" s="518">
        <v>0</v>
      </c>
      <c r="DJ44" s="518">
        <v>0</v>
      </c>
      <c r="DK44" s="518">
        <v>0</v>
      </c>
      <c r="DL44" s="518">
        <v>0</v>
      </c>
      <c r="DM44" s="518">
        <v>0</v>
      </c>
      <c r="DN44" s="518">
        <v>0</v>
      </c>
      <c r="DO44" s="518">
        <v>0</v>
      </c>
      <c r="DP44" s="518">
        <v>0</v>
      </c>
      <c r="DQ44" s="518">
        <v>0</v>
      </c>
      <c r="DR44" s="518">
        <v>0</v>
      </c>
      <c r="DS44" s="518">
        <v>0</v>
      </c>
      <c r="DT44" s="518">
        <v>0</v>
      </c>
      <c r="DU44" s="518">
        <v>0</v>
      </c>
      <c r="DV44" s="518">
        <v>0</v>
      </c>
      <c r="DW44" s="518">
        <v>0</v>
      </c>
      <c r="DX44" s="518">
        <v>0</v>
      </c>
      <c r="DY44" s="477"/>
      <c r="DZ44" s="517" t="s">
        <v>721</v>
      </c>
      <c r="EA44" s="517" t="s">
        <v>1101</v>
      </c>
      <c r="EB44" s="517" t="s">
        <v>25</v>
      </c>
      <c r="EC44" s="518">
        <v>56</v>
      </c>
      <c r="ED44" s="494" t="str">
        <f t="shared" si="0"/>
        <v>SWUC100156</v>
      </c>
      <c r="EE44" s="518">
        <v>10000</v>
      </c>
      <c r="EF44" s="518">
        <v>10000</v>
      </c>
      <c r="EG44" s="518">
        <v>10000</v>
      </c>
      <c r="EH44" s="518">
        <v>10000</v>
      </c>
      <c r="EI44" s="518">
        <v>10000</v>
      </c>
      <c r="EJ44" s="518">
        <v>10000</v>
      </c>
      <c r="EK44" s="518">
        <v>10000</v>
      </c>
      <c r="EL44" s="518">
        <v>10000</v>
      </c>
      <c r="EM44" s="518">
        <v>10000</v>
      </c>
      <c r="EN44" s="518">
        <v>10000</v>
      </c>
      <c r="EO44" s="518">
        <v>0</v>
      </c>
      <c r="EP44" s="518">
        <v>0</v>
      </c>
      <c r="EQ44" s="518">
        <v>0</v>
      </c>
      <c r="ER44" s="518">
        <v>0</v>
      </c>
      <c r="ES44" s="518">
        <v>0</v>
      </c>
      <c r="ET44" s="518">
        <v>0</v>
      </c>
      <c r="EU44" s="518">
        <v>0</v>
      </c>
      <c r="EV44" s="518">
        <v>0</v>
      </c>
      <c r="EW44" s="518">
        <v>0</v>
      </c>
      <c r="EX44" s="518">
        <v>0</v>
      </c>
      <c r="EY44" s="518">
        <v>0</v>
      </c>
      <c r="EZ44" s="518">
        <v>0</v>
      </c>
      <c r="FA44" s="518">
        <v>0</v>
      </c>
      <c r="FB44" s="518">
        <v>0</v>
      </c>
      <c r="FC44" s="518">
        <v>0</v>
      </c>
      <c r="FD44" s="518">
        <v>0</v>
      </c>
      <c r="FE44" s="518">
        <v>0</v>
      </c>
      <c r="FF44" s="518">
        <v>0</v>
      </c>
      <c r="FG44" s="518">
        <v>0</v>
      </c>
      <c r="FH44" s="518">
        <v>0</v>
      </c>
      <c r="FI44" s="518">
        <v>0</v>
      </c>
      <c r="FJ44" s="518">
        <v>0</v>
      </c>
      <c r="FK44" s="518">
        <v>0</v>
      </c>
      <c r="FL44" s="518">
        <v>0</v>
      </c>
      <c r="FM44" s="518">
        <v>0</v>
      </c>
      <c r="FN44" s="518">
        <v>0</v>
      </c>
      <c r="FO44" s="518">
        <v>0</v>
      </c>
      <c r="FP44" s="518">
        <v>0</v>
      </c>
      <c r="FQ44" s="518">
        <v>0</v>
      </c>
      <c r="FR44" s="518">
        <v>0</v>
      </c>
      <c r="FS44" s="518">
        <v>0</v>
      </c>
      <c r="FT44" s="518">
        <v>0</v>
      </c>
      <c r="FU44" s="518">
        <v>0</v>
      </c>
      <c r="FV44" s="518">
        <v>0</v>
      </c>
      <c r="FW44" s="518">
        <v>0</v>
      </c>
      <c r="FX44" s="518">
        <v>0</v>
      </c>
      <c r="FY44" s="518">
        <v>0</v>
      </c>
      <c r="FZ44" s="518">
        <v>0</v>
      </c>
      <c r="GA44" s="518">
        <v>0</v>
      </c>
      <c r="GB44" s="518">
        <v>0</v>
      </c>
      <c r="GC44" s="518">
        <v>0</v>
      </c>
      <c r="GD44" s="518">
        <v>0</v>
      </c>
      <c r="GE44" s="518">
        <v>0</v>
      </c>
      <c r="GF44" s="518">
        <v>0</v>
      </c>
      <c r="GG44" s="518">
        <v>0</v>
      </c>
      <c r="GH44" s="518">
        <v>0</v>
      </c>
      <c r="GI44" s="518">
        <v>0</v>
      </c>
      <c r="GJ44" s="518">
        <v>0</v>
      </c>
      <c r="GK44" s="518">
        <v>0</v>
      </c>
      <c r="GL44" s="518">
        <v>0</v>
      </c>
      <c r="GM44" s="518">
        <v>0</v>
      </c>
      <c r="GN44" s="518">
        <v>0</v>
      </c>
      <c r="GO44" s="518">
        <v>0</v>
      </c>
      <c r="GP44" s="518">
        <v>0</v>
      </c>
      <c r="GQ44" s="518">
        <v>0</v>
      </c>
      <c r="GR44" s="518">
        <v>0</v>
      </c>
      <c r="GS44" s="518">
        <v>0</v>
      </c>
      <c r="GT44" s="518">
        <v>0</v>
      </c>
      <c r="GU44" s="518">
        <v>0</v>
      </c>
      <c r="GV44" s="518">
        <v>0</v>
      </c>
      <c r="GW44" s="518">
        <v>0</v>
      </c>
      <c r="GX44" s="518">
        <v>0</v>
      </c>
      <c r="GY44" s="518">
        <v>0</v>
      </c>
      <c r="GZ44" s="518">
        <v>0</v>
      </c>
      <c r="HA44" s="518">
        <v>0</v>
      </c>
      <c r="HB44" s="518">
        <v>0</v>
      </c>
      <c r="HC44" s="518">
        <v>0</v>
      </c>
      <c r="HD44" s="518">
        <v>0</v>
      </c>
      <c r="HE44" s="518">
        <v>0</v>
      </c>
      <c r="HF44" s="518">
        <v>0</v>
      </c>
      <c r="HG44" s="518">
        <v>0</v>
      </c>
      <c r="HH44" s="518">
        <v>0</v>
      </c>
      <c r="HI44" s="518">
        <v>0</v>
      </c>
      <c r="HJ44" s="518">
        <v>0</v>
      </c>
      <c r="HK44" s="518">
        <v>0</v>
      </c>
      <c r="HL44" s="518">
        <v>0</v>
      </c>
      <c r="HM44" s="518">
        <v>0</v>
      </c>
      <c r="HN44" s="518">
        <v>0</v>
      </c>
      <c r="HO44" s="518">
        <v>0</v>
      </c>
      <c r="HP44" s="518">
        <v>0</v>
      </c>
      <c r="HQ44" s="518">
        <v>0</v>
      </c>
      <c r="HR44" s="518">
        <v>0</v>
      </c>
      <c r="HS44" s="518">
        <v>0</v>
      </c>
      <c r="HT44" s="518">
        <v>0</v>
      </c>
      <c r="HU44" s="518">
        <v>0</v>
      </c>
      <c r="HV44" s="518">
        <v>0</v>
      </c>
      <c r="HW44" s="518">
        <v>0</v>
      </c>
      <c r="HX44" s="518">
        <v>0</v>
      </c>
      <c r="HY44" s="518">
        <v>0</v>
      </c>
      <c r="HZ44" s="518">
        <v>0</v>
      </c>
      <c r="IA44" s="518">
        <v>0</v>
      </c>
      <c r="IB44" s="518">
        <v>0</v>
      </c>
      <c r="IC44" s="518">
        <v>0</v>
      </c>
      <c r="ID44" s="518">
        <v>0</v>
      </c>
      <c r="IE44" s="518">
        <v>0</v>
      </c>
      <c r="IF44" s="518">
        <v>0</v>
      </c>
      <c r="IG44" s="518">
        <v>0</v>
      </c>
      <c r="IH44" s="518">
        <v>0</v>
      </c>
      <c r="II44" s="518">
        <v>0</v>
      </c>
      <c r="IJ44" s="518">
        <v>0</v>
      </c>
      <c r="IK44" s="518">
        <v>0</v>
      </c>
    </row>
    <row r="45" spans="1:245" ht="16.5" hidden="1">
      <c r="A45" s="517" t="s">
        <v>721</v>
      </c>
      <c r="B45" s="517" t="s">
        <v>1101</v>
      </c>
      <c r="C45" s="517" t="s">
        <v>721</v>
      </c>
      <c r="D45" s="558"/>
      <c r="E45" s="517" t="s">
        <v>721</v>
      </c>
      <c r="F45" s="517" t="s">
        <v>25</v>
      </c>
      <c r="G45" s="558"/>
      <c r="H45" s="518">
        <v>57</v>
      </c>
      <c r="I45" s="558"/>
      <c r="J45" s="494" t="str">
        <f t="shared" si="1"/>
        <v>SWUC100157</v>
      </c>
      <c r="K45" s="518">
        <v>567</v>
      </c>
      <c r="M45" s="517" t="s">
        <v>721</v>
      </c>
      <c r="N45" s="517" t="s">
        <v>1101</v>
      </c>
      <c r="O45" s="517" t="s">
        <v>25</v>
      </c>
      <c r="P45" s="518">
        <v>57</v>
      </c>
      <c r="Q45" s="494" t="str">
        <f t="shared" si="2"/>
        <v>SWUC100157</v>
      </c>
      <c r="R45" s="518">
        <v>0</v>
      </c>
      <c r="S45" s="518">
        <v>47</v>
      </c>
      <c r="T45" s="518">
        <v>95</v>
      </c>
      <c r="U45" s="518">
        <v>140</v>
      </c>
      <c r="V45" s="518">
        <v>186</v>
      </c>
      <c r="W45" s="518">
        <v>247</v>
      </c>
      <c r="X45" s="518">
        <v>315</v>
      </c>
      <c r="Y45" s="518">
        <v>390</v>
      </c>
      <c r="Z45" s="518">
        <v>473</v>
      </c>
      <c r="AA45" s="518">
        <v>0</v>
      </c>
      <c r="AB45" s="518">
        <v>0</v>
      </c>
      <c r="AC45" s="518">
        <v>0</v>
      </c>
      <c r="AD45" s="518">
        <v>0</v>
      </c>
      <c r="AE45" s="518">
        <v>0</v>
      </c>
      <c r="AF45" s="518">
        <v>0</v>
      </c>
      <c r="AG45" s="518">
        <v>0</v>
      </c>
      <c r="AH45" s="518">
        <v>0</v>
      </c>
      <c r="AI45" s="518">
        <v>0</v>
      </c>
      <c r="AJ45" s="518">
        <v>0</v>
      </c>
      <c r="AK45" s="518">
        <v>0</v>
      </c>
      <c r="AL45" s="518">
        <v>0</v>
      </c>
      <c r="AM45" s="518">
        <v>0</v>
      </c>
      <c r="AN45" s="518">
        <v>0</v>
      </c>
      <c r="AO45" s="518">
        <v>0</v>
      </c>
      <c r="AP45" s="518">
        <v>0</v>
      </c>
      <c r="AQ45" s="518">
        <v>0</v>
      </c>
      <c r="AR45" s="518">
        <v>0</v>
      </c>
      <c r="AS45" s="518">
        <v>0</v>
      </c>
      <c r="AT45" s="518">
        <v>0</v>
      </c>
      <c r="AU45" s="518">
        <v>0</v>
      </c>
      <c r="AV45" s="518">
        <v>0</v>
      </c>
      <c r="AW45" s="518">
        <v>0</v>
      </c>
      <c r="AX45" s="518">
        <v>0</v>
      </c>
      <c r="AY45" s="518">
        <v>0</v>
      </c>
      <c r="AZ45" s="518">
        <v>0</v>
      </c>
      <c r="BA45" s="518">
        <v>0</v>
      </c>
      <c r="BB45" s="518">
        <v>0</v>
      </c>
      <c r="BC45" s="518">
        <v>0</v>
      </c>
      <c r="BD45" s="518">
        <v>0</v>
      </c>
      <c r="BE45" s="518">
        <v>0</v>
      </c>
      <c r="BF45" s="518">
        <v>0</v>
      </c>
      <c r="BG45" s="518">
        <v>0</v>
      </c>
      <c r="BH45" s="518">
        <v>0</v>
      </c>
      <c r="BI45" s="518">
        <v>0</v>
      </c>
      <c r="BJ45" s="518">
        <v>0</v>
      </c>
      <c r="BK45" s="518">
        <v>0</v>
      </c>
      <c r="BL45" s="518">
        <v>0</v>
      </c>
      <c r="BM45" s="518">
        <v>0</v>
      </c>
      <c r="BN45" s="518">
        <v>0</v>
      </c>
      <c r="BO45" s="518">
        <v>0</v>
      </c>
      <c r="BP45" s="518">
        <v>0</v>
      </c>
      <c r="BQ45" s="518">
        <v>0</v>
      </c>
      <c r="BR45" s="518">
        <v>0</v>
      </c>
      <c r="BS45" s="518">
        <v>0</v>
      </c>
      <c r="BT45" s="518">
        <v>0</v>
      </c>
      <c r="BU45" s="518">
        <v>0</v>
      </c>
      <c r="BV45" s="518">
        <v>0</v>
      </c>
      <c r="BW45" s="518">
        <v>0</v>
      </c>
      <c r="BX45" s="518">
        <v>0</v>
      </c>
      <c r="BY45" s="518">
        <v>0</v>
      </c>
      <c r="BZ45" s="518">
        <v>0</v>
      </c>
      <c r="CA45" s="518">
        <v>0</v>
      </c>
      <c r="CB45" s="518">
        <v>0</v>
      </c>
      <c r="CC45" s="518">
        <v>0</v>
      </c>
      <c r="CD45" s="518">
        <v>0</v>
      </c>
      <c r="CE45" s="518">
        <v>0</v>
      </c>
      <c r="CF45" s="518">
        <v>0</v>
      </c>
      <c r="CG45" s="518">
        <v>0</v>
      </c>
      <c r="CH45" s="518">
        <v>0</v>
      </c>
      <c r="CI45" s="518">
        <v>0</v>
      </c>
      <c r="CJ45" s="518">
        <v>0</v>
      </c>
      <c r="CK45" s="518">
        <v>0</v>
      </c>
      <c r="CL45" s="518">
        <v>0</v>
      </c>
      <c r="CM45" s="518">
        <v>0</v>
      </c>
      <c r="CN45" s="518">
        <v>0</v>
      </c>
      <c r="CO45" s="518">
        <v>0</v>
      </c>
      <c r="CP45" s="518">
        <v>0</v>
      </c>
      <c r="CQ45" s="518">
        <v>0</v>
      </c>
      <c r="CR45" s="518">
        <v>0</v>
      </c>
      <c r="CS45" s="518">
        <v>0</v>
      </c>
      <c r="CT45" s="518">
        <v>0</v>
      </c>
      <c r="CU45" s="518">
        <v>0</v>
      </c>
      <c r="CV45" s="518">
        <v>0</v>
      </c>
      <c r="CW45" s="518">
        <v>0</v>
      </c>
      <c r="CX45" s="518">
        <v>0</v>
      </c>
      <c r="CY45" s="518">
        <v>0</v>
      </c>
      <c r="CZ45" s="518">
        <v>0</v>
      </c>
      <c r="DA45" s="518">
        <v>0</v>
      </c>
      <c r="DB45" s="518">
        <v>0</v>
      </c>
      <c r="DC45" s="518">
        <v>0</v>
      </c>
      <c r="DD45" s="518">
        <v>0</v>
      </c>
      <c r="DE45" s="518">
        <v>0</v>
      </c>
      <c r="DF45" s="518">
        <v>0</v>
      </c>
      <c r="DG45" s="518">
        <v>0</v>
      </c>
      <c r="DH45" s="518">
        <v>0</v>
      </c>
      <c r="DI45" s="518">
        <v>0</v>
      </c>
      <c r="DJ45" s="518">
        <v>0</v>
      </c>
      <c r="DK45" s="518">
        <v>0</v>
      </c>
      <c r="DL45" s="518">
        <v>0</v>
      </c>
      <c r="DM45" s="518">
        <v>0</v>
      </c>
      <c r="DN45" s="518">
        <v>0</v>
      </c>
      <c r="DO45" s="518">
        <v>0</v>
      </c>
      <c r="DP45" s="518">
        <v>0</v>
      </c>
      <c r="DQ45" s="518">
        <v>0</v>
      </c>
      <c r="DR45" s="518">
        <v>0</v>
      </c>
      <c r="DS45" s="518">
        <v>0</v>
      </c>
      <c r="DT45" s="518">
        <v>0</v>
      </c>
      <c r="DU45" s="518">
        <v>0</v>
      </c>
      <c r="DV45" s="518">
        <v>0</v>
      </c>
      <c r="DW45" s="518">
        <v>0</v>
      </c>
      <c r="DX45" s="518">
        <v>0</v>
      </c>
      <c r="DY45" s="477"/>
      <c r="DZ45" s="517" t="s">
        <v>721</v>
      </c>
      <c r="EA45" s="517" t="s">
        <v>1101</v>
      </c>
      <c r="EB45" s="517" t="s">
        <v>25</v>
      </c>
      <c r="EC45" s="518">
        <v>57</v>
      </c>
      <c r="ED45" s="494" t="str">
        <f t="shared" si="0"/>
        <v>SWUC100157</v>
      </c>
      <c r="EE45" s="518">
        <v>10000</v>
      </c>
      <c r="EF45" s="518">
        <v>10000</v>
      </c>
      <c r="EG45" s="518">
        <v>10000</v>
      </c>
      <c r="EH45" s="518">
        <v>10000</v>
      </c>
      <c r="EI45" s="518">
        <v>10000</v>
      </c>
      <c r="EJ45" s="518">
        <v>10000</v>
      </c>
      <c r="EK45" s="518">
        <v>10000</v>
      </c>
      <c r="EL45" s="518">
        <v>10000</v>
      </c>
      <c r="EM45" s="518">
        <v>10000</v>
      </c>
      <c r="EN45" s="518">
        <v>10000</v>
      </c>
      <c r="EO45" s="518">
        <v>0</v>
      </c>
      <c r="EP45" s="518">
        <v>0</v>
      </c>
      <c r="EQ45" s="518">
        <v>0</v>
      </c>
      <c r="ER45" s="518">
        <v>0</v>
      </c>
      <c r="ES45" s="518">
        <v>0</v>
      </c>
      <c r="ET45" s="518">
        <v>0</v>
      </c>
      <c r="EU45" s="518">
        <v>0</v>
      </c>
      <c r="EV45" s="518">
        <v>0</v>
      </c>
      <c r="EW45" s="518">
        <v>0</v>
      </c>
      <c r="EX45" s="518">
        <v>0</v>
      </c>
      <c r="EY45" s="518">
        <v>0</v>
      </c>
      <c r="EZ45" s="518">
        <v>0</v>
      </c>
      <c r="FA45" s="518">
        <v>0</v>
      </c>
      <c r="FB45" s="518">
        <v>0</v>
      </c>
      <c r="FC45" s="518">
        <v>0</v>
      </c>
      <c r="FD45" s="518">
        <v>0</v>
      </c>
      <c r="FE45" s="518">
        <v>0</v>
      </c>
      <c r="FF45" s="518">
        <v>0</v>
      </c>
      <c r="FG45" s="518">
        <v>0</v>
      </c>
      <c r="FH45" s="518">
        <v>0</v>
      </c>
      <c r="FI45" s="518">
        <v>0</v>
      </c>
      <c r="FJ45" s="518">
        <v>0</v>
      </c>
      <c r="FK45" s="518">
        <v>0</v>
      </c>
      <c r="FL45" s="518">
        <v>0</v>
      </c>
      <c r="FM45" s="518">
        <v>0</v>
      </c>
      <c r="FN45" s="518">
        <v>0</v>
      </c>
      <c r="FO45" s="518">
        <v>0</v>
      </c>
      <c r="FP45" s="518">
        <v>0</v>
      </c>
      <c r="FQ45" s="518">
        <v>0</v>
      </c>
      <c r="FR45" s="518">
        <v>0</v>
      </c>
      <c r="FS45" s="518">
        <v>0</v>
      </c>
      <c r="FT45" s="518">
        <v>0</v>
      </c>
      <c r="FU45" s="518">
        <v>0</v>
      </c>
      <c r="FV45" s="518">
        <v>0</v>
      </c>
      <c r="FW45" s="518">
        <v>0</v>
      </c>
      <c r="FX45" s="518">
        <v>0</v>
      </c>
      <c r="FY45" s="518">
        <v>0</v>
      </c>
      <c r="FZ45" s="518">
        <v>0</v>
      </c>
      <c r="GA45" s="518">
        <v>0</v>
      </c>
      <c r="GB45" s="518">
        <v>0</v>
      </c>
      <c r="GC45" s="518">
        <v>0</v>
      </c>
      <c r="GD45" s="518">
        <v>0</v>
      </c>
      <c r="GE45" s="518">
        <v>0</v>
      </c>
      <c r="GF45" s="518">
        <v>0</v>
      </c>
      <c r="GG45" s="518">
        <v>0</v>
      </c>
      <c r="GH45" s="518">
        <v>0</v>
      </c>
      <c r="GI45" s="518">
        <v>0</v>
      </c>
      <c r="GJ45" s="518">
        <v>0</v>
      </c>
      <c r="GK45" s="518">
        <v>0</v>
      </c>
      <c r="GL45" s="518">
        <v>0</v>
      </c>
      <c r="GM45" s="518">
        <v>0</v>
      </c>
      <c r="GN45" s="518">
        <v>0</v>
      </c>
      <c r="GO45" s="518">
        <v>0</v>
      </c>
      <c r="GP45" s="518">
        <v>0</v>
      </c>
      <c r="GQ45" s="518">
        <v>0</v>
      </c>
      <c r="GR45" s="518">
        <v>0</v>
      </c>
      <c r="GS45" s="518">
        <v>0</v>
      </c>
      <c r="GT45" s="518">
        <v>0</v>
      </c>
      <c r="GU45" s="518">
        <v>0</v>
      </c>
      <c r="GV45" s="518">
        <v>0</v>
      </c>
      <c r="GW45" s="518">
        <v>0</v>
      </c>
      <c r="GX45" s="518">
        <v>0</v>
      </c>
      <c r="GY45" s="518">
        <v>0</v>
      </c>
      <c r="GZ45" s="518">
        <v>0</v>
      </c>
      <c r="HA45" s="518">
        <v>0</v>
      </c>
      <c r="HB45" s="518">
        <v>0</v>
      </c>
      <c r="HC45" s="518">
        <v>0</v>
      </c>
      <c r="HD45" s="518">
        <v>0</v>
      </c>
      <c r="HE45" s="518">
        <v>0</v>
      </c>
      <c r="HF45" s="518">
        <v>0</v>
      </c>
      <c r="HG45" s="518">
        <v>0</v>
      </c>
      <c r="HH45" s="518">
        <v>0</v>
      </c>
      <c r="HI45" s="518">
        <v>0</v>
      </c>
      <c r="HJ45" s="518">
        <v>0</v>
      </c>
      <c r="HK45" s="518">
        <v>0</v>
      </c>
      <c r="HL45" s="518">
        <v>0</v>
      </c>
      <c r="HM45" s="518">
        <v>0</v>
      </c>
      <c r="HN45" s="518">
        <v>0</v>
      </c>
      <c r="HO45" s="518">
        <v>0</v>
      </c>
      <c r="HP45" s="518">
        <v>0</v>
      </c>
      <c r="HQ45" s="518">
        <v>0</v>
      </c>
      <c r="HR45" s="518">
        <v>0</v>
      </c>
      <c r="HS45" s="518">
        <v>0</v>
      </c>
      <c r="HT45" s="518">
        <v>0</v>
      </c>
      <c r="HU45" s="518">
        <v>0</v>
      </c>
      <c r="HV45" s="518">
        <v>0</v>
      </c>
      <c r="HW45" s="518">
        <v>0</v>
      </c>
      <c r="HX45" s="518">
        <v>0</v>
      </c>
      <c r="HY45" s="518">
        <v>0</v>
      </c>
      <c r="HZ45" s="518">
        <v>0</v>
      </c>
      <c r="IA45" s="518">
        <v>0</v>
      </c>
      <c r="IB45" s="518">
        <v>0</v>
      </c>
      <c r="IC45" s="518">
        <v>0</v>
      </c>
      <c r="ID45" s="518">
        <v>0</v>
      </c>
      <c r="IE45" s="518">
        <v>0</v>
      </c>
      <c r="IF45" s="518">
        <v>0</v>
      </c>
      <c r="IG45" s="518">
        <v>0</v>
      </c>
      <c r="IH45" s="518">
        <v>0</v>
      </c>
      <c r="II45" s="518">
        <v>0</v>
      </c>
      <c r="IJ45" s="518">
        <v>0</v>
      </c>
      <c r="IK45" s="518">
        <v>0</v>
      </c>
    </row>
    <row r="46" spans="1:245" ht="16.5" hidden="1">
      <c r="A46" s="517" t="s">
        <v>721</v>
      </c>
      <c r="B46" s="517" t="s">
        <v>1101</v>
      </c>
      <c r="C46" s="517" t="s">
        <v>721</v>
      </c>
      <c r="D46" s="558"/>
      <c r="E46" s="517" t="s">
        <v>721</v>
      </c>
      <c r="F46" s="517" t="s">
        <v>25</v>
      </c>
      <c r="G46" s="558"/>
      <c r="H46" s="518">
        <v>58</v>
      </c>
      <c r="I46" s="558"/>
      <c r="J46" s="494" t="str">
        <f t="shared" si="1"/>
        <v>SWUC100158</v>
      </c>
      <c r="K46" s="518">
        <v>598</v>
      </c>
      <c r="M46" s="517" t="s">
        <v>721</v>
      </c>
      <c r="N46" s="517" t="s">
        <v>1101</v>
      </c>
      <c r="O46" s="517" t="s">
        <v>25</v>
      </c>
      <c r="P46" s="518">
        <v>58</v>
      </c>
      <c r="Q46" s="494" t="str">
        <f t="shared" si="2"/>
        <v>SWUC100158</v>
      </c>
      <c r="R46" s="518">
        <v>0</v>
      </c>
      <c r="S46" s="518">
        <v>50</v>
      </c>
      <c r="T46" s="518">
        <v>98</v>
      </c>
      <c r="U46" s="518">
        <v>146</v>
      </c>
      <c r="V46" s="518">
        <v>194</v>
      </c>
      <c r="W46" s="518">
        <v>260</v>
      </c>
      <c r="X46" s="518">
        <v>332</v>
      </c>
      <c r="Y46" s="518">
        <v>412</v>
      </c>
      <c r="Z46" s="518">
        <v>500</v>
      </c>
      <c r="AA46" s="518">
        <v>0</v>
      </c>
      <c r="AB46" s="518">
        <v>0</v>
      </c>
      <c r="AC46" s="518">
        <v>0</v>
      </c>
      <c r="AD46" s="518">
        <v>0</v>
      </c>
      <c r="AE46" s="518">
        <v>0</v>
      </c>
      <c r="AF46" s="518">
        <v>0</v>
      </c>
      <c r="AG46" s="518">
        <v>0</v>
      </c>
      <c r="AH46" s="518">
        <v>0</v>
      </c>
      <c r="AI46" s="518">
        <v>0</v>
      </c>
      <c r="AJ46" s="518">
        <v>0</v>
      </c>
      <c r="AK46" s="518">
        <v>0</v>
      </c>
      <c r="AL46" s="518">
        <v>0</v>
      </c>
      <c r="AM46" s="518">
        <v>0</v>
      </c>
      <c r="AN46" s="518">
        <v>0</v>
      </c>
      <c r="AO46" s="518">
        <v>0</v>
      </c>
      <c r="AP46" s="518">
        <v>0</v>
      </c>
      <c r="AQ46" s="518">
        <v>0</v>
      </c>
      <c r="AR46" s="518">
        <v>0</v>
      </c>
      <c r="AS46" s="518">
        <v>0</v>
      </c>
      <c r="AT46" s="518">
        <v>0</v>
      </c>
      <c r="AU46" s="518">
        <v>0</v>
      </c>
      <c r="AV46" s="518">
        <v>0</v>
      </c>
      <c r="AW46" s="518">
        <v>0</v>
      </c>
      <c r="AX46" s="518">
        <v>0</v>
      </c>
      <c r="AY46" s="518">
        <v>0</v>
      </c>
      <c r="AZ46" s="518">
        <v>0</v>
      </c>
      <c r="BA46" s="518">
        <v>0</v>
      </c>
      <c r="BB46" s="518">
        <v>0</v>
      </c>
      <c r="BC46" s="518">
        <v>0</v>
      </c>
      <c r="BD46" s="518">
        <v>0</v>
      </c>
      <c r="BE46" s="518">
        <v>0</v>
      </c>
      <c r="BF46" s="518">
        <v>0</v>
      </c>
      <c r="BG46" s="518">
        <v>0</v>
      </c>
      <c r="BH46" s="518">
        <v>0</v>
      </c>
      <c r="BI46" s="518">
        <v>0</v>
      </c>
      <c r="BJ46" s="518">
        <v>0</v>
      </c>
      <c r="BK46" s="518">
        <v>0</v>
      </c>
      <c r="BL46" s="518">
        <v>0</v>
      </c>
      <c r="BM46" s="518">
        <v>0</v>
      </c>
      <c r="BN46" s="518">
        <v>0</v>
      </c>
      <c r="BO46" s="518">
        <v>0</v>
      </c>
      <c r="BP46" s="518">
        <v>0</v>
      </c>
      <c r="BQ46" s="518">
        <v>0</v>
      </c>
      <c r="BR46" s="518">
        <v>0</v>
      </c>
      <c r="BS46" s="518">
        <v>0</v>
      </c>
      <c r="BT46" s="518">
        <v>0</v>
      </c>
      <c r="BU46" s="518">
        <v>0</v>
      </c>
      <c r="BV46" s="518">
        <v>0</v>
      </c>
      <c r="BW46" s="518">
        <v>0</v>
      </c>
      <c r="BX46" s="518">
        <v>0</v>
      </c>
      <c r="BY46" s="518">
        <v>0</v>
      </c>
      <c r="BZ46" s="518">
        <v>0</v>
      </c>
      <c r="CA46" s="518">
        <v>0</v>
      </c>
      <c r="CB46" s="518">
        <v>0</v>
      </c>
      <c r="CC46" s="518">
        <v>0</v>
      </c>
      <c r="CD46" s="518">
        <v>0</v>
      </c>
      <c r="CE46" s="518">
        <v>0</v>
      </c>
      <c r="CF46" s="518">
        <v>0</v>
      </c>
      <c r="CG46" s="518">
        <v>0</v>
      </c>
      <c r="CH46" s="518">
        <v>0</v>
      </c>
      <c r="CI46" s="518">
        <v>0</v>
      </c>
      <c r="CJ46" s="518">
        <v>0</v>
      </c>
      <c r="CK46" s="518">
        <v>0</v>
      </c>
      <c r="CL46" s="518">
        <v>0</v>
      </c>
      <c r="CM46" s="518">
        <v>0</v>
      </c>
      <c r="CN46" s="518">
        <v>0</v>
      </c>
      <c r="CO46" s="518">
        <v>0</v>
      </c>
      <c r="CP46" s="518">
        <v>0</v>
      </c>
      <c r="CQ46" s="518">
        <v>0</v>
      </c>
      <c r="CR46" s="518">
        <v>0</v>
      </c>
      <c r="CS46" s="518">
        <v>0</v>
      </c>
      <c r="CT46" s="518">
        <v>0</v>
      </c>
      <c r="CU46" s="518">
        <v>0</v>
      </c>
      <c r="CV46" s="518">
        <v>0</v>
      </c>
      <c r="CW46" s="518">
        <v>0</v>
      </c>
      <c r="CX46" s="518">
        <v>0</v>
      </c>
      <c r="CY46" s="518">
        <v>0</v>
      </c>
      <c r="CZ46" s="518">
        <v>0</v>
      </c>
      <c r="DA46" s="518">
        <v>0</v>
      </c>
      <c r="DB46" s="518">
        <v>0</v>
      </c>
      <c r="DC46" s="518">
        <v>0</v>
      </c>
      <c r="DD46" s="518">
        <v>0</v>
      </c>
      <c r="DE46" s="518">
        <v>0</v>
      </c>
      <c r="DF46" s="518">
        <v>0</v>
      </c>
      <c r="DG46" s="518">
        <v>0</v>
      </c>
      <c r="DH46" s="518">
        <v>0</v>
      </c>
      <c r="DI46" s="518">
        <v>0</v>
      </c>
      <c r="DJ46" s="518">
        <v>0</v>
      </c>
      <c r="DK46" s="518">
        <v>0</v>
      </c>
      <c r="DL46" s="518">
        <v>0</v>
      </c>
      <c r="DM46" s="518">
        <v>0</v>
      </c>
      <c r="DN46" s="518">
        <v>0</v>
      </c>
      <c r="DO46" s="518">
        <v>0</v>
      </c>
      <c r="DP46" s="518">
        <v>0</v>
      </c>
      <c r="DQ46" s="518">
        <v>0</v>
      </c>
      <c r="DR46" s="518">
        <v>0</v>
      </c>
      <c r="DS46" s="518">
        <v>0</v>
      </c>
      <c r="DT46" s="518">
        <v>0</v>
      </c>
      <c r="DU46" s="518">
        <v>0</v>
      </c>
      <c r="DV46" s="518">
        <v>0</v>
      </c>
      <c r="DW46" s="518">
        <v>0</v>
      </c>
      <c r="DX46" s="518">
        <v>0</v>
      </c>
      <c r="DY46" s="477"/>
      <c r="DZ46" s="517" t="s">
        <v>721</v>
      </c>
      <c r="EA46" s="517" t="s">
        <v>1101</v>
      </c>
      <c r="EB46" s="517" t="s">
        <v>25</v>
      </c>
      <c r="EC46" s="518">
        <v>58</v>
      </c>
      <c r="ED46" s="494" t="str">
        <f t="shared" si="0"/>
        <v>SWUC100158</v>
      </c>
      <c r="EE46" s="518">
        <v>10000</v>
      </c>
      <c r="EF46" s="518">
        <v>10000</v>
      </c>
      <c r="EG46" s="518">
        <v>10000</v>
      </c>
      <c r="EH46" s="518">
        <v>10000</v>
      </c>
      <c r="EI46" s="518">
        <v>10000</v>
      </c>
      <c r="EJ46" s="518">
        <v>10000</v>
      </c>
      <c r="EK46" s="518">
        <v>10000</v>
      </c>
      <c r="EL46" s="518">
        <v>10000</v>
      </c>
      <c r="EM46" s="518">
        <v>10000</v>
      </c>
      <c r="EN46" s="518">
        <v>10000</v>
      </c>
      <c r="EO46" s="518">
        <v>0</v>
      </c>
      <c r="EP46" s="518">
        <v>0</v>
      </c>
      <c r="EQ46" s="518">
        <v>0</v>
      </c>
      <c r="ER46" s="518">
        <v>0</v>
      </c>
      <c r="ES46" s="518">
        <v>0</v>
      </c>
      <c r="ET46" s="518">
        <v>0</v>
      </c>
      <c r="EU46" s="518">
        <v>0</v>
      </c>
      <c r="EV46" s="518">
        <v>0</v>
      </c>
      <c r="EW46" s="518">
        <v>0</v>
      </c>
      <c r="EX46" s="518">
        <v>0</v>
      </c>
      <c r="EY46" s="518">
        <v>0</v>
      </c>
      <c r="EZ46" s="518">
        <v>0</v>
      </c>
      <c r="FA46" s="518">
        <v>0</v>
      </c>
      <c r="FB46" s="518">
        <v>0</v>
      </c>
      <c r="FC46" s="518">
        <v>0</v>
      </c>
      <c r="FD46" s="518">
        <v>0</v>
      </c>
      <c r="FE46" s="518">
        <v>0</v>
      </c>
      <c r="FF46" s="518">
        <v>0</v>
      </c>
      <c r="FG46" s="518">
        <v>0</v>
      </c>
      <c r="FH46" s="518">
        <v>0</v>
      </c>
      <c r="FI46" s="518">
        <v>0</v>
      </c>
      <c r="FJ46" s="518">
        <v>0</v>
      </c>
      <c r="FK46" s="518">
        <v>0</v>
      </c>
      <c r="FL46" s="518">
        <v>0</v>
      </c>
      <c r="FM46" s="518">
        <v>0</v>
      </c>
      <c r="FN46" s="518">
        <v>0</v>
      </c>
      <c r="FO46" s="518">
        <v>0</v>
      </c>
      <c r="FP46" s="518">
        <v>0</v>
      </c>
      <c r="FQ46" s="518">
        <v>0</v>
      </c>
      <c r="FR46" s="518">
        <v>0</v>
      </c>
      <c r="FS46" s="518">
        <v>0</v>
      </c>
      <c r="FT46" s="518">
        <v>0</v>
      </c>
      <c r="FU46" s="518">
        <v>0</v>
      </c>
      <c r="FV46" s="518">
        <v>0</v>
      </c>
      <c r="FW46" s="518">
        <v>0</v>
      </c>
      <c r="FX46" s="518">
        <v>0</v>
      </c>
      <c r="FY46" s="518">
        <v>0</v>
      </c>
      <c r="FZ46" s="518">
        <v>0</v>
      </c>
      <c r="GA46" s="518">
        <v>0</v>
      </c>
      <c r="GB46" s="518">
        <v>0</v>
      </c>
      <c r="GC46" s="518">
        <v>0</v>
      </c>
      <c r="GD46" s="518">
        <v>0</v>
      </c>
      <c r="GE46" s="518">
        <v>0</v>
      </c>
      <c r="GF46" s="518">
        <v>0</v>
      </c>
      <c r="GG46" s="518">
        <v>0</v>
      </c>
      <c r="GH46" s="518">
        <v>0</v>
      </c>
      <c r="GI46" s="518">
        <v>0</v>
      </c>
      <c r="GJ46" s="518">
        <v>0</v>
      </c>
      <c r="GK46" s="518">
        <v>0</v>
      </c>
      <c r="GL46" s="518">
        <v>0</v>
      </c>
      <c r="GM46" s="518">
        <v>0</v>
      </c>
      <c r="GN46" s="518">
        <v>0</v>
      </c>
      <c r="GO46" s="518">
        <v>0</v>
      </c>
      <c r="GP46" s="518">
        <v>0</v>
      </c>
      <c r="GQ46" s="518">
        <v>0</v>
      </c>
      <c r="GR46" s="518">
        <v>0</v>
      </c>
      <c r="GS46" s="518">
        <v>0</v>
      </c>
      <c r="GT46" s="518">
        <v>0</v>
      </c>
      <c r="GU46" s="518">
        <v>0</v>
      </c>
      <c r="GV46" s="518">
        <v>0</v>
      </c>
      <c r="GW46" s="518">
        <v>0</v>
      </c>
      <c r="GX46" s="518">
        <v>0</v>
      </c>
      <c r="GY46" s="518">
        <v>0</v>
      </c>
      <c r="GZ46" s="518">
        <v>0</v>
      </c>
      <c r="HA46" s="518">
        <v>0</v>
      </c>
      <c r="HB46" s="518">
        <v>0</v>
      </c>
      <c r="HC46" s="518">
        <v>0</v>
      </c>
      <c r="HD46" s="518">
        <v>0</v>
      </c>
      <c r="HE46" s="518">
        <v>0</v>
      </c>
      <c r="HF46" s="518">
        <v>0</v>
      </c>
      <c r="HG46" s="518">
        <v>0</v>
      </c>
      <c r="HH46" s="518">
        <v>0</v>
      </c>
      <c r="HI46" s="518">
        <v>0</v>
      </c>
      <c r="HJ46" s="518">
        <v>0</v>
      </c>
      <c r="HK46" s="518">
        <v>0</v>
      </c>
      <c r="HL46" s="518">
        <v>0</v>
      </c>
      <c r="HM46" s="518">
        <v>0</v>
      </c>
      <c r="HN46" s="518">
        <v>0</v>
      </c>
      <c r="HO46" s="518">
        <v>0</v>
      </c>
      <c r="HP46" s="518">
        <v>0</v>
      </c>
      <c r="HQ46" s="518">
        <v>0</v>
      </c>
      <c r="HR46" s="518">
        <v>0</v>
      </c>
      <c r="HS46" s="518">
        <v>0</v>
      </c>
      <c r="HT46" s="518">
        <v>0</v>
      </c>
      <c r="HU46" s="518">
        <v>0</v>
      </c>
      <c r="HV46" s="518">
        <v>0</v>
      </c>
      <c r="HW46" s="518">
        <v>0</v>
      </c>
      <c r="HX46" s="518">
        <v>0</v>
      </c>
      <c r="HY46" s="518">
        <v>0</v>
      </c>
      <c r="HZ46" s="518">
        <v>0</v>
      </c>
      <c r="IA46" s="518">
        <v>0</v>
      </c>
      <c r="IB46" s="518">
        <v>0</v>
      </c>
      <c r="IC46" s="518">
        <v>0</v>
      </c>
      <c r="ID46" s="518">
        <v>0</v>
      </c>
      <c r="IE46" s="518">
        <v>0</v>
      </c>
      <c r="IF46" s="518">
        <v>0</v>
      </c>
      <c r="IG46" s="518">
        <v>0</v>
      </c>
      <c r="IH46" s="518">
        <v>0</v>
      </c>
      <c r="II46" s="518">
        <v>0</v>
      </c>
      <c r="IJ46" s="518">
        <v>0</v>
      </c>
      <c r="IK46" s="518">
        <v>0</v>
      </c>
    </row>
    <row r="47" spans="1:245" ht="16.5" hidden="1">
      <c r="A47" s="517" t="s">
        <v>721</v>
      </c>
      <c r="B47" s="517" t="s">
        <v>1101</v>
      </c>
      <c r="C47" s="517" t="s">
        <v>721</v>
      </c>
      <c r="D47" s="558"/>
      <c r="E47" s="517" t="s">
        <v>721</v>
      </c>
      <c r="F47" s="517" t="s">
        <v>25</v>
      </c>
      <c r="G47" s="558"/>
      <c r="H47" s="518">
        <v>59</v>
      </c>
      <c r="I47" s="558"/>
      <c r="J47" s="494" t="str">
        <f t="shared" si="1"/>
        <v>SWUC100159</v>
      </c>
      <c r="K47" s="518">
        <v>629</v>
      </c>
      <c r="M47" s="517" t="s">
        <v>721</v>
      </c>
      <c r="N47" s="517" t="s">
        <v>1101</v>
      </c>
      <c r="O47" s="517" t="s">
        <v>25</v>
      </c>
      <c r="P47" s="518">
        <v>59</v>
      </c>
      <c r="Q47" s="494" t="str">
        <f t="shared" si="2"/>
        <v>SWUC100159</v>
      </c>
      <c r="R47" s="518">
        <v>0</v>
      </c>
      <c r="S47" s="518">
        <v>50</v>
      </c>
      <c r="T47" s="518">
        <v>101</v>
      </c>
      <c r="U47" s="518">
        <v>152</v>
      </c>
      <c r="V47" s="518">
        <v>204</v>
      </c>
      <c r="W47" s="518">
        <v>273</v>
      </c>
      <c r="X47" s="518">
        <v>351</v>
      </c>
      <c r="Y47" s="518">
        <v>436</v>
      </c>
      <c r="Z47" s="518">
        <v>527</v>
      </c>
      <c r="AA47" s="518">
        <v>0</v>
      </c>
      <c r="AB47" s="518">
        <v>0</v>
      </c>
      <c r="AC47" s="518">
        <v>0</v>
      </c>
      <c r="AD47" s="518">
        <v>0</v>
      </c>
      <c r="AE47" s="518">
        <v>0</v>
      </c>
      <c r="AF47" s="518">
        <v>0</v>
      </c>
      <c r="AG47" s="518">
        <v>0</v>
      </c>
      <c r="AH47" s="518">
        <v>0</v>
      </c>
      <c r="AI47" s="518">
        <v>0</v>
      </c>
      <c r="AJ47" s="518">
        <v>0</v>
      </c>
      <c r="AK47" s="518">
        <v>0</v>
      </c>
      <c r="AL47" s="518">
        <v>0</v>
      </c>
      <c r="AM47" s="518">
        <v>0</v>
      </c>
      <c r="AN47" s="518">
        <v>0</v>
      </c>
      <c r="AO47" s="518">
        <v>0</v>
      </c>
      <c r="AP47" s="518">
        <v>0</v>
      </c>
      <c r="AQ47" s="518">
        <v>0</v>
      </c>
      <c r="AR47" s="518">
        <v>0</v>
      </c>
      <c r="AS47" s="518">
        <v>0</v>
      </c>
      <c r="AT47" s="518">
        <v>0</v>
      </c>
      <c r="AU47" s="518">
        <v>0</v>
      </c>
      <c r="AV47" s="518">
        <v>0</v>
      </c>
      <c r="AW47" s="518">
        <v>0</v>
      </c>
      <c r="AX47" s="518">
        <v>0</v>
      </c>
      <c r="AY47" s="518">
        <v>0</v>
      </c>
      <c r="AZ47" s="518">
        <v>0</v>
      </c>
      <c r="BA47" s="518">
        <v>0</v>
      </c>
      <c r="BB47" s="518">
        <v>0</v>
      </c>
      <c r="BC47" s="518">
        <v>0</v>
      </c>
      <c r="BD47" s="518">
        <v>0</v>
      </c>
      <c r="BE47" s="518">
        <v>0</v>
      </c>
      <c r="BF47" s="518">
        <v>0</v>
      </c>
      <c r="BG47" s="518">
        <v>0</v>
      </c>
      <c r="BH47" s="518">
        <v>0</v>
      </c>
      <c r="BI47" s="518">
        <v>0</v>
      </c>
      <c r="BJ47" s="518">
        <v>0</v>
      </c>
      <c r="BK47" s="518">
        <v>0</v>
      </c>
      <c r="BL47" s="518">
        <v>0</v>
      </c>
      <c r="BM47" s="518">
        <v>0</v>
      </c>
      <c r="BN47" s="518">
        <v>0</v>
      </c>
      <c r="BO47" s="518">
        <v>0</v>
      </c>
      <c r="BP47" s="518">
        <v>0</v>
      </c>
      <c r="BQ47" s="518">
        <v>0</v>
      </c>
      <c r="BR47" s="518">
        <v>0</v>
      </c>
      <c r="BS47" s="518">
        <v>0</v>
      </c>
      <c r="BT47" s="518">
        <v>0</v>
      </c>
      <c r="BU47" s="518">
        <v>0</v>
      </c>
      <c r="BV47" s="518">
        <v>0</v>
      </c>
      <c r="BW47" s="518">
        <v>0</v>
      </c>
      <c r="BX47" s="518">
        <v>0</v>
      </c>
      <c r="BY47" s="518">
        <v>0</v>
      </c>
      <c r="BZ47" s="518">
        <v>0</v>
      </c>
      <c r="CA47" s="518">
        <v>0</v>
      </c>
      <c r="CB47" s="518">
        <v>0</v>
      </c>
      <c r="CC47" s="518">
        <v>0</v>
      </c>
      <c r="CD47" s="518">
        <v>0</v>
      </c>
      <c r="CE47" s="518">
        <v>0</v>
      </c>
      <c r="CF47" s="518">
        <v>0</v>
      </c>
      <c r="CG47" s="518">
        <v>0</v>
      </c>
      <c r="CH47" s="518">
        <v>0</v>
      </c>
      <c r="CI47" s="518">
        <v>0</v>
      </c>
      <c r="CJ47" s="518">
        <v>0</v>
      </c>
      <c r="CK47" s="518">
        <v>0</v>
      </c>
      <c r="CL47" s="518">
        <v>0</v>
      </c>
      <c r="CM47" s="518">
        <v>0</v>
      </c>
      <c r="CN47" s="518">
        <v>0</v>
      </c>
      <c r="CO47" s="518">
        <v>0</v>
      </c>
      <c r="CP47" s="518">
        <v>0</v>
      </c>
      <c r="CQ47" s="518">
        <v>0</v>
      </c>
      <c r="CR47" s="518">
        <v>0</v>
      </c>
      <c r="CS47" s="518">
        <v>0</v>
      </c>
      <c r="CT47" s="518">
        <v>0</v>
      </c>
      <c r="CU47" s="518">
        <v>0</v>
      </c>
      <c r="CV47" s="518">
        <v>0</v>
      </c>
      <c r="CW47" s="518">
        <v>0</v>
      </c>
      <c r="CX47" s="518">
        <v>0</v>
      </c>
      <c r="CY47" s="518">
        <v>0</v>
      </c>
      <c r="CZ47" s="518">
        <v>0</v>
      </c>
      <c r="DA47" s="518">
        <v>0</v>
      </c>
      <c r="DB47" s="518">
        <v>0</v>
      </c>
      <c r="DC47" s="518">
        <v>0</v>
      </c>
      <c r="DD47" s="518">
        <v>0</v>
      </c>
      <c r="DE47" s="518">
        <v>0</v>
      </c>
      <c r="DF47" s="518">
        <v>0</v>
      </c>
      <c r="DG47" s="518">
        <v>0</v>
      </c>
      <c r="DH47" s="518">
        <v>0</v>
      </c>
      <c r="DI47" s="518">
        <v>0</v>
      </c>
      <c r="DJ47" s="518">
        <v>0</v>
      </c>
      <c r="DK47" s="518">
        <v>0</v>
      </c>
      <c r="DL47" s="518">
        <v>0</v>
      </c>
      <c r="DM47" s="518">
        <v>0</v>
      </c>
      <c r="DN47" s="518">
        <v>0</v>
      </c>
      <c r="DO47" s="518">
        <v>0</v>
      </c>
      <c r="DP47" s="518">
        <v>0</v>
      </c>
      <c r="DQ47" s="518">
        <v>0</v>
      </c>
      <c r="DR47" s="518">
        <v>0</v>
      </c>
      <c r="DS47" s="518">
        <v>0</v>
      </c>
      <c r="DT47" s="518">
        <v>0</v>
      </c>
      <c r="DU47" s="518">
        <v>0</v>
      </c>
      <c r="DV47" s="518">
        <v>0</v>
      </c>
      <c r="DW47" s="518">
        <v>0</v>
      </c>
      <c r="DX47" s="518">
        <v>0</v>
      </c>
      <c r="DY47" s="477"/>
      <c r="DZ47" s="517" t="s">
        <v>721</v>
      </c>
      <c r="EA47" s="517" t="s">
        <v>1101</v>
      </c>
      <c r="EB47" s="517" t="s">
        <v>25</v>
      </c>
      <c r="EC47" s="518">
        <v>59</v>
      </c>
      <c r="ED47" s="494" t="str">
        <f t="shared" si="0"/>
        <v>SWUC100159</v>
      </c>
      <c r="EE47" s="518">
        <v>10000</v>
      </c>
      <c r="EF47" s="518">
        <v>10000</v>
      </c>
      <c r="EG47" s="518">
        <v>10000</v>
      </c>
      <c r="EH47" s="518">
        <v>10000</v>
      </c>
      <c r="EI47" s="518">
        <v>10000</v>
      </c>
      <c r="EJ47" s="518">
        <v>10000</v>
      </c>
      <c r="EK47" s="518">
        <v>10000</v>
      </c>
      <c r="EL47" s="518">
        <v>10000</v>
      </c>
      <c r="EM47" s="518">
        <v>10000</v>
      </c>
      <c r="EN47" s="518">
        <v>10000</v>
      </c>
      <c r="EO47" s="518">
        <v>0</v>
      </c>
      <c r="EP47" s="518">
        <v>0</v>
      </c>
      <c r="EQ47" s="518">
        <v>0</v>
      </c>
      <c r="ER47" s="518">
        <v>0</v>
      </c>
      <c r="ES47" s="518">
        <v>0</v>
      </c>
      <c r="ET47" s="518">
        <v>0</v>
      </c>
      <c r="EU47" s="518">
        <v>0</v>
      </c>
      <c r="EV47" s="518">
        <v>0</v>
      </c>
      <c r="EW47" s="518">
        <v>0</v>
      </c>
      <c r="EX47" s="518">
        <v>0</v>
      </c>
      <c r="EY47" s="518">
        <v>0</v>
      </c>
      <c r="EZ47" s="518">
        <v>0</v>
      </c>
      <c r="FA47" s="518">
        <v>0</v>
      </c>
      <c r="FB47" s="518">
        <v>0</v>
      </c>
      <c r="FC47" s="518">
        <v>0</v>
      </c>
      <c r="FD47" s="518">
        <v>0</v>
      </c>
      <c r="FE47" s="518">
        <v>0</v>
      </c>
      <c r="FF47" s="518">
        <v>0</v>
      </c>
      <c r="FG47" s="518">
        <v>0</v>
      </c>
      <c r="FH47" s="518">
        <v>0</v>
      </c>
      <c r="FI47" s="518">
        <v>0</v>
      </c>
      <c r="FJ47" s="518">
        <v>0</v>
      </c>
      <c r="FK47" s="518">
        <v>0</v>
      </c>
      <c r="FL47" s="518">
        <v>0</v>
      </c>
      <c r="FM47" s="518">
        <v>0</v>
      </c>
      <c r="FN47" s="518">
        <v>0</v>
      </c>
      <c r="FO47" s="518">
        <v>0</v>
      </c>
      <c r="FP47" s="518">
        <v>0</v>
      </c>
      <c r="FQ47" s="518">
        <v>0</v>
      </c>
      <c r="FR47" s="518">
        <v>0</v>
      </c>
      <c r="FS47" s="518">
        <v>0</v>
      </c>
      <c r="FT47" s="518">
        <v>0</v>
      </c>
      <c r="FU47" s="518">
        <v>0</v>
      </c>
      <c r="FV47" s="518">
        <v>0</v>
      </c>
      <c r="FW47" s="518">
        <v>0</v>
      </c>
      <c r="FX47" s="518">
        <v>0</v>
      </c>
      <c r="FY47" s="518">
        <v>0</v>
      </c>
      <c r="FZ47" s="518">
        <v>0</v>
      </c>
      <c r="GA47" s="518">
        <v>0</v>
      </c>
      <c r="GB47" s="518">
        <v>0</v>
      </c>
      <c r="GC47" s="518">
        <v>0</v>
      </c>
      <c r="GD47" s="518">
        <v>0</v>
      </c>
      <c r="GE47" s="518">
        <v>0</v>
      </c>
      <c r="GF47" s="518">
        <v>0</v>
      </c>
      <c r="GG47" s="518">
        <v>0</v>
      </c>
      <c r="GH47" s="518">
        <v>0</v>
      </c>
      <c r="GI47" s="518">
        <v>0</v>
      </c>
      <c r="GJ47" s="518">
        <v>0</v>
      </c>
      <c r="GK47" s="518">
        <v>0</v>
      </c>
      <c r="GL47" s="518">
        <v>0</v>
      </c>
      <c r="GM47" s="518">
        <v>0</v>
      </c>
      <c r="GN47" s="518">
        <v>0</v>
      </c>
      <c r="GO47" s="518">
        <v>0</v>
      </c>
      <c r="GP47" s="518">
        <v>0</v>
      </c>
      <c r="GQ47" s="518">
        <v>0</v>
      </c>
      <c r="GR47" s="518">
        <v>0</v>
      </c>
      <c r="GS47" s="518">
        <v>0</v>
      </c>
      <c r="GT47" s="518">
        <v>0</v>
      </c>
      <c r="GU47" s="518">
        <v>0</v>
      </c>
      <c r="GV47" s="518">
        <v>0</v>
      </c>
      <c r="GW47" s="518">
        <v>0</v>
      </c>
      <c r="GX47" s="518">
        <v>0</v>
      </c>
      <c r="GY47" s="518">
        <v>0</v>
      </c>
      <c r="GZ47" s="518">
        <v>0</v>
      </c>
      <c r="HA47" s="518">
        <v>0</v>
      </c>
      <c r="HB47" s="518">
        <v>0</v>
      </c>
      <c r="HC47" s="518">
        <v>0</v>
      </c>
      <c r="HD47" s="518">
        <v>0</v>
      </c>
      <c r="HE47" s="518">
        <v>0</v>
      </c>
      <c r="HF47" s="518">
        <v>0</v>
      </c>
      <c r="HG47" s="518">
        <v>0</v>
      </c>
      <c r="HH47" s="518">
        <v>0</v>
      </c>
      <c r="HI47" s="518">
        <v>0</v>
      </c>
      <c r="HJ47" s="518">
        <v>0</v>
      </c>
      <c r="HK47" s="518">
        <v>0</v>
      </c>
      <c r="HL47" s="518">
        <v>0</v>
      </c>
      <c r="HM47" s="518">
        <v>0</v>
      </c>
      <c r="HN47" s="518">
        <v>0</v>
      </c>
      <c r="HO47" s="518">
        <v>0</v>
      </c>
      <c r="HP47" s="518">
        <v>0</v>
      </c>
      <c r="HQ47" s="518">
        <v>0</v>
      </c>
      <c r="HR47" s="518">
        <v>0</v>
      </c>
      <c r="HS47" s="518">
        <v>0</v>
      </c>
      <c r="HT47" s="518">
        <v>0</v>
      </c>
      <c r="HU47" s="518">
        <v>0</v>
      </c>
      <c r="HV47" s="518">
        <v>0</v>
      </c>
      <c r="HW47" s="518">
        <v>0</v>
      </c>
      <c r="HX47" s="518">
        <v>0</v>
      </c>
      <c r="HY47" s="518">
        <v>0</v>
      </c>
      <c r="HZ47" s="518">
        <v>0</v>
      </c>
      <c r="IA47" s="518">
        <v>0</v>
      </c>
      <c r="IB47" s="518">
        <v>0</v>
      </c>
      <c r="IC47" s="518">
        <v>0</v>
      </c>
      <c r="ID47" s="518">
        <v>0</v>
      </c>
      <c r="IE47" s="518">
        <v>0</v>
      </c>
      <c r="IF47" s="518">
        <v>0</v>
      </c>
      <c r="IG47" s="518">
        <v>0</v>
      </c>
      <c r="IH47" s="518">
        <v>0</v>
      </c>
      <c r="II47" s="518">
        <v>0</v>
      </c>
      <c r="IJ47" s="518">
        <v>0</v>
      </c>
      <c r="IK47" s="518">
        <v>0</v>
      </c>
    </row>
    <row r="48" spans="1:245" ht="16.5" hidden="1">
      <c r="A48" s="517" t="s">
        <v>721</v>
      </c>
      <c r="B48" s="517" t="s">
        <v>1101</v>
      </c>
      <c r="C48" s="517" t="s">
        <v>721</v>
      </c>
      <c r="D48" s="558"/>
      <c r="E48" s="517" t="s">
        <v>721</v>
      </c>
      <c r="F48" s="517" t="s">
        <v>25</v>
      </c>
      <c r="G48" s="558"/>
      <c r="H48" s="518">
        <v>60</v>
      </c>
      <c r="I48" s="558"/>
      <c r="J48" s="494" t="str">
        <f t="shared" si="1"/>
        <v>SWUC100160</v>
      </c>
      <c r="K48" s="518">
        <v>662</v>
      </c>
      <c r="M48" s="517" t="s">
        <v>721</v>
      </c>
      <c r="N48" s="517" t="s">
        <v>1101</v>
      </c>
      <c r="O48" s="517" t="s">
        <v>25</v>
      </c>
      <c r="P48" s="518">
        <v>60</v>
      </c>
      <c r="Q48" s="494" t="str">
        <f t="shared" si="2"/>
        <v>SWUC100160</v>
      </c>
      <c r="R48" s="518">
        <v>0</v>
      </c>
      <c r="S48" s="518">
        <v>53</v>
      </c>
      <c r="T48" s="518">
        <v>107</v>
      </c>
      <c r="U48" s="518">
        <v>161</v>
      </c>
      <c r="V48" s="518">
        <v>216</v>
      </c>
      <c r="W48" s="518">
        <v>290</v>
      </c>
      <c r="X48" s="518">
        <v>372</v>
      </c>
      <c r="Y48" s="518">
        <v>462</v>
      </c>
      <c r="Z48" s="518">
        <v>556</v>
      </c>
      <c r="AA48" s="518">
        <v>0</v>
      </c>
      <c r="AB48" s="518">
        <v>0</v>
      </c>
      <c r="AC48" s="518">
        <v>0</v>
      </c>
      <c r="AD48" s="518">
        <v>0</v>
      </c>
      <c r="AE48" s="518">
        <v>0</v>
      </c>
      <c r="AF48" s="518">
        <v>0</v>
      </c>
      <c r="AG48" s="518">
        <v>0</v>
      </c>
      <c r="AH48" s="518">
        <v>0</v>
      </c>
      <c r="AI48" s="518">
        <v>0</v>
      </c>
      <c r="AJ48" s="518">
        <v>0</v>
      </c>
      <c r="AK48" s="518">
        <v>0</v>
      </c>
      <c r="AL48" s="518">
        <v>0</v>
      </c>
      <c r="AM48" s="518">
        <v>0</v>
      </c>
      <c r="AN48" s="518">
        <v>0</v>
      </c>
      <c r="AO48" s="518">
        <v>0</v>
      </c>
      <c r="AP48" s="518">
        <v>0</v>
      </c>
      <c r="AQ48" s="518">
        <v>0</v>
      </c>
      <c r="AR48" s="518">
        <v>0</v>
      </c>
      <c r="AS48" s="518">
        <v>0</v>
      </c>
      <c r="AT48" s="518">
        <v>0</v>
      </c>
      <c r="AU48" s="518">
        <v>0</v>
      </c>
      <c r="AV48" s="518">
        <v>0</v>
      </c>
      <c r="AW48" s="518">
        <v>0</v>
      </c>
      <c r="AX48" s="518">
        <v>0</v>
      </c>
      <c r="AY48" s="518">
        <v>0</v>
      </c>
      <c r="AZ48" s="518">
        <v>0</v>
      </c>
      <c r="BA48" s="518">
        <v>0</v>
      </c>
      <c r="BB48" s="518">
        <v>0</v>
      </c>
      <c r="BC48" s="518">
        <v>0</v>
      </c>
      <c r="BD48" s="518">
        <v>0</v>
      </c>
      <c r="BE48" s="518">
        <v>0</v>
      </c>
      <c r="BF48" s="518">
        <v>0</v>
      </c>
      <c r="BG48" s="518">
        <v>0</v>
      </c>
      <c r="BH48" s="518">
        <v>0</v>
      </c>
      <c r="BI48" s="518">
        <v>0</v>
      </c>
      <c r="BJ48" s="518">
        <v>0</v>
      </c>
      <c r="BK48" s="518">
        <v>0</v>
      </c>
      <c r="BL48" s="518">
        <v>0</v>
      </c>
      <c r="BM48" s="518">
        <v>0</v>
      </c>
      <c r="BN48" s="518">
        <v>0</v>
      </c>
      <c r="BO48" s="518">
        <v>0</v>
      </c>
      <c r="BP48" s="518">
        <v>0</v>
      </c>
      <c r="BQ48" s="518">
        <v>0</v>
      </c>
      <c r="BR48" s="518">
        <v>0</v>
      </c>
      <c r="BS48" s="518">
        <v>0</v>
      </c>
      <c r="BT48" s="518">
        <v>0</v>
      </c>
      <c r="BU48" s="518">
        <v>0</v>
      </c>
      <c r="BV48" s="518">
        <v>0</v>
      </c>
      <c r="BW48" s="518">
        <v>0</v>
      </c>
      <c r="BX48" s="518">
        <v>0</v>
      </c>
      <c r="BY48" s="518">
        <v>0</v>
      </c>
      <c r="BZ48" s="518">
        <v>0</v>
      </c>
      <c r="CA48" s="518">
        <v>0</v>
      </c>
      <c r="CB48" s="518">
        <v>0</v>
      </c>
      <c r="CC48" s="518">
        <v>0</v>
      </c>
      <c r="CD48" s="518">
        <v>0</v>
      </c>
      <c r="CE48" s="518">
        <v>0</v>
      </c>
      <c r="CF48" s="518">
        <v>0</v>
      </c>
      <c r="CG48" s="518">
        <v>0</v>
      </c>
      <c r="CH48" s="518">
        <v>0</v>
      </c>
      <c r="CI48" s="518">
        <v>0</v>
      </c>
      <c r="CJ48" s="518">
        <v>0</v>
      </c>
      <c r="CK48" s="518">
        <v>0</v>
      </c>
      <c r="CL48" s="518">
        <v>0</v>
      </c>
      <c r="CM48" s="518">
        <v>0</v>
      </c>
      <c r="CN48" s="518">
        <v>0</v>
      </c>
      <c r="CO48" s="518">
        <v>0</v>
      </c>
      <c r="CP48" s="518">
        <v>0</v>
      </c>
      <c r="CQ48" s="518">
        <v>0</v>
      </c>
      <c r="CR48" s="518">
        <v>0</v>
      </c>
      <c r="CS48" s="518">
        <v>0</v>
      </c>
      <c r="CT48" s="518">
        <v>0</v>
      </c>
      <c r="CU48" s="518">
        <v>0</v>
      </c>
      <c r="CV48" s="518">
        <v>0</v>
      </c>
      <c r="CW48" s="518">
        <v>0</v>
      </c>
      <c r="CX48" s="518">
        <v>0</v>
      </c>
      <c r="CY48" s="518">
        <v>0</v>
      </c>
      <c r="CZ48" s="518">
        <v>0</v>
      </c>
      <c r="DA48" s="518">
        <v>0</v>
      </c>
      <c r="DB48" s="518">
        <v>0</v>
      </c>
      <c r="DC48" s="518">
        <v>0</v>
      </c>
      <c r="DD48" s="518">
        <v>0</v>
      </c>
      <c r="DE48" s="518">
        <v>0</v>
      </c>
      <c r="DF48" s="518">
        <v>0</v>
      </c>
      <c r="DG48" s="518">
        <v>0</v>
      </c>
      <c r="DH48" s="518">
        <v>0</v>
      </c>
      <c r="DI48" s="518">
        <v>0</v>
      </c>
      <c r="DJ48" s="518">
        <v>0</v>
      </c>
      <c r="DK48" s="518">
        <v>0</v>
      </c>
      <c r="DL48" s="518">
        <v>0</v>
      </c>
      <c r="DM48" s="518">
        <v>0</v>
      </c>
      <c r="DN48" s="518">
        <v>0</v>
      </c>
      <c r="DO48" s="518">
        <v>0</v>
      </c>
      <c r="DP48" s="518">
        <v>0</v>
      </c>
      <c r="DQ48" s="518">
        <v>0</v>
      </c>
      <c r="DR48" s="518">
        <v>0</v>
      </c>
      <c r="DS48" s="518">
        <v>0</v>
      </c>
      <c r="DT48" s="518">
        <v>0</v>
      </c>
      <c r="DU48" s="518">
        <v>0</v>
      </c>
      <c r="DV48" s="518">
        <v>0</v>
      </c>
      <c r="DW48" s="518">
        <v>0</v>
      </c>
      <c r="DX48" s="518">
        <v>0</v>
      </c>
      <c r="DY48" s="477"/>
      <c r="DZ48" s="517" t="s">
        <v>721</v>
      </c>
      <c r="EA48" s="517" t="s">
        <v>1101</v>
      </c>
      <c r="EB48" s="517" t="s">
        <v>25</v>
      </c>
      <c r="EC48" s="518">
        <v>60</v>
      </c>
      <c r="ED48" s="494" t="str">
        <f t="shared" si="0"/>
        <v>SWUC100160</v>
      </c>
      <c r="EE48" s="518">
        <v>10000</v>
      </c>
      <c r="EF48" s="518">
        <v>10000</v>
      </c>
      <c r="EG48" s="518">
        <v>10000</v>
      </c>
      <c r="EH48" s="518">
        <v>10000</v>
      </c>
      <c r="EI48" s="518">
        <v>10000</v>
      </c>
      <c r="EJ48" s="518">
        <v>10000</v>
      </c>
      <c r="EK48" s="518">
        <v>10000</v>
      </c>
      <c r="EL48" s="518">
        <v>10000</v>
      </c>
      <c r="EM48" s="518">
        <v>10000</v>
      </c>
      <c r="EN48" s="518">
        <v>10000</v>
      </c>
      <c r="EO48" s="518">
        <v>0</v>
      </c>
      <c r="EP48" s="518">
        <v>0</v>
      </c>
      <c r="EQ48" s="518">
        <v>0</v>
      </c>
      <c r="ER48" s="518">
        <v>0</v>
      </c>
      <c r="ES48" s="518">
        <v>0</v>
      </c>
      <c r="ET48" s="518">
        <v>0</v>
      </c>
      <c r="EU48" s="518">
        <v>0</v>
      </c>
      <c r="EV48" s="518">
        <v>0</v>
      </c>
      <c r="EW48" s="518">
        <v>0</v>
      </c>
      <c r="EX48" s="518">
        <v>0</v>
      </c>
      <c r="EY48" s="518">
        <v>0</v>
      </c>
      <c r="EZ48" s="518">
        <v>0</v>
      </c>
      <c r="FA48" s="518">
        <v>0</v>
      </c>
      <c r="FB48" s="518">
        <v>0</v>
      </c>
      <c r="FC48" s="518">
        <v>0</v>
      </c>
      <c r="FD48" s="518">
        <v>0</v>
      </c>
      <c r="FE48" s="518">
        <v>0</v>
      </c>
      <c r="FF48" s="518">
        <v>0</v>
      </c>
      <c r="FG48" s="518">
        <v>0</v>
      </c>
      <c r="FH48" s="518">
        <v>0</v>
      </c>
      <c r="FI48" s="518">
        <v>0</v>
      </c>
      <c r="FJ48" s="518">
        <v>0</v>
      </c>
      <c r="FK48" s="518">
        <v>0</v>
      </c>
      <c r="FL48" s="518">
        <v>0</v>
      </c>
      <c r="FM48" s="518">
        <v>0</v>
      </c>
      <c r="FN48" s="518">
        <v>0</v>
      </c>
      <c r="FO48" s="518">
        <v>0</v>
      </c>
      <c r="FP48" s="518">
        <v>0</v>
      </c>
      <c r="FQ48" s="518">
        <v>0</v>
      </c>
      <c r="FR48" s="518">
        <v>0</v>
      </c>
      <c r="FS48" s="518">
        <v>0</v>
      </c>
      <c r="FT48" s="518">
        <v>0</v>
      </c>
      <c r="FU48" s="518">
        <v>0</v>
      </c>
      <c r="FV48" s="518">
        <v>0</v>
      </c>
      <c r="FW48" s="518">
        <v>0</v>
      </c>
      <c r="FX48" s="518">
        <v>0</v>
      </c>
      <c r="FY48" s="518">
        <v>0</v>
      </c>
      <c r="FZ48" s="518">
        <v>0</v>
      </c>
      <c r="GA48" s="518">
        <v>0</v>
      </c>
      <c r="GB48" s="518">
        <v>0</v>
      </c>
      <c r="GC48" s="518">
        <v>0</v>
      </c>
      <c r="GD48" s="518">
        <v>0</v>
      </c>
      <c r="GE48" s="518">
        <v>0</v>
      </c>
      <c r="GF48" s="518">
        <v>0</v>
      </c>
      <c r="GG48" s="518">
        <v>0</v>
      </c>
      <c r="GH48" s="518">
        <v>0</v>
      </c>
      <c r="GI48" s="518">
        <v>0</v>
      </c>
      <c r="GJ48" s="518">
        <v>0</v>
      </c>
      <c r="GK48" s="518">
        <v>0</v>
      </c>
      <c r="GL48" s="518">
        <v>0</v>
      </c>
      <c r="GM48" s="518">
        <v>0</v>
      </c>
      <c r="GN48" s="518">
        <v>0</v>
      </c>
      <c r="GO48" s="518">
        <v>0</v>
      </c>
      <c r="GP48" s="518">
        <v>0</v>
      </c>
      <c r="GQ48" s="518">
        <v>0</v>
      </c>
      <c r="GR48" s="518">
        <v>0</v>
      </c>
      <c r="GS48" s="518">
        <v>0</v>
      </c>
      <c r="GT48" s="518">
        <v>0</v>
      </c>
      <c r="GU48" s="518">
        <v>0</v>
      </c>
      <c r="GV48" s="518">
        <v>0</v>
      </c>
      <c r="GW48" s="518">
        <v>0</v>
      </c>
      <c r="GX48" s="518">
        <v>0</v>
      </c>
      <c r="GY48" s="518">
        <v>0</v>
      </c>
      <c r="GZ48" s="518">
        <v>0</v>
      </c>
      <c r="HA48" s="518">
        <v>0</v>
      </c>
      <c r="HB48" s="518">
        <v>0</v>
      </c>
      <c r="HC48" s="518">
        <v>0</v>
      </c>
      <c r="HD48" s="518">
        <v>0</v>
      </c>
      <c r="HE48" s="518">
        <v>0</v>
      </c>
      <c r="HF48" s="518">
        <v>0</v>
      </c>
      <c r="HG48" s="518">
        <v>0</v>
      </c>
      <c r="HH48" s="518">
        <v>0</v>
      </c>
      <c r="HI48" s="518">
        <v>0</v>
      </c>
      <c r="HJ48" s="518">
        <v>0</v>
      </c>
      <c r="HK48" s="518">
        <v>0</v>
      </c>
      <c r="HL48" s="518">
        <v>0</v>
      </c>
      <c r="HM48" s="518">
        <v>0</v>
      </c>
      <c r="HN48" s="518">
        <v>0</v>
      </c>
      <c r="HO48" s="518">
        <v>0</v>
      </c>
      <c r="HP48" s="518">
        <v>0</v>
      </c>
      <c r="HQ48" s="518">
        <v>0</v>
      </c>
      <c r="HR48" s="518">
        <v>0</v>
      </c>
      <c r="HS48" s="518">
        <v>0</v>
      </c>
      <c r="HT48" s="518">
        <v>0</v>
      </c>
      <c r="HU48" s="518">
        <v>0</v>
      </c>
      <c r="HV48" s="518">
        <v>0</v>
      </c>
      <c r="HW48" s="518">
        <v>0</v>
      </c>
      <c r="HX48" s="518">
        <v>0</v>
      </c>
      <c r="HY48" s="518">
        <v>0</v>
      </c>
      <c r="HZ48" s="518">
        <v>0</v>
      </c>
      <c r="IA48" s="518">
        <v>0</v>
      </c>
      <c r="IB48" s="518">
        <v>0</v>
      </c>
      <c r="IC48" s="518">
        <v>0</v>
      </c>
      <c r="ID48" s="518">
        <v>0</v>
      </c>
      <c r="IE48" s="518">
        <v>0</v>
      </c>
      <c r="IF48" s="518">
        <v>0</v>
      </c>
      <c r="IG48" s="518">
        <v>0</v>
      </c>
      <c r="IH48" s="518">
        <v>0</v>
      </c>
      <c r="II48" s="518">
        <v>0</v>
      </c>
      <c r="IJ48" s="518">
        <v>0</v>
      </c>
      <c r="IK48" s="518">
        <v>0</v>
      </c>
    </row>
    <row r="49" spans="1:245" ht="16.5" hidden="1">
      <c r="A49" s="517" t="s">
        <v>721</v>
      </c>
      <c r="B49" s="517" t="s">
        <v>1101</v>
      </c>
      <c r="C49" s="517" t="s">
        <v>721</v>
      </c>
      <c r="D49" s="558"/>
      <c r="E49" s="517" t="s">
        <v>721</v>
      </c>
      <c r="F49" s="517" t="s">
        <v>25</v>
      </c>
      <c r="G49" s="558"/>
      <c r="H49" s="518">
        <v>61</v>
      </c>
      <c r="I49" s="558"/>
      <c r="J49" s="494" t="str">
        <f t="shared" si="1"/>
        <v>SWUC100161</v>
      </c>
      <c r="K49" s="518">
        <v>702</v>
      </c>
      <c r="M49" s="517" t="s">
        <v>721</v>
      </c>
      <c r="N49" s="517" t="s">
        <v>1101</v>
      </c>
      <c r="O49" s="517" t="s">
        <v>25</v>
      </c>
      <c r="P49" s="518">
        <v>61</v>
      </c>
      <c r="Q49" s="494" t="str">
        <f t="shared" si="2"/>
        <v>SWUC100161</v>
      </c>
      <c r="R49" s="518">
        <v>0</v>
      </c>
      <c r="S49" s="518">
        <v>56</v>
      </c>
      <c r="T49" s="518">
        <v>114</v>
      </c>
      <c r="U49" s="518">
        <v>171</v>
      </c>
      <c r="V49" s="518">
        <v>230</v>
      </c>
      <c r="W49" s="518">
        <v>309</v>
      </c>
      <c r="X49" s="518">
        <v>395</v>
      </c>
      <c r="Y49" s="518">
        <v>487</v>
      </c>
      <c r="Z49" s="518">
        <v>586</v>
      </c>
      <c r="AA49" s="518">
        <v>0</v>
      </c>
      <c r="AB49" s="518">
        <v>0</v>
      </c>
      <c r="AC49" s="518">
        <v>0</v>
      </c>
      <c r="AD49" s="518">
        <v>0</v>
      </c>
      <c r="AE49" s="518">
        <v>0</v>
      </c>
      <c r="AF49" s="518">
        <v>0</v>
      </c>
      <c r="AG49" s="518">
        <v>0</v>
      </c>
      <c r="AH49" s="518">
        <v>0</v>
      </c>
      <c r="AI49" s="518">
        <v>0</v>
      </c>
      <c r="AJ49" s="518">
        <v>0</v>
      </c>
      <c r="AK49" s="518">
        <v>0</v>
      </c>
      <c r="AL49" s="518">
        <v>0</v>
      </c>
      <c r="AM49" s="518">
        <v>0</v>
      </c>
      <c r="AN49" s="518">
        <v>0</v>
      </c>
      <c r="AO49" s="518">
        <v>0</v>
      </c>
      <c r="AP49" s="518">
        <v>0</v>
      </c>
      <c r="AQ49" s="518">
        <v>0</v>
      </c>
      <c r="AR49" s="518">
        <v>0</v>
      </c>
      <c r="AS49" s="518">
        <v>0</v>
      </c>
      <c r="AT49" s="518">
        <v>0</v>
      </c>
      <c r="AU49" s="518">
        <v>0</v>
      </c>
      <c r="AV49" s="518">
        <v>0</v>
      </c>
      <c r="AW49" s="518">
        <v>0</v>
      </c>
      <c r="AX49" s="518">
        <v>0</v>
      </c>
      <c r="AY49" s="518">
        <v>0</v>
      </c>
      <c r="AZ49" s="518">
        <v>0</v>
      </c>
      <c r="BA49" s="518">
        <v>0</v>
      </c>
      <c r="BB49" s="518">
        <v>0</v>
      </c>
      <c r="BC49" s="518">
        <v>0</v>
      </c>
      <c r="BD49" s="518">
        <v>0</v>
      </c>
      <c r="BE49" s="518">
        <v>0</v>
      </c>
      <c r="BF49" s="518">
        <v>0</v>
      </c>
      <c r="BG49" s="518">
        <v>0</v>
      </c>
      <c r="BH49" s="518">
        <v>0</v>
      </c>
      <c r="BI49" s="518">
        <v>0</v>
      </c>
      <c r="BJ49" s="518">
        <v>0</v>
      </c>
      <c r="BK49" s="518">
        <v>0</v>
      </c>
      <c r="BL49" s="518">
        <v>0</v>
      </c>
      <c r="BM49" s="518">
        <v>0</v>
      </c>
      <c r="BN49" s="518">
        <v>0</v>
      </c>
      <c r="BO49" s="518">
        <v>0</v>
      </c>
      <c r="BP49" s="518">
        <v>0</v>
      </c>
      <c r="BQ49" s="518">
        <v>0</v>
      </c>
      <c r="BR49" s="518">
        <v>0</v>
      </c>
      <c r="BS49" s="518">
        <v>0</v>
      </c>
      <c r="BT49" s="518">
        <v>0</v>
      </c>
      <c r="BU49" s="518">
        <v>0</v>
      </c>
      <c r="BV49" s="518">
        <v>0</v>
      </c>
      <c r="BW49" s="518">
        <v>0</v>
      </c>
      <c r="BX49" s="518">
        <v>0</v>
      </c>
      <c r="BY49" s="518">
        <v>0</v>
      </c>
      <c r="BZ49" s="518">
        <v>0</v>
      </c>
      <c r="CA49" s="518">
        <v>0</v>
      </c>
      <c r="CB49" s="518">
        <v>0</v>
      </c>
      <c r="CC49" s="518">
        <v>0</v>
      </c>
      <c r="CD49" s="518">
        <v>0</v>
      </c>
      <c r="CE49" s="518">
        <v>0</v>
      </c>
      <c r="CF49" s="518">
        <v>0</v>
      </c>
      <c r="CG49" s="518">
        <v>0</v>
      </c>
      <c r="CH49" s="518">
        <v>0</v>
      </c>
      <c r="CI49" s="518">
        <v>0</v>
      </c>
      <c r="CJ49" s="518">
        <v>0</v>
      </c>
      <c r="CK49" s="518">
        <v>0</v>
      </c>
      <c r="CL49" s="518">
        <v>0</v>
      </c>
      <c r="CM49" s="518">
        <v>0</v>
      </c>
      <c r="CN49" s="518">
        <v>0</v>
      </c>
      <c r="CO49" s="518">
        <v>0</v>
      </c>
      <c r="CP49" s="518">
        <v>0</v>
      </c>
      <c r="CQ49" s="518">
        <v>0</v>
      </c>
      <c r="CR49" s="518">
        <v>0</v>
      </c>
      <c r="CS49" s="518">
        <v>0</v>
      </c>
      <c r="CT49" s="518">
        <v>0</v>
      </c>
      <c r="CU49" s="518">
        <v>0</v>
      </c>
      <c r="CV49" s="518">
        <v>0</v>
      </c>
      <c r="CW49" s="518">
        <v>0</v>
      </c>
      <c r="CX49" s="518">
        <v>0</v>
      </c>
      <c r="CY49" s="518">
        <v>0</v>
      </c>
      <c r="CZ49" s="518">
        <v>0</v>
      </c>
      <c r="DA49" s="518">
        <v>0</v>
      </c>
      <c r="DB49" s="518">
        <v>0</v>
      </c>
      <c r="DC49" s="518">
        <v>0</v>
      </c>
      <c r="DD49" s="518">
        <v>0</v>
      </c>
      <c r="DE49" s="518">
        <v>0</v>
      </c>
      <c r="DF49" s="518">
        <v>0</v>
      </c>
      <c r="DG49" s="518">
        <v>0</v>
      </c>
      <c r="DH49" s="518">
        <v>0</v>
      </c>
      <c r="DI49" s="518">
        <v>0</v>
      </c>
      <c r="DJ49" s="518">
        <v>0</v>
      </c>
      <c r="DK49" s="518">
        <v>0</v>
      </c>
      <c r="DL49" s="518">
        <v>0</v>
      </c>
      <c r="DM49" s="518">
        <v>0</v>
      </c>
      <c r="DN49" s="518">
        <v>0</v>
      </c>
      <c r="DO49" s="518">
        <v>0</v>
      </c>
      <c r="DP49" s="518">
        <v>0</v>
      </c>
      <c r="DQ49" s="518">
        <v>0</v>
      </c>
      <c r="DR49" s="518">
        <v>0</v>
      </c>
      <c r="DS49" s="518">
        <v>0</v>
      </c>
      <c r="DT49" s="518">
        <v>0</v>
      </c>
      <c r="DU49" s="518">
        <v>0</v>
      </c>
      <c r="DV49" s="518">
        <v>0</v>
      </c>
      <c r="DW49" s="518">
        <v>0</v>
      </c>
      <c r="DX49" s="518">
        <v>0</v>
      </c>
      <c r="DY49" s="477"/>
      <c r="DZ49" s="517" t="s">
        <v>721</v>
      </c>
      <c r="EA49" s="517" t="s">
        <v>1101</v>
      </c>
      <c r="EB49" s="517" t="s">
        <v>25</v>
      </c>
      <c r="EC49" s="518">
        <v>61</v>
      </c>
      <c r="ED49" s="494" t="str">
        <f t="shared" si="0"/>
        <v>SWUC100161</v>
      </c>
      <c r="EE49" s="518">
        <v>10000</v>
      </c>
      <c r="EF49" s="518">
        <v>10000</v>
      </c>
      <c r="EG49" s="518">
        <v>10000</v>
      </c>
      <c r="EH49" s="518">
        <v>10000</v>
      </c>
      <c r="EI49" s="518">
        <v>10000</v>
      </c>
      <c r="EJ49" s="518">
        <v>10000</v>
      </c>
      <c r="EK49" s="518">
        <v>10000</v>
      </c>
      <c r="EL49" s="518">
        <v>10000</v>
      </c>
      <c r="EM49" s="518">
        <v>10000</v>
      </c>
      <c r="EN49" s="518">
        <v>10000</v>
      </c>
      <c r="EO49" s="518">
        <v>0</v>
      </c>
      <c r="EP49" s="518">
        <v>0</v>
      </c>
      <c r="EQ49" s="518">
        <v>0</v>
      </c>
      <c r="ER49" s="518">
        <v>0</v>
      </c>
      <c r="ES49" s="518">
        <v>0</v>
      </c>
      <c r="ET49" s="518">
        <v>0</v>
      </c>
      <c r="EU49" s="518">
        <v>0</v>
      </c>
      <c r="EV49" s="518">
        <v>0</v>
      </c>
      <c r="EW49" s="518">
        <v>0</v>
      </c>
      <c r="EX49" s="518">
        <v>0</v>
      </c>
      <c r="EY49" s="518">
        <v>0</v>
      </c>
      <c r="EZ49" s="518">
        <v>0</v>
      </c>
      <c r="FA49" s="518">
        <v>0</v>
      </c>
      <c r="FB49" s="518">
        <v>0</v>
      </c>
      <c r="FC49" s="518">
        <v>0</v>
      </c>
      <c r="FD49" s="518">
        <v>0</v>
      </c>
      <c r="FE49" s="518">
        <v>0</v>
      </c>
      <c r="FF49" s="518">
        <v>0</v>
      </c>
      <c r="FG49" s="518">
        <v>0</v>
      </c>
      <c r="FH49" s="518">
        <v>0</v>
      </c>
      <c r="FI49" s="518">
        <v>0</v>
      </c>
      <c r="FJ49" s="518">
        <v>0</v>
      </c>
      <c r="FK49" s="518">
        <v>0</v>
      </c>
      <c r="FL49" s="518">
        <v>0</v>
      </c>
      <c r="FM49" s="518">
        <v>0</v>
      </c>
      <c r="FN49" s="518">
        <v>0</v>
      </c>
      <c r="FO49" s="518">
        <v>0</v>
      </c>
      <c r="FP49" s="518">
        <v>0</v>
      </c>
      <c r="FQ49" s="518">
        <v>0</v>
      </c>
      <c r="FR49" s="518">
        <v>0</v>
      </c>
      <c r="FS49" s="518">
        <v>0</v>
      </c>
      <c r="FT49" s="518">
        <v>0</v>
      </c>
      <c r="FU49" s="518">
        <v>0</v>
      </c>
      <c r="FV49" s="518">
        <v>0</v>
      </c>
      <c r="FW49" s="518">
        <v>0</v>
      </c>
      <c r="FX49" s="518">
        <v>0</v>
      </c>
      <c r="FY49" s="518">
        <v>0</v>
      </c>
      <c r="FZ49" s="518">
        <v>0</v>
      </c>
      <c r="GA49" s="518">
        <v>0</v>
      </c>
      <c r="GB49" s="518">
        <v>0</v>
      </c>
      <c r="GC49" s="518">
        <v>0</v>
      </c>
      <c r="GD49" s="518">
        <v>0</v>
      </c>
      <c r="GE49" s="518">
        <v>0</v>
      </c>
      <c r="GF49" s="518">
        <v>0</v>
      </c>
      <c r="GG49" s="518">
        <v>0</v>
      </c>
      <c r="GH49" s="518">
        <v>0</v>
      </c>
      <c r="GI49" s="518">
        <v>0</v>
      </c>
      <c r="GJ49" s="518">
        <v>0</v>
      </c>
      <c r="GK49" s="518">
        <v>0</v>
      </c>
      <c r="GL49" s="518">
        <v>0</v>
      </c>
      <c r="GM49" s="518">
        <v>0</v>
      </c>
      <c r="GN49" s="518">
        <v>0</v>
      </c>
      <c r="GO49" s="518">
        <v>0</v>
      </c>
      <c r="GP49" s="518">
        <v>0</v>
      </c>
      <c r="GQ49" s="518">
        <v>0</v>
      </c>
      <c r="GR49" s="518">
        <v>0</v>
      </c>
      <c r="GS49" s="518">
        <v>0</v>
      </c>
      <c r="GT49" s="518">
        <v>0</v>
      </c>
      <c r="GU49" s="518">
        <v>0</v>
      </c>
      <c r="GV49" s="518">
        <v>0</v>
      </c>
      <c r="GW49" s="518">
        <v>0</v>
      </c>
      <c r="GX49" s="518">
        <v>0</v>
      </c>
      <c r="GY49" s="518">
        <v>0</v>
      </c>
      <c r="GZ49" s="518">
        <v>0</v>
      </c>
      <c r="HA49" s="518">
        <v>0</v>
      </c>
      <c r="HB49" s="518">
        <v>0</v>
      </c>
      <c r="HC49" s="518">
        <v>0</v>
      </c>
      <c r="HD49" s="518">
        <v>0</v>
      </c>
      <c r="HE49" s="518">
        <v>0</v>
      </c>
      <c r="HF49" s="518">
        <v>0</v>
      </c>
      <c r="HG49" s="518">
        <v>0</v>
      </c>
      <c r="HH49" s="518">
        <v>0</v>
      </c>
      <c r="HI49" s="518">
        <v>0</v>
      </c>
      <c r="HJ49" s="518">
        <v>0</v>
      </c>
      <c r="HK49" s="518">
        <v>0</v>
      </c>
      <c r="HL49" s="518">
        <v>0</v>
      </c>
      <c r="HM49" s="518">
        <v>0</v>
      </c>
      <c r="HN49" s="518">
        <v>0</v>
      </c>
      <c r="HO49" s="518">
        <v>0</v>
      </c>
      <c r="HP49" s="518">
        <v>0</v>
      </c>
      <c r="HQ49" s="518">
        <v>0</v>
      </c>
      <c r="HR49" s="518">
        <v>0</v>
      </c>
      <c r="HS49" s="518">
        <v>0</v>
      </c>
      <c r="HT49" s="518">
        <v>0</v>
      </c>
      <c r="HU49" s="518">
        <v>0</v>
      </c>
      <c r="HV49" s="518">
        <v>0</v>
      </c>
      <c r="HW49" s="518">
        <v>0</v>
      </c>
      <c r="HX49" s="518">
        <v>0</v>
      </c>
      <c r="HY49" s="518">
        <v>0</v>
      </c>
      <c r="HZ49" s="518">
        <v>0</v>
      </c>
      <c r="IA49" s="518">
        <v>0</v>
      </c>
      <c r="IB49" s="518">
        <v>0</v>
      </c>
      <c r="IC49" s="518">
        <v>0</v>
      </c>
      <c r="ID49" s="518">
        <v>0</v>
      </c>
      <c r="IE49" s="518">
        <v>0</v>
      </c>
      <c r="IF49" s="518">
        <v>0</v>
      </c>
      <c r="IG49" s="518">
        <v>0</v>
      </c>
      <c r="IH49" s="518">
        <v>0</v>
      </c>
      <c r="II49" s="518">
        <v>0</v>
      </c>
      <c r="IJ49" s="518">
        <v>0</v>
      </c>
      <c r="IK49" s="518">
        <v>0</v>
      </c>
    </row>
    <row r="50" spans="1:245" ht="16.5" hidden="1">
      <c r="A50" s="517" t="s">
        <v>721</v>
      </c>
      <c r="B50" s="517" t="s">
        <v>1101</v>
      </c>
      <c r="C50" s="517" t="s">
        <v>721</v>
      </c>
      <c r="D50" s="558"/>
      <c r="E50" s="517" t="s">
        <v>721</v>
      </c>
      <c r="F50" s="517" t="s">
        <v>26</v>
      </c>
      <c r="G50" s="558"/>
      <c r="H50" s="518">
        <v>15</v>
      </c>
      <c r="I50" s="558"/>
      <c r="J50" s="494" t="str">
        <f t="shared" si="1"/>
        <v>SWUC100215</v>
      </c>
      <c r="K50" s="518">
        <v>39</v>
      </c>
      <c r="M50" s="517" t="s">
        <v>721</v>
      </c>
      <c r="N50" s="517" t="s">
        <v>1101</v>
      </c>
      <c r="O50" s="517" t="s">
        <v>26</v>
      </c>
      <c r="P50" s="518">
        <v>15</v>
      </c>
      <c r="Q50" s="494" t="str">
        <f t="shared" si="2"/>
        <v>SWUC100215</v>
      </c>
      <c r="R50" s="518">
        <v>0</v>
      </c>
      <c r="S50" s="518">
        <v>3</v>
      </c>
      <c r="T50" s="518">
        <v>7</v>
      </c>
      <c r="U50" s="518">
        <v>10</v>
      </c>
      <c r="V50" s="518">
        <v>13</v>
      </c>
      <c r="W50" s="518">
        <v>17</v>
      </c>
      <c r="X50" s="518">
        <v>22</v>
      </c>
      <c r="Y50" s="518">
        <v>27</v>
      </c>
      <c r="Z50" s="518">
        <v>32</v>
      </c>
      <c r="AA50" s="518">
        <v>0</v>
      </c>
      <c r="AB50" s="518">
        <v>0</v>
      </c>
      <c r="AC50" s="518">
        <v>0</v>
      </c>
      <c r="AD50" s="518">
        <v>0</v>
      </c>
      <c r="AE50" s="518">
        <v>0</v>
      </c>
      <c r="AF50" s="518">
        <v>0</v>
      </c>
      <c r="AG50" s="518">
        <v>0</v>
      </c>
      <c r="AH50" s="518">
        <v>0</v>
      </c>
      <c r="AI50" s="518">
        <v>0</v>
      </c>
      <c r="AJ50" s="518">
        <v>0</v>
      </c>
      <c r="AK50" s="518">
        <v>0</v>
      </c>
      <c r="AL50" s="518">
        <v>0</v>
      </c>
      <c r="AM50" s="518">
        <v>0</v>
      </c>
      <c r="AN50" s="518">
        <v>0</v>
      </c>
      <c r="AO50" s="518">
        <v>0</v>
      </c>
      <c r="AP50" s="518">
        <v>0</v>
      </c>
      <c r="AQ50" s="518">
        <v>0</v>
      </c>
      <c r="AR50" s="518">
        <v>0</v>
      </c>
      <c r="AS50" s="518">
        <v>0</v>
      </c>
      <c r="AT50" s="518">
        <v>0</v>
      </c>
      <c r="AU50" s="518">
        <v>0</v>
      </c>
      <c r="AV50" s="518">
        <v>0</v>
      </c>
      <c r="AW50" s="518">
        <v>0</v>
      </c>
      <c r="AX50" s="518">
        <v>0</v>
      </c>
      <c r="AY50" s="518">
        <v>0</v>
      </c>
      <c r="AZ50" s="518">
        <v>0</v>
      </c>
      <c r="BA50" s="518">
        <v>0</v>
      </c>
      <c r="BB50" s="518">
        <v>0</v>
      </c>
      <c r="BC50" s="518">
        <v>0</v>
      </c>
      <c r="BD50" s="518">
        <v>0</v>
      </c>
      <c r="BE50" s="518">
        <v>0</v>
      </c>
      <c r="BF50" s="518">
        <v>0</v>
      </c>
      <c r="BG50" s="518">
        <v>0</v>
      </c>
      <c r="BH50" s="518">
        <v>0</v>
      </c>
      <c r="BI50" s="518">
        <v>0</v>
      </c>
      <c r="BJ50" s="518">
        <v>0</v>
      </c>
      <c r="BK50" s="518">
        <v>0</v>
      </c>
      <c r="BL50" s="518">
        <v>0</v>
      </c>
      <c r="BM50" s="518">
        <v>0</v>
      </c>
      <c r="BN50" s="518">
        <v>0</v>
      </c>
      <c r="BO50" s="518">
        <v>0</v>
      </c>
      <c r="BP50" s="518">
        <v>0</v>
      </c>
      <c r="BQ50" s="518">
        <v>0</v>
      </c>
      <c r="BR50" s="518">
        <v>0</v>
      </c>
      <c r="BS50" s="518">
        <v>0</v>
      </c>
      <c r="BT50" s="518">
        <v>0</v>
      </c>
      <c r="BU50" s="518">
        <v>0</v>
      </c>
      <c r="BV50" s="518">
        <v>0</v>
      </c>
      <c r="BW50" s="518">
        <v>0</v>
      </c>
      <c r="BX50" s="518">
        <v>0</v>
      </c>
      <c r="BY50" s="518">
        <v>0</v>
      </c>
      <c r="BZ50" s="518">
        <v>0</v>
      </c>
      <c r="CA50" s="518">
        <v>0</v>
      </c>
      <c r="CB50" s="518">
        <v>0</v>
      </c>
      <c r="CC50" s="518">
        <v>0</v>
      </c>
      <c r="CD50" s="518">
        <v>0</v>
      </c>
      <c r="CE50" s="518">
        <v>0</v>
      </c>
      <c r="CF50" s="518">
        <v>0</v>
      </c>
      <c r="CG50" s="518">
        <v>0</v>
      </c>
      <c r="CH50" s="518">
        <v>0</v>
      </c>
      <c r="CI50" s="518">
        <v>0</v>
      </c>
      <c r="CJ50" s="518">
        <v>0</v>
      </c>
      <c r="CK50" s="518">
        <v>0</v>
      </c>
      <c r="CL50" s="518">
        <v>0</v>
      </c>
      <c r="CM50" s="518">
        <v>0</v>
      </c>
      <c r="CN50" s="518">
        <v>0</v>
      </c>
      <c r="CO50" s="518">
        <v>0</v>
      </c>
      <c r="CP50" s="518">
        <v>0</v>
      </c>
      <c r="CQ50" s="518">
        <v>0</v>
      </c>
      <c r="CR50" s="518">
        <v>0</v>
      </c>
      <c r="CS50" s="518">
        <v>0</v>
      </c>
      <c r="CT50" s="518">
        <v>0</v>
      </c>
      <c r="CU50" s="518">
        <v>0</v>
      </c>
      <c r="CV50" s="518">
        <v>0</v>
      </c>
      <c r="CW50" s="518">
        <v>0</v>
      </c>
      <c r="CX50" s="518">
        <v>0</v>
      </c>
      <c r="CY50" s="518">
        <v>0</v>
      </c>
      <c r="CZ50" s="518">
        <v>0</v>
      </c>
      <c r="DA50" s="518">
        <v>0</v>
      </c>
      <c r="DB50" s="518">
        <v>0</v>
      </c>
      <c r="DC50" s="518">
        <v>0</v>
      </c>
      <c r="DD50" s="518">
        <v>0</v>
      </c>
      <c r="DE50" s="518">
        <v>0</v>
      </c>
      <c r="DF50" s="518">
        <v>0</v>
      </c>
      <c r="DG50" s="518">
        <v>0</v>
      </c>
      <c r="DH50" s="518">
        <v>0</v>
      </c>
      <c r="DI50" s="518">
        <v>0</v>
      </c>
      <c r="DJ50" s="518">
        <v>0</v>
      </c>
      <c r="DK50" s="518">
        <v>0</v>
      </c>
      <c r="DL50" s="518">
        <v>0</v>
      </c>
      <c r="DM50" s="518">
        <v>0</v>
      </c>
      <c r="DN50" s="518">
        <v>0</v>
      </c>
      <c r="DO50" s="518">
        <v>0</v>
      </c>
      <c r="DP50" s="518">
        <v>0</v>
      </c>
      <c r="DQ50" s="518">
        <v>0</v>
      </c>
      <c r="DR50" s="518">
        <v>0</v>
      </c>
      <c r="DS50" s="518">
        <v>0</v>
      </c>
      <c r="DT50" s="518">
        <v>0</v>
      </c>
      <c r="DU50" s="518">
        <v>0</v>
      </c>
      <c r="DV50" s="518">
        <v>0</v>
      </c>
      <c r="DW50" s="518">
        <v>0</v>
      </c>
      <c r="DX50" s="518">
        <v>0</v>
      </c>
      <c r="DY50" s="477"/>
      <c r="DZ50" s="517" t="s">
        <v>721</v>
      </c>
      <c r="EA50" s="517" t="s">
        <v>1101</v>
      </c>
      <c r="EB50" s="517" t="s">
        <v>26</v>
      </c>
      <c r="EC50" s="518">
        <v>15</v>
      </c>
      <c r="ED50" s="494" t="str">
        <f t="shared" si="0"/>
        <v>SWUC100215</v>
      </c>
      <c r="EE50" s="518">
        <v>10000</v>
      </c>
      <c r="EF50" s="518">
        <v>10000</v>
      </c>
      <c r="EG50" s="518">
        <v>10000</v>
      </c>
      <c r="EH50" s="518">
        <v>10000</v>
      </c>
      <c r="EI50" s="518">
        <v>10000</v>
      </c>
      <c r="EJ50" s="518">
        <v>10000</v>
      </c>
      <c r="EK50" s="518">
        <v>10000</v>
      </c>
      <c r="EL50" s="518">
        <v>10000</v>
      </c>
      <c r="EM50" s="518">
        <v>10000</v>
      </c>
      <c r="EN50" s="518">
        <v>10000</v>
      </c>
      <c r="EO50" s="518">
        <v>0</v>
      </c>
      <c r="EP50" s="518">
        <v>0</v>
      </c>
      <c r="EQ50" s="518">
        <v>0</v>
      </c>
      <c r="ER50" s="518">
        <v>0</v>
      </c>
      <c r="ES50" s="518">
        <v>0</v>
      </c>
      <c r="ET50" s="518">
        <v>0</v>
      </c>
      <c r="EU50" s="518">
        <v>0</v>
      </c>
      <c r="EV50" s="518">
        <v>0</v>
      </c>
      <c r="EW50" s="518">
        <v>0</v>
      </c>
      <c r="EX50" s="518">
        <v>0</v>
      </c>
      <c r="EY50" s="518">
        <v>0</v>
      </c>
      <c r="EZ50" s="518">
        <v>0</v>
      </c>
      <c r="FA50" s="518">
        <v>0</v>
      </c>
      <c r="FB50" s="518">
        <v>0</v>
      </c>
      <c r="FC50" s="518">
        <v>0</v>
      </c>
      <c r="FD50" s="518">
        <v>0</v>
      </c>
      <c r="FE50" s="518">
        <v>0</v>
      </c>
      <c r="FF50" s="518">
        <v>0</v>
      </c>
      <c r="FG50" s="518">
        <v>0</v>
      </c>
      <c r="FH50" s="518">
        <v>0</v>
      </c>
      <c r="FI50" s="518">
        <v>0</v>
      </c>
      <c r="FJ50" s="518">
        <v>0</v>
      </c>
      <c r="FK50" s="518">
        <v>0</v>
      </c>
      <c r="FL50" s="518">
        <v>0</v>
      </c>
      <c r="FM50" s="518">
        <v>0</v>
      </c>
      <c r="FN50" s="518">
        <v>0</v>
      </c>
      <c r="FO50" s="518">
        <v>0</v>
      </c>
      <c r="FP50" s="518">
        <v>0</v>
      </c>
      <c r="FQ50" s="518">
        <v>0</v>
      </c>
      <c r="FR50" s="518">
        <v>0</v>
      </c>
      <c r="FS50" s="518">
        <v>0</v>
      </c>
      <c r="FT50" s="518">
        <v>0</v>
      </c>
      <c r="FU50" s="518">
        <v>0</v>
      </c>
      <c r="FV50" s="518">
        <v>0</v>
      </c>
      <c r="FW50" s="518">
        <v>0</v>
      </c>
      <c r="FX50" s="518">
        <v>0</v>
      </c>
      <c r="FY50" s="518">
        <v>0</v>
      </c>
      <c r="FZ50" s="518">
        <v>0</v>
      </c>
      <c r="GA50" s="518">
        <v>0</v>
      </c>
      <c r="GB50" s="518">
        <v>0</v>
      </c>
      <c r="GC50" s="518">
        <v>0</v>
      </c>
      <c r="GD50" s="518">
        <v>0</v>
      </c>
      <c r="GE50" s="518">
        <v>0</v>
      </c>
      <c r="GF50" s="518">
        <v>0</v>
      </c>
      <c r="GG50" s="518">
        <v>0</v>
      </c>
      <c r="GH50" s="518">
        <v>0</v>
      </c>
      <c r="GI50" s="518">
        <v>0</v>
      </c>
      <c r="GJ50" s="518">
        <v>0</v>
      </c>
      <c r="GK50" s="518">
        <v>0</v>
      </c>
      <c r="GL50" s="518">
        <v>0</v>
      </c>
      <c r="GM50" s="518">
        <v>0</v>
      </c>
      <c r="GN50" s="518">
        <v>0</v>
      </c>
      <c r="GO50" s="518">
        <v>0</v>
      </c>
      <c r="GP50" s="518">
        <v>0</v>
      </c>
      <c r="GQ50" s="518">
        <v>0</v>
      </c>
      <c r="GR50" s="518">
        <v>0</v>
      </c>
      <c r="GS50" s="518">
        <v>0</v>
      </c>
      <c r="GT50" s="518">
        <v>0</v>
      </c>
      <c r="GU50" s="518">
        <v>0</v>
      </c>
      <c r="GV50" s="518">
        <v>0</v>
      </c>
      <c r="GW50" s="518">
        <v>0</v>
      </c>
      <c r="GX50" s="518">
        <v>0</v>
      </c>
      <c r="GY50" s="518">
        <v>0</v>
      </c>
      <c r="GZ50" s="518">
        <v>0</v>
      </c>
      <c r="HA50" s="518">
        <v>0</v>
      </c>
      <c r="HB50" s="518">
        <v>0</v>
      </c>
      <c r="HC50" s="518">
        <v>0</v>
      </c>
      <c r="HD50" s="518">
        <v>0</v>
      </c>
      <c r="HE50" s="518">
        <v>0</v>
      </c>
      <c r="HF50" s="518">
        <v>0</v>
      </c>
      <c r="HG50" s="518">
        <v>0</v>
      </c>
      <c r="HH50" s="518">
        <v>0</v>
      </c>
      <c r="HI50" s="518">
        <v>0</v>
      </c>
      <c r="HJ50" s="518">
        <v>0</v>
      </c>
      <c r="HK50" s="518">
        <v>0</v>
      </c>
      <c r="HL50" s="518">
        <v>0</v>
      </c>
      <c r="HM50" s="518">
        <v>0</v>
      </c>
      <c r="HN50" s="518">
        <v>0</v>
      </c>
      <c r="HO50" s="518">
        <v>0</v>
      </c>
      <c r="HP50" s="518">
        <v>0</v>
      </c>
      <c r="HQ50" s="518">
        <v>0</v>
      </c>
      <c r="HR50" s="518">
        <v>0</v>
      </c>
      <c r="HS50" s="518">
        <v>0</v>
      </c>
      <c r="HT50" s="518">
        <v>0</v>
      </c>
      <c r="HU50" s="518">
        <v>0</v>
      </c>
      <c r="HV50" s="518">
        <v>0</v>
      </c>
      <c r="HW50" s="518">
        <v>0</v>
      </c>
      <c r="HX50" s="518">
        <v>0</v>
      </c>
      <c r="HY50" s="518">
        <v>0</v>
      </c>
      <c r="HZ50" s="518">
        <v>0</v>
      </c>
      <c r="IA50" s="518">
        <v>0</v>
      </c>
      <c r="IB50" s="518">
        <v>0</v>
      </c>
      <c r="IC50" s="518">
        <v>0</v>
      </c>
      <c r="ID50" s="518">
        <v>0</v>
      </c>
      <c r="IE50" s="518">
        <v>0</v>
      </c>
      <c r="IF50" s="518">
        <v>0</v>
      </c>
      <c r="IG50" s="518">
        <v>0</v>
      </c>
      <c r="IH50" s="518">
        <v>0</v>
      </c>
      <c r="II50" s="518">
        <v>0</v>
      </c>
      <c r="IJ50" s="518">
        <v>0</v>
      </c>
      <c r="IK50" s="518">
        <v>0</v>
      </c>
    </row>
    <row r="51" spans="1:245" ht="16.5" hidden="1">
      <c r="A51" s="517" t="s">
        <v>721</v>
      </c>
      <c r="B51" s="517" t="s">
        <v>1101</v>
      </c>
      <c r="C51" s="517" t="s">
        <v>721</v>
      </c>
      <c r="D51" s="558"/>
      <c r="E51" s="517" t="s">
        <v>721</v>
      </c>
      <c r="F51" s="517" t="s">
        <v>26</v>
      </c>
      <c r="G51" s="558"/>
      <c r="H51" s="518">
        <v>16</v>
      </c>
      <c r="I51" s="558"/>
      <c r="J51" s="494" t="str">
        <f t="shared" si="1"/>
        <v>SWUC100216</v>
      </c>
      <c r="K51" s="518">
        <v>41</v>
      </c>
      <c r="M51" s="517" t="s">
        <v>721</v>
      </c>
      <c r="N51" s="517" t="s">
        <v>1101</v>
      </c>
      <c r="O51" s="517" t="s">
        <v>26</v>
      </c>
      <c r="P51" s="518">
        <v>16</v>
      </c>
      <c r="Q51" s="494" t="str">
        <f t="shared" si="2"/>
        <v>SWUC100216</v>
      </c>
      <c r="R51" s="518">
        <v>0</v>
      </c>
      <c r="S51" s="518">
        <v>4</v>
      </c>
      <c r="T51" s="518">
        <v>7</v>
      </c>
      <c r="U51" s="518">
        <v>11</v>
      </c>
      <c r="V51" s="518">
        <v>14</v>
      </c>
      <c r="W51" s="518">
        <v>18</v>
      </c>
      <c r="X51" s="518">
        <v>23</v>
      </c>
      <c r="Y51" s="518">
        <v>29</v>
      </c>
      <c r="Z51" s="518">
        <v>34</v>
      </c>
      <c r="AA51" s="518">
        <v>0</v>
      </c>
      <c r="AB51" s="518">
        <v>0</v>
      </c>
      <c r="AC51" s="518">
        <v>0</v>
      </c>
      <c r="AD51" s="518">
        <v>0</v>
      </c>
      <c r="AE51" s="518">
        <v>0</v>
      </c>
      <c r="AF51" s="518">
        <v>0</v>
      </c>
      <c r="AG51" s="518">
        <v>0</v>
      </c>
      <c r="AH51" s="518">
        <v>0</v>
      </c>
      <c r="AI51" s="518">
        <v>0</v>
      </c>
      <c r="AJ51" s="518">
        <v>0</v>
      </c>
      <c r="AK51" s="518">
        <v>0</v>
      </c>
      <c r="AL51" s="518">
        <v>0</v>
      </c>
      <c r="AM51" s="518">
        <v>0</v>
      </c>
      <c r="AN51" s="518">
        <v>0</v>
      </c>
      <c r="AO51" s="518">
        <v>0</v>
      </c>
      <c r="AP51" s="518">
        <v>0</v>
      </c>
      <c r="AQ51" s="518">
        <v>0</v>
      </c>
      <c r="AR51" s="518">
        <v>0</v>
      </c>
      <c r="AS51" s="518">
        <v>0</v>
      </c>
      <c r="AT51" s="518">
        <v>0</v>
      </c>
      <c r="AU51" s="518">
        <v>0</v>
      </c>
      <c r="AV51" s="518">
        <v>0</v>
      </c>
      <c r="AW51" s="518">
        <v>0</v>
      </c>
      <c r="AX51" s="518">
        <v>0</v>
      </c>
      <c r="AY51" s="518">
        <v>0</v>
      </c>
      <c r="AZ51" s="518">
        <v>0</v>
      </c>
      <c r="BA51" s="518">
        <v>0</v>
      </c>
      <c r="BB51" s="518">
        <v>0</v>
      </c>
      <c r="BC51" s="518">
        <v>0</v>
      </c>
      <c r="BD51" s="518">
        <v>0</v>
      </c>
      <c r="BE51" s="518">
        <v>0</v>
      </c>
      <c r="BF51" s="518">
        <v>0</v>
      </c>
      <c r="BG51" s="518">
        <v>0</v>
      </c>
      <c r="BH51" s="518">
        <v>0</v>
      </c>
      <c r="BI51" s="518">
        <v>0</v>
      </c>
      <c r="BJ51" s="518">
        <v>0</v>
      </c>
      <c r="BK51" s="518">
        <v>0</v>
      </c>
      <c r="BL51" s="518">
        <v>0</v>
      </c>
      <c r="BM51" s="518">
        <v>0</v>
      </c>
      <c r="BN51" s="518">
        <v>0</v>
      </c>
      <c r="BO51" s="518">
        <v>0</v>
      </c>
      <c r="BP51" s="518">
        <v>0</v>
      </c>
      <c r="BQ51" s="518">
        <v>0</v>
      </c>
      <c r="BR51" s="518">
        <v>0</v>
      </c>
      <c r="BS51" s="518">
        <v>0</v>
      </c>
      <c r="BT51" s="518">
        <v>0</v>
      </c>
      <c r="BU51" s="518">
        <v>0</v>
      </c>
      <c r="BV51" s="518">
        <v>0</v>
      </c>
      <c r="BW51" s="518">
        <v>0</v>
      </c>
      <c r="BX51" s="518">
        <v>0</v>
      </c>
      <c r="BY51" s="518">
        <v>0</v>
      </c>
      <c r="BZ51" s="518">
        <v>0</v>
      </c>
      <c r="CA51" s="518">
        <v>0</v>
      </c>
      <c r="CB51" s="518">
        <v>0</v>
      </c>
      <c r="CC51" s="518">
        <v>0</v>
      </c>
      <c r="CD51" s="518">
        <v>0</v>
      </c>
      <c r="CE51" s="518">
        <v>0</v>
      </c>
      <c r="CF51" s="518">
        <v>0</v>
      </c>
      <c r="CG51" s="518">
        <v>0</v>
      </c>
      <c r="CH51" s="518">
        <v>0</v>
      </c>
      <c r="CI51" s="518">
        <v>0</v>
      </c>
      <c r="CJ51" s="518">
        <v>0</v>
      </c>
      <c r="CK51" s="518">
        <v>0</v>
      </c>
      <c r="CL51" s="518">
        <v>0</v>
      </c>
      <c r="CM51" s="518">
        <v>0</v>
      </c>
      <c r="CN51" s="518">
        <v>0</v>
      </c>
      <c r="CO51" s="518">
        <v>0</v>
      </c>
      <c r="CP51" s="518">
        <v>0</v>
      </c>
      <c r="CQ51" s="518">
        <v>0</v>
      </c>
      <c r="CR51" s="518">
        <v>0</v>
      </c>
      <c r="CS51" s="518">
        <v>0</v>
      </c>
      <c r="CT51" s="518">
        <v>0</v>
      </c>
      <c r="CU51" s="518">
        <v>0</v>
      </c>
      <c r="CV51" s="518">
        <v>0</v>
      </c>
      <c r="CW51" s="518">
        <v>0</v>
      </c>
      <c r="CX51" s="518">
        <v>0</v>
      </c>
      <c r="CY51" s="518">
        <v>0</v>
      </c>
      <c r="CZ51" s="518">
        <v>0</v>
      </c>
      <c r="DA51" s="518">
        <v>0</v>
      </c>
      <c r="DB51" s="518">
        <v>0</v>
      </c>
      <c r="DC51" s="518">
        <v>0</v>
      </c>
      <c r="DD51" s="518">
        <v>0</v>
      </c>
      <c r="DE51" s="518">
        <v>0</v>
      </c>
      <c r="DF51" s="518">
        <v>0</v>
      </c>
      <c r="DG51" s="518">
        <v>0</v>
      </c>
      <c r="DH51" s="518">
        <v>0</v>
      </c>
      <c r="DI51" s="518">
        <v>0</v>
      </c>
      <c r="DJ51" s="518">
        <v>0</v>
      </c>
      <c r="DK51" s="518">
        <v>0</v>
      </c>
      <c r="DL51" s="518">
        <v>0</v>
      </c>
      <c r="DM51" s="518">
        <v>0</v>
      </c>
      <c r="DN51" s="518">
        <v>0</v>
      </c>
      <c r="DO51" s="518">
        <v>0</v>
      </c>
      <c r="DP51" s="518">
        <v>0</v>
      </c>
      <c r="DQ51" s="518">
        <v>0</v>
      </c>
      <c r="DR51" s="518">
        <v>0</v>
      </c>
      <c r="DS51" s="518">
        <v>0</v>
      </c>
      <c r="DT51" s="518">
        <v>0</v>
      </c>
      <c r="DU51" s="518">
        <v>0</v>
      </c>
      <c r="DV51" s="518">
        <v>0</v>
      </c>
      <c r="DW51" s="518">
        <v>0</v>
      </c>
      <c r="DX51" s="518">
        <v>0</v>
      </c>
      <c r="DY51" s="477"/>
      <c r="DZ51" s="517" t="s">
        <v>721</v>
      </c>
      <c r="EA51" s="517" t="s">
        <v>1101</v>
      </c>
      <c r="EB51" s="517" t="s">
        <v>26</v>
      </c>
      <c r="EC51" s="518">
        <v>16</v>
      </c>
      <c r="ED51" s="494" t="str">
        <f t="shared" si="0"/>
        <v>SWUC100216</v>
      </c>
      <c r="EE51" s="518">
        <v>10000</v>
      </c>
      <c r="EF51" s="518">
        <v>10000</v>
      </c>
      <c r="EG51" s="518">
        <v>10000</v>
      </c>
      <c r="EH51" s="518">
        <v>10000</v>
      </c>
      <c r="EI51" s="518">
        <v>10000</v>
      </c>
      <c r="EJ51" s="518">
        <v>10000</v>
      </c>
      <c r="EK51" s="518">
        <v>10000</v>
      </c>
      <c r="EL51" s="518">
        <v>10000</v>
      </c>
      <c r="EM51" s="518">
        <v>10000</v>
      </c>
      <c r="EN51" s="518">
        <v>10000</v>
      </c>
      <c r="EO51" s="518">
        <v>0</v>
      </c>
      <c r="EP51" s="518">
        <v>0</v>
      </c>
      <c r="EQ51" s="518">
        <v>0</v>
      </c>
      <c r="ER51" s="518">
        <v>0</v>
      </c>
      <c r="ES51" s="518">
        <v>0</v>
      </c>
      <c r="ET51" s="518">
        <v>0</v>
      </c>
      <c r="EU51" s="518">
        <v>0</v>
      </c>
      <c r="EV51" s="518">
        <v>0</v>
      </c>
      <c r="EW51" s="518">
        <v>0</v>
      </c>
      <c r="EX51" s="518">
        <v>0</v>
      </c>
      <c r="EY51" s="518">
        <v>0</v>
      </c>
      <c r="EZ51" s="518">
        <v>0</v>
      </c>
      <c r="FA51" s="518">
        <v>0</v>
      </c>
      <c r="FB51" s="518">
        <v>0</v>
      </c>
      <c r="FC51" s="518">
        <v>0</v>
      </c>
      <c r="FD51" s="518">
        <v>0</v>
      </c>
      <c r="FE51" s="518">
        <v>0</v>
      </c>
      <c r="FF51" s="518">
        <v>0</v>
      </c>
      <c r="FG51" s="518">
        <v>0</v>
      </c>
      <c r="FH51" s="518">
        <v>0</v>
      </c>
      <c r="FI51" s="518">
        <v>0</v>
      </c>
      <c r="FJ51" s="518">
        <v>0</v>
      </c>
      <c r="FK51" s="518">
        <v>0</v>
      </c>
      <c r="FL51" s="518">
        <v>0</v>
      </c>
      <c r="FM51" s="518">
        <v>0</v>
      </c>
      <c r="FN51" s="518">
        <v>0</v>
      </c>
      <c r="FO51" s="518">
        <v>0</v>
      </c>
      <c r="FP51" s="518">
        <v>0</v>
      </c>
      <c r="FQ51" s="518">
        <v>0</v>
      </c>
      <c r="FR51" s="518">
        <v>0</v>
      </c>
      <c r="FS51" s="518">
        <v>0</v>
      </c>
      <c r="FT51" s="518">
        <v>0</v>
      </c>
      <c r="FU51" s="518">
        <v>0</v>
      </c>
      <c r="FV51" s="518">
        <v>0</v>
      </c>
      <c r="FW51" s="518">
        <v>0</v>
      </c>
      <c r="FX51" s="518">
        <v>0</v>
      </c>
      <c r="FY51" s="518">
        <v>0</v>
      </c>
      <c r="FZ51" s="518">
        <v>0</v>
      </c>
      <c r="GA51" s="518">
        <v>0</v>
      </c>
      <c r="GB51" s="518">
        <v>0</v>
      </c>
      <c r="GC51" s="518">
        <v>0</v>
      </c>
      <c r="GD51" s="518">
        <v>0</v>
      </c>
      <c r="GE51" s="518">
        <v>0</v>
      </c>
      <c r="GF51" s="518">
        <v>0</v>
      </c>
      <c r="GG51" s="518">
        <v>0</v>
      </c>
      <c r="GH51" s="518">
        <v>0</v>
      </c>
      <c r="GI51" s="518">
        <v>0</v>
      </c>
      <c r="GJ51" s="518">
        <v>0</v>
      </c>
      <c r="GK51" s="518">
        <v>0</v>
      </c>
      <c r="GL51" s="518">
        <v>0</v>
      </c>
      <c r="GM51" s="518">
        <v>0</v>
      </c>
      <c r="GN51" s="518">
        <v>0</v>
      </c>
      <c r="GO51" s="518">
        <v>0</v>
      </c>
      <c r="GP51" s="518">
        <v>0</v>
      </c>
      <c r="GQ51" s="518">
        <v>0</v>
      </c>
      <c r="GR51" s="518">
        <v>0</v>
      </c>
      <c r="GS51" s="518">
        <v>0</v>
      </c>
      <c r="GT51" s="518">
        <v>0</v>
      </c>
      <c r="GU51" s="518">
        <v>0</v>
      </c>
      <c r="GV51" s="518">
        <v>0</v>
      </c>
      <c r="GW51" s="518">
        <v>0</v>
      </c>
      <c r="GX51" s="518">
        <v>0</v>
      </c>
      <c r="GY51" s="518">
        <v>0</v>
      </c>
      <c r="GZ51" s="518">
        <v>0</v>
      </c>
      <c r="HA51" s="518">
        <v>0</v>
      </c>
      <c r="HB51" s="518">
        <v>0</v>
      </c>
      <c r="HC51" s="518">
        <v>0</v>
      </c>
      <c r="HD51" s="518">
        <v>0</v>
      </c>
      <c r="HE51" s="518">
        <v>0</v>
      </c>
      <c r="HF51" s="518">
        <v>0</v>
      </c>
      <c r="HG51" s="518">
        <v>0</v>
      </c>
      <c r="HH51" s="518">
        <v>0</v>
      </c>
      <c r="HI51" s="518">
        <v>0</v>
      </c>
      <c r="HJ51" s="518">
        <v>0</v>
      </c>
      <c r="HK51" s="518">
        <v>0</v>
      </c>
      <c r="HL51" s="518">
        <v>0</v>
      </c>
      <c r="HM51" s="518">
        <v>0</v>
      </c>
      <c r="HN51" s="518">
        <v>0</v>
      </c>
      <c r="HO51" s="518">
        <v>0</v>
      </c>
      <c r="HP51" s="518">
        <v>0</v>
      </c>
      <c r="HQ51" s="518">
        <v>0</v>
      </c>
      <c r="HR51" s="518">
        <v>0</v>
      </c>
      <c r="HS51" s="518">
        <v>0</v>
      </c>
      <c r="HT51" s="518">
        <v>0</v>
      </c>
      <c r="HU51" s="518">
        <v>0</v>
      </c>
      <c r="HV51" s="518">
        <v>0</v>
      </c>
      <c r="HW51" s="518">
        <v>0</v>
      </c>
      <c r="HX51" s="518">
        <v>0</v>
      </c>
      <c r="HY51" s="518">
        <v>0</v>
      </c>
      <c r="HZ51" s="518">
        <v>0</v>
      </c>
      <c r="IA51" s="518">
        <v>0</v>
      </c>
      <c r="IB51" s="518">
        <v>0</v>
      </c>
      <c r="IC51" s="518">
        <v>0</v>
      </c>
      <c r="ID51" s="518">
        <v>0</v>
      </c>
      <c r="IE51" s="518">
        <v>0</v>
      </c>
      <c r="IF51" s="518">
        <v>0</v>
      </c>
      <c r="IG51" s="518">
        <v>0</v>
      </c>
      <c r="IH51" s="518">
        <v>0</v>
      </c>
      <c r="II51" s="518">
        <v>0</v>
      </c>
      <c r="IJ51" s="518">
        <v>0</v>
      </c>
      <c r="IK51" s="518">
        <v>0</v>
      </c>
    </row>
    <row r="52" spans="1:245" ht="16.5" hidden="1">
      <c r="A52" s="517" t="s">
        <v>721</v>
      </c>
      <c r="B52" s="517" t="s">
        <v>1101</v>
      </c>
      <c r="C52" s="517" t="s">
        <v>721</v>
      </c>
      <c r="D52" s="558"/>
      <c r="E52" s="517" t="s">
        <v>721</v>
      </c>
      <c r="F52" s="517" t="s">
        <v>26</v>
      </c>
      <c r="G52" s="558"/>
      <c r="H52" s="518">
        <v>17</v>
      </c>
      <c r="I52" s="558"/>
      <c r="J52" s="494" t="str">
        <f t="shared" si="1"/>
        <v>SWUC100217</v>
      </c>
      <c r="K52" s="518">
        <v>45</v>
      </c>
      <c r="M52" s="517" t="s">
        <v>721</v>
      </c>
      <c r="N52" s="517" t="s">
        <v>1101</v>
      </c>
      <c r="O52" s="517" t="s">
        <v>26</v>
      </c>
      <c r="P52" s="518">
        <v>17</v>
      </c>
      <c r="Q52" s="494" t="str">
        <f t="shared" si="2"/>
        <v>SWUC100217</v>
      </c>
      <c r="R52" s="518">
        <v>0</v>
      </c>
      <c r="S52" s="518">
        <v>4</v>
      </c>
      <c r="T52" s="518">
        <v>8</v>
      </c>
      <c r="U52" s="518">
        <v>11</v>
      </c>
      <c r="V52" s="518">
        <v>15</v>
      </c>
      <c r="W52" s="518">
        <v>20</v>
      </c>
      <c r="X52" s="518">
        <v>26</v>
      </c>
      <c r="Y52" s="518">
        <v>32</v>
      </c>
      <c r="Z52" s="518">
        <v>38</v>
      </c>
      <c r="AA52" s="518">
        <v>0</v>
      </c>
      <c r="AB52" s="518">
        <v>0</v>
      </c>
      <c r="AC52" s="518">
        <v>0</v>
      </c>
      <c r="AD52" s="518">
        <v>0</v>
      </c>
      <c r="AE52" s="518">
        <v>0</v>
      </c>
      <c r="AF52" s="518">
        <v>0</v>
      </c>
      <c r="AG52" s="518">
        <v>0</v>
      </c>
      <c r="AH52" s="518">
        <v>0</v>
      </c>
      <c r="AI52" s="518">
        <v>0</v>
      </c>
      <c r="AJ52" s="518">
        <v>0</v>
      </c>
      <c r="AK52" s="518">
        <v>0</v>
      </c>
      <c r="AL52" s="518">
        <v>0</v>
      </c>
      <c r="AM52" s="518">
        <v>0</v>
      </c>
      <c r="AN52" s="518">
        <v>0</v>
      </c>
      <c r="AO52" s="518">
        <v>0</v>
      </c>
      <c r="AP52" s="518">
        <v>0</v>
      </c>
      <c r="AQ52" s="518">
        <v>0</v>
      </c>
      <c r="AR52" s="518">
        <v>0</v>
      </c>
      <c r="AS52" s="518">
        <v>0</v>
      </c>
      <c r="AT52" s="518">
        <v>0</v>
      </c>
      <c r="AU52" s="518">
        <v>0</v>
      </c>
      <c r="AV52" s="518">
        <v>0</v>
      </c>
      <c r="AW52" s="518">
        <v>0</v>
      </c>
      <c r="AX52" s="518">
        <v>0</v>
      </c>
      <c r="AY52" s="518">
        <v>0</v>
      </c>
      <c r="AZ52" s="518">
        <v>0</v>
      </c>
      <c r="BA52" s="518">
        <v>0</v>
      </c>
      <c r="BB52" s="518">
        <v>0</v>
      </c>
      <c r="BC52" s="518">
        <v>0</v>
      </c>
      <c r="BD52" s="518">
        <v>0</v>
      </c>
      <c r="BE52" s="518">
        <v>0</v>
      </c>
      <c r="BF52" s="518">
        <v>0</v>
      </c>
      <c r="BG52" s="518">
        <v>0</v>
      </c>
      <c r="BH52" s="518">
        <v>0</v>
      </c>
      <c r="BI52" s="518">
        <v>0</v>
      </c>
      <c r="BJ52" s="518">
        <v>0</v>
      </c>
      <c r="BK52" s="518">
        <v>0</v>
      </c>
      <c r="BL52" s="518">
        <v>0</v>
      </c>
      <c r="BM52" s="518">
        <v>0</v>
      </c>
      <c r="BN52" s="518">
        <v>0</v>
      </c>
      <c r="BO52" s="518">
        <v>0</v>
      </c>
      <c r="BP52" s="518">
        <v>0</v>
      </c>
      <c r="BQ52" s="518">
        <v>0</v>
      </c>
      <c r="BR52" s="518">
        <v>0</v>
      </c>
      <c r="BS52" s="518">
        <v>0</v>
      </c>
      <c r="BT52" s="518">
        <v>0</v>
      </c>
      <c r="BU52" s="518">
        <v>0</v>
      </c>
      <c r="BV52" s="518">
        <v>0</v>
      </c>
      <c r="BW52" s="518">
        <v>0</v>
      </c>
      <c r="BX52" s="518">
        <v>0</v>
      </c>
      <c r="BY52" s="518">
        <v>0</v>
      </c>
      <c r="BZ52" s="518">
        <v>0</v>
      </c>
      <c r="CA52" s="518">
        <v>0</v>
      </c>
      <c r="CB52" s="518">
        <v>0</v>
      </c>
      <c r="CC52" s="518">
        <v>0</v>
      </c>
      <c r="CD52" s="518">
        <v>0</v>
      </c>
      <c r="CE52" s="518">
        <v>0</v>
      </c>
      <c r="CF52" s="518">
        <v>0</v>
      </c>
      <c r="CG52" s="518">
        <v>0</v>
      </c>
      <c r="CH52" s="518">
        <v>0</v>
      </c>
      <c r="CI52" s="518">
        <v>0</v>
      </c>
      <c r="CJ52" s="518">
        <v>0</v>
      </c>
      <c r="CK52" s="518">
        <v>0</v>
      </c>
      <c r="CL52" s="518">
        <v>0</v>
      </c>
      <c r="CM52" s="518">
        <v>0</v>
      </c>
      <c r="CN52" s="518">
        <v>0</v>
      </c>
      <c r="CO52" s="518">
        <v>0</v>
      </c>
      <c r="CP52" s="518">
        <v>0</v>
      </c>
      <c r="CQ52" s="518">
        <v>0</v>
      </c>
      <c r="CR52" s="518">
        <v>0</v>
      </c>
      <c r="CS52" s="518">
        <v>0</v>
      </c>
      <c r="CT52" s="518">
        <v>0</v>
      </c>
      <c r="CU52" s="518">
        <v>0</v>
      </c>
      <c r="CV52" s="518">
        <v>0</v>
      </c>
      <c r="CW52" s="518">
        <v>0</v>
      </c>
      <c r="CX52" s="518">
        <v>0</v>
      </c>
      <c r="CY52" s="518">
        <v>0</v>
      </c>
      <c r="CZ52" s="518">
        <v>0</v>
      </c>
      <c r="DA52" s="518">
        <v>0</v>
      </c>
      <c r="DB52" s="518">
        <v>0</v>
      </c>
      <c r="DC52" s="518">
        <v>0</v>
      </c>
      <c r="DD52" s="518">
        <v>0</v>
      </c>
      <c r="DE52" s="518">
        <v>0</v>
      </c>
      <c r="DF52" s="518">
        <v>0</v>
      </c>
      <c r="DG52" s="518">
        <v>0</v>
      </c>
      <c r="DH52" s="518">
        <v>0</v>
      </c>
      <c r="DI52" s="518">
        <v>0</v>
      </c>
      <c r="DJ52" s="518">
        <v>0</v>
      </c>
      <c r="DK52" s="518">
        <v>0</v>
      </c>
      <c r="DL52" s="518">
        <v>0</v>
      </c>
      <c r="DM52" s="518">
        <v>0</v>
      </c>
      <c r="DN52" s="518">
        <v>0</v>
      </c>
      <c r="DO52" s="518">
        <v>0</v>
      </c>
      <c r="DP52" s="518">
        <v>0</v>
      </c>
      <c r="DQ52" s="518">
        <v>0</v>
      </c>
      <c r="DR52" s="518">
        <v>0</v>
      </c>
      <c r="DS52" s="518">
        <v>0</v>
      </c>
      <c r="DT52" s="518">
        <v>0</v>
      </c>
      <c r="DU52" s="518">
        <v>0</v>
      </c>
      <c r="DV52" s="518">
        <v>0</v>
      </c>
      <c r="DW52" s="518">
        <v>0</v>
      </c>
      <c r="DX52" s="518">
        <v>0</v>
      </c>
      <c r="DY52" s="477"/>
      <c r="DZ52" s="517" t="s">
        <v>721</v>
      </c>
      <c r="EA52" s="517" t="s">
        <v>1101</v>
      </c>
      <c r="EB52" s="517" t="s">
        <v>26</v>
      </c>
      <c r="EC52" s="518">
        <v>17</v>
      </c>
      <c r="ED52" s="494" t="str">
        <f t="shared" si="0"/>
        <v>SWUC100217</v>
      </c>
      <c r="EE52" s="518">
        <v>10000</v>
      </c>
      <c r="EF52" s="518">
        <v>10000</v>
      </c>
      <c r="EG52" s="518">
        <v>10000</v>
      </c>
      <c r="EH52" s="518">
        <v>10000</v>
      </c>
      <c r="EI52" s="518">
        <v>10000</v>
      </c>
      <c r="EJ52" s="518">
        <v>10000</v>
      </c>
      <c r="EK52" s="518">
        <v>10000</v>
      </c>
      <c r="EL52" s="518">
        <v>10000</v>
      </c>
      <c r="EM52" s="518">
        <v>10000</v>
      </c>
      <c r="EN52" s="518">
        <v>10000</v>
      </c>
      <c r="EO52" s="518">
        <v>0</v>
      </c>
      <c r="EP52" s="518">
        <v>0</v>
      </c>
      <c r="EQ52" s="518">
        <v>0</v>
      </c>
      <c r="ER52" s="518">
        <v>0</v>
      </c>
      <c r="ES52" s="518">
        <v>0</v>
      </c>
      <c r="ET52" s="518">
        <v>0</v>
      </c>
      <c r="EU52" s="518">
        <v>0</v>
      </c>
      <c r="EV52" s="518">
        <v>0</v>
      </c>
      <c r="EW52" s="518">
        <v>0</v>
      </c>
      <c r="EX52" s="518">
        <v>0</v>
      </c>
      <c r="EY52" s="518">
        <v>0</v>
      </c>
      <c r="EZ52" s="518">
        <v>0</v>
      </c>
      <c r="FA52" s="518">
        <v>0</v>
      </c>
      <c r="FB52" s="518">
        <v>0</v>
      </c>
      <c r="FC52" s="518">
        <v>0</v>
      </c>
      <c r="FD52" s="518">
        <v>0</v>
      </c>
      <c r="FE52" s="518">
        <v>0</v>
      </c>
      <c r="FF52" s="518">
        <v>0</v>
      </c>
      <c r="FG52" s="518">
        <v>0</v>
      </c>
      <c r="FH52" s="518">
        <v>0</v>
      </c>
      <c r="FI52" s="518">
        <v>0</v>
      </c>
      <c r="FJ52" s="518">
        <v>0</v>
      </c>
      <c r="FK52" s="518">
        <v>0</v>
      </c>
      <c r="FL52" s="518">
        <v>0</v>
      </c>
      <c r="FM52" s="518">
        <v>0</v>
      </c>
      <c r="FN52" s="518">
        <v>0</v>
      </c>
      <c r="FO52" s="518">
        <v>0</v>
      </c>
      <c r="FP52" s="518">
        <v>0</v>
      </c>
      <c r="FQ52" s="518">
        <v>0</v>
      </c>
      <c r="FR52" s="518">
        <v>0</v>
      </c>
      <c r="FS52" s="518">
        <v>0</v>
      </c>
      <c r="FT52" s="518">
        <v>0</v>
      </c>
      <c r="FU52" s="518">
        <v>0</v>
      </c>
      <c r="FV52" s="518">
        <v>0</v>
      </c>
      <c r="FW52" s="518">
        <v>0</v>
      </c>
      <c r="FX52" s="518">
        <v>0</v>
      </c>
      <c r="FY52" s="518">
        <v>0</v>
      </c>
      <c r="FZ52" s="518">
        <v>0</v>
      </c>
      <c r="GA52" s="518">
        <v>0</v>
      </c>
      <c r="GB52" s="518">
        <v>0</v>
      </c>
      <c r="GC52" s="518">
        <v>0</v>
      </c>
      <c r="GD52" s="518">
        <v>0</v>
      </c>
      <c r="GE52" s="518">
        <v>0</v>
      </c>
      <c r="GF52" s="518">
        <v>0</v>
      </c>
      <c r="GG52" s="518">
        <v>0</v>
      </c>
      <c r="GH52" s="518">
        <v>0</v>
      </c>
      <c r="GI52" s="518">
        <v>0</v>
      </c>
      <c r="GJ52" s="518">
        <v>0</v>
      </c>
      <c r="GK52" s="518">
        <v>0</v>
      </c>
      <c r="GL52" s="518">
        <v>0</v>
      </c>
      <c r="GM52" s="518">
        <v>0</v>
      </c>
      <c r="GN52" s="518">
        <v>0</v>
      </c>
      <c r="GO52" s="518">
        <v>0</v>
      </c>
      <c r="GP52" s="518">
        <v>0</v>
      </c>
      <c r="GQ52" s="518">
        <v>0</v>
      </c>
      <c r="GR52" s="518">
        <v>0</v>
      </c>
      <c r="GS52" s="518">
        <v>0</v>
      </c>
      <c r="GT52" s="518">
        <v>0</v>
      </c>
      <c r="GU52" s="518">
        <v>0</v>
      </c>
      <c r="GV52" s="518">
        <v>0</v>
      </c>
      <c r="GW52" s="518">
        <v>0</v>
      </c>
      <c r="GX52" s="518">
        <v>0</v>
      </c>
      <c r="GY52" s="518">
        <v>0</v>
      </c>
      <c r="GZ52" s="518">
        <v>0</v>
      </c>
      <c r="HA52" s="518">
        <v>0</v>
      </c>
      <c r="HB52" s="518">
        <v>0</v>
      </c>
      <c r="HC52" s="518">
        <v>0</v>
      </c>
      <c r="HD52" s="518">
        <v>0</v>
      </c>
      <c r="HE52" s="518">
        <v>0</v>
      </c>
      <c r="HF52" s="518">
        <v>0</v>
      </c>
      <c r="HG52" s="518">
        <v>0</v>
      </c>
      <c r="HH52" s="518">
        <v>0</v>
      </c>
      <c r="HI52" s="518">
        <v>0</v>
      </c>
      <c r="HJ52" s="518">
        <v>0</v>
      </c>
      <c r="HK52" s="518">
        <v>0</v>
      </c>
      <c r="HL52" s="518">
        <v>0</v>
      </c>
      <c r="HM52" s="518">
        <v>0</v>
      </c>
      <c r="HN52" s="518">
        <v>0</v>
      </c>
      <c r="HO52" s="518">
        <v>0</v>
      </c>
      <c r="HP52" s="518">
        <v>0</v>
      </c>
      <c r="HQ52" s="518">
        <v>0</v>
      </c>
      <c r="HR52" s="518">
        <v>0</v>
      </c>
      <c r="HS52" s="518">
        <v>0</v>
      </c>
      <c r="HT52" s="518">
        <v>0</v>
      </c>
      <c r="HU52" s="518">
        <v>0</v>
      </c>
      <c r="HV52" s="518">
        <v>0</v>
      </c>
      <c r="HW52" s="518">
        <v>0</v>
      </c>
      <c r="HX52" s="518">
        <v>0</v>
      </c>
      <c r="HY52" s="518">
        <v>0</v>
      </c>
      <c r="HZ52" s="518">
        <v>0</v>
      </c>
      <c r="IA52" s="518">
        <v>0</v>
      </c>
      <c r="IB52" s="518">
        <v>0</v>
      </c>
      <c r="IC52" s="518">
        <v>0</v>
      </c>
      <c r="ID52" s="518">
        <v>0</v>
      </c>
      <c r="IE52" s="518">
        <v>0</v>
      </c>
      <c r="IF52" s="518">
        <v>0</v>
      </c>
      <c r="IG52" s="518">
        <v>0</v>
      </c>
      <c r="IH52" s="518">
        <v>0</v>
      </c>
      <c r="II52" s="518">
        <v>0</v>
      </c>
      <c r="IJ52" s="518">
        <v>0</v>
      </c>
      <c r="IK52" s="518">
        <v>0</v>
      </c>
    </row>
    <row r="53" spans="1:245" ht="16.5" hidden="1">
      <c r="A53" s="517" t="s">
        <v>721</v>
      </c>
      <c r="B53" s="517" t="s">
        <v>1101</v>
      </c>
      <c r="C53" s="517" t="s">
        <v>721</v>
      </c>
      <c r="D53" s="558"/>
      <c r="E53" s="517" t="s">
        <v>721</v>
      </c>
      <c r="F53" s="517" t="s">
        <v>26</v>
      </c>
      <c r="G53" s="558"/>
      <c r="H53" s="518">
        <v>18</v>
      </c>
      <c r="I53" s="558"/>
      <c r="J53" s="494" t="str">
        <f t="shared" si="1"/>
        <v>SWUC100218</v>
      </c>
      <c r="K53" s="518">
        <v>49</v>
      </c>
      <c r="M53" s="517" t="s">
        <v>721</v>
      </c>
      <c r="N53" s="517" t="s">
        <v>1101</v>
      </c>
      <c r="O53" s="517" t="s">
        <v>26</v>
      </c>
      <c r="P53" s="518">
        <v>18</v>
      </c>
      <c r="Q53" s="494" t="str">
        <f t="shared" si="2"/>
        <v>SWUC100218</v>
      </c>
      <c r="R53" s="518">
        <v>0</v>
      </c>
      <c r="S53" s="518">
        <v>4</v>
      </c>
      <c r="T53" s="518">
        <v>8</v>
      </c>
      <c r="U53" s="518">
        <v>12</v>
      </c>
      <c r="V53" s="518">
        <v>17</v>
      </c>
      <c r="W53" s="518">
        <v>22</v>
      </c>
      <c r="X53" s="518">
        <v>28</v>
      </c>
      <c r="Y53" s="518">
        <v>34</v>
      </c>
      <c r="Z53" s="518">
        <v>41</v>
      </c>
      <c r="AA53" s="518">
        <v>0</v>
      </c>
      <c r="AB53" s="518">
        <v>0</v>
      </c>
      <c r="AC53" s="518">
        <v>0</v>
      </c>
      <c r="AD53" s="518">
        <v>0</v>
      </c>
      <c r="AE53" s="518">
        <v>0</v>
      </c>
      <c r="AF53" s="518">
        <v>0</v>
      </c>
      <c r="AG53" s="518">
        <v>0</v>
      </c>
      <c r="AH53" s="518">
        <v>0</v>
      </c>
      <c r="AI53" s="518">
        <v>0</v>
      </c>
      <c r="AJ53" s="518">
        <v>0</v>
      </c>
      <c r="AK53" s="518">
        <v>0</v>
      </c>
      <c r="AL53" s="518">
        <v>0</v>
      </c>
      <c r="AM53" s="518">
        <v>0</v>
      </c>
      <c r="AN53" s="518">
        <v>0</v>
      </c>
      <c r="AO53" s="518">
        <v>0</v>
      </c>
      <c r="AP53" s="518">
        <v>0</v>
      </c>
      <c r="AQ53" s="518">
        <v>0</v>
      </c>
      <c r="AR53" s="518">
        <v>0</v>
      </c>
      <c r="AS53" s="518">
        <v>0</v>
      </c>
      <c r="AT53" s="518">
        <v>0</v>
      </c>
      <c r="AU53" s="518">
        <v>0</v>
      </c>
      <c r="AV53" s="518">
        <v>0</v>
      </c>
      <c r="AW53" s="518">
        <v>0</v>
      </c>
      <c r="AX53" s="518">
        <v>0</v>
      </c>
      <c r="AY53" s="518">
        <v>0</v>
      </c>
      <c r="AZ53" s="518">
        <v>0</v>
      </c>
      <c r="BA53" s="518">
        <v>0</v>
      </c>
      <c r="BB53" s="518">
        <v>0</v>
      </c>
      <c r="BC53" s="518">
        <v>0</v>
      </c>
      <c r="BD53" s="518">
        <v>0</v>
      </c>
      <c r="BE53" s="518">
        <v>0</v>
      </c>
      <c r="BF53" s="518">
        <v>0</v>
      </c>
      <c r="BG53" s="518">
        <v>0</v>
      </c>
      <c r="BH53" s="518">
        <v>0</v>
      </c>
      <c r="BI53" s="518">
        <v>0</v>
      </c>
      <c r="BJ53" s="518">
        <v>0</v>
      </c>
      <c r="BK53" s="518">
        <v>0</v>
      </c>
      <c r="BL53" s="518">
        <v>0</v>
      </c>
      <c r="BM53" s="518">
        <v>0</v>
      </c>
      <c r="BN53" s="518">
        <v>0</v>
      </c>
      <c r="BO53" s="518">
        <v>0</v>
      </c>
      <c r="BP53" s="518">
        <v>0</v>
      </c>
      <c r="BQ53" s="518">
        <v>0</v>
      </c>
      <c r="BR53" s="518">
        <v>0</v>
      </c>
      <c r="BS53" s="518">
        <v>0</v>
      </c>
      <c r="BT53" s="518">
        <v>0</v>
      </c>
      <c r="BU53" s="518">
        <v>0</v>
      </c>
      <c r="BV53" s="518">
        <v>0</v>
      </c>
      <c r="BW53" s="518">
        <v>0</v>
      </c>
      <c r="BX53" s="518">
        <v>0</v>
      </c>
      <c r="BY53" s="518">
        <v>0</v>
      </c>
      <c r="BZ53" s="518">
        <v>0</v>
      </c>
      <c r="CA53" s="518">
        <v>0</v>
      </c>
      <c r="CB53" s="518">
        <v>0</v>
      </c>
      <c r="CC53" s="518">
        <v>0</v>
      </c>
      <c r="CD53" s="518">
        <v>0</v>
      </c>
      <c r="CE53" s="518">
        <v>0</v>
      </c>
      <c r="CF53" s="518">
        <v>0</v>
      </c>
      <c r="CG53" s="518">
        <v>0</v>
      </c>
      <c r="CH53" s="518">
        <v>0</v>
      </c>
      <c r="CI53" s="518">
        <v>0</v>
      </c>
      <c r="CJ53" s="518">
        <v>0</v>
      </c>
      <c r="CK53" s="518">
        <v>0</v>
      </c>
      <c r="CL53" s="518">
        <v>0</v>
      </c>
      <c r="CM53" s="518">
        <v>0</v>
      </c>
      <c r="CN53" s="518">
        <v>0</v>
      </c>
      <c r="CO53" s="518">
        <v>0</v>
      </c>
      <c r="CP53" s="518">
        <v>0</v>
      </c>
      <c r="CQ53" s="518">
        <v>0</v>
      </c>
      <c r="CR53" s="518">
        <v>0</v>
      </c>
      <c r="CS53" s="518">
        <v>0</v>
      </c>
      <c r="CT53" s="518">
        <v>0</v>
      </c>
      <c r="CU53" s="518">
        <v>0</v>
      </c>
      <c r="CV53" s="518">
        <v>0</v>
      </c>
      <c r="CW53" s="518">
        <v>0</v>
      </c>
      <c r="CX53" s="518">
        <v>0</v>
      </c>
      <c r="CY53" s="518">
        <v>0</v>
      </c>
      <c r="CZ53" s="518">
        <v>0</v>
      </c>
      <c r="DA53" s="518">
        <v>0</v>
      </c>
      <c r="DB53" s="518">
        <v>0</v>
      </c>
      <c r="DC53" s="518">
        <v>0</v>
      </c>
      <c r="DD53" s="518">
        <v>0</v>
      </c>
      <c r="DE53" s="518">
        <v>0</v>
      </c>
      <c r="DF53" s="518">
        <v>0</v>
      </c>
      <c r="DG53" s="518">
        <v>0</v>
      </c>
      <c r="DH53" s="518">
        <v>0</v>
      </c>
      <c r="DI53" s="518">
        <v>0</v>
      </c>
      <c r="DJ53" s="518">
        <v>0</v>
      </c>
      <c r="DK53" s="518">
        <v>0</v>
      </c>
      <c r="DL53" s="518">
        <v>0</v>
      </c>
      <c r="DM53" s="518">
        <v>0</v>
      </c>
      <c r="DN53" s="518">
        <v>0</v>
      </c>
      <c r="DO53" s="518">
        <v>0</v>
      </c>
      <c r="DP53" s="518">
        <v>0</v>
      </c>
      <c r="DQ53" s="518">
        <v>0</v>
      </c>
      <c r="DR53" s="518">
        <v>0</v>
      </c>
      <c r="DS53" s="518">
        <v>0</v>
      </c>
      <c r="DT53" s="518">
        <v>0</v>
      </c>
      <c r="DU53" s="518">
        <v>0</v>
      </c>
      <c r="DV53" s="518">
        <v>0</v>
      </c>
      <c r="DW53" s="518">
        <v>0</v>
      </c>
      <c r="DX53" s="518">
        <v>0</v>
      </c>
      <c r="DY53" s="477"/>
      <c r="DZ53" s="517" t="s">
        <v>721</v>
      </c>
      <c r="EA53" s="517" t="s">
        <v>1101</v>
      </c>
      <c r="EB53" s="517" t="s">
        <v>26</v>
      </c>
      <c r="EC53" s="518">
        <v>18</v>
      </c>
      <c r="ED53" s="494" t="str">
        <f t="shared" si="0"/>
        <v>SWUC100218</v>
      </c>
      <c r="EE53" s="518">
        <v>10000</v>
      </c>
      <c r="EF53" s="518">
        <v>10000</v>
      </c>
      <c r="EG53" s="518">
        <v>10000</v>
      </c>
      <c r="EH53" s="518">
        <v>10000</v>
      </c>
      <c r="EI53" s="518">
        <v>10000</v>
      </c>
      <c r="EJ53" s="518">
        <v>10000</v>
      </c>
      <c r="EK53" s="518">
        <v>10000</v>
      </c>
      <c r="EL53" s="518">
        <v>10000</v>
      </c>
      <c r="EM53" s="518">
        <v>10000</v>
      </c>
      <c r="EN53" s="518">
        <v>10000</v>
      </c>
      <c r="EO53" s="518">
        <v>0</v>
      </c>
      <c r="EP53" s="518">
        <v>0</v>
      </c>
      <c r="EQ53" s="518">
        <v>0</v>
      </c>
      <c r="ER53" s="518">
        <v>0</v>
      </c>
      <c r="ES53" s="518">
        <v>0</v>
      </c>
      <c r="ET53" s="518">
        <v>0</v>
      </c>
      <c r="EU53" s="518">
        <v>0</v>
      </c>
      <c r="EV53" s="518">
        <v>0</v>
      </c>
      <c r="EW53" s="518">
        <v>0</v>
      </c>
      <c r="EX53" s="518">
        <v>0</v>
      </c>
      <c r="EY53" s="518">
        <v>0</v>
      </c>
      <c r="EZ53" s="518">
        <v>0</v>
      </c>
      <c r="FA53" s="518">
        <v>0</v>
      </c>
      <c r="FB53" s="518">
        <v>0</v>
      </c>
      <c r="FC53" s="518">
        <v>0</v>
      </c>
      <c r="FD53" s="518">
        <v>0</v>
      </c>
      <c r="FE53" s="518">
        <v>0</v>
      </c>
      <c r="FF53" s="518">
        <v>0</v>
      </c>
      <c r="FG53" s="518">
        <v>0</v>
      </c>
      <c r="FH53" s="518">
        <v>0</v>
      </c>
      <c r="FI53" s="518">
        <v>0</v>
      </c>
      <c r="FJ53" s="518">
        <v>0</v>
      </c>
      <c r="FK53" s="518">
        <v>0</v>
      </c>
      <c r="FL53" s="518">
        <v>0</v>
      </c>
      <c r="FM53" s="518">
        <v>0</v>
      </c>
      <c r="FN53" s="518">
        <v>0</v>
      </c>
      <c r="FO53" s="518">
        <v>0</v>
      </c>
      <c r="FP53" s="518">
        <v>0</v>
      </c>
      <c r="FQ53" s="518">
        <v>0</v>
      </c>
      <c r="FR53" s="518">
        <v>0</v>
      </c>
      <c r="FS53" s="518">
        <v>0</v>
      </c>
      <c r="FT53" s="518">
        <v>0</v>
      </c>
      <c r="FU53" s="518">
        <v>0</v>
      </c>
      <c r="FV53" s="518">
        <v>0</v>
      </c>
      <c r="FW53" s="518">
        <v>0</v>
      </c>
      <c r="FX53" s="518">
        <v>0</v>
      </c>
      <c r="FY53" s="518">
        <v>0</v>
      </c>
      <c r="FZ53" s="518">
        <v>0</v>
      </c>
      <c r="GA53" s="518">
        <v>0</v>
      </c>
      <c r="GB53" s="518">
        <v>0</v>
      </c>
      <c r="GC53" s="518">
        <v>0</v>
      </c>
      <c r="GD53" s="518">
        <v>0</v>
      </c>
      <c r="GE53" s="518">
        <v>0</v>
      </c>
      <c r="GF53" s="518">
        <v>0</v>
      </c>
      <c r="GG53" s="518">
        <v>0</v>
      </c>
      <c r="GH53" s="518">
        <v>0</v>
      </c>
      <c r="GI53" s="518">
        <v>0</v>
      </c>
      <c r="GJ53" s="518">
        <v>0</v>
      </c>
      <c r="GK53" s="518">
        <v>0</v>
      </c>
      <c r="GL53" s="518">
        <v>0</v>
      </c>
      <c r="GM53" s="518">
        <v>0</v>
      </c>
      <c r="GN53" s="518">
        <v>0</v>
      </c>
      <c r="GO53" s="518">
        <v>0</v>
      </c>
      <c r="GP53" s="518">
        <v>0</v>
      </c>
      <c r="GQ53" s="518">
        <v>0</v>
      </c>
      <c r="GR53" s="518">
        <v>0</v>
      </c>
      <c r="GS53" s="518">
        <v>0</v>
      </c>
      <c r="GT53" s="518">
        <v>0</v>
      </c>
      <c r="GU53" s="518">
        <v>0</v>
      </c>
      <c r="GV53" s="518">
        <v>0</v>
      </c>
      <c r="GW53" s="518">
        <v>0</v>
      </c>
      <c r="GX53" s="518">
        <v>0</v>
      </c>
      <c r="GY53" s="518">
        <v>0</v>
      </c>
      <c r="GZ53" s="518">
        <v>0</v>
      </c>
      <c r="HA53" s="518">
        <v>0</v>
      </c>
      <c r="HB53" s="518">
        <v>0</v>
      </c>
      <c r="HC53" s="518">
        <v>0</v>
      </c>
      <c r="HD53" s="518">
        <v>0</v>
      </c>
      <c r="HE53" s="518">
        <v>0</v>
      </c>
      <c r="HF53" s="518">
        <v>0</v>
      </c>
      <c r="HG53" s="518">
        <v>0</v>
      </c>
      <c r="HH53" s="518">
        <v>0</v>
      </c>
      <c r="HI53" s="518">
        <v>0</v>
      </c>
      <c r="HJ53" s="518">
        <v>0</v>
      </c>
      <c r="HK53" s="518">
        <v>0</v>
      </c>
      <c r="HL53" s="518">
        <v>0</v>
      </c>
      <c r="HM53" s="518">
        <v>0</v>
      </c>
      <c r="HN53" s="518">
        <v>0</v>
      </c>
      <c r="HO53" s="518">
        <v>0</v>
      </c>
      <c r="HP53" s="518">
        <v>0</v>
      </c>
      <c r="HQ53" s="518">
        <v>0</v>
      </c>
      <c r="HR53" s="518">
        <v>0</v>
      </c>
      <c r="HS53" s="518">
        <v>0</v>
      </c>
      <c r="HT53" s="518">
        <v>0</v>
      </c>
      <c r="HU53" s="518">
        <v>0</v>
      </c>
      <c r="HV53" s="518">
        <v>0</v>
      </c>
      <c r="HW53" s="518">
        <v>0</v>
      </c>
      <c r="HX53" s="518">
        <v>0</v>
      </c>
      <c r="HY53" s="518">
        <v>0</v>
      </c>
      <c r="HZ53" s="518">
        <v>0</v>
      </c>
      <c r="IA53" s="518">
        <v>0</v>
      </c>
      <c r="IB53" s="518">
        <v>0</v>
      </c>
      <c r="IC53" s="518">
        <v>0</v>
      </c>
      <c r="ID53" s="518">
        <v>0</v>
      </c>
      <c r="IE53" s="518">
        <v>0</v>
      </c>
      <c r="IF53" s="518">
        <v>0</v>
      </c>
      <c r="IG53" s="518">
        <v>0</v>
      </c>
      <c r="IH53" s="518">
        <v>0</v>
      </c>
      <c r="II53" s="518">
        <v>0</v>
      </c>
      <c r="IJ53" s="518">
        <v>0</v>
      </c>
      <c r="IK53" s="518">
        <v>0</v>
      </c>
    </row>
    <row r="54" spans="1:245" ht="16.5" hidden="1">
      <c r="A54" s="517" t="s">
        <v>721</v>
      </c>
      <c r="B54" s="517" t="s">
        <v>1101</v>
      </c>
      <c r="C54" s="517" t="s">
        <v>721</v>
      </c>
      <c r="D54" s="558"/>
      <c r="E54" s="517" t="s">
        <v>721</v>
      </c>
      <c r="F54" s="517" t="s">
        <v>26</v>
      </c>
      <c r="G54" s="558"/>
      <c r="H54" s="518">
        <v>19</v>
      </c>
      <c r="I54" s="558"/>
      <c r="J54" s="494" t="str">
        <f t="shared" si="1"/>
        <v>SWUC100219</v>
      </c>
      <c r="K54" s="518">
        <v>53</v>
      </c>
      <c r="M54" s="517" t="s">
        <v>721</v>
      </c>
      <c r="N54" s="517" t="s">
        <v>1101</v>
      </c>
      <c r="O54" s="517" t="s">
        <v>26</v>
      </c>
      <c r="P54" s="518">
        <v>19</v>
      </c>
      <c r="Q54" s="494" t="str">
        <f t="shared" si="2"/>
        <v>SWUC100219</v>
      </c>
      <c r="R54" s="518">
        <v>0</v>
      </c>
      <c r="S54" s="518">
        <v>5</v>
      </c>
      <c r="T54" s="518">
        <v>9</v>
      </c>
      <c r="U54" s="518">
        <v>14</v>
      </c>
      <c r="V54" s="518">
        <v>17</v>
      </c>
      <c r="W54" s="518">
        <v>23</v>
      </c>
      <c r="X54" s="518">
        <v>30</v>
      </c>
      <c r="Y54" s="518">
        <v>37</v>
      </c>
      <c r="Z54" s="518">
        <v>45</v>
      </c>
      <c r="AA54" s="518">
        <v>0</v>
      </c>
      <c r="AB54" s="518">
        <v>0</v>
      </c>
      <c r="AC54" s="518">
        <v>0</v>
      </c>
      <c r="AD54" s="518">
        <v>0</v>
      </c>
      <c r="AE54" s="518">
        <v>0</v>
      </c>
      <c r="AF54" s="518">
        <v>0</v>
      </c>
      <c r="AG54" s="518">
        <v>0</v>
      </c>
      <c r="AH54" s="518">
        <v>0</v>
      </c>
      <c r="AI54" s="518">
        <v>0</v>
      </c>
      <c r="AJ54" s="518">
        <v>0</v>
      </c>
      <c r="AK54" s="518">
        <v>0</v>
      </c>
      <c r="AL54" s="518">
        <v>0</v>
      </c>
      <c r="AM54" s="518">
        <v>0</v>
      </c>
      <c r="AN54" s="518">
        <v>0</v>
      </c>
      <c r="AO54" s="518">
        <v>0</v>
      </c>
      <c r="AP54" s="518">
        <v>0</v>
      </c>
      <c r="AQ54" s="518">
        <v>0</v>
      </c>
      <c r="AR54" s="518">
        <v>0</v>
      </c>
      <c r="AS54" s="518">
        <v>0</v>
      </c>
      <c r="AT54" s="518">
        <v>0</v>
      </c>
      <c r="AU54" s="518">
        <v>0</v>
      </c>
      <c r="AV54" s="518">
        <v>0</v>
      </c>
      <c r="AW54" s="518">
        <v>0</v>
      </c>
      <c r="AX54" s="518">
        <v>0</v>
      </c>
      <c r="AY54" s="518">
        <v>0</v>
      </c>
      <c r="AZ54" s="518">
        <v>0</v>
      </c>
      <c r="BA54" s="518">
        <v>0</v>
      </c>
      <c r="BB54" s="518">
        <v>0</v>
      </c>
      <c r="BC54" s="518">
        <v>0</v>
      </c>
      <c r="BD54" s="518">
        <v>0</v>
      </c>
      <c r="BE54" s="518">
        <v>0</v>
      </c>
      <c r="BF54" s="518">
        <v>0</v>
      </c>
      <c r="BG54" s="518">
        <v>0</v>
      </c>
      <c r="BH54" s="518">
        <v>0</v>
      </c>
      <c r="BI54" s="518">
        <v>0</v>
      </c>
      <c r="BJ54" s="518">
        <v>0</v>
      </c>
      <c r="BK54" s="518">
        <v>0</v>
      </c>
      <c r="BL54" s="518">
        <v>0</v>
      </c>
      <c r="BM54" s="518">
        <v>0</v>
      </c>
      <c r="BN54" s="518">
        <v>0</v>
      </c>
      <c r="BO54" s="518">
        <v>0</v>
      </c>
      <c r="BP54" s="518">
        <v>0</v>
      </c>
      <c r="BQ54" s="518">
        <v>0</v>
      </c>
      <c r="BR54" s="518">
        <v>0</v>
      </c>
      <c r="BS54" s="518">
        <v>0</v>
      </c>
      <c r="BT54" s="518">
        <v>0</v>
      </c>
      <c r="BU54" s="518">
        <v>0</v>
      </c>
      <c r="BV54" s="518">
        <v>0</v>
      </c>
      <c r="BW54" s="518">
        <v>0</v>
      </c>
      <c r="BX54" s="518">
        <v>0</v>
      </c>
      <c r="BY54" s="518">
        <v>0</v>
      </c>
      <c r="BZ54" s="518">
        <v>0</v>
      </c>
      <c r="CA54" s="518">
        <v>0</v>
      </c>
      <c r="CB54" s="518">
        <v>0</v>
      </c>
      <c r="CC54" s="518">
        <v>0</v>
      </c>
      <c r="CD54" s="518">
        <v>0</v>
      </c>
      <c r="CE54" s="518">
        <v>0</v>
      </c>
      <c r="CF54" s="518">
        <v>0</v>
      </c>
      <c r="CG54" s="518">
        <v>0</v>
      </c>
      <c r="CH54" s="518">
        <v>0</v>
      </c>
      <c r="CI54" s="518">
        <v>0</v>
      </c>
      <c r="CJ54" s="518">
        <v>0</v>
      </c>
      <c r="CK54" s="518">
        <v>0</v>
      </c>
      <c r="CL54" s="518">
        <v>0</v>
      </c>
      <c r="CM54" s="518">
        <v>0</v>
      </c>
      <c r="CN54" s="518">
        <v>0</v>
      </c>
      <c r="CO54" s="518">
        <v>0</v>
      </c>
      <c r="CP54" s="518">
        <v>0</v>
      </c>
      <c r="CQ54" s="518">
        <v>0</v>
      </c>
      <c r="CR54" s="518">
        <v>0</v>
      </c>
      <c r="CS54" s="518">
        <v>0</v>
      </c>
      <c r="CT54" s="518">
        <v>0</v>
      </c>
      <c r="CU54" s="518">
        <v>0</v>
      </c>
      <c r="CV54" s="518">
        <v>0</v>
      </c>
      <c r="CW54" s="518">
        <v>0</v>
      </c>
      <c r="CX54" s="518">
        <v>0</v>
      </c>
      <c r="CY54" s="518">
        <v>0</v>
      </c>
      <c r="CZ54" s="518">
        <v>0</v>
      </c>
      <c r="DA54" s="518">
        <v>0</v>
      </c>
      <c r="DB54" s="518">
        <v>0</v>
      </c>
      <c r="DC54" s="518">
        <v>0</v>
      </c>
      <c r="DD54" s="518">
        <v>0</v>
      </c>
      <c r="DE54" s="518">
        <v>0</v>
      </c>
      <c r="DF54" s="518">
        <v>0</v>
      </c>
      <c r="DG54" s="518">
        <v>0</v>
      </c>
      <c r="DH54" s="518">
        <v>0</v>
      </c>
      <c r="DI54" s="518">
        <v>0</v>
      </c>
      <c r="DJ54" s="518">
        <v>0</v>
      </c>
      <c r="DK54" s="518">
        <v>0</v>
      </c>
      <c r="DL54" s="518">
        <v>0</v>
      </c>
      <c r="DM54" s="518">
        <v>0</v>
      </c>
      <c r="DN54" s="518">
        <v>0</v>
      </c>
      <c r="DO54" s="518">
        <v>0</v>
      </c>
      <c r="DP54" s="518">
        <v>0</v>
      </c>
      <c r="DQ54" s="518">
        <v>0</v>
      </c>
      <c r="DR54" s="518">
        <v>0</v>
      </c>
      <c r="DS54" s="518">
        <v>0</v>
      </c>
      <c r="DT54" s="518">
        <v>0</v>
      </c>
      <c r="DU54" s="518">
        <v>0</v>
      </c>
      <c r="DV54" s="518">
        <v>0</v>
      </c>
      <c r="DW54" s="518">
        <v>0</v>
      </c>
      <c r="DX54" s="518">
        <v>0</v>
      </c>
      <c r="DY54" s="477"/>
      <c r="DZ54" s="517" t="s">
        <v>721</v>
      </c>
      <c r="EA54" s="517" t="s">
        <v>1101</v>
      </c>
      <c r="EB54" s="517" t="s">
        <v>26</v>
      </c>
      <c r="EC54" s="518">
        <v>19</v>
      </c>
      <c r="ED54" s="494" t="str">
        <f t="shared" si="0"/>
        <v>SWUC100219</v>
      </c>
      <c r="EE54" s="518">
        <v>10000</v>
      </c>
      <c r="EF54" s="518">
        <v>10000</v>
      </c>
      <c r="EG54" s="518">
        <v>10000</v>
      </c>
      <c r="EH54" s="518">
        <v>10000</v>
      </c>
      <c r="EI54" s="518">
        <v>10000</v>
      </c>
      <c r="EJ54" s="518">
        <v>10000</v>
      </c>
      <c r="EK54" s="518">
        <v>10000</v>
      </c>
      <c r="EL54" s="518">
        <v>10000</v>
      </c>
      <c r="EM54" s="518">
        <v>10000</v>
      </c>
      <c r="EN54" s="518">
        <v>10000</v>
      </c>
      <c r="EO54" s="518">
        <v>0</v>
      </c>
      <c r="EP54" s="518">
        <v>0</v>
      </c>
      <c r="EQ54" s="518">
        <v>0</v>
      </c>
      <c r="ER54" s="518">
        <v>0</v>
      </c>
      <c r="ES54" s="518">
        <v>0</v>
      </c>
      <c r="ET54" s="518">
        <v>0</v>
      </c>
      <c r="EU54" s="518">
        <v>0</v>
      </c>
      <c r="EV54" s="518">
        <v>0</v>
      </c>
      <c r="EW54" s="518">
        <v>0</v>
      </c>
      <c r="EX54" s="518">
        <v>0</v>
      </c>
      <c r="EY54" s="518">
        <v>0</v>
      </c>
      <c r="EZ54" s="518">
        <v>0</v>
      </c>
      <c r="FA54" s="518">
        <v>0</v>
      </c>
      <c r="FB54" s="518">
        <v>0</v>
      </c>
      <c r="FC54" s="518">
        <v>0</v>
      </c>
      <c r="FD54" s="518">
        <v>0</v>
      </c>
      <c r="FE54" s="518">
        <v>0</v>
      </c>
      <c r="FF54" s="518">
        <v>0</v>
      </c>
      <c r="FG54" s="518">
        <v>0</v>
      </c>
      <c r="FH54" s="518">
        <v>0</v>
      </c>
      <c r="FI54" s="518">
        <v>0</v>
      </c>
      <c r="FJ54" s="518">
        <v>0</v>
      </c>
      <c r="FK54" s="518">
        <v>0</v>
      </c>
      <c r="FL54" s="518">
        <v>0</v>
      </c>
      <c r="FM54" s="518">
        <v>0</v>
      </c>
      <c r="FN54" s="518">
        <v>0</v>
      </c>
      <c r="FO54" s="518">
        <v>0</v>
      </c>
      <c r="FP54" s="518">
        <v>0</v>
      </c>
      <c r="FQ54" s="518">
        <v>0</v>
      </c>
      <c r="FR54" s="518">
        <v>0</v>
      </c>
      <c r="FS54" s="518">
        <v>0</v>
      </c>
      <c r="FT54" s="518">
        <v>0</v>
      </c>
      <c r="FU54" s="518">
        <v>0</v>
      </c>
      <c r="FV54" s="518">
        <v>0</v>
      </c>
      <c r="FW54" s="518">
        <v>0</v>
      </c>
      <c r="FX54" s="518">
        <v>0</v>
      </c>
      <c r="FY54" s="518">
        <v>0</v>
      </c>
      <c r="FZ54" s="518">
        <v>0</v>
      </c>
      <c r="GA54" s="518">
        <v>0</v>
      </c>
      <c r="GB54" s="518">
        <v>0</v>
      </c>
      <c r="GC54" s="518">
        <v>0</v>
      </c>
      <c r="GD54" s="518">
        <v>0</v>
      </c>
      <c r="GE54" s="518">
        <v>0</v>
      </c>
      <c r="GF54" s="518">
        <v>0</v>
      </c>
      <c r="GG54" s="518">
        <v>0</v>
      </c>
      <c r="GH54" s="518">
        <v>0</v>
      </c>
      <c r="GI54" s="518">
        <v>0</v>
      </c>
      <c r="GJ54" s="518">
        <v>0</v>
      </c>
      <c r="GK54" s="518">
        <v>0</v>
      </c>
      <c r="GL54" s="518">
        <v>0</v>
      </c>
      <c r="GM54" s="518">
        <v>0</v>
      </c>
      <c r="GN54" s="518">
        <v>0</v>
      </c>
      <c r="GO54" s="518">
        <v>0</v>
      </c>
      <c r="GP54" s="518">
        <v>0</v>
      </c>
      <c r="GQ54" s="518">
        <v>0</v>
      </c>
      <c r="GR54" s="518">
        <v>0</v>
      </c>
      <c r="GS54" s="518">
        <v>0</v>
      </c>
      <c r="GT54" s="518">
        <v>0</v>
      </c>
      <c r="GU54" s="518">
        <v>0</v>
      </c>
      <c r="GV54" s="518">
        <v>0</v>
      </c>
      <c r="GW54" s="518">
        <v>0</v>
      </c>
      <c r="GX54" s="518">
        <v>0</v>
      </c>
      <c r="GY54" s="518">
        <v>0</v>
      </c>
      <c r="GZ54" s="518">
        <v>0</v>
      </c>
      <c r="HA54" s="518">
        <v>0</v>
      </c>
      <c r="HB54" s="518">
        <v>0</v>
      </c>
      <c r="HC54" s="518">
        <v>0</v>
      </c>
      <c r="HD54" s="518">
        <v>0</v>
      </c>
      <c r="HE54" s="518">
        <v>0</v>
      </c>
      <c r="HF54" s="518">
        <v>0</v>
      </c>
      <c r="HG54" s="518">
        <v>0</v>
      </c>
      <c r="HH54" s="518">
        <v>0</v>
      </c>
      <c r="HI54" s="518">
        <v>0</v>
      </c>
      <c r="HJ54" s="518">
        <v>0</v>
      </c>
      <c r="HK54" s="518">
        <v>0</v>
      </c>
      <c r="HL54" s="518">
        <v>0</v>
      </c>
      <c r="HM54" s="518">
        <v>0</v>
      </c>
      <c r="HN54" s="518">
        <v>0</v>
      </c>
      <c r="HO54" s="518">
        <v>0</v>
      </c>
      <c r="HP54" s="518">
        <v>0</v>
      </c>
      <c r="HQ54" s="518">
        <v>0</v>
      </c>
      <c r="HR54" s="518">
        <v>0</v>
      </c>
      <c r="HS54" s="518">
        <v>0</v>
      </c>
      <c r="HT54" s="518">
        <v>0</v>
      </c>
      <c r="HU54" s="518">
        <v>0</v>
      </c>
      <c r="HV54" s="518">
        <v>0</v>
      </c>
      <c r="HW54" s="518">
        <v>0</v>
      </c>
      <c r="HX54" s="518">
        <v>0</v>
      </c>
      <c r="HY54" s="518">
        <v>0</v>
      </c>
      <c r="HZ54" s="518">
        <v>0</v>
      </c>
      <c r="IA54" s="518">
        <v>0</v>
      </c>
      <c r="IB54" s="518">
        <v>0</v>
      </c>
      <c r="IC54" s="518">
        <v>0</v>
      </c>
      <c r="ID54" s="518">
        <v>0</v>
      </c>
      <c r="IE54" s="518">
        <v>0</v>
      </c>
      <c r="IF54" s="518">
        <v>0</v>
      </c>
      <c r="IG54" s="518">
        <v>0</v>
      </c>
      <c r="IH54" s="518">
        <v>0</v>
      </c>
      <c r="II54" s="518">
        <v>0</v>
      </c>
      <c r="IJ54" s="518">
        <v>0</v>
      </c>
      <c r="IK54" s="518">
        <v>0</v>
      </c>
    </row>
    <row r="55" spans="1:245" ht="16.5" hidden="1">
      <c r="A55" s="517" t="s">
        <v>721</v>
      </c>
      <c r="B55" s="517" t="s">
        <v>1101</v>
      </c>
      <c r="C55" s="517" t="s">
        <v>721</v>
      </c>
      <c r="D55" s="558"/>
      <c r="E55" s="517" t="s">
        <v>721</v>
      </c>
      <c r="F55" s="517" t="s">
        <v>26</v>
      </c>
      <c r="G55" s="558"/>
      <c r="H55" s="518">
        <v>20</v>
      </c>
      <c r="I55" s="558"/>
      <c r="J55" s="494" t="str">
        <f t="shared" si="1"/>
        <v>SWUC100220</v>
      </c>
      <c r="K55" s="518">
        <v>57</v>
      </c>
      <c r="M55" s="517" t="s">
        <v>721</v>
      </c>
      <c r="N55" s="517" t="s">
        <v>1101</v>
      </c>
      <c r="O55" s="517" t="s">
        <v>26</v>
      </c>
      <c r="P55" s="518">
        <v>20</v>
      </c>
      <c r="Q55" s="494" t="str">
        <f t="shared" si="2"/>
        <v>SWUC100220</v>
      </c>
      <c r="R55" s="518">
        <v>0</v>
      </c>
      <c r="S55" s="518">
        <v>5</v>
      </c>
      <c r="T55" s="518">
        <v>10</v>
      </c>
      <c r="U55" s="518">
        <v>14</v>
      </c>
      <c r="V55" s="518">
        <v>19</v>
      </c>
      <c r="W55" s="518">
        <v>25</v>
      </c>
      <c r="X55" s="518">
        <v>32</v>
      </c>
      <c r="Y55" s="518">
        <v>40</v>
      </c>
      <c r="Z55" s="518">
        <v>48</v>
      </c>
      <c r="AA55" s="518">
        <v>0</v>
      </c>
      <c r="AB55" s="518">
        <v>0</v>
      </c>
      <c r="AC55" s="518">
        <v>0</v>
      </c>
      <c r="AD55" s="518">
        <v>0</v>
      </c>
      <c r="AE55" s="518">
        <v>0</v>
      </c>
      <c r="AF55" s="518">
        <v>0</v>
      </c>
      <c r="AG55" s="518">
        <v>0</v>
      </c>
      <c r="AH55" s="518">
        <v>0</v>
      </c>
      <c r="AI55" s="518">
        <v>0</v>
      </c>
      <c r="AJ55" s="518">
        <v>0</v>
      </c>
      <c r="AK55" s="518">
        <v>0</v>
      </c>
      <c r="AL55" s="518">
        <v>0</v>
      </c>
      <c r="AM55" s="518">
        <v>0</v>
      </c>
      <c r="AN55" s="518">
        <v>0</v>
      </c>
      <c r="AO55" s="518">
        <v>0</v>
      </c>
      <c r="AP55" s="518">
        <v>0</v>
      </c>
      <c r="AQ55" s="518">
        <v>0</v>
      </c>
      <c r="AR55" s="518">
        <v>0</v>
      </c>
      <c r="AS55" s="518">
        <v>0</v>
      </c>
      <c r="AT55" s="518">
        <v>0</v>
      </c>
      <c r="AU55" s="518">
        <v>0</v>
      </c>
      <c r="AV55" s="518">
        <v>0</v>
      </c>
      <c r="AW55" s="518">
        <v>0</v>
      </c>
      <c r="AX55" s="518">
        <v>0</v>
      </c>
      <c r="AY55" s="518">
        <v>0</v>
      </c>
      <c r="AZ55" s="518">
        <v>0</v>
      </c>
      <c r="BA55" s="518">
        <v>0</v>
      </c>
      <c r="BB55" s="518">
        <v>0</v>
      </c>
      <c r="BC55" s="518">
        <v>0</v>
      </c>
      <c r="BD55" s="518">
        <v>0</v>
      </c>
      <c r="BE55" s="518">
        <v>0</v>
      </c>
      <c r="BF55" s="518">
        <v>0</v>
      </c>
      <c r="BG55" s="518">
        <v>0</v>
      </c>
      <c r="BH55" s="518">
        <v>0</v>
      </c>
      <c r="BI55" s="518">
        <v>0</v>
      </c>
      <c r="BJ55" s="518">
        <v>0</v>
      </c>
      <c r="BK55" s="518">
        <v>0</v>
      </c>
      <c r="BL55" s="518">
        <v>0</v>
      </c>
      <c r="BM55" s="518">
        <v>0</v>
      </c>
      <c r="BN55" s="518">
        <v>0</v>
      </c>
      <c r="BO55" s="518">
        <v>0</v>
      </c>
      <c r="BP55" s="518">
        <v>0</v>
      </c>
      <c r="BQ55" s="518">
        <v>0</v>
      </c>
      <c r="BR55" s="518">
        <v>0</v>
      </c>
      <c r="BS55" s="518">
        <v>0</v>
      </c>
      <c r="BT55" s="518">
        <v>0</v>
      </c>
      <c r="BU55" s="518">
        <v>0</v>
      </c>
      <c r="BV55" s="518">
        <v>0</v>
      </c>
      <c r="BW55" s="518">
        <v>0</v>
      </c>
      <c r="BX55" s="518">
        <v>0</v>
      </c>
      <c r="BY55" s="518">
        <v>0</v>
      </c>
      <c r="BZ55" s="518">
        <v>0</v>
      </c>
      <c r="CA55" s="518">
        <v>0</v>
      </c>
      <c r="CB55" s="518">
        <v>0</v>
      </c>
      <c r="CC55" s="518">
        <v>0</v>
      </c>
      <c r="CD55" s="518">
        <v>0</v>
      </c>
      <c r="CE55" s="518">
        <v>0</v>
      </c>
      <c r="CF55" s="518">
        <v>0</v>
      </c>
      <c r="CG55" s="518">
        <v>0</v>
      </c>
      <c r="CH55" s="518">
        <v>0</v>
      </c>
      <c r="CI55" s="518">
        <v>0</v>
      </c>
      <c r="CJ55" s="518">
        <v>0</v>
      </c>
      <c r="CK55" s="518">
        <v>0</v>
      </c>
      <c r="CL55" s="518">
        <v>0</v>
      </c>
      <c r="CM55" s="518">
        <v>0</v>
      </c>
      <c r="CN55" s="518">
        <v>0</v>
      </c>
      <c r="CO55" s="518">
        <v>0</v>
      </c>
      <c r="CP55" s="518">
        <v>0</v>
      </c>
      <c r="CQ55" s="518">
        <v>0</v>
      </c>
      <c r="CR55" s="518">
        <v>0</v>
      </c>
      <c r="CS55" s="518">
        <v>0</v>
      </c>
      <c r="CT55" s="518">
        <v>0</v>
      </c>
      <c r="CU55" s="518">
        <v>0</v>
      </c>
      <c r="CV55" s="518">
        <v>0</v>
      </c>
      <c r="CW55" s="518">
        <v>0</v>
      </c>
      <c r="CX55" s="518">
        <v>0</v>
      </c>
      <c r="CY55" s="518">
        <v>0</v>
      </c>
      <c r="CZ55" s="518">
        <v>0</v>
      </c>
      <c r="DA55" s="518">
        <v>0</v>
      </c>
      <c r="DB55" s="518">
        <v>0</v>
      </c>
      <c r="DC55" s="518">
        <v>0</v>
      </c>
      <c r="DD55" s="518">
        <v>0</v>
      </c>
      <c r="DE55" s="518">
        <v>0</v>
      </c>
      <c r="DF55" s="518">
        <v>0</v>
      </c>
      <c r="DG55" s="518">
        <v>0</v>
      </c>
      <c r="DH55" s="518">
        <v>0</v>
      </c>
      <c r="DI55" s="518">
        <v>0</v>
      </c>
      <c r="DJ55" s="518">
        <v>0</v>
      </c>
      <c r="DK55" s="518">
        <v>0</v>
      </c>
      <c r="DL55" s="518">
        <v>0</v>
      </c>
      <c r="DM55" s="518">
        <v>0</v>
      </c>
      <c r="DN55" s="518">
        <v>0</v>
      </c>
      <c r="DO55" s="518">
        <v>0</v>
      </c>
      <c r="DP55" s="518">
        <v>0</v>
      </c>
      <c r="DQ55" s="518">
        <v>0</v>
      </c>
      <c r="DR55" s="518">
        <v>0</v>
      </c>
      <c r="DS55" s="518">
        <v>0</v>
      </c>
      <c r="DT55" s="518">
        <v>0</v>
      </c>
      <c r="DU55" s="518">
        <v>0</v>
      </c>
      <c r="DV55" s="518">
        <v>0</v>
      </c>
      <c r="DW55" s="518">
        <v>0</v>
      </c>
      <c r="DX55" s="518">
        <v>0</v>
      </c>
      <c r="DY55" s="477"/>
      <c r="DZ55" s="517" t="s">
        <v>721</v>
      </c>
      <c r="EA55" s="517" t="s">
        <v>1101</v>
      </c>
      <c r="EB55" s="517" t="s">
        <v>26</v>
      </c>
      <c r="EC55" s="518">
        <v>20</v>
      </c>
      <c r="ED55" s="494" t="str">
        <f t="shared" si="0"/>
        <v>SWUC100220</v>
      </c>
      <c r="EE55" s="518">
        <v>10000</v>
      </c>
      <c r="EF55" s="518">
        <v>10000</v>
      </c>
      <c r="EG55" s="518">
        <v>10000</v>
      </c>
      <c r="EH55" s="518">
        <v>10000</v>
      </c>
      <c r="EI55" s="518">
        <v>10000</v>
      </c>
      <c r="EJ55" s="518">
        <v>10000</v>
      </c>
      <c r="EK55" s="518">
        <v>10000</v>
      </c>
      <c r="EL55" s="518">
        <v>10000</v>
      </c>
      <c r="EM55" s="518">
        <v>10000</v>
      </c>
      <c r="EN55" s="518">
        <v>10000</v>
      </c>
      <c r="EO55" s="518">
        <v>0</v>
      </c>
      <c r="EP55" s="518">
        <v>0</v>
      </c>
      <c r="EQ55" s="518">
        <v>0</v>
      </c>
      <c r="ER55" s="518">
        <v>0</v>
      </c>
      <c r="ES55" s="518">
        <v>0</v>
      </c>
      <c r="ET55" s="518">
        <v>0</v>
      </c>
      <c r="EU55" s="518">
        <v>0</v>
      </c>
      <c r="EV55" s="518">
        <v>0</v>
      </c>
      <c r="EW55" s="518">
        <v>0</v>
      </c>
      <c r="EX55" s="518">
        <v>0</v>
      </c>
      <c r="EY55" s="518">
        <v>0</v>
      </c>
      <c r="EZ55" s="518">
        <v>0</v>
      </c>
      <c r="FA55" s="518">
        <v>0</v>
      </c>
      <c r="FB55" s="518">
        <v>0</v>
      </c>
      <c r="FC55" s="518">
        <v>0</v>
      </c>
      <c r="FD55" s="518">
        <v>0</v>
      </c>
      <c r="FE55" s="518">
        <v>0</v>
      </c>
      <c r="FF55" s="518">
        <v>0</v>
      </c>
      <c r="FG55" s="518">
        <v>0</v>
      </c>
      <c r="FH55" s="518">
        <v>0</v>
      </c>
      <c r="FI55" s="518">
        <v>0</v>
      </c>
      <c r="FJ55" s="518">
        <v>0</v>
      </c>
      <c r="FK55" s="518">
        <v>0</v>
      </c>
      <c r="FL55" s="518">
        <v>0</v>
      </c>
      <c r="FM55" s="518">
        <v>0</v>
      </c>
      <c r="FN55" s="518">
        <v>0</v>
      </c>
      <c r="FO55" s="518">
        <v>0</v>
      </c>
      <c r="FP55" s="518">
        <v>0</v>
      </c>
      <c r="FQ55" s="518">
        <v>0</v>
      </c>
      <c r="FR55" s="518">
        <v>0</v>
      </c>
      <c r="FS55" s="518">
        <v>0</v>
      </c>
      <c r="FT55" s="518">
        <v>0</v>
      </c>
      <c r="FU55" s="518">
        <v>0</v>
      </c>
      <c r="FV55" s="518">
        <v>0</v>
      </c>
      <c r="FW55" s="518">
        <v>0</v>
      </c>
      <c r="FX55" s="518">
        <v>0</v>
      </c>
      <c r="FY55" s="518">
        <v>0</v>
      </c>
      <c r="FZ55" s="518">
        <v>0</v>
      </c>
      <c r="GA55" s="518">
        <v>0</v>
      </c>
      <c r="GB55" s="518">
        <v>0</v>
      </c>
      <c r="GC55" s="518">
        <v>0</v>
      </c>
      <c r="GD55" s="518">
        <v>0</v>
      </c>
      <c r="GE55" s="518">
        <v>0</v>
      </c>
      <c r="GF55" s="518">
        <v>0</v>
      </c>
      <c r="GG55" s="518">
        <v>0</v>
      </c>
      <c r="GH55" s="518">
        <v>0</v>
      </c>
      <c r="GI55" s="518">
        <v>0</v>
      </c>
      <c r="GJ55" s="518">
        <v>0</v>
      </c>
      <c r="GK55" s="518">
        <v>0</v>
      </c>
      <c r="GL55" s="518">
        <v>0</v>
      </c>
      <c r="GM55" s="518">
        <v>0</v>
      </c>
      <c r="GN55" s="518">
        <v>0</v>
      </c>
      <c r="GO55" s="518">
        <v>0</v>
      </c>
      <c r="GP55" s="518">
        <v>0</v>
      </c>
      <c r="GQ55" s="518">
        <v>0</v>
      </c>
      <c r="GR55" s="518">
        <v>0</v>
      </c>
      <c r="GS55" s="518">
        <v>0</v>
      </c>
      <c r="GT55" s="518">
        <v>0</v>
      </c>
      <c r="GU55" s="518">
        <v>0</v>
      </c>
      <c r="GV55" s="518">
        <v>0</v>
      </c>
      <c r="GW55" s="518">
        <v>0</v>
      </c>
      <c r="GX55" s="518">
        <v>0</v>
      </c>
      <c r="GY55" s="518">
        <v>0</v>
      </c>
      <c r="GZ55" s="518">
        <v>0</v>
      </c>
      <c r="HA55" s="518">
        <v>0</v>
      </c>
      <c r="HB55" s="518">
        <v>0</v>
      </c>
      <c r="HC55" s="518">
        <v>0</v>
      </c>
      <c r="HD55" s="518">
        <v>0</v>
      </c>
      <c r="HE55" s="518">
        <v>0</v>
      </c>
      <c r="HF55" s="518">
        <v>0</v>
      </c>
      <c r="HG55" s="518">
        <v>0</v>
      </c>
      <c r="HH55" s="518">
        <v>0</v>
      </c>
      <c r="HI55" s="518">
        <v>0</v>
      </c>
      <c r="HJ55" s="518">
        <v>0</v>
      </c>
      <c r="HK55" s="518">
        <v>0</v>
      </c>
      <c r="HL55" s="518">
        <v>0</v>
      </c>
      <c r="HM55" s="518">
        <v>0</v>
      </c>
      <c r="HN55" s="518">
        <v>0</v>
      </c>
      <c r="HO55" s="518">
        <v>0</v>
      </c>
      <c r="HP55" s="518">
        <v>0</v>
      </c>
      <c r="HQ55" s="518">
        <v>0</v>
      </c>
      <c r="HR55" s="518">
        <v>0</v>
      </c>
      <c r="HS55" s="518">
        <v>0</v>
      </c>
      <c r="HT55" s="518">
        <v>0</v>
      </c>
      <c r="HU55" s="518">
        <v>0</v>
      </c>
      <c r="HV55" s="518">
        <v>0</v>
      </c>
      <c r="HW55" s="518">
        <v>0</v>
      </c>
      <c r="HX55" s="518">
        <v>0</v>
      </c>
      <c r="HY55" s="518">
        <v>0</v>
      </c>
      <c r="HZ55" s="518">
        <v>0</v>
      </c>
      <c r="IA55" s="518">
        <v>0</v>
      </c>
      <c r="IB55" s="518">
        <v>0</v>
      </c>
      <c r="IC55" s="518">
        <v>0</v>
      </c>
      <c r="ID55" s="518">
        <v>0</v>
      </c>
      <c r="IE55" s="518">
        <v>0</v>
      </c>
      <c r="IF55" s="518">
        <v>0</v>
      </c>
      <c r="IG55" s="518">
        <v>0</v>
      </c>
      <c r="IH55" s="518">
        <v>0</v>
      </c>
      <c r="II55" s="518">
        <v>0</v>
      </c>
      <c r="IJ55" s="518">
        <v>0</v>
      </c>
      <c r="IK55" s="518">
        <v>0</v>
      </c>
    </row>
    <row r="56" spans="1:245" ht="16.5" hidden="1">
      <c r="A56" s="517" t="s">
        <v>721</v>
      </c>
      <c r="B56" s="517" t="s">
        <v>1101</v>
      </c>
      <c r="C56" s="517" t="s">
        <v>721</v>
      </c>
      <c r="D56" s="558"/>
      <c r="E56" s="517" t="s">
        <v>721</v>
      </c>
      <c r="F56" s="517" t="s">
        <v>26</v>
      </c>
      <c r="G56" s="558"/>
      <c r="H56" s="518">
        <v>21</v>
      </c>
      <c r="I56" s="558"/>
      <c r="J56" s="494" t="str">
        <f t="shared" si="1"/>
        <v>SWUC100221</v>
      </c>
      <c r="K56" s="518">
        <v>60</v>
      </c>
      <c r="M56" s="517" t="s">
        <v>721</v>
      </c>
      <c r="N56" s="517" t="s">
        <v>1101</v>
      </c>
      <c r="O56" s="517" t="s">
        <v>26</v>
      </c>
      <c r="P56" s="518">
        <v>21</v>
      </c>
      <c r="Q56" s="494" t="str">
        <f t="shared" si="2"/>
        <v>SWUC100221</v>
      </c>
      <c r="R56" s="518">
        <v>0</v>
      </c>
      <c r="S56" s="518">
        <v>5</v>
      </c>
      <c r="T56" s="518">
        <v>10</v>
      </c>
      <c r="U56" s="518">
        <v>15</v>
      </c>
      <c r="V56" s="518">
        <v>20</v>
      </c>
      <c r="W56" s="518">
        <v>26</v>
      </c>
      <c r="X56" s="518">
        <v>34</v>
      </c>
      <c r="Y56" s="518">
        <v>41</v>
      </c>
      <c r="Z56" s="518">
        <v>50</v>
      </c>
      <c r="AA56" s="518">
        <v>0</v>
      </c>
      <c r="AB56" s="518">
        <v>0</v>
      </c>
      <c r="AC56" s="518">
        <v>0</v>
      </c>
      <c r="AD56" s="518">
        <v>0</v>
      </c>
      <c r="AE56" s="518">
        <v>0</v>
      </c>
      <c r="AF56" s="518">
        <v>0</v>
      </c>
      <c r="AG56" s="518">
        <v>0</v>
      </c>
      <c r="AH56" s="518">
        <v>0</v>
      </c>
      <c r="AI56" s="518">
        <v>0</v>
      </c>
      <c r="AJ56" s="518">
        <v>0</v>
      </c>
      <c r="AK56" s="518">
        <v>0</v>
      </c>
      <c r="AL56" s="518">
        <v>0</v>
      </c>
      <c r="AM56" s="518">
        <v>0</v>
      </c>
      <c r="AN56" s="518">
        <v>0</v>
      </c>
      <c r="AO56" s="518">
        <v>0</v>
      </c>
      <c r="AP56" s="518">
        <v>0</v>
      </c>
      <c r="AQ56" s="518">
        <v>0</v>
      </c>
      <c r="AR56" s="518">
        <v>0</v>
      </c>
      <c r="AS56" s="518">
        <v>0</v>
      </c>
      <c r="AT56" s="518">
        <v>0</v>
      </c>
      <c r="AU56" s="518">
        <v>0</v>
      </c>
      <c r="AV56" s="518">
        <v>0</v>
      </c>
      <c r="AW56" s="518">
        <v>0</v>
      </c>
      <c r="AX56" s="518">
        <v>0</v>
      </c>
      <c r="AY56" s="518">
        <v>0</v>
      </c>
      <c r="AZ56" s="518">
        <v>0</v>
      </c>
      <c r="BA56" s="518">
        <v>0</v>
      </c>
      <c r="BB56" s="518">
        <v>0</v>
      </c>
      <c r="BC56" s="518">
        <v>0</v>
      </c>
      <c r="BD56" s="518">
        <v>0</v>
      </c>
      <c r="BE56" s="518">
        <v>0</v>
      </c>
      <c r="BF56" s="518">
        <v>0</v>
      </c>
      <c r="BG56" s="518">
        <v>0</v>
      </c>
      <c r="BH56" s="518">
        <v>0</v>
      </c>
      <c r="BI56" s="518">
        <v>0</v>
      </c>
      <c r="BJ56" s="518">
        <v>0</v>
      </c>
      <c r="BK56" s="518">
        <v>0</v>
      </c>
      <c r="BL56" s="518">
        <v>0</v>
      </c>
      <c r="BM56" s="518">
        <v>0</v>
      </c>
      <c r="BN56" s="518">
        <v>0</v>
      </c>
      <c r="BO56" s="518">
        <v>0</v>
      </c>
      <c r="BP56" s="518">
        <v>0</v>
      </c>
      <c r="BQ56" s="518">
        <v>0</v>
      </c>
      <c r="BR56" s="518">
        <v>0</v>
      </c>
      <c r="BS56" s="518">
        <v>0</v>
      </c>
      <c r="BT56" s="518">
        <v>0</v>
      </c>
      <c r="BU56" s="518">
        <v>0</v>
      </c>
      <c r="BV56" s="518">
        <v>0</v>
      </c>
      <c r="BW56" s="518">
        <v>0</v>
      </c>
      <c r="BX56" s="518">
        <v>0</v>
      </c>
      <c r="BY56" s="518">
        <v>0</v>
      </c>
      <c r="BZ56" s="518">
        <v>0</v>
      </c>
      <c r="CA56" s="518">
        <v>0</v>
      </c>
      <c r="CB56" s="518">
        <v>0</v>
      </c>
      <c r="CC56" s="518">
        <v>0</v>
      </c>
      <c r="CD56" s="518">
        <v>0</v>
      </c>
      <c r="CE56" s="518">
        <v>0</v>
      </c>
      <c r="CF56" s="518">
        <v>0</v>
      </c>
      <c r="CG56" s="518">
        <v>0</v>
      </c>
      <c r="CH56" s="518">
        <v>0</v>
      </c>
      <c r="CI56" s="518">
        <v>0</v>
      </c>
      <c r="CJ56" s="518">
        <v>0</v>
      </c>
      <c r="CK56" s="518">
        <v>0</v>
      </c>
      <c r="CL56" s="518">
        <v>0</v>
      </c>
      <c r="CM56" s="518">
        <v>0</v>
      </c>
      <c r="CN56" s="518">
        <v>0</v>
      </c>
      <c r="CO56" s="518">
        <v>0</v>
      </c>
      <c r="CP56" s="518">
        <v>0</v>
      </c>
      <c r="CQ56" s="518">
        <v>0</v>
      </c>
      <c r="CR56" s="518">
        <v>0</v>
      </c>
      <c r="CS56" s="518">
        <v>0</v>
      </c>
      <c r="CT56" s="518">
        <v>0</v>
      </c>
      <c r="CU56" s="518">
        <v>0</v>
      </c>
      <c r="CV56" s="518">
        <v>0</v>
      </c>
      <c r="CW56" s="518">
        <v>0</v>
      </c>
      <c r="CX56" s="518">
        <v>0</v>
      </c>
      <c r="CY56" s="518">
        <v>0</v>
      </c>
      <c r="CZ56" s="518">
        <v>0</v>
      </c>
      <c r="DA56" s="518">
        <v>0</v>
      </c>
      <c r="DB56" s="518">
        <v>0</v>
      </c>
      <c r="DC56" s="518">
        <v>0</v>
      </c>
      <c r="DD56" s="518">
        <v>0</v>
      </c>
      <c r="DE56" s="518">
        <v>0</v>
      </c>
      <c r="DF56" s="518">
        <v>0</v>
      </c>
      <c r="DG56" s="518">
        <v>0</v>
      </c>
      <c r="DH56" s="518">
        <v>0</v>
      </c>
      <c r="DI56" s="518">
        <v>0</v>
      </c>
      <c r="DJ56" s="518">
        <v>0</v>
      </c>
      <c r="DK56" s="518">
        <v>0</v>
      </c>
      <c r="DL56" s="518">
        <v>0</v>
      </c>
      <c r="DM56" s="518">
        <v>0</v>
      </c>
      <c r="DN56" s="518">
        <v>0</v>
      </c>
      <c r="DO56" s="518">
        <v>0</v>
      </c>
      <c r="DP56" s="518">
        <v>0</v>
      </c>
      <c r="DQ56" s="518">
        <v>0</v>
      </c>
      <c r="DR56" s="518">
        <v>0</v>
      </c>
      <c r="DS56" s="518">
        <v>0</v>
      </c>
      <c r="DT56" s="518">
        <v>0</v>
      </c>
      <c r="DU56" s="518">
        <v>0</v>
      </c>
      <c r="DV56" s="518">
        <v>0</v>
      </c>
      <c r="DW56" s="518">
        <v>0</v>
      </c>
      <c r="DX56" s="518">
        <v>0</v>
      </c>
      <c r="DY56" s="477"/>
      <c r="DZ56" s="517" t="s">
        <v>721</v>
      </c>
      <c r="EA56" s="517" t="s">
        <v>1101</v>
      </c>
      <c r="EB56" s="517" t="s">
        <v>26</v>
      </c>
      <c r="EC56" s="518">
        <v>21</v>
      </c>
      <c r="ED56" s="494" t="str">
        <f t="shared" si="0"/>
        <v>SWUC100221</v>
      </c>
      <c r="EE56" s="518">
        <v>10000</v>
      </c>
      <c r="EF56" s="518">
        <v>10000</v>
      </c>
      <c r="EG56" s="518">
        <v>10000</v>
      </c>
      <c r="EH56" s="518">
        <v>10000</v>
      </c>
      <c r="EI56" s="518">
        <v>10000</v>
      </c>
      <c r="EJ56" s="518">
        <v>10000</v>
      </c>
      <c r="EK56" s="518">
        <v>10000</v>
      </c>
      <c r="EL56" s="518">
        <v>10000</v>
      </c>
      <c r="EM56" s="518">
        <v>10000</v>
      </c>
      <c r="EN56" s="518">
        <v>10000</v>
      </c>
      <c r="EO56" s="518">
        <v>0</v>
      </c>
      <c r="EP56" s="518">
        <v>0</v>
      </c>
      <c r="EQ56" s="518">
        <v>0</v>
      </c>
      <c r="ER56" s="518">
        <v>0</v>
      </c>
      <c r="ES56" s="518">
        <v>0</v>
      </c>
      <c r="ET56" s="518">
        <v>0</v>
      </c>
      <c r="EU56" s="518">
        <v>0</v>
      </c>
      <c r="EV56" s="518">
        <v>0</v>
      </c>
      <c r="EW56" s="518">
        <v>0</v>
      </c>
      <c r="EX56" s="518">
        <v>0</v>
      </c>
      <c r="EY56" s="518">
        <v>0</v>
      </c>
      <c r="EZ56" s="518">
        <v>0</v>
      </c>
      <c r="FA56" s="518">
        <v>0</v>
      </c>
      <c r="FB56" s="518">
        <v>0</v>
      </c>
      <c r="FC56" s="518">
        <v>0</v>
      </c>
      <c r="FD56" s="518">
        <v>0</v>
      </c>
      <c r="FE56" s="518">
        <v>0</v>
      </c>
      <c r="FF56" s="518">
        <v>0</v>
      </c>
      <c r="FG56" s="518">
        <v>0</v>
      </c>
      <c r="FH56" s="518">
        <v>0</v>
      </c>
      <c r="FI56" s="518">
        <v>0</v>
      </c>
      <c r="FJ56" s="518">
        <v>0</v>
      </c>
      <c r="FK56" s="518">
        <v>0</v>
      </c>
      <c r="FL56" s="518">
        <v>0</v>
      </c>
      <c r="FM56" s="518">
        <v>0</v>
      </c>
      <c r="FN56" s="518">
        <v>0</v>
      </c>
      <c r="FO56" s="518">
        <v>0</v>
      </c>
      <c r="FP56" s="518">
        <v>0</v>
      </c>
      <c r="FQ56" s="518">
        <v>0</v>
      </c>
      <c r="FR56" s="518">
        <v>0</v>
      </c>
      <c r="FS56" s="518">
        <v>0</v>
      </c>
      <c r="FT56" s="518">
        <v>0</v>
      </c>
      <c r="FU56" s="518">
        <v>0</v>
      </c>
      <c r="FV56" s="518">
        <v>0</v>
      </c>
      <c r="FW56" s="518">
        <v>0</v>
      </c>
      <c r="FX56" s="518">
        <v>0</v>
      </c>
      <c r="FY56" s="518">
        <v>0</v>
      </c>
      <c r="FZ56" s="518">
        <v>0</v>
      </c>
      <c r="GA56" s="518">
        <v>0</v>
      </c>
      <c r="GB56" s="518">
        <v>0</v>
      </c>
      <c r="GC56" s="518">
        <v>0</v>
      </c>
      <c r="GD56" s="518">
        <v>0</v>
      </c>
      <c r="GE56" s="518">
        <v>0</v>
      </c>
      <c r="GF56" s="518">
        <v>0</v>
      </c>
      <c r="GG56" s="518">
        <v>0</v>
      </c>
      <c r="GH56" s="518">
        <v>0</v>
      </c>
      <c r="GI56" s="518">
        <v>0</v>
      </c>
      <c r="GJ56" s="518">
        <v>0</v>
      </c>
      <c r="GK56" s="518">
        <v>0</v>
      </c>
      <c r="GL56" s="518">
        <v>0</v>
      </c>
      <c r="GM56" s="518">
        <v>0</v>
      </c>
      <c r="GN56" s="518">
        <v>0</v>
      </c>
      <c r="GO56" s="518">
        <v>0</v>
      </c>
      <c r="GP56" s="518">
        <v>0</v>
      </c>
      <c r="GQ56" s="518">
        <v>0</v>
      </c>
      <c r="GR56" s="518">
        <v>0</v>
      </c>
      <c r="GS56" s="518">
        <v>0</v>
      </c>
      <c r="GT56" s="518">
        <v>0</v>
      </c>
      <c r="GU56" s="518">
        <v>0</v>
      </c>
      <c r="GV56" s="518">
        <v>0</v>
      </c>
      <c r="GW56" s="518">
        <v>0</v>
      </c>
      <c r="GX56" s="518">
        <v>0</v>
      </c>
      <c r="GY56" s="518">
        <v>0</v>
      </c>
      <c r="GZ56" s="518">
        <v>0</v>
      </c>
      <c r="HA56" s="518">
        <v>0</v>
      </c>
      <c r="HB56" s="518">
        <v>0</v>
      </c>
      <c r="HC56" s="518">
        <v>0</v>
      </c>
      <c r="HD56" s="518">
        <v>0</v>
      </c>
      <c r="HE56" s="518">
        <v>0</v>
      </c>
      <c r="HF56" s="518">
        <v>0</v>
      </c>
      <c r="HG56" s="518">
        <v>0</v>
      </c>
      <c r="HH56" s="518">
        <v>0</v>
      </c>
      <c r="HI56" s="518">
        <v>0</v>
      </c>
      <c r="HJ56" s="518">
        <v>0</v>
      </c>
      <c r="HK56" s="518">
        <v>0</v>
      </c>
      <c r="HL56" s="518">
        <v>0</v>
      </c>
      <c r="HM56" s="518">
        <v>0</v>
      </c>
      <c r="HN56" s="518">
        <v>0</v>
      </c>
      <c r="HO56" s="518">
        <v>0</v>
      </c>
      <c r="HP56" s="518">
        <v>0</v>
      </c>
      <c r="HQ56" s="518">
        <v>0</v>
      </c>
      <c r="HR56" s="518">
        <v>0</v>
      </c>
      <c r="HS56" s="518">
        <v>0</v>
      </c>
      <c r="HT56" s="518">
        <v>0</v>
      </c>
      <c r="HU56" s="518">
        <v>0</v>
      </c>
      <c r="HV56" s="518">
        <v>0</v>
      </c>
      <c r="HW56" s="518">
        <v>0</v>
      </c>
      <c r="HX56" s="518">
        <v>0</v>
      </c>
      <c r="HY56" s="518">
        <v>0</v>
      </c>
      <c r="HZ56" s="518">
        <v>0</v>
      </c>
      <c r="IA56" s="518">
        <v>0</v>
      </c>
      <c r="IB56" s="518">
        <v>0</v>
      </c>
      <c r="IC56" s="518">
        <v>0</v>
      </c>
      <c r="ID56" s="518">
        <v>0</v>
      </c>
      <c r="IE56" s="518">
        <v>0</v>
      </c>
      <c r="IF56" s="518">
        <v>0</v>
      </c>
      <c r="IG56" s="518">
        <v>0</v>
      </c>
      <c r="IH56" s="518">
        <v>0</v>
      </c>
      <c r="II56" s="518">
        <v>0</v>
      </c>
      <c r="IJ56" s="518">
        <v>0</v>
      </c>
      <c r="IK56" s="518">
        <v>0</v>
      </c>
    </row>
    <row r="57" spans="1:245" ht="16.5" hidden="1">
      <c r="A57" s="517" t="s">
        <v>721</v>
      </c>
      <c r="B57" s="517" t="s">
        <v>1101</v>
      </c>
      <c r="C57" s="517" t="s">
        <v>721</v>
      </c>
      <c r="D57" s="558"/>
      <c r="E57" s="517" t="s">
        <v>721</v>
      </c>
      <c r="F57" s="517" t="s">
        <v>26</v>
      </c>
      <c r="G57" s="558"/>
      <c r="H57" s="518">
        <v>22</v>
      </c>
      <c r="I57" s="558"/>
      <c r="J57" s="494" t="str">
        <f t="shared" si="1"/>
        <v>SWUC100222</v>
      </c>
      <c r="K57" s="518">
        <v>63</v>
      </c>
      <c r="M57" s="517" t="s">
        <v>721</v>
      </c>
      <c r="N57" s="517" t="s">
        <v>1101</v>
      </c>
      <c r="O57" s="517" t="s">
        <v>26</v>
      </c>
      <c r="P57" s="518">
        <v>22</v>
      </c>
      <c r="Q57" s="494" t="str">
        <f t="shared" si="2"/>
        <v>SWUC100222</v>
      </c>
      <c r="R57" s="518">
        <v>0</v>
      </c>
      <c r="S57" s="518">
        <v>5</v>
      </c>
      <c r="T57" s="518">
        <v>11</v>
      </c>
      <c r="U57" s="518">
        <v>16</v>
      </c>
      <c r="V57" s="518">
        <v>21</v>
      </c>
      <c r="W57" s="518">
        <v>28</v>
      </c>
      <c r="X57" s="518">
        <v>36</v>
      </c>
      <c r="Y57" s="518">
        <v>43</v>
      </c>
      <c r="Z57" s="518">
        <v>52</v>
      </c>
      <c r="AA57" s="518">
        <v>0</v>
      </c>
      <c r="AB57" s="518">
        <v>0</v>
      </c>
      <c r="AC57" s="518">
        <v>0</v>
      </c>
      <c r="AD57" s="518">
        <v>0</v>
      </c>
      <c r="AE57" s="518">
        <v>0</v>
      </c>
      <c r="AF57" s="518">
        <v>0</v>
      </c>
      <c r="AG57" s="518">
        <v>0</v>
      </c>
      <c r="AH57" s="518">
        <v>0</v>
      </c>
      <c r="AI57" s="518">
        <v>0</v>
      </c>
      <c r="AJ57" s="518">
        <v>0</v>
      </c>
      <c r="AK57" s="518">
        <v>0</v>
      </c>
      <c r="AL57" s="518">
        <v>0</v>
      </c>
      <c r="AM57" s="518">
        <v>0</v>
      </c>
      <c r="AN57" s="518">
        <v>0</v>
      </c>
      <c r="AO57" s="518">
        <v>0</v>
      </c>
      <c r="AP57" s="518">
        <v>0</v>
      </c>
      <c r="AQ57" s="518">
        <v>0</v>
      </c>
      <c r="AR57" s="518">
        <v>0</v>
      </c>
      <c r="AS57" s="518">
        <v>0</v>
      </c>
      <c r="AT57" s="518">
        <v>0</v>
      </c>
      <c r="AU57" s="518">
        <v>0</v>
      </c>
      <c r="AV57" s="518">
        <v>0</v>
      </c>
      <c r="AW57" s="518">
        <v>0</v>
      </c>
      <c r="AX57" s="518">
        <v>0</v>
      </c>
      <c r="AY57" s="518">
        <v>0</v>
      </c>
      <c r="AZ57" s="518">
        <v>0</v>
      </c>
      <c r="BA57" s="518">
        <v>0</v>
      </c>
      <c r="BB57" s="518">
        <v>0</v>
      </c>
      <c r="BC57" s="518">
        <v>0</v>
      </c>
      <c r="BD57" s="518">
        <v>0</v>
      </c>
      <c r="BE57" s="518">
        <v>0</v>
      </c>
      <c r="BF57" s="518">
        <v>0</v>
      </c>
      <c r="BG57" s="518">
        <v>0</v>
      </c>
      <c r="BH57" s="518">
        <v>0</v>
      </c>
      <c r="BI57" s="518">
        <v>0</v>
      </c>
      <c r="BJ57" s="518">
        <v>0</v>
      </c>
      <c r="BK57" s="518">
        <v>0</v>
      </c>
      <c r="BL57" s="518">
        <v>0</v>
      </c>
      <c r="BM57" s="518">
        <v>0</v>
      </c>
      <c r="BN57" s="518">
        <v>0</v>
      </c>
      <c r="BO57" s="518">
        <v>0</v>
      </c>
      <c r="BP57" s="518">
        <v>0</v>
      </c>
      <c r="BQ57" s="518">
        <v>0</v>
      </c>
      <c r="BR57" s="518">
        <v>0</v>
      </c>
      <c r="BS57" s="518">
        <v>0</v>
      </c>
      <c r="BT57" s="518">
        <v>0</v>
      </c>
      <c r="BU57" s="518">
        <v>0</v>
      </c>
      <c r="BV57" s="518">
        <v>0</v>
      </c>
      <c r="BW57" s="518">
        <v>0</v>
      </c>
      <c r="BX57" s="518">
        <v>0</v>
      </c>
      <c r="BY57" s="518">
        <v>0</v>
      </c>
      <c r="BZ57" s="518">
        <v>0</v>
      </c>
      <c r="CA57" s="518">
        <v>0</v>
      </c>
      <c r="CB57" s="518">
        <v>0</v>
      </c>
      <c r="CC57" s="518">
        <v>0</v>
      </c>
      <c r="CD57" s="518">
        <v>0</v>
      </c>
      <c r="CE57" s="518">
        <v>0</v>
      </c>
      <c r="CF57" s="518">
        <v>0</v>
      </c>
      <c r="CG57" s="518">
        <v>0</v>
      </c>
      <c r="CH57" s="518">
        <v>0</v>
      </c>
      <c r="CI57" s="518">
        <v>0</v>
      </c>
      <c r="CJ57" s="518">
        <v>0</v>
      </c>
      <c r="CK57" s="518">
        <v>0</v>
      </c>
      <c r="CL57" s="518">
        <v>0</v>
      </c>
      <c r="CM57" s="518">
        <v>0</v>
      </c>
      <c r="CN57" s="518">
        <v>0</v>
      </c>
      <c r="CO57" s="518">
        <v>0</v>
      </c>
      <c r="CP57" s="518">
        <v>0</v>
      </c>
      <c r="CQ57" s="518">
        <v>0</v>
      </c>
      <c r="CR57" s="518">
        <v>0</v>
      </c>
      <c r="CS57" s="518">
        <v>0</v>
      </c>
      <c r="CT57" s="518">
        <v>0</v>
      </c>
      <c r="CU57" s="518">
        <v>0</v>
      </c>
      <c r="CV57" s="518">
        <v>0</v>
      </c>
      <c r="CW57" s="518">
        <v>0</v>
      </c>
      <c r="CX57" s="518">
        <v>0</v>
      </c>
      <c r="CY57" s="518">
        <v>0</v>
      </c>
      <c r="CZ57" s="518">
        <v>0</v>
      </c>
      <c r="DA57" s="518">
        <v>0</v>
      </c>
      <c r="DB57" s="518">
        <v>0</v>
      </c>
      <c r="DC57" s="518">
        <v>0</v>
      </c>
      <c r="DD57" s="518">
        <v>0</v>
      </c>
      <c r="DE57" s="518">
        <v>0</v>
      </c>
      <c r="DF57" s="518">
        <v>0</v>
      </c>
      <c r="DG57" s="518">
        <v>0</v>
      </c>
      <c r="DH57" s="518">
        <v>0</v>
      </c>
      <c r="DI57" s="518">
        <v>0</v>
      </c>
      <c r="DJ57" s="518">
        <v>0</v>
      </c>
      <c r="DK57" s="518">
        <v>0</v>
      </c>
      <c r="DL57" s="518">
        <v>0</v>
      </c>
      <c r="DM57" s="518">
        <v>0</v>
      </c>
      <c r="DN57" s="518">
        <v>0</v>
      </c>
      <c r="DO57" s="518">
        <v>0</v>
      </c>
      <c r="DP57" s="518">
        <v>0</v>
      </c>
      <c r="DQ57" s="518">
        <v>0</v>
      </c>
      <c r="DR57" s="518">
        <v>0</v>
      </c>
      <c r="DS57" s="518">
        <v>0</v>
      </c>
      <c r="DT57" s="518">
        <v>0</v>
      </c>
      <c r="DU57" s="518">
        <v>0</v>
      </c>
      <c r="DV57" s="518">
        <v>0</v>
      </c>
      <c r="DW57" s="518">
        <v>0</v>
      </c>
      <c r="DX57" s="518">
        <v>0</v>
      </c>
      <c r="DY57" s="477"/>
      <c r="DZ57" s="517" t="s">
        <v>721</v>
      </c>
      <c r="EA57" s="517" t="s">
        <v>1101</v>
      </c>
      <c r="EB57" s="517" t="s">
        <v>26</v>
      </c>
      <c r="EC57" s="518">
        <v>22</v>
      </c>
      <c r="ED57" s="494" t="str">
        <f t="shared" si="0"/>
        <v>SWUC100222</v>
      </c>
      <c r="EE57" s="518">
        <v>10000</v>
      </c>
      <c r="EF57" s="518">
        <v>10000</v>
      </c>
      <c r="EG57" s="518">
        <v>10000</v>
      </c>
      <c r="EH57" s="518">
        <v>10000</v>
      </c>
      <c r="EI57" s="518">
        <v>10000</v>
      </c>
      <c r="EJ57" s="518">
        <v>10000</v>
      </c>
      <c r="EK57" s="518">
        <v>10000</v>
      </c>
      <c r="EL57" s="518">
        <v>10000</v>
      </c>
      <c r="EM57" s="518">
        <v>10000</v>
      </c>
      <c r="EN57" s="518">
        <v>10000</v>
      </c>
      <c r="EO57" s="518">
        <v>0</v>
      </c>
      <c r="EP57" s="518">
        <v>0</v>
      </c>
      <c r="EQ57" s="518">
        <v>0</v>
      </c>
      <c r="ER57" s="518">
        <v>0</v>
      </c>
      <c r="ES57" s="518">
        <v>0</v>
      </c>
      <c r="ET57" s="518">
        <v>0</v>
      </c>
      <c r="EU57" s="518">
        <v>0</v>
      </c>
      <c r="EV57" s="518">
        <v>0</v>
      </c>
      <c r="EW57" s="518">
        <v>0</v>
      </c>
      <c r="EX57" s="518">
        <v>0</v>
      </c>
      <c r="EY57" s="518">
        <v>0</v>
      </c>
      <c r="EZ57" s="518">
        <v>0</v>
      </c>
      <c r="FA57" s="518">
        <v>0</v>
      </c>
      <c r="FB57" s="518">
        <v>0</v>
      </c>
      <c r="FC57" s="518">
        <v>0</v>
      </c>
      <c r="FD57" s="518">
        <v>0</v>
      </c>
      <c r="FE57" s="518">
        <v>0</v>
      </c>
      <c r="FF57" s="518">
        <v>0</v>
      </c>
      <c r="FG57" s="518">
        <v>0</v>
      </c>
      <c r="FH57" s="518">
        <v>0</v>
      </c>
      <c r="FI57" s="518">
        <v>0</v>
      </c>
      <c r="FJ57" s="518">
        <v>0</v>
      </c>
      <c r="FK57" s="518">
        <v>0</v>
      </c>
      <c r="FL57" s="518">
        <v>0</v>
      </c>
      <c r="FM57" s="518">
        <v>0</v>
      </c>
      <c r="FN57" s="518">
        <v>0</v>
      </c>
      <c r="FO57" s="518">
        <v>0</v>
      </c>
      <c r="FP57" s="518">
        <v>0</v>
      </c>
      <c r="FQ57" s="518">
        <v>0</v>
      </c>
      <c r="FR57" s="518">
        <v>0</v>
      </c>
      <c r="FS57" s="518">
        <v>0</v>
      </c>
      <c r="FT57" s="518">
        <v>0</v>
      </c>
      <c r="FU57" s="518">
        <v>0</v>
      </c>
      <c r="FV57" s="518">
        <v>0</v>
      </c>
      <c r="FW57" s="518">
        <v>0</v>
      </c>
      <c r="FX57" s="518">
        <v>0</v>
      </c>
      <c r="FY57" s="518">
        <v>0</v>
      </c>
      <c r="FZ57" s="518">
        <v>0</v>
      </c>
      <c r="GA57" s="518">
        <v>0</v>
      </c>
      <c r="GB57" s="518">
        <v>0</v>
      </c>
      <c r="GC57" s="518">
        <v>0</v>
      </c>
      <c r="GD57" s="518">
        <v>0</v>
      </c>
      <c r="GE57" s="518">
        <v>0</v>
      </c>
      <c r="GF57" s="518">
        <v>0</v>
      </c>
      <c r="GG57" s="518">
        <v>0</v>
      </c>
      <c r="GH57" s="518">
        <v>0</v>
      </c>
      <c r="GI57" s="518">
        <v>0</v>
      </c>
      <c r="GJ57" s="518">
        <v>0</v>
      </c>
      <c r="GK57" s="518">
        <v>0</v>
      </c>
      <c r="GL57" s="518">
        <v>0</v>
      </c>
      <c r="GM57" s="518">
        <v>0</v>
      </c>
      <c r="GN57" s="518">
        <v>0</v>
      </c>
      <c r="GO57" s="518">
        <v>0</v>
      </c>
      <c r="GP57" s="518">
        <v>0</v>
      </c>
      <c r="GQ57" s="518">
        <v>0</v>
      </c>
      <c r="GR57" s="518">
        <v>0</v>
      </c>
      <c r="GS57" s="518">
        <v>0</v>
      </c>
      <c r="GT57" s="518">
        <v>0</v>
      </c>
      <c r="GU57" s="518">
        <v>0</v>
      </c>
      <c r="GV57" s="518">
        <v>0</v>
      </c>
      <c r="GW57" s="518">
        <v>0</v>
      </c>
      <c r="GX57" s="518">
        <v>0</v>
      </c>
      <c r="GY57" s="518">
        <v>0</v>
      </c>
      <c r="GZ57" s="518">
        <v>0</v>
      </c>
      <c r="HA57" s="518">
        <v>0</v>
      </c>
      <c r="HB57" s="518">
        <v>0</v>
      </c>
      <c r="HC57" s="518">
        <v>0</v>
      </c>
      <c r="HD57" s="518">
        <v>0</v>
      </c>
      <c r="HE57" s="518">
        <v>0</v>
      </c>
      <c r="HF57" s="518">
        <v>0</v>
      </c>
      <c r="HG57" s="518">
        <v>0</v>
      </c>
      <c r="HH57" s="518">
        <v>0</v>
      </c>
      <c r="HI57" s="518">
        <v>0</v>
      </c>
      <c r="HJ57" s="518">
        <v>0</v>
      </c>
      <c r="HK57" s="518">
        <v>0</v>
      </c>
      <c r="HL57" s="518">
        <v>0</v>
      </c>
      <c r="HM57" s="518">
        <v>0</v>
      </c>
      <c r="HN57" s="518">
        <v>0</v>
      </c>
      <c r="HO57" s="518">
        <v>0</v>
      </c>
      <c r="HP57" s="518">
        <v>0</v>
      </c>
      <c r="HQ57" s="518">
        <v>0</v>
      </c>
      <c r="HR57" s="518">
        <v>0</v>
      </c>
      <c r="HS57" s="518">
        <v>0</v>
      </c>
      <c r="HT57" s="518">
        <v>0</v>
      </c>
      <c r="HU57" s="518">
        <v>0</v>
      </c>
      <c r="HV57" s="518">
        <v>0</v>
      </c>
      <c r="HW57" s="518">
        <v>0</v>
      </c>
      <c r="HX57" s="518">
        <v>0</v>
      </c>
      <c r="HY57" s="518">
        <v>0</v>
      </c>
      <c r="HZ57" s="518">
        <v>0</v>
      </c>
      <c r="IA57" s="518">
        <v>0</v>
      </c>
      <c r="IB57" s="518">
        <v>0</v>
      </c>
      <c r="IC57" s="518">
        <v>0</v>
      </c>
      <c r="ID57" s="518">
        <v>0</v>
      </c>
      <c r="IE57" s="518">
        <v>0</v>
      </c>
      <c r="IF57" s="518">
        <v>0</v>
      </c>
      <c r="IG57" s="518">
        <v>0</v>
      </c>
      <c r="IH57" s="518">
        <v>0</v>
      </c>
      <c r="II57" s="518">
        <v>0</v>
      </c>
      <c r="IJ57" s="518">
        <v>0</v>
      </c>
      <c r="IK57" s="518">
        <v>0</v>
      </c>
    </row>
    <row r="58" spans="1:245" ht="16.5" hidden="1">
      <c r="A58" s="517" t="s">
        <v>721</v>
      </c>
      <c r="B58" s="517" t="s">
        <v>1101</v>
      </c>
      <c r="C58" s="517" t="s">
        <v>721</v>
      </c>
      <c r="D58" s="558"/>
      <c r="E58" s="517" t="s">
        <v>721</v>
      </c>
      <c r="F58" s="517" t="s">
        <v>26</v>
      </c>
      <c r="G58" s="558"/>
      <c r="H58" s="518">
        <v>23</v>
      </c>
      <c r="I58" s="558"/>
      <c r="J58" s="494" t="str">
        <f t="shared" si="1"/>
        <v>SWUC100223</v>
      </c>
      <c r="K58" s="518">
        <v>66</v>
      </c>
      <c r="M58" s="517" t="s">
        <v>721</v>
      </c>
      <c r="N58" s="517" t="s">
        <v>1101</v>
      </c>
      <c r="O58" s="517" t="s">
        <v>26</v>
      </c>
      <c r="P58" s="518">
        <v>23</v>
      </c>
      <c r="Q58" s="494" t="str">
        <f t="shared" si="2"/>
        <v>SWUC100223</v>
      </c>
      <c r="R58" s="518">
        <v>0</v>
      </c>
      <c r="S58" s="518">
        <v>5</v>
      </c>
      <c r="T58" s="518">
        <v>11</v>
      </c>
      <c r="U58" s="518">
        <v>17</v>
      </c>
      <c r="V58" s="518">
        <v>22</v>
      </c>
      <c r="W58" s="518">
        <v>29</v>
      </c>
      <c r="X58" s="518">
        <v>37</v>
      </c>
      <c r="Y58" s="518">
        <v>46</v>
      </c>
      <c r="Z58" s="518">
        <v>55</v>
      </c>
      <c r="AA58" s="518">
        <v>0</v>
      </c>
      <c r="AB58" s="518">
        <v>0</v>
      </c>
      <c r="AC58" s="518">
        <v>0</v>
      </c>
      <c r="AD58" s="518">
        <v>0</v>
      </c>
      <c r="AE58" s="518">
        <v>0</v>
      </c>
      <c r="AF58" s="518">
        <v>0</v>
      </c>
      <c r="AG58" s="518">
        <v>0</v>
      </c>
      <c r="AH58" s="518">
        <v>0</v>
      </c>
      <c r="AI58" s="518">
        <v>0</v>
      </c>
      <c r="AJ58" s="518">
        <v>0</v>
      </c>
      <c r="AK58" s="518">
        <v>0</v>
      </c>
      <c r="AL58" s="518">
        <v>0</v>
      </c>
      <c r="AM58" s="518">
        <v>0</v>
      </c>
      <c r="AN58" s="518">
        <v>0</v>
      </c>
      <c r="AO58" s="518">
        <v>0</v>
      </c>
      <c r="AP58" s="518">
        <v>0</v>
      </c>
      <c r="AQ58" s="518">
        <v>0</v>
      </c>
      <c r="AR58" s="518">
        <v>0</v>
      </c>
      <c r="AS58" s="518">
        <v>0</v>
      </c>
      <c r="AT58" s="518">
        <v>0</v>
      </c>
      <c r="AU58" s="518">
        <v>0</v>
      </c>
      <c r="AV58" s="518">
        <v>0</v>
      </c>
      <c r="AW58" s="518">
        <v>0</v>
      </c>
      <c r="AX58" s="518">
        <v>0</v>
      </c>
      <c r="AY58" s="518">
        <v>0</v>
      </c>
      <c r="AZ58" s="518">
        <v>0</v>
      </c>
      <c r="BA58" s="518">
        <v>0</v>
      </c>
      <c r="BB58" s="518">
        <v>0</v>
      </c>
      <c r="BC58" s="518">
        <v>0</v>
      </c>
      <c r="BD58" s="518">
        <v>0</v>
      </c>
      <c r="BE58" s="518">
        <v>0</v>
      </c>
      <c r="BF58" s="518">
        <v>0</v>
      </c>
      <c r="BG58" s="518">
        <v>0</v>
      </c>
      <c r="BH58" s="518">
        <v>0</v>
      </c>
      <c r="BI58" s="518">
        <v>0</v>
      </c>
      <c r="BJ58" s="518">
        <v>0</v>
      </c>
      <c r="BK58" s="518">
        <v>0</v>
      </c>
      <c r="BL58" s="518">
        <v>0</v>
      </c>
      <c r="BM58" s="518">
        <v>0</v>
      </c>
      <c r="BN58" s="518">
        <v>0</v>
      </c>
      <c r="BO58" s="518">
        <v>0</v>
      </c>
      <c r="BP58" s="518">
        <v>0</v>
      </c>
      <c r="BQ58" s="518">
        <v>0</v>
      </c>
      <c r="BR58" s="518">
        <v>0</v>
      </c>
      <c r="BS58" s="518">
        <v>0</v>
      </c>
      <c r="BT58" s="518">
        <v>0</v>
      </c>
      <c r="BU58" s="518">
        <v>0</v>
      </c>
      <c r="BV58" s="518">
        <v>0</v>
      </c>
      <c r="BW58" s="518">
        <v>0</v>
      </c>
      <c r="BX58" s="518">
        <v>0</v>
      </c>
      <c r="BY58" s="518">
        <v>0</v>
      </c>
      <c r="BZ58" s="518">
        <v>0</v>
      </c>
      <c r="CA58" s="518">
        <v>0</v>
      </c>
      <c r="CB58" s="518">
        <v>0</v>
      </c>
      <c r="CC58" s="518">
        <v>0</v>
      </c>
      <c r="CD58" s="518">
        <v>0</v>
      </c>
      <c r="CE58" s="518">
        <v>0</v>
      </c>
      <c r="CF58" s="518">
        <v>0</v>
      </c>
      <c r="CG58" s="518">
        <v>0</v>
      </c>
      <c r="CH58" s="518">
        <v>0</v>
      </c>
      <c r="CI58" s="518">
        <v>0</v>
      </c>
      <c r="CJ58" s="518">
        <v>0</v>
      </c>
      <c r="CK58" s="518">
        <v>0</v>
      </c>
      <c r="CL58" s="518">
        <v>0</v>
      </c>
      <c r="CM58" s="518">
        <v>0</v>
      </c>
      <c r="CN58" s="518">
        <v>0</v>
      </c>
      <c r="CO58" s="518">
        <v>0</v>
      </c>
      <c r="CP58" s="518">
        <v>0</v>
      </c>
      <c r="CQ58" s="518">
        <v>0</v>
      </c>
      <c r="CR58" s="518">
        <v>0</v>
      </c>
      <c r="CS58" s="518">
        <v>0</v>
      </c>
      <c r="CT58" s="518">
        <v>0</v>
      </c>
      <c r="CU58" s="518">
        <v>0</v>
      </c>
      <c r="CV58" s="518">
        <v>0</v>
      </c>
      <c r="CW58" s="518">
        <v>0</v>
      </c>
      <c r="CX58" s="518">
        <v>0</v>
      </c>
      <c r="CY58" s="518">
        <v>0</v>
      </c>
      <c r="CZ58" s="518">
        <v>0</v>
      </c>
      <c r="DA58" s="518">
        <v>0</v>
      </c>
      <c r="DB58" s="518">
        <v>0</v>
      </c>
      <c r="DC58" s="518">
        <v>0</v>
      </c>
      <c r="DD58" s="518">
        <v>0</v>
      </c>
      <c r="DE58" s="518">
        <v>0</v>
      </c>
      <c r="DF58" s="518">
        <v>0</v>
      </c>
      <c r="DG58" s="518">
        <v>0</v>
      </c>
      <c r="DH58" s="518">
        <v>0</v>
      </c>
      <c r="DI58" s="518">
        <v>0</v>
      </c>
      <c r="DJ58" s="518">
        <v>0</v>
      </c>
      <c r="DK58" s="518">
        <v>0</v>
      </c>
      <c r="DL58" s="518">
        <v>0</v>
      </c>
      <c r="DM58" s="518">
        <v>0</v>
      </c>
      <c r="DN58" s="518">
        <v>0</v>
      </c>
      <c r="DO58" s="518">
        <v>0</v>
      </c>
      <c r="DP58" s="518">
        <v>0</v>
      </c>
      <c r="DQ58" s="518">
        <v>0</v>
      </c>
      <c r="DR58" s="518">
        <v>0</v>
      </c>
      <c r="DS58" s="518">
        <v>0</v>
      </c>
      <c r="DT58" s="518">
        <v>0</v>
      </c>
      <c r="DU58" s="518">
        <v>0</v>
      </c>
      <c r="DV58" s="518">
        <v>0</v>
      </c>
      <c r="DW58" s="518">
        <v>0</v>
      </c>
      <c r="DX58" s="518">
        <v>0</v>
      </c>
      <c r="DY58" s="477"/>
      <c r="DZ58" s="517" t="s">
        <v>721</v>
      </c>
      <c r="EA58" s="517" t="s">
        <v>1101</v>
      </c>
      <c r="EB58" s="517" t="s">
        <v>26</v>
      </c>
      <c r="EC58" s="518">
        <v>23</v>
      </c>
      <c r="ED58" s="494" t="str">
        <f t="shared" si="0"/>
        <v>SWUC100223</v>
      </c>
      <c r="EE58" s="518">
        <v>10000</v>
      </c>
      <c r="EF58" s="518">
        <v>10000</v>
      </c>
      <c r="EG58" s="518">
        <v>10000</v>
      </c>
      <c r="EH58" s="518">
        <v>10000</v>
      </c>
      <c r="EI58" s="518">
        <v>10000</v>
      </c>
      <c r="EJ58" s="518">
        <v>10000</v>
      </c>
      <c r="EK58" s="518">
        <v>10000</v>
      </c>
      <c r="EL58" s="518">
        <v>10000</v>
      </c>
      <c r="EM58" s="518">
        <v>10000</v>
      </c>
      <c r="EN58" s="518">
        <v>10000</v>
      </c>
      <c r="EO58" s="518">
        <v>0</v>
      </c>
      <c r="EP58" s="518">
        <v>0</v>
      </c>
      <c r="EQ58" s="518">
        <v>0</v>
      </c>
      <c r="ER58" s="518">
        <v>0</v>
      </c>
      <c r="ES58" s="518">
        <v>0</v>
      </c>
      <c r="ET58" s="518">
        <v>0</v>
      </c>
      <c r="EU58" s="518">
        <v>0</v>
      </c>
      <c r="EV58" s="518">
        <v>0</v>
      </c>
      <c r="EW58" s="518">
        <v>0</v>
      </c>
      <c r="EX58" s="518">
        <v>0</v>
      </c>
      <c r="EY58" s="518">
        <v>0</v>
      </c>
      <c r="EZ58" s="518">
        <v>0</v>
      </c>
      <c r="FA58" s="518">
        <v>0</v>
      </c>
      <c r="FB58" s="518">
        <v>0</v>
      </c>
      <c r="FC58" s="518">
        <v>0</v>
      </c>
      <c r="FD58" s="518">
        <v>0</v>
      </c>
      <c r="FE58" s="518">
        <v>0</v>
      </c>
      <c r="FF58" s="518">
        <v>0</v>
      </c>
      <c r="FG58" s="518">
        <v>0</v>
      </c>
      <c r="FH58" s="518">
        <v>0</v>
      </c>
      <c r="FI58" s="518">
        <v>0</v>
      </c>
      <c r="FJ58" s="518">
        <v>0</v>
      </c>
      <c r="FK58" s="518">
        <v>0</v>
      </c>
      <c r="FL58" s="518">
        <v>0</v>
      </c>
      <c r="FM58" s="518">
        <v>0</v>
      </c>
      <c r="FN58" s="518">
        <v>0</v>
      </c>
      <c r="FO58" s="518">
        <v>0</v>
      </c>
      <c r="FP58" s="518">
        <v>0</v>
      </c>
      <c r="FQ58" s="518">
        <v>0</v>
      </c>
      <c r="FR58" s="518">
        <v>0</v>
      </c>
      <c r="FS58" s="518">
        <v>0</v>
      </c>
      <c r="FT58" s="518">
        <v>0</v>
      </c>
      <c r="FU58" s="518">
        <v>0</v>
      </c>
      <c r="FV58" s="518">
        <v>0</v>
      </c>
      <c r="FW58" s="518">
        <v>0</v>
      </c>
      <c r="FX58" s="518">
        <v>0</v>
      </c>
      <c r="FY58" s="518">
        <v>0</v>
      </c>
      <c r="FZ58" s="518">
        <v>0</v>
      </c>
      <c r="GA58" s="518">
        <v>0</v>
      </c>
      <c r="GB58" s="518">
        <v>0</v>
      </c>
      <c r="GC58" s="518">
        <v>0</v>
      </c>
      <c r="GD58" s="518">
        <v>0</v>
      </c>
      <c r="GE58" s="518">
        <v>0</v>
      </c>
      <c r="GF58" s="518">
        <v>0</v>
      </c>
      <c r="GG58" s="518">
        <v>0</v>
      </c>
      <c r="GH58" s="518">
        <v>0</v>
      </c>
      <c r="GI58" s="518">
        <v>0</v>
      </c>
      <c r="GJ58" s="518">
        <v>0</v>
      </c>
      <c r="GK58" s="518">
        <v>0</v>
      </c>
      <c r="GL58" s="518">
        <v>0</v>
      </c>
      <c r="GM58" s="518">
        <v>0</v>
      </c>
      <c r="GN58" s="518">
        <v>0</v>
      </c>
      <c r="GO58" s="518">
        <v>0</v>
      </c>
      <c r="GP58" s="518">
        <v>0</v>
      </c>
      <c r="GQ58" s="518">
        <v>0</v>
      </c>
      <c r="GR58" s="518">
        <v>0</v>
      </c>
      <c r="GS58" s="518">
        <v>0</v>
      </c>
      <c r="GT58" s="518">
        <v>0</v>
      </c>
      <c r="GU58" s="518">
        <v>0</v>
      </c>
      <c r="GV58" s="518">
        <v>0</v>
      </c>
      <c r="GW58" s="518">
        <v>0</v>
      </c>
      <c r="GX58" s="518">
        <v>0</v>
      </c>
      <c r="GY58" s="518">
        <v>0</v>
      </c>
      <c r="GZ58" s="518">
        <v>0</v>
      </c>
      <c r="HA58" s="518">
        <v>0</v>
      </c>
      <c r="HB58" s="518">
        <v>0</v>
      </c>
      <c r="HC58" s="518">
        <v>0</v>
      </c>
      <c r="HD58" s="518">
        <v>0</v>
      </c>
      <c r="HE58" s="518">
        <v>0</v>
      </c>
      <c r="HF58" s="518">
        <v>0</v>
      </c>
      <c r="HG58" s="518">
        <v>0</v>
      </c>
      <c r="HH58" s="518">
        <v>0</v>
      </c>
      <c r="HI58" s="518">
        <v>0</v>
      </c>
      <c r="HJ58" s="518">
        <v>0</v>
      </c>
      <c r="HK58" s="518">
        <v>0</v>
      </c>
      <c r="HL58" s="518">
        <v>0</v>
      </c>
      <c r="HM58" s="518">
        <v>0</v>
      </c>
      <c r="HN58" s="518">
        <v>0</v>
      </c>
      <c r="HO58" s="518">
        <v>0</v>
      </c>
      <c r="HP58" s="518">
        <v>0</v>
      </c>
      <c r="HQ58" s="518">
        <v>0</v>
      </c>
      <c r="HR58" s="518">
        <v>0</v>
      </c>
      <c r="HS58" s="518">
        <v>0</v>
      </c>
      <c r="HT58" s="518">
        <v>0</v>
      </c>
      <c r="HU58" s="518">
        <v>0</v>
      </c>
      <c r="HV58" s="518">
        <v>0</v>
      </c>
      <c r="HW58" s="518">
        <v>0</v>
      </c>
      <c r="HX58" s="518">
        <v>0</v>
      </c>
      <c r="HY58" s="518">
        <v>0</v>
      </c>
      <c r="HZ58" s="518">
        <v>0</v>
      </c>
      <c r="IA58" s="518">
        <v>0</v>
      </c>
      <c r="IB58" s="518">
        <v>0</v>
      </c>
      <c r="IC58" s="518">
        <v>0</v>
      </c>
      <c r="ID58" s="518">
        <v>0</v>
      </c>
      <c r="IE58" s="518">
        <v>0</v>
      </c>
      <c r="IF58" s="518">
        <v>0</v>
      </c>
      <c r="IG58" s="518">
        <v>0</v>
      </c>
      <c r="IH58" s="518">
        <v>0</v>
      </c>
      <c r="II58" s="518">
        <v>0</v>
      </c>
      <c r="IJ58" s="518">
        <v>0</v>
      </c>
      <c r="IK58" s="518">
        <v>0</v>
      </c>
    </row>
    <row r="59" spans="1:245" ht="16.5" hidden="1">
      <c r="A59" s="517" t="s">
        <v>721</v>
      </c>
      <c r="B59" s="517" t="s">
        <v>1101</v>
      </c>
      <c r="C59" s="517" t="s">
        <v>721</v>
      </c>
      <c r="D59" s="558"/>
      <c r="E59" s="517" t="s">
        <v>721</v>
      </c>
      <c r="F59" s="517" t="s">
        <v>26</v>
      </c>
      <c r="G59" s="558"/>
      <c r="H59" s="518">
        <v>24</v>
      </c>
      <c r="I59" s="558"/>
      <c r="J59" s="494" t="str">
        <f t="shared" si="1"/>
        <v>SWUC100224</v>
      </c>
      <c r="K59" s="518">
        <v>69</v>
      </c>
      <c r="M59" s="517" t="s">
        <v>721</v>
      </c>
      <c r="N59" s="517" t="s">
        <v>1101</v>
      </c>
      <c r="O59" s="517" t="s">
        <v>26</v>
      </c>
      <c r="P59" s="518">
        <v>24</v>
      </c>
      <c r="Q59" s="494" t="str">
        <f t="shared" si="2"/>
        <v>SWUC100224</v>
      </c>
      <c r="R59" s="518">
        <v>0</v>
      </c>
      <c r="S59" s="518">
        <v>5</v>
      </c>
      <c r="T59" s="518">
        <v>11</v>
      </c>
      <c r="U59" s="518">
        <v>17</v>
      </c>
      <c r="V59" s="518">
        <v>23</v>
      </c>
      <c r="W59" s="518">
        <v>30</v>
      </c>
      <c r="X59" s="518">
        <v>38</v>
      </c>
      <c r="Y59" s="518">
        <v>48</v>
      </c>
      <c r="Z59" s="518">
        <v>58</v>
      </c>
      <c r="AA59" s="518">
        <v>0</v>
      </c>
      <c r="AB59" s="518">
        <v>0</v>
      </c>
      <c r="AC59" s="518">
        <v>0</v>
      </c>
      <c r="AD59" s="518">
        <v>0</v>
      </c>
      <c r="AE59" s="518">
        <v>0</v>
      </c>
      <c r="AF59" s="518">
        <v>0</v>
      </c>
      <c r="AG59" s="518">
        <v>0</v>
      </c>
      <c r="AH59" s="518">
        <v>0</v>
      </c>
      <c r="AI59" s="518">
        <v>0</v>
      </c>
      <c r="AJ59" s="518">
        <v>0</v>
      </c>
      <c r="AK59" s="518">
        <v>0</v>
      </c>
      <c r="AL59" s="518">
        <v>0</v>
      </c>
      <c r="AM59" s="518">
        <v>0</v>
      </c>
      <c r="AN59" s="518">
        <v>0</v>
      </c>
      <c r="AO59" s="518">
        <v>0</v>
      </c>
      <c r="AP59" s="518">
        <v>0</v>
      </c>
      <c r="AQ59" s="518">
        <v>0</v>
      </c>
      <c r="AR59" s="518">
        <v>0</v>
      </c>
      <c r="AS59" s="518">
        <v>0</v>
      </c>
      <c r="AT59" s="518">
        <v>0</v>
      </c>
      <c r="AU59" s="518">
        <v>0</v>
      </c>
      <c r="AV59" s="518">
        <v>0</v>
      </c>
      <c r="AW59" s="518">
        <v>0</v>
      </c>
      <c r="AX59" s="518">
        <v>0</v>
      </c>
      <c r="AY59" s="518">
        <v>0</v>
      </c>
      <c r="AZ59" s="518">
        <v>0</v>
      </c>
      <c r="BA59" s="518">
        <v>0</v>
      </c>
      <c r="BB59" s="518">
        <v>0</v>
      </c>
      <c r="BC59" s="518">
        <v>0</v>
      </c>
      <c r="BD59" s="518">
        <v>0</v>
      </c>
      <c r="BE59" s="518">
        <v>0</v>
      </c>
      <c r="BF59" s="518">
        <v>0</v>
      </c>
      <c r="BG59" s="518">
        <v>0</v>
      </c>
      <c r="BH59" s="518">
        <v>0</v>
      </c>
      <c r="BI59" s="518">
        <v>0</v>
      </c>
      <c r="BJ59" s="518">
        <v>0</v>
      </c>
      <c r="BK59" s="518">
        <v>0</v>
      </c>
      <c r="BL59" s="518">
        <v>0</v>
      </c>
      <c r="BM59" s="518">
        <v>0</v>
      </c>
      <c r="BN59" s="518">
        <v>0</v>
      </c>
      <c r="BO59" s="518">
        <v>0</v>
      </c>
      <c r="BP59" s="518">
        <v>0</v>
      </c>
      <c r="BQ59" s="518">
        <v>0</v>
      </c>
      <c r="BR59" s="518">
        <v>0</v>
      </c>
      <c r="BS59" s="518">
        <v>0</v>
      </c>
      <c r="BT59" s="518">
        <v>0</v>
      </c>
      <c r="BU59" s="518">
        <v>0</v>
      </c>
      <c r="BV59" s="518">
        <v>0</v>
      </c>
      <c r="BW59" s="518">
        <v>0</v>
      </c>
      <c r="BX59" s="518">
        <v>0</v>
      </c>
      <c r="BY59" s="518">
        <v>0</v>
      </c>
      <c r="BZ59" s="518">
        <v>0</v>
      </c>
      <c r="CA59" s="518">
        <v>0</v>
      </c>
      <c r="CB59" s="518">
        <v>0</v>
      </c>
      <c r="CC59" s="518">
        <v>0</v>
      </c>
      <c r="CD59" s="518">
        <v>0</v>
      </c>
      <c r="CE59" s="518">
        <v>0</v>
      </c>
      <c r="CF59" s="518">
        <v>0</v>
      </c>
      <c r="CG59" s="518">
        <v>0</v>
      </c>
      <c r="CH59" s="518">
        <v>0</v>
      </c>
      <c r="CI59" s="518">
        <v>0</v>
      </c>
      <c r="CJ59" s="518">
        <v>0</v>
      </c>
      <c r="CK59" s="518">
        <v>0</v>
      </c>
      <c r="CL59" s="518">
        <v>0</v>
      </c>
      <c r="CM59" s="518">
        <v>0</v>
      </c>
      <c r="CN59" s="518">
        <v>0</v>
      </c>
      <c r="CO59" s="518">
        <v>0</v>
      </c>
      <c r="CP59" s="518">
        <v>0</v>
      </c>
      <c r="CQ59" s="518">
        <v>0</v>
      </c>
      <c r="CR59" s="518">
        <v>0</v>
      </c>
      <c r="CS59" s="518">
        <v>0</v>
      </c>
      <c r="CT59" s="518">
        <v>0</v>
      </c>
      <c r="CU59" s="518">
        <v>0</v>
      </c>
      <c r="CV59" s="518">
        <v>0</v>
      </c>
      <c r="CW59" s="518">
        <v>0</v>
      </c>
      <c r="CX59" s="518">
        <v>0</v>
      </c>
      <c r="CY59" s="518">
        <v>0</v>
      </c>
      <c r="CZ59" s="518">
        <v>0</v>
      </c>
      <c r="DA59" s="518">
        <v>0</v>
      </c>
      <c r="DB59" s="518">
        <v>0</v>
      </c>
      <c r="DC59" s="518">
        <v>0</v>
      </c>
      <c r="DD59" s="518">
        <v>0</v>
      </c>
      <c r="DE59" s="518">
        <v>0</v>
      </c>
      <c r="DF59" s="518">
        <v>0</v>
      </c>
      <c r="DG59" s="518">
        <v>0</v>
      </c>
      <c r="DH59" s="518">
        <v>0</v>
      </c>
      <c r="DI59" s="518">
        <v>0</v>
      </c>
      <c r="DJ59" s="518">
        <v>0</v>
      </c>
      <c r="DK59" s="518">
        <v>0</v>
      </c>
      <c r="DL59" s="518">
        <v>0</v>
      </c>
      <c r="DM59" s="518">
        <v>0</v>
      </c>
      <c r="DN59" s="518">
        <v>0</v>
      </c>
      <c r="DO59" s="518">
        <v>0</v>
      </c>
      <c r="DP59" s="518">
        <v>0</v>
      </c>
      <c r="DQ59" s="518">
        <v>0</v>
      </c>
      <c r="DR59" s="518">
        <v>0</v>
      </c>
      <c r="DS59" s="518">
        <v>0</v>
      </c>
      <c r="DT59" s="518">
        <v>0</v>
      </c>
      <c r="DU59" s="518">
        <v>0</v>
      </c>
      <c r="DV59" s="518">
        <v>0</v>
      </c>
      <c r="DW59" s="518">
        <v>0</v>
      </c>
      <c r="DX59" s="518">
        <v>0</v>
      </c>
      <c r="DY59" s="477"/>
      <c r="DZ59" s="517" t="s">
        <v>721</v>
      </c>
      <c r="EA59" s="517" t="s">
        <v>1101</v>
      </c>
      <c r="EB59" s="517" t="s">
        <v>26</v>
      </c>
      <c r="EC59" s="518">
        <v>24</v>
      </c>
      <c r="ED59" s="494" t="str">
        <f t="shared" si="0"/>
        <v>SWUC100224</v>
      </c>
      <c r="EE59" s="518">
        <v>10000</v>
      </c>
      <c r="EF59" s="518">
        <v>10000</v>
      </c>
      <c r="EG59" s="518">
        <v>10000</v>
      </c>
      <c r="EH59" s="518">
        <v>10000</v>
      </c>
      <c r="EI59" s="518">
        <v>10000</v>
      </c>
      <c r="EJ59" s="518">
        <v>10000</v>
      </c>
      <c r="EK59" s="518">
        <v>10000</v>
      </c>
      <c r="EL59" s="518">
        <v>10000</v>
      </c>
      <c r="EM59" s="518">
        <v>10000</v>
      </c>
      <c r="EN59" s="518">
        <v>10000</v>
      </c>
      <c r="EO59" s="518">
        <v>0</v>
      </c>
      <c r="EP59" s="518">
        <v>0</v>
      </c>
      <c r="EQ59" s="518">
        <v>0</v>
      </c>
      <c r="ER59" s="518">
        <v>0</v>
      </c>
      <c r="ES59" s="518">
        <v>0</v>
      </c>
      <c r="ET59" s="518">
        <v>0</v>
      </c>
      <c r="EU59" s="518">
        <v>0</v>
      </c>
      <c r="EV59" s="518">
        <v>0</v>
      </c>
      <c r="EW59" s="518">
        <v>0</v>
      </c>
      <c r="EX59" s="518">
        <v>0</v>
      </c>
      <c r="EY59" s="518">
        <v>0</v>
      </c>
      <c r="EZ59" s="518">
        <v>0</v>
      </c>
      <c r="FA59" s="518">
        <v>0</v>
      </c>
      <c r="FB59" s="518">
        <v>0</v>
      </c>
      <c r="FC59" s="518">
        <v>0</v>
      </c>
      <c r="FD59" s="518">
        <v>0</v>
      </c>
      <c r="FE59" s="518">
        <v>0</v>
      </c>
      <c r="FF59" s="518">
        <v>0</v>
      </c>
      <c r="FG59" s="518">
        <v>0</v>
      </c>
      <c r="FH59" s="518">
        <v>0</v>
      </c>
      <c r="FI59" s="518">
        <v>0</v>
      </c>
      <c r="FJ59" s="518">
        <v>0</v>
      </c>
      <c r="FK59" s="518">
        <v>0</v>
      </c>
      <c r="FL59" s="518">
        <v>0</v>
      </c>
      <c r="FM59" s="518">
        <v>0</v>
      </c>
      <c r="FN59" s="518">
        <v>0</v>
      </c>
      <c r="FO59" s="518">
        <v>0</v>
      </c>
      <c r="FP59" s="518">
        <v>0</v>
      </c>
      <c r="FQ59" s="518">
        <v>0</v>
      </c>
      <c r="FR59" s="518">
        <v>0</v>
      </c>
      <c r="FS59" s="518">
        <v>0</v>
      </c>
      <c r="FT59" s="518">
        <v>0</v>
      </c>
      <c r="FU59" s="518">
        <v>0</v>
      </c>
      <c r="FV59" s="518">
        <v>0</v>
      </c>
      <c r="FW59" s="518">
        <v>0</v>
      </c>
      <c r="FX59" s="518">
        <v>0</v>
      </c>
      <c r="FY59" s="518">
        <v>0</v>
      </c>
      <c r="FZ59" s="518">
        <v>0</v>
      </c>
      <c r="GA59" s="518">
        <v>0</v>
      </c>
      <c r="GB59" s="518">
        <v>0</v>
      </c>
      <c r="GC59" s="518">
        <v>0</v>
      </c>
      <c r="GD59" s="518">
        <v>0</v>
      </c>
      <c r="GE59" s="518">
        <v>0</v>
      </c>
      <c r="GF59" s="518">
        <v>0</v>
      </c>
      <c r="GG59" s="518">
        <v>0</v>
      </c>
      <c r="GH59" s="518">
        <v>0</v>
      </c>
      <c r="GI59" s="518">
        <v>0</v>
      </c>
      <c r="GJ59" s="518">
        <v>0</v>
      </c>
      <c r="GK59" s="518">
        <v>0</v>
      </c>
      <c r="GL59" s="518">
        <v>0</v>
      </c>
      <c r="GM59" s="518">
        <v>0</v>
      </c>
      <c r="GN59" s="518">
        <v>0</v>
      </c>
      <c r="GO59" s="518">
        <v>0</v>
      </c>
      <c r="GP59" s="518">
        <v>0</v>
      </c>
      <c r="GQ59" s="518">
        <v>0</v>
      </c>
      <c r="GR59" s="518">
        <v>0</v>
      </c>
      <c r="GS59" s="518">
        <v>0</v>
      </c>
      <c r="GT59" s="518">
        <v>0</v>
      </c>
      <c r="GU59" s="518">
        <v>0</v>
      </c>
      <c r="GV59" s="518">
        <v>0</v>
      </c>
      <c r="GW59" s="518">
        <v>0</v>
      </c>
      <c r="GX59" s="518">
        <v>0</v>
      </c>
      <c r="GY59" s="518">
        <v>0</v>
      </c>
      <c r="GZ59" s="518">
        <v>0</v>
      </c>
      <c r="HA59" s="518">
        <v>0</v>
      </c>
      <c r="HB59" s="518">
        <v>0</v>
      </c>
      <c r="HC59" s="518">
        <v>0</v>
      </c>
      <c r="HD59" s="518">
        <v>0</v>
      </c>
      <c r="HE59" s="518">
        <v>0</v>
      </c>
      <c r="HF59" s="518">
        <v>0</v>
      </c>
      <c r="HG59" s="518">
        <v>0</v>
      </c>
      <c r="HH59" s="518">
        <v>0</v>
      </c>
      <c r="HI59" s="518">
        <v>0</v>
      </c>
      <c r="HJ59" s="518">
        <v>0</v>
      </c>
      <c r="HK59" s="518">
        <v>0</v>
      </c>
      <c r="HL59" s="518">
        <v>0</v>
      </c>
      <c r="HM59" s="518">
        <v>0</v>
      </c>
      <c r="HN59" s="518">
        <v>0</v>
      </c>
      <c r="HO59" s="518">
        <v>0</v>
      </c>
      <c r="HP59" s="518">
        <v>0</v>
      </c>
      <c r="HQ59" s="518">
        <v>0</v>
      </c>
      <c r="HR59" s="518">
        <v>0</v>
      </c>
      <c r="HS59" s="518">
        <v>0</v>
      </c>
      <c r="HT59" s="518">
        <v>0</v>
      </c>
      <c r="HU59" s="518">
        <v>0</v>
      </c>
      <c r="HV59" s="518">
        <v>0</v>
      </c>
      <c r="HW59" s="518">
        <v>0</v>
      </c>
      <c r="HX59" s="518">
        <v>0</v>
      </c>
      <c r="HY59" s="518">
        <v>0</v>
      </c>
      <c r="HZ59" s="518">
        <v>0</v>
      </c>
      <c r="IA59" s="518">
        <v>0</v>
      </c>
      <c r="IB59" s="518">
        <v>0</v>
      </c>
      <c r="IC59" s="518">
        <v>0</v>
      </c>
      <c r="ID59" s="518">
        <v>0</v>
      </c>
      <c r="IE59" s="518">
        <v>0</v>
      </c>
      <c r="IF59" s="518">
        <v>0</v>
      </c>
      <c r="IG59" s="518">
        <v>0</v>
      </c>
      <c r="IH59" s="518">
        <v>0</v>
      </c>
      <c r="II59" s="518">
        <v>0</v>
      </c>
      <c r="IJ59" s="518">
        <v>0</v>
      </c>
      <c r="IK59" s="518">
        <v>0</v>
      </c>
    </row>
    <row r="60" spans="1:245" ht="16.5" hidden="1">
      <c r="A60" s="517" t="s">
        <v>721</v>
      </c>
      <c r="B60" s="517" t="s">
        <v>1101</v>
      </c>
      <c r="C60" s="517" t="s">
        <v>721</v>
      </c>
      <c r="D60" s="558"/>
      <c r="E60" s="517" t="s">
        <v>721</v>
      </c>
      <c r="F60" s="517" t="s">
        <v>26</v>
      </c>
      <c r="G60" s="558"/>
      <c r="H60" s="518">
        <v>25</v>
      </c>
      <c r="I60" s="558"/>
      <c r="J60" s="494" t="str">
        <f t="shared" si="1"/>
        <v>SWUC100225</v>
      </c>
      <c r="K60" s="518">
        <v>72</v>
      </c>
      <c r="M60" s="517" t="s">
        <v>721</v>
      </c>
      <c r="N60" s="517" t="s">
        <v>1101</v>
      </c>
      <c r="O60" s="517" t="s">
        <v>26</v>
      </c>
      <c r="P60" s="518">
        <v>25</v>
      </c>
      <c r="Q60" s="494" t="str">
        <f t="shared" si="2"/>
        <v>SWUC100225</v>
      </c>
      <c r="R60" s="518">
        <v>0</v>
      </c>
      <c r="S60" s="518">
        <v>6</v>
      </c>
      <c r="T60" s="518">
        <v>12</v>
      </c>
      <c r="U60" s="518">
        <v>18</v>
      </c>
      <c r="V60" s="518">
        <v>23</v>
      </c>
      <c r="W60" s="518">
        <v>31</v>
      </c>
      <c r="X60" s="518">
        <v>40</v>
      </c>
      <c r="Y60" s="518">
        <v>50</v>
      </c>
      <c r="Z60" s="518">
        <v>60</v>
      </c>
      <c r="AA60" s="518">
        <v>0</v>
      </c>
      <c r="AB60" s="518">
        <v>0</v>
      </c>
      <c r="AC60" s="518">
        <v>0</v>
      </c>
      <c r="AD60" s="518">
        <v>0</v>
      </c>
      <c r="AE60" s="518">
        <v>0</v>
      </c>
      <c r="AF60" s="518">
        <v>0</v>
      </c>
      <c r="AG60" s="518">
        <v>0</v>
      </c>
      <c r="AH60" s="518">
        <v>0</v>
      </c>
      <c r="AI60" s="518">
        <v>0</v>
      </c>
      <c r="AJ60" s="518">
        <v>0</v>
      </c>
      <c r="AK60" s="518">
        <v>0</v>
      </c>
      <c r="AL60" s="518">
        <v>0</v>
      </c>
      <c r="AM60" s="518">
        <v>0</v>
      </c>
      <c r="AN60" s="518">
        <v>0</v>
      </c>
      <c r="AO60" s="518">
        <v>0</v>
      </c>
      <c r="AP60" s="518">
        <v>0</v>
      </c>
      <c r="AQ60" s="518">
        <v>0</v>
      </c>
      <c r="AR60" s="518">
        <v>0</v>
      </c>
      <c r="AS60" s="518">
        <v>0</v>
      </c>
      <c r="AT60" s="518">
        <v>0</v>
      </c>
      <c r="AU60" s="518">
        <v>0</v>
      </c>
      <c r="AV60" s="518">
        <v>0</v>
      </c>
      <c r="AW60" s="518">
        <v>0</v>
      </c>
      <c r="AX60" s="518">
        <v>0</v>
      </c>
      <c r="AY60" s="518">
        <v>0</v>
      </c>
      <c r="AZ60" s="518">
        <v>0</v>
      </c>
      <c r="BA60" s="518">
        <v>0</v>
      </c>
      <c r="BB60" s="518">
        <v>0</v>
      </c>
      <c r="BC60" s="518">
        <v>0</v>
      </c>
      <c r="BD60" s="518">
        <v>0</v>
      </c>
      <c r="BE60" s="518">
        <v>0</v>
      </c>
      <c r="BF60" s="518">
        <v>0</v>
      </c>
      <c r="BG60" s="518">
        <v>0</v>
      </c>
      <c r="BH60" s="518">
        <v>0</v>
      </c>
      <c r="BI60" s="518">
        <v>0</v>
      </c>
      <c r="BJ60" s="518">
        <v>0</v>
      </c>
      <c r="BK60" s="518">
        <v>0</v>
      </c>
      <c r="BL60" s="518">
        <v>0</v>
      </c>
      <c r="BM60" s="518">
        <v>0</v>
      </c>
      <c r="BN60" s="518">
        <v>0</v>
      </c>
      <c r="BO60" s="518">
        <v>0</v>
      </c>
      <c r="BP60" s="518">
        <v>0</v>
      </c>
      <c r="BQ60" s="518">
        <v>0</v>
      </c>
      <c r="BR60" s="518">
        <v>0</v>
      </c>
      <c r="BS60" s="518">
        <v>0</v>
      </c>
      <c r="BT60" s="518">
        <v>0</v>
      </c>
      <c r="BU60" s="518">
        <v>0</v>
      </c>
      <c r="BV60" s="518">
        <v>0</v>
      </c>
      <c r="BW60" s="518">
        <v>0</v>
      </c>
      <c r="BX60" s="518">
        <v>0</v>
      </c>
      <c r="BY60" s="518">
        <v>0</v>
      </c>
      <c r="BZ60" s="518">
        <v>0</v>
      </c>
      <c r="CA60" s="518">
        <v>0</v>
      </c>
      <c r="CB60" s="518">
        <v>0</v>
      </c>
      <c r="CC60" s="518">
        <v>0</v>
      </c>
      <c r="CD60" s="518">
        <v>0</v>
      </c>
      <c r="CE60" s="518">
        <v>0</v>
      </c>
      <c r="CF60" s="518">
        <v>0</v>
      </c>
      <c r="CG60" s="518">
        <v>0</v>
      </c>
      <c r="CH60" s="518">
        <v>0</v>
      </c>
      <c r="CI60" s="518">
        <v>0</v>
      </c>
      <c r="CJ60" s="518">
        <v>0</v>
      </c>
      <c r="CK60" s="518">
        <v>0</v>
      </c>
      <c r="CL60" s="518">
        <v>0</v>
      </c>
      <c r="CM60" s="518">
        <v>0</v>
      </c>
      <c r="CN60" s="518">
        <v>0</v>
      </c>
      <c r="CO60" s="518">
        <v>0</v>
      </c>
      <c r="CP60" s="518">
        <v>0</v>
      </c>
      <c r="CQ60" s="518">
        <v>0</v>
      </c>
      <c r="CR60" s="518">
        <v>0</v>
      </c>
      <c r="CS60" s="518">
        <v>0</v>
      </c>
      <c r="CT60" s="518">
        <v>0</v>
      </c>
      <c r="CU60" s="518">
        <v>0</v>
      </c>
      <c r="CV60" s="518">
        <v>0</v>
      </c>
      <c r="CW60" s="518">
        <v>0</v>
      </c>
      <c r="CX60" s="518">
        <v>0</v>
      </c>
      <c r="CY60" s="518">
        <v>0</v>
      </c>
      <c r="CZ60" s="518">
        <v>0</v>
      </c>
      <c r="DA60" s="518">
        <v>0</v>
      </c>
      <c r="DB60" s="518">
        <v>0</v>
      </c>
      <c r="DC60" s="518">
        <v>0</v>
      </c>
      <c r="DD60" s="518">
        <v>0</v>
      </c>
      <c r="DE60" s="518">
        <v>0</v>
      </c>
      <c r="DF60" s="518">
        <v>0</v>
      </c>
      <c r="DG60" s="518">
        <v>0</v>
      </c>
      <c r="DH60" s="518">
        <v>0</v>
      </c>
      <c r="DI60" s="518">
        <v>0</v>
      </c>
      <c r="DJ60" s="518">
        <v>0</v>
      </c>
      <c r="DK60" s="518">
        <v>0</v>
      </c>
      <c r="DL60" s="518">
        <v>0</v>
      </c>
      <c r="DM60" s="518">
        <v>0</v>
      </c>
      <c r="DN60" s="518">
        <v>0</v>
      </c>
      <c r="DO60" s="518">
        <v>0</v>
      </c>
      <c r="DP60" s="518">
        <v>0</v>
      </c>
      <c r="DQ60" s="518">
        <v>0</v>
      </c>
      <c r="DR60" s="518">
        <v>0</v>
      </c>
      <c r="DS60" s="518">
        <v>0</v>
      </c>
      <c r="DT60" s="518">
        <v>0</v>
      </c>
      <c r="DU60" s="518">
        <v>0</v>
      </c>
      <c r="DV60" s="518">
        <v>0</v>
      </c>
      <c r="DW60" s="518">
        <v>0</v>
      </c>
      <c r="DX60" s="518">
        <v>0</v>
      </c>
      <c r="DY60" s="477"/>
      <c r="DZ60" s="517" t="s">
        <v>721</v>
      </c>
      <c r="EA60" s="517" t="s">
        <v>1101</v>
      </c>
      <c r="EB60" s="517" t="s">
        <v>26</v>
      </c>
      <c r="EC60" s="518">
        <v>25</v>
      </c>
      <c r="ED60" s="494" t="str">
        <f t="shared" si="0"/>
        <v>SWUC100225</v>
      </c>
      <c r="EE60" s="518">
        <v>10000</v>
      </c>
      <c r="EF60" s="518">
        <v>10000</v>
      </c>
      <c r="EG60" s="518">
        <v>10000</v>
      </c>
      <c r="EH60" s="518">
        <v>10000</v>
      </c>
      <c r="EI60" s="518">
        <v>10000</v>
      </c>
      <c r="EJ60" s="518">
        <v>10000</v>
      </c>
      <c r="EK60" s="518">
        <v>10000</v>
      </c>
      <c r="EL60" s="518">
        <v>10000</v>
      </c>
      <c r="EM60" s="518">
        <v>10000</v>
      </c>
      <c r="EN60" s="518">
        <v>10000</v>
      </c>
      <c r="EO60" s="518">
        <v>0</v>
      </c>
      <c r="EP60" s="518">
        <v>0</v>
      </c>
      <c r="EQ60" s="518">
        <v>0</v>
      </c>
      <c r="ER60" s="518">
        <v>0</v>
      </c>
      <c r="ES60" s="518">
        <v>0</v>
      </c>
      <c r="ET60" s="518">
        <v>0</v>
      </c>
      <c r="EU60" s="518">
        <v>0</v>
      </c>
      <c r="EV60" s="518">
        <v>0</v>
      </c>
      <c r="EW60" s="518">
        <v>0</v>
      </c>
      <c r="EX60" s="518">
        <v>0</v>
      </c>
      <c r="EY60" s="518">
        <v>0</v>
      </c>
      <c r="EZ60" s="518">
        <v>0</v>
      </c>
      <c r="FA60" s="518">
        <v>0</v>
      </c>
      <c r="FB60" s="518">
        <v>0</v>
      </c>
      <c r="FC60" s="518">
        <v>0</v>
      </c>
      <c r="FD60" s="518">
        <v>0</v>
      </c>
      <c r="FE60" s="518">
        <v>0</v>
      </c>
      <c r="FF60" s="518">
        <v>0</v>
      </c>
      <c r="FG60" s="518">
        <v>0</v>
      </c>
      <c r="FH60" s="518">
        <v>0</v>
      </c>
      <c r="FI60" s="518">
        <v>0</v>
      </c>
      <c r="FJ60" s="518">
        <v>0</v>
      </c>
      <c r="FK60" s="518">
        <v>0</v>
      </c>
      <c r="FL60" s="518">
        <v>0</v>
      </c>
      <c r="FM60" s="518">
        <v>0</v>
      </c>
      <c r="FN60" s="518">
        <v>0</v>
      </c>
      <c r="FO60" s="518">
        <v>0</v>
      </c>
      <c r="FP60" s="518">
        <v>0</v>
      </c>
      <c r="FQ60" s="518">
        <v>0</v>
      </c>
      <c r="FR60" s="518">
        <v>0</v>
      </c>
      <c r="FS60" s="518">
        <v>0</v>
      </c>
      <c r="FT60" s="518">
        <v>0</v>
      </c>
      <c r="FU60" s="518">
        <v>0</v>
      </c>
      <c r="FV60" s="518">
        <v>0</v>
      </c>
      <c r="FW60" s="518">
        <v>0</v>
      </c>
      <c r="FX60" s="518">
        <v>0</v>
      </c>
      <c r="FY60" s="518">
        <v>0</v>
      </c>
      <c r="FZ60" s="518">
        <v>0</v>
      </c>
      <c r="GA60" s="518">
        <v>0</v>
      </c>
      <c r="GB60" s="518">
        <v>0</v>
      </c>
      <c r="GC60" s="518">
        <v>0</v>
      </c>
      <c r="GD60" s="518">
        <v>0</v>
      </c>
      <c r="GE60" s="518">
        <v>0</v>
      </c>
      <c r="GF60" s="518">
        <v>0</v>
      </c>
      <c r="GG60" s="518">
        <v>0</v>
      </c>
      <c r="GH60" s="518">
        <v>0</v>
      </c>
      <c r="GI60" s="518">
        <v>0</v>
      </c>
      <c r="GJ60" s="518">
        <v>0</v>
      </c>
      <c r="GK60" s="518">
        <v>0</v>
      </c>
      <c r="GL60" s="518">
        <v>0</v>
      </c>
      <c r="GM60" s="518">
        <v>0</v>
      </c>
      <c r="GN60" s="518">
        <v>0</v>
      </c>
      <c r="GO60" s="518">
        <v>0</v>
      </c>
      <c r="GP60" s="518">
        <v>0</v>
      </c>
      <c r="GQ60" s="518">
        <v>0</v>
      </c>
      <c r="GR60" s="518">
        <v>0</v>
      </c>
      <c r="GS60" s="518">
        <v>0</v>
      </c>
      <c r="GT60" s="518">
        <v>0</v>
      </c>
      <c r="GU60" s="518">
        <v>0</v>
      </c>
      <c r="GV60" s="518">
        <v>0</v>
      </c>
      <c r="GW60" s="518">
        <v>0</v>
      </c>
      <c r="GX60" s="518">
        <v>0</v>
      </c>
      <c r="GY60" s="518">
        <v>0</v>
      </c>
      <c r="GZ60" s="518">
        <v>0</v>
      </c>
      <c r="HA60" s="518">
        <v>0</v>
      </c>
      <c r="HB60" s="518">
        <v>0</v>
      </c>
      <c r="HC60" s="518">
        <v>0</v>
      </c>
      <c r="HD60" s="518">
        <v>0</v>
      </c>
      <c r="HE60" s="518">
        <v>0</v>
      </c>
      <c r="HF60" s="518">
        <v>0</v>
      </c>
      <c r="HG60" s="518">
        <v>0</v>
      </c>
      <c r="HH60" s="518">
        <v>0</v>
      </c>
      <c r="HI60" s="518">
        <v>0</v>
      </c>
      <c r="HJ60" s="518">
        <v>0</v>
      </c>
      <c r="HK60" s="518">
        <v>0</v>
      </c>
      <c r="HL60" s="518">
        <v>0</v>
      </c>
      <c r="HM60" s="518">
        <v>0</v>
      </c>
      <c r="HN60" s="518">
        <v>0</v>
      </c>
      <c r="HO60" s="518">
        <v>0</v>
      </c>
      <c r="HP60" s="518">
        <v>0</v>
      </c>
      <c r="HQ60" s="518">
        <v>0</v>
      </c>
      <c r="HR60" s="518">
        <v>0</v>
      </c>
      <c r="HS60" s="518">
        <v>0</v>
      </c>
      <c r="HT60" s="518">
        <v>0</v>
      </c>
      <c r="HU60" s="518">
        <v>0</v>
      </c>
      <c r="HV60" s="518">
        <v>0</v>
      </c>
      <c r="HW60" s="518">
        <v>0</v>
      </c>
      <c r="HX60" s="518">
        <v>0</v>
      </c>
      <c r="HY60" s="518">
        <v>0</v>
      </c>
      <c r="HZ60" s="518">
        <v>0</v>
      </c>
      <c r="IA60" s="518">
        <v>0</v>
      </c>
      <c r="IB60" s="518">
        <v>0</v>
      </c>
      <c r="IC60" s="518">
        <v>0</v>
      </c>
      <c r="ID60" s="518">
        <v>0</v>
      </c>
      <c r="IE60" s="518">
        <v>0</v>
      </c>
      <c r="IF60" s="518">
        <v>0</v>
      </c>
      <c r="IG60" s="518">
        <v>0</v>
      </c>
      <c r="IH60" s="518">
        <v>0</v>
      </c>
      <c r="II60" s="518">
        <v>0</v>
      </c>
      <c r="IJ60" s="518">
        <v>0</v>
      </c>
      <c r="IK60" s="518">
        <v>0</v>
      </c>
    </row>
    <row r="61" spans="1:245" ht="16.5" hidden="1">
      <c r="A61" s="517" t="s">
        <v>721</v>
      </c>
      <c r="B61" s="517" t="s">
        <v>1101</v>
      </c>
      <c r="C61" s="517" t="s">
        <v>721</v>
      </c>
      <c r="D61" s="558"/>
      <c r="E61" s="517" t="s">
        <v>721</v>
      </c>
      <c r="F61" s="517" t="s">
        <v>26</v>
      </c>
      <c r="G61" s="558"/>
      <c r="H61" s="518">
        <v>26</v>
      </c>
      <c r="I61" s="558"/>
      <c r="J61" s="494" t="str">
        <f t="shared" si="1"/>
        <v>SWUC100226</v>
      </c>
      <c r="K61" s="518">
        <v>75</v>
      </c>
      <c r="M61" s="517" t="s">
        <v>721</v>
      </c>
      <c r="N61" s="517" t="s">
        <v>1101</v>
      </c>
      <c r="O61" s="517" t="s">
        <v>26</v>
      </c>
      <c r="P61" s="518">
        <v>26</v>
      </c>
      <c r="Q61" s="494" t="str">
        <f t="shared" si="2"/>
        <v>SWUC100226</v>
      </c>
      <c r="R61" s="518">
        <v>0</v>
      </c>
      <c r="S61" s="518">
        <v>6</v>
      </c>
      <c r="T61" s="518">
        <v>12</v>
      </c>
      <c r="U61" s="518">
        <v>19</v>
      </c>
      <c r="V61" s="518">
        <v>25</v>
      </c>
      <c r="W61" s="518">
        <v>33</v>
      </c>
      <c r="X61" s="518">
        <v>42</v>
      </c>
      <c r="Y61" s="518">
        <v>52</v>
      </c>
      <c r="Z61" s="518">
        <v>63</v>
      </c>
      <c r="AA61" s="518">
        <v>0</v>
      </c>
      <c r="AB61" s="518">
        <v>0</v>
      </c>
      <c r="AC61" s="518">
        <v>0</v>
      </c>
      <c r="AD61" s="518">
        <v>0</v>
      </c>
      <c r="AE61" s="518">
        <v>0</v>
      </c>
      <c r="AF61" s="518">
        <v>0</v>
      </c>
      <c r="AG61" s="518">
        <v>0</v>
      </c>
      <c r="AH61" s="518">
        <v>0</v>
      </c>
      <c r="AI61" s="518">
        <v>0</v>
      </c>
      <c r="AJ61" s="518">
        <v>0</v>
      </c>
      <c r="AK61" s="518">
        <v>0</v>
      </c>
      <c r="AL61" s="518">
        <v>0</v>
      </c>
      <c r="AM61" s="518">
        <v>0</v>
      </c>
      <c r="AN61" s="518">
        <v>0</v>
      </c>
      <c r="AO61" s="518">
        <v>0</v>
      </c>
      <c r="AP61" s="518">
        <v>0</v>
      </c>
      <c r="AQ61" s="518">
        <v>0</v>
      </c>
      <c r="AR61" s="518">
        <v>0</v>
      </c>
      <c r="AS61" s="518">
        <v>0</v>
      </c>
      <c r="AT61" s="518">
        <v>0</v>
      </c>
      <c r="AU61" s="518">
        <v>0</v>
      </c>
      <c r="AV61" s="518">
        <v>0</v>
      </c>
      <c r="AW61" s="518">
        <v>0</v>
      </c>
      <c r="AX61" s="518">
        <v>0</v>
      </c>
      <c r="AY61" s="518">
        <v>0</v>
      </c>
      <c r="AZ61" s="518">
        <v>0</v>
      </c>
      <c r="BA61" s="518">
        <v>0</v>
      </c>
      <c r="BB61" s="518">
        <v>0</v>
      </c>
      <c r="BC61" s="518">
        <v>0</v>
      </c>
      <c r="BD61" s="518">
        <v>0</v>
      </c>
      <c r="BE61" s="518">
        <v>0</v>
      </c>
      <c r="BF61" s="518">
        <v>0</v>
      </c>
      <c r="BG61" s="518">
        <v>0</v>
      </c>
      <c r="BH61" s="518">
        <v>0</v>
      </c>
      <c r="BI61" s="518">
        <v>0</v>
      </c>
      <c r="BJ61" s="518">
        <v>0</v>
      </c>
      <c r="BK61" s="518">
        <v>0</v>
      </c>
      <c r="BL61" s="518">
        <v>0</v>
      </c>
      <c r="BM61" s="518">
        <v>0</v>
      </c>
      <c r="BN61" s="518">
        <v>0</v>
      </c>
      <c r="BO61" s="518">
        <v>0</v>
      </c>
      <c r="BP61" s="518">
        <v>0</v>
      </c>
      <c r="BQ61" s="518">
        <v>0</v>
      </c>
      <c r="BR61" s="518">
        <v>0</v>
      </c>
      <c r="BS61" s="518">
        <v>0</v>
      </c>
      <c r="BT61" s="518">
        <v>0</v>
      </c>
      <c r="BU61" s="518">
        <v>0</v>
      </c>
      <c r="BV61" s="518">
        <v>0</v>
      </c>
      <c r="BW61" s="518">
        <v>0</v>
      </c>
      <c r="BX61" s="518">
        <v>0</v>
      </c>
      <c r="BY61" s="518">
        <v>0</v>
      </c>
      <c r="BZ61" s="518">
        <v>0</v>
      </c>
      <c r="CA61" s="518">
        <v>0</v>
      </c>
      <c r="CB61" s="518">
        <v>0</v>
      </c>
      <c r="CC61" s="518">
        <v>0</v>
      </c>
      <c r="CD61" s="518">
        <v>0</v>
      </c>
      <c r="CE61" s="518">
        <v>0</v>
      </c>
      <c r="CF61" s="518">
        <v>0</v>
      </c>
      <c r="CG61" s="518">
        <v>0</v>
      </c>
      <c r="CH61" s="518">
        <v>0</v>
      </c>
      <c r="CI61" s="518">
        <v>0</v>
      </c>
      <c r="CJ61" s="518">
        <v>0</v>
      </c>
      <c r="CK61" s="518">
        <v>0</v>
      </c>
      <c r="CL61" s="518">
        <v>0</v>
      </c>
      <c r="CM61" s="518">
        <v>0</v>
      </c>
      <c r="CN61" s="518">
        <v>0</v>
      </c>
      <c r="CO61" s="518">
        <v>0</v>
      </c>
      <c r="CP61" s="518">
        <v>0</v>
      </c>
      <c r="CQ61" s="518">
        <v>0</v>
      </c>
      <c r="CR61" s="518">
        <v>0</v>
      </c>
      <c r="CS61" s="518">
        <v>0</v>
      </c>
      <c r="CT61" s="518">
        <v>0</v>
      </c>
      <c r="CU61" s="518">
        <v>0</v>
      </c>
      <c r="CV61" s="518">
        <v>0</v>
      </c>
      <c r="CW61" s="518">
        <v>0</v>
      </c>
      <c r="CX61" s="518">
        <v>0</v>
      </c>
      <c r="CY61" s="518">
        <v>0</v>
      </c>
      <c r="CZ61" s="518">
        <v>0</v>
      </c>
      <c r="DA61" s="518">
        <v>0</v>
      </c>
      <c r="DB61" s="518">
        <v>0</v>
      </c>
      <c r="DC61" s="518">
        <v>0</v>
      </c>
      <c r="DD61" s="518">
        <v>0</v>
      </c>
      <c r="DE61" s="518">
        <v>0</v>
      </c>
      <c r="DF61" s="518">
        <v>0</v>
      </c>
      <c r="DG61" s="518">
        <v>0</v>
      </c>
      <c r="DH61" s="518">
        <v>0</v>
      </c>
      <c r="DI61" s="518">
        <v>0</v>
      </c>
      <c r="DJ61" s="518">
        <v>0</v>
      </c>
      <c r="DK61" s="518">
        <v>0</v>
      </c>
      <c r="DL61" s="518">
        <v>0</v>
      </c>
      <c r="DM61" s="518">
        <v>0</v>
      </c>
      <c r="DN61" s="518">
        <v>0</v>
      </c>
      <c r="DO61" s="518">
        <v>0</v>
      </c>
      <c r="DP61" s="518">
        <v>0</v>
      </c>
      <c r="DQ61" s="518">
        <v>0</v>
      </c>
      <c r="DR61" s="518">
        <v>0</v>
      </c>
      <c r="DS61" s="518">
        <v>0</v>
      </c>
      <c r="DT61" s="518">
        <v>0</v>
      </c>
      <c r="DU61" s="518">
        <v>0</v>
      </c>
      <c r="DV61" s="518">
        <v>0</v>
      </c>
      <c r="DW61" s="518">
        <v>0</v>
      </c>
      <c r="DX61" s="518">
        <v>0</v>
      </c>
      <c r="DY61" s="477"/>
      <c r="DZ61" s="517" t="s">
        <v>721</v>
      </c>
      <c r="EA61" s="517" t="s">
        <v>1101</v>
      </c>
      <c r="EB61" s="517" t="s">
        <v>26</v>
      </c>
      <c r="EC61" s="518">
        <v>26</v>
      </c>
      <c r="ED61" s="494" t="str">
        <f t="shared" si="0"/>
        <v>SWUC100226</v>
      </c>
      <c r="EE61" s="518">
        <v>10000</v>
      </c>
      <c r="EF61" s="518">
        <v>10000</v>
      </c>
      <c r="EG61" s="518">
        <v>10000</v>
      </c>
      <c r="EH61" s="518">
        <v>10000</v>
      </c>
      <c r="EI61" s="518">
        <v>10000</v>
      </c>
      <c r="EJ61" s="518">
        <v>10000</v>
      </c>
      <c r="EK61" s="518">
        <v>10000</v>
      </c>
      <c r="EL61" s="518">
        <v>10000</v>
      </c>
      <c r="EM61" s="518">
        <v>10000</v>
      </c>
      <c r="EN61" s="518">
        <v>10000</v>
      </c>
      <c r="EO61" s="518">
        <v>0</v>
      </c>
      <c r="EP61" s="518">
        <v>0</v>
      </c>
      <c r="EQ61" s="518">
        <v>0</v>
      </c>
      <c r="ER61" s="518">
        <v>0</v>
      </c>
      <c r="ES61" s="518">
        <v>0</v>
      </c>
      <c r="ET61" s="518">
        <v>0</v>
      </c>
      <c r="EU61" s="518">
        <v>0</v>
      </c>
      <c r="EV61" s="518">
        <v>0</v>
      </c>
      <c r="EW61" s="518">
        <v>0</v>
      </c>
      <c r="EX61" s="518">
        <v>0</v>
      </c>
      <c r="EY61" s="518">
        <v>0</v>
      </c>
      <c r="EZ61" s="518">
        <v>0</v>
      </c>
      <c r="FA61" s="518">
        <v>0</v>
      </c>
      <c r="FB61" s="518">
        <v>0</v>
      </c>
      <c r="FC61" s="518">
        <v>0</v>
      </c>
      <c r="FD61" s="518">
        <v>0</v>
      </c>
      <c r="FE61" s="518">
        <v>0</v>
      </c>
      <c r="FF61" s="518">
        <v>0</v>
      </c>
      <c r="FG61" s="518">
        <v>0</v>
      </c>
      <c r="FH61" s="518">
        <v>0</v>
      </c>
      <c r="FI61" s="518">
        <v>0</v>
      </c>
      <c r="FJ61" s="518">
        <v>0</v>
      </c>
      <c r="FK61" s="518">
        <v>0</v>
      </c>
      <c r="FL61" s="518">
        <v>0</v>
      </c>
      <c r="FM61" s="518">
        <v>0</v>
      </c>
      <c r="FN61" s="518">
        <v>0</v>
      </c>
      <c r="FO61" s="518">
        <v>0</v>
      </c>
      <c r="FP61" s="518">
        <v>0</v>
      </c>
      <c r="FQ61" s="518">
        <v>0</v>
      </c>
      <c r="FR61" s="518">
        <v>0</v>
      </c>
      <c r="FS61" s="518">
        <v>0</v>
      </c>
      <c r="FT61" s="518">
        <v>0</v>
      </c>
      <c r="FU61" s="518">
        <v>0</v>
      </c>
      <c r="FV61" s="518">
        <v>0</v>
      </c>
      <c r="FW61" s="518">
        <v>0</v>
      </c>
      <c r="FX61" s="518">
        <v>0</v>
      </c>
      <c r="FY61" s="518">
        <v>0</v>
      </c>
      <c r="FZ61" s="518">
        <v>0</v>
      </c>
      <c r="GA61" s="518">
        <v>0</v>
      </c>
      <c r="GB61" s="518">
        <v>0</v>
      </c>
      <c r="GC61" s="518">
        <v>0</v>
      </c>
      <c r="GD61" s="518">
        <v>0</v>
      </c>
      <c r="GE61" s="518">
        <v>0</v>
      </c>
      <c r="GF61" s="518">
        <v>0</v>
      </c>
      <c r="GG61" s="518">
        <v>0</v>
      </c>
      <c r="GH61" s="518">
        <v>0</v>
      </c>
      <c r="GI61" s="518">
        <v>0</v>
      </c>
      <c r="GJ61" s="518">
        <v>0</v>
      </c>
      <c r="GK61" s="518">
        <v>0</v>
      </c>
      <c r="GL61" s="518">
        <v>0</v>
      </c>
      <c r="GM61" s="518">
        <v>0</v>
      </c>
      <c r="GN61" s="518">
        <v>0</v>
      </c>
      <c r="GO61" s="518">
        <v>0</v>
      </c>
      <c r="GP61" s="518">
        <v>0</v>
      </c>
      <c r="GQ61" s="518">
        <v>0</v>
      </c>
      <c r="GR61" s="518">
        <v>0</v>
      </c>
      <c r="GS61" s="518">
        <v>0</v>
      </c>
      <c r="GT61" s="518">
        <v>0</v>
      </c>
      <c r="GU61" s="518">
        <v>0</v>
      </c>
      <c r="GV61" s="518">
        <v>0</v>
      </c>
      <c r="GW61" s="518">
        <v>0</v>
      </c>
      <c r="GX61" s="518">
        <v>0</v>
      </c>
      <c r="GY61" s="518">
        <v>0</v>
      </c>
      <c r="GZ61" s="518">
        <v>0</v>
      </c>
      <c r="HA61" s="518">
        <v>0</v>
      </c>
      <c r="HB61" s="518">
        <v>0</v>
      </c>
      <c r="HC61" s="518">
        <v>0</v>
      </c>
      <c r="HD61" s="518">
        <v>0</v>
      </c>
      <c r="HE61" s="518">
        <v>0</v>
      </c>
      <c r="HF61" s="518">
        <v>0</v>
      </c>
      <c r="HG61" s="518">
        <v>0</v>
      </c>
      <c r="HH61" s="518">
        <v>0</v>
      </c>
      <c r="HI61" s="518">
        <v>0</v>
      </c>
      <c r="HJ61" s="518">
        <v>0</v>
      </c>
      <c r="HK61" s="518">
        <v>0</v>
      </c>
      <c r="HL61" s="518">
        <v>0</v>
      </c>
      <c r="HM61" s="518">
        <v>0</v>
      </c>
      <c r="HN61" s="518">
        <v>0</v>
      </c>
      <c r="HO61" s="518">
        <v>0</v>
      </c>
      <c r="HP61" s="518">
        <v>0</v>
      </c>
      <c r="HQ61" s="518">
        <v>0</v>
      </c>
      <c r="HR61" s="518">
        <v>0</v>
      </c>
      <c r="HS61" s="518">
        <v>0</v>
      </c>
      <c r="HT61" s="518">
        <v>0</v>
      </c>
      <c r="HU61" s="518">
        <v>0</v>
      </c>
      <c r="HV61" s="518">
        <v>0</v>
      </c>
      <c r="HW61" s="518">
        <v>0</v>
      </c>
      <c r="HX61" s="518">
        <v>0</v>
      </c>
      <c r="HY61" s="518">
        <v>0</v>
      </c>
      <c r="HZ61" s="518">
        <v>0</v>
      </c>
      <c r="IA61" s="518">
        <v>0</v>
      </c>
      <c r="IB61" s="518">
        <v>0</v>
      </c>
      <c r="IC61" s="518">
        <v>0</v>
      </c>
      <c r="ID61" s="518">
        <v>0</v>
      </c>
      <c r="IE61" s="518">
        <v>0</v>
      </c>
      <c r="IF61" s="518">
        <v>0</v>
      </c>
      <c r="IG61" s="518">
        <v>0</v>
      </c>
      <c r="IH61" s="518">
        <v>0</v>
      </c>
      <c r="II61" s="518">
        <v>0</v>
      </c>
      <c r="IJ61" s="518">
        <v>0</v>
      </c>
      <c r="IK61" s="518">
        <v>0</v>
      </c>
    </row>
    <row r="62" spans="1:245" ht="16.5" hidden="1">
      <c r="A62" s="517" t="s">
        <v>721</v>
      </c>
      <c r="B62" s="517" t="s">
        <v>1101</v>
      </c>
      <c r="C62" s="517" t="s">
        <v>721</v>
      </c>
      <c r="D62" s="558"/>
      <c r="E62" s="517" t="s">
        <v>721</v>
      </c>
      <c r="F62" s="517" t="s">
        <v>26</v>
      </c>
      <c r="G62" s="558"/>
      <c r="H62" s="518">
        <v>27</v>
      </c>
      <c r="I62" s="558"/>
      <c r="J62" s="494" t="str">
        <f t="shared" si="1"/>
        <v>SWUC100227</v>
      </c>
      <c r="K62" s="518">
        <v>78</v>
      </c>
      <c r="M62" s="517" t="s">
        <v>721</v>
      </c>
      <c r="N62" s="517" t="s">
        <v>1101</v>
      </c>
      <c r="O62" s="517" t="s">
        <v>26</v>
      </c>
      <c r="P62" s="518">
        <v>27</v>
      </c>
      <c r="Q62" s="494" t="str">
        <f t="shared" si="2"/>
        <v>SWUC100227</v>
      </c>
      <c r="R62" s="518">
        <v>0</v>
      </c>
      <c r="S62" s="518">
        <v>6</v>
      </c>
      <c r="T62" s="518">
        <v>13</v>
      </c>
      <c r="U62" s="518">
        <v>20</v>
      </c>
      <c r="V62" s="518">
        <v>26</v>
      </c>
      <c r="W62" s="518">
        <v>34</v>
      </c>
      <c r="X62" s="518">
        <v>43</v>
      </c>
      <c r="Y62" s="518">
        <v>54</v>
      </c>
      <c r="Z62" s="518">
        <v>66</v>
      </c>
      <c r="AA62" s="518">
        <v>0</v>
      </c>
      <c r="AB62" s="518">
        <v>0</v>
      </c>
      <c r="AC62" s="518">
        <v>0</v>
      </c>
      <c r="AD62" s="518">
        <v>0</v>
      </c>
      <c r="AE62" s="518">
        <v>0</v>
      </c>
      <c r="AF62" s="518">
        <v>0</v>
      </c>
      <c r="AG62" s="518">
        <v>0</v>
      </c>
      <c r="AH62" s="518">
        <v>0</v>
      </c>
      <c r="AI62" s="518">
        <v>0</v>
      </c>
      <c r="AJ62" s="518">
        <v>0</v>
      </c>
      <c r="AK62" s="518">
        <v>0</v>
      </c>
      <c r="AL62" s="518">
        <v>0</v>
      </c>
      <c r="AM62" s="518">
        <v>0</v>
      </c>
      <c r="AN62" s="518">
        <v>0</v>
      </c>
      <c r="AO62" s="518">
        <v>0</v>
      </c>
      <c r="AP62" s="518">
        <v>0</v>
      </c>
      <c r="AQ62" s="518">
        <v>0</v>
      </c>
      <c r="AR62" s="518">
        <v>0</v>
      </c>
      <c r="AS62" s="518">
        <v>0</v>
      </c>
      <c r="AT62" s="518">
        <v>0</v>
      </c>
      <c r="AU62" s="518">
        <v>0</v>
      </c>
      <c r="AV62" s="518">
        <v>0</v>
      </c>
      <c r="AW62" s="518">
        <v>0</v>
      </c>
      <c r="AX62" s="518">
        <v>0</v>
      </c>
      <c r="AY62" s="518">
        <v>0</v>
      </c>
      <c r="AZ62" s="518">
        <v>0</v>
      </c>
      <c r="BA62" s="518">
        <v>0</v>
      </c>
      <c r="BB62" s="518">
        <v>0</v>
      </c>
      <c r="BC62" s="518">
        <v>0</v>
      </c>
      <c r="BD62" s="518">
        <v>0</v>
      </c>
      <c r="BE62" s="518">
        <v>0</v>
      </c>
      <c r="BF62" s="518">
        <v>0</v>
      </c>
      <c r="BG62" s="518">
        <v>0</v>
      </c>
      <c r="BH62" s="518">
        <v>0</v>
      </c>
      <c r="BI62" s="518">
        <v>0</v>
      </c>
      <c r="BJ62" s="518">
        <v>0</v>
      </c>
      <c r="BK62" s="518">
        <v>0</v>
      </c>
      <c r="BL62" s="518">
        <v>0</v>
      </c>
      <c r="BM62" s="518">
        <v>0</v>
      </c>
      <c r="BN62" s="518">
        <v>0</v>
      </c>
      <c r="BO62" s="518">
        <v>0</v>
      </c>
      <c r="BP62" s="518">
        <v>0</v>
      </c>
      <c r="BQ62" s="518">
        <v>0</v>
      </c>
      <c r="BR62" s="518">
        <v>0</v>
      </c>
      <c r="BS62" s="518">
        <v>0</v>
      </c>
      <c r="BT62" s="518">
        <v>0</v>
      </c>
      <c r="BU62" s="518">
        <v>0</v>
      </c>
      <c r="BV62" s="518">
        <v>0</v>
      </c>
      <c r="BW62" s="518">
        <v>0</v>
      </c>
      <c r="BX62" s="518">
        <v>0</v>
      </c>
      <c r="BY62" s="518">
        <v>0</v>
      </c>
      <c r="BZ62" s="518">
        <v>0</v>
      </c>
      <c r="CA62" s="518">
        <v>0</v>
      </c>
      <c r="CB62" s="518">
        <v>0</v>
      </c>
      <c r="CC62" s="518">
        <v>0</v>
      </c>
      <c r="CD62" s="518">
        <v>0</v>
      </c>
      <c r="CE62" s="518">
        <v>0</v>
      </c>
      <c r="CF62" s="518">
        <v>0</v>
      </c>
      <c r="CG62" s="518">
        <v>0</v>
      </c>
      <c r="CH62" s="518">
        <v>0</v>
      </c>
      <c r="CI62" s="518">
        <v>0</v>
      </c>
      <c r="CJ62" s="518">
        <v>0</v>
      </c>
      <c r="CK62" s="518">
        <v>0</v>
      </c>
      <c r="CL62" s="518">
        <v>0</v>
      </c>
      <c r="CM62" s="518">
        <v>0</v>
      </c>
      <c r="CN62" s="518">
        <v>0</v>
      </c>
      <c r="CO62" s="518">
        <v>0</v>
      </c>
      <c r="CP62" s="518">
        <v>0</v>
      </c>
      <c r="CQ62" s="518">
        <v>0</v>
      </c>
      <c r="CR62" s="518">
        <v>0</v>
      </c>
      <c r="CS62" s="518">
        <v>0</v>
      </c>
      <c r="CT62" s="518">
        <v>0</v>
      </c>
      <c r="CU62" s="518">
        <v>0</v>
      </c>
      <c r="CV62" s="518">
        <v>0</v>
      </c>
      <c r="CW62" s="518">
        <v>0</v>
      </c>
      <c r="CX62" s="518">
        <v>0</v>
      </c>
      <c r="CY62" s="518">
        <v>0</v>
      </c>
      <c r="CZ62" s="518">
        <v>0</v>
      </c>
      <c r="DA62" s="518">
        <v>0</v>
      </c>
      <c r="DB62" s="518">
        <v>0</v>
      </c>
      <c r="DC62" s="518">
        <v>0</v>
      </c>
      <c r="DD62" s="518">
        <v>0</v>
      </c>
      <c r="DE62" s="518">
        <v>0</v>
      </c>
      <c r="DF62" s="518">
        <v>0</v>
      </c>
      <c r="DG62" s="518">
        <v>0</v>
      </c>
      <c r="DH62" s="518">
        <v>0</v>
      </c>
      <c r="DI62" s="518">
        <v>0</v>
      </c>
      <c r="DJ62" s="518">
        <v>0</v>
      </c>
      <c r="DK62" s="518">
        <v>0</v>
      </c>
      <c r="DL62" s="518">
        <v>0</v>
      </c>
      <c r="DM62" s="518">
        <v>0</v>
      </c>
      <c r="DN62" s="518">
        <v>0</v>
      </c>
      <c r="DO62" s="518">
        <v>0</v>
      </c>
      <c r="DP62" s="518">
        <v>0</v>
      </c>
      <c r="DQ62" s="518">
        <v>0</v>
      </c>
      <c r="DR62" s="518">
        <v>0</v>
      </c>
      <c r="DS62" s="518">
        <v>0</v>
      </c>
      <c r="DT62" s="518">
        <v>0</v>
      </c>
      <c r="DU62" s="518">
        <v>0</v>
      </c>
      <c r="DV62" s="518">
        <v>0</v>
      </c>
      <c r="DW62" s="518">
        <v>0</v>
      </c>
      <c r="DX62" s="518">
        <v>0</v>
      </c>
      <c r="DY62" s="477"/>
      <c r="DZ62" s="517" t="s">
        <v>721</v>
      </c>
      <c r="EA62" s="517" t="s">
        <v>1101</v>
      </c>
      <c r="EB62" s="517" t="s">
        <v>26</v>
      </c>
      <c r="EC62" s="518">
        <v>27</v>
      </c>
      <c r="ED62" s="494" t="str">
        <f t="shared" si="0"/>
        <v>SWUC100227</v>
      </c>
      <c r="EE62" s="518">
        <v>10000</v>
      </c>
      <c r="EF62" s="518">
        <v>10000</v>
      </c>
      <c r="EG62" s="518">
        <v>10000</v>
      </c>
      <c r="EH62" s="518">
        <v>10000</v>
      </c>
      <c r="EI62" s="518">
        <v>10000</v>
      </c>
      <c r="EJ62" s="518">
        <v>10000</v>
      </c>
      <c r="EK62" s="518">
        <v>10000</v>
      </c>
      <c r="EL62" s="518">
        <v>10000</v>
      </c>
      <c r="EM62" s="518">
        <v>10000</v>
      </c>
      <c r="EN62" s="518">
        <v>10000</v>
      </c>
      <c r="EO62" s="518">
        <v>0</v>
      </c>
      <c r="EP62" s="518">
        <v>0</v>
      </c>
      <c r="EQ62" s="518">
        <v>0</v>
      </c>
      <c r="ER62" s="518">
        <v>0</v>
      </c>
      <c r="ES62" s="518">
        <v>0</v>
      </c>
      <c r="ET62" s="518">
        <v>0</v>
      </c>
      <c r="EU62" s="518">
        <v>0</v>
      </c>
      <c r="EV62" s="518">
        <v>0</v>
      </c>
      <c r="EW62" s="518">
        <v>0</v>
      </c>
      <c r="EX62" s="518">
        <v>0</v>
      </c>
      <c r="EY62" s="518">
        <v>0</v>
      </c>
      <c r="EZ62" s="518">
        <v>0</v>
      </c>
      <c r="FA62" s="518">
        <v>0</v>
      </c>
      <c r="FB62" s="518">
        <v>0</v>
      </c>
      <c r="FC62" s="518">
        <v>0</v>
      </c>
      <c r="FD62" s="518">
        <v>0</v>
      </c>
      <c r="FE62" s="518">
        <v>0</v>
      </c>
      <c r="FF62" s="518">
        <v>0</v>
      </c>
      <c r="FG62" s="518">
        <v>0</v>
      </c>
      <c r="FH62" s="518">
        <v>0</v>
      </c>
      <c r="FI62" s="518">
        <v>0</v>
      </c>
      <c r="FJ62" s="518">
        <v>0</v>
      </c>
      <c r="FK62" s="518">
        <v>0</v>
      </c>
      <c r="FL62" s="518">
        <v>0</v>
      </c>
      <c r="FM62" s="518">
        <v>0</v>
      </c>
      <c r="FN62" s="518">
        <v>0</v>
      </c>
      <c r="FO62" s="518">
        <v>0</v>
      </c>
      <c r="FP62" s="518">
        <v>0</v>
      </c>
      <c r="FQ62" s="518">
        <v>0</v>
      </c>
      <c r="FR62" s="518">
        <v>0</v>
      </c>
      <c r="FS62" s="518">
        <v>0</v>
      </c>
      <c r="FT62" s="518">
        <v>0</v>
      </c>
      <c r="FU62" s="518">
        <v>0</v>
      </c>
      <c r="FV62" s="518">
        <v>0</v>
      </c>
      <c r="FW62" s="518">
        <v>0</v>
      </c>
      <c r="FX62" s="518">
        <v>0</v>
      </c>
      <c r="FY62" s="518">
        <v>0</v>
      </c>
      <c r="FZ62" s="518">
        <v>0</v>
      </c>
      <c r="GA62" s="518">
        <v>0</v>
      </c>
      <c r="GB62" s="518">
        <v>0</v>
      </c>
      <c r="GC62" s="518">
        <v>0</v>
      </c>
      <c r="GD62" s="518">
        <v>0</v>
      </c>
      <c r="GE62" s="518">
        <v>0</v>
      </c>
      <c r="GF62" s="518">
        <v>0</v>
      </c>
      <c r="GG62" s="518">
        <v>0</v>
      </c>
      <c r="GH62" s="518">
        <v>0</v>
      </c>
      <c r="GI62" s="518">
        <v>0</v>
      </c>
      <c r="GJ62" s="518">
        <v>0</v>
      </c>
      <c r="GK62" s="518">
        <v>0</v>
      </c>
      <c r="GL62" s="518">
        <v>0</v>
      </c>
      <c r="GM62" s="518">
        <v>0</v>
      </c>
      <c r="GN62" s="518">
        <v>0</v>
      </c>
      <c r="GO62" s="518">
        <v>0</v>
      </c>
      <c r="GP62" s="518">
        <v>0</v>
      </c>
      <c r="GQ62" s="518">
        <v>0</v>
      </c>
      <c r="GR62" s="518">
        <v>0</v>
      </c>
      <c r="GS62" s="518">
        <v>0</v>
      </c>
      <c r="GT62" s="518">
        <v>0</v>
      </c>
      <c r="GU62" s="518">
        <v>0</v>
      </c>
      <c r="GV62" s="518">
        <v>0</v>
      </c>
      <c r="GW62" s="518">
        <v>0</v>
      </c>
      <c r="GX62" s="518">
        <v>0</v>
      </c>
      <c r="GY62" s="518">
        <v>0</v>
      </c>
      <c r="GZ62" s="518">
        <v>0</v>
      </c>
      <c r="HA62" s="518">
        <v>0</v>
      </c>
      <c r="HB62" s="518">
        <v>0</v>
      </c>
      <c r="HC62" s="518">
        <v>0</v>
      </c>
      <c r="HD62" s="518">
        <v>0</v>
      </c>
      <c r="HE62" s="518">
        <v>0</v>
      </c>
      <c r="HF62" s="518">
        <v>0</v>
      </c>
      <c r="HG62" s="518">
        <v>0</v>
      </c>
      <c r="HH62" s="518">
        <v>0</v>
      </c>
      <c r="HI62" s="518">
        <v>0</v>
      </c>
      <c r="HJ62" s="518">
        <v>0</v>
      </c>
      <c r="HK62" s="518">
        <v>0</v>
      </c>
      <c r="HL62" s="518">
        <v>0</v>
      </c>
      <c r="HM62" s="518">
        <v>0</v>
      </c>
      <c r="HN62" s="518">
        <v>0</v>
      </c>
      <c r="HO62" s="518">
        <v>0</v>
      </c>
      <c r="HP62" s="518">
        <v>0</v>
      </c>
      <c r="HQ62" s="518">
        <v>0</v>
      </c>
      <c r="HR62" s="518">
        <v>0</v>
      </c>
      <c r="HS62" s="518">
        <v>0</v>
      </c>
      <c r="HT62" s="518">
        <v>0</v>
      </c>
      <c r="HU62" s="518">
        <v>0</v>
      </c>
      <c r="HV62" s="518">
        <v>0</v>
      </c>
      <c r="HW62" s="518">
        <v>0</v>
      </c>
      <c r="HX62" s="518">
        <v>0</v>
      </c>
      <c r="HY62" s="518">
        <v>0</v>
      </c>
      <c r="HZ62" s="518">
        <v>0</v>
      </c>
      <c r="IA62" s="518">
        <v>0</v>
      </c>
      <c r="IB62" s="518">
        <v>0</v>
      </c>
      <c r="IC62" s="518">
        <v>0</v>
      </c>
      <c r="ID62" s="518">
        <v>0</v>
      </c>
      <c r="IE62" s="518">
        <v>0</v>
      </c>
      <c r="IF62" s="518">
        <v>0</v>
      </c>
      <c r="IG62" s="518">
        <v>0</v>
      </c>
      <c r="IH62" s="518">
        <v>0</v>
      </c>
      <c r="II62" s="518">
        <v>0</v>
      </c>
      <c r="IJ62" s="518">
        <v>0</v>
      </c>
      <c r="IK62" s="518">
        <v>0</v>
      </c>
    </row>
    <row r="63" spans="1:245" ht="16.5" hidden="1">
      <c r="A63" s="517" t="s">
        <v>721</v>
      </c>
      <c r="B63" s="517" t="s">
        <v>1101</v>
      </c>
      <c r="C63" s="517" t="s">
        <v>721</v>
      </c>
      <c r="D63" s="558"/>
      <c r="E63" s="517" t="s">
        <v>721</v>
      </c>
      <c r="F63" s="517" t="s">
        <v>26</v>
      </c>
      <c r="G63" s="558"/>
      <c r="H63" s="518">
        <v>28</v>
      </c>
      <c r="I63" s="558"/>
      <c r="J63" s="494" t="str">
        <f t="shared" si="1"/>
        <v>SWUC100228</v>
      </c>
      <c r="K63" s="518">
        <v>81</v>
      </c>
      <c r="M63" s="517" t="s">
        <v>721</v>
      </c>
      <c r="N63" s="517" t="s">
        <v>1101</v>
      </c>
      <c r="O63" s="517" t="s">
        <v>26</v>
      </c>
      <c r="P63" s="518">
        <v>28</v>
      </c>
      <c r="Q63" s="494" t="str">
        <f t="shared" si="2"/>
        <v>SWUC100228</v>
      </c>
      <c r="R63" s="518">
        <v>0</v>
      </c>
      <c r="S63" s="518">
        <v>7</v>
      </c>
      <c r="T63" s="518">
        <v>14</v>
      </c>
      <c r="U63" s="518">
        <v>20</v>
      </c>
      <c r="V63" s="518">
        <v>27</v>
      </c>
      <c r="W63" s="518">
        <v>36</v>
      </c>
      <c r="X63" s="518">
        <v>46</v>
      </c>
      <c r="Y63" s="518">
        <v>57</v>
      </c>
      <c r="Z63" s="518">
        <v>67</v>
      </c>
      <c r="AA63" s="518">
        <v>0</v>
      </c>
      <c r="AB63" s="518">
        <v>0</v>
      </c>
      <c r="AC63" s="518">
        <v>0</v>
      </c>
      <c r="AD63" s="518">
        <v>0</v>
      </c>
      <c r="AE63" s="518">
        <v>0</v>
      </c>
      <c r="AF63" s="518">
        <v>0</v>
      </c>
      <c r="AG63" s="518">
        <v>0</v>
      </c>
      <c r="AH63" s="518">
        <v>0</v>
      </c>
      <c r="AI63" s="518">
        <v>0</v>
      </c>
      <c r="AJ63" s="518">
        <v>0</v>
      </c>
      <c r="AK63" s="518">
        <v>0</v>
      </c>
      <c r="AL63" s="518">
        <v>0</v>
      </c>
      <c r="AM63" s="518">
        <v>0</v>
      </c>
      <c r="AN63" s="518">
        <v>0</v>
      </c>
      <c r="AO63" s="518">
        <v>0</v>
      </c>
      <c r="AP63" s="518">
        <v>0</v>
      </c>
      <c r="AQ63" s="518">
        <v>0</v>
      </c>
      <c r="AR63" s="518">
        <v>0</v>
      </c>
      <c r="AS63" s="518">
        <v>0</v>
      </c>
      <c r="AT63" s="518">
        <v>0</v>
      </c>
      <c r="AU63" s="518">
        <v>0</v>
      </c>
      <c r="AV63" s="518">
        <v>0</v>
      </c>
      <c r="AW63" s="518">
        <v>0</v>
      </c>
      <c r="AX63" s="518">
        <v>0</v>
      </c>
      <c r="AY63" s="518">
        <v>0</v>
      </c>
      <c r="AZ63" s="518">
        <v>0</v>
      </c>
      <c r="BA63" s="518">
        <v>0</v>
      </c>
      <c r="BB63" s="518">
        <v>0</v>
      </c>
      <c r="BC63" s="518">
        <v>0</v>
      </c>
      <c r="BD63" s="518">
        <v>0</v>
      </c>
      <c r="BE63" s="518">
        <v>0</v>
      </c>
      <c r="BF63" s="518">
        <v>0</v>
      </c>
      <c r="BG63" s="518">
        <v>0</v>
      </c>
      <c r="BH63" s="518">
        <v>0</v>
      </c>
      <c r="BI63" s="518">
        <v>0</v>
      </c>
      <c r="BJ63" s="518">
        <v>0</v>
      </c>
      <c r="BK63" s="518">
        <v>0</v>
      </c>
      <c r="BL63" s="518">
        <v>0</v>
      </c>
      <c r="BM63" s="518">
        <v>0</v>
      </c>
      <c r="BN63" s="518">
        <v>0</v>
      </c>
      <c r="BO63" s="518">
        <v>0</v>
      </c>
      <c r="BP63" s="518">
        <v>0</v>
      </c>
      <c r="BQ63" s="518">
        <v>0</v>
      </c>
      <c r="BR63" s="518">
        <v>0</v>
      </c>
      <c r="BS63" s="518">
        <v>0</v>
      </c>
      <c r="BT63" s="518">
        <v>0</v>
      </c>
      <c r="BU63" s="518">
        <v>0</v>
      </c>
      <c r="BV63" s="518">
        <v>0</v>
      </c>
      <c r="BW63" s="518">
        <v>0</v>
      </c>
      <c r="BX63" s="518">
        <v>0</v>
      </c>
      <c r="BY63" s="518">
        <v>0</v>
      </c>
      <c r="BZ63" s="518">
        <v>0</v>
      </c>
      <c r="CA63" s="518">
        <v>0</v>
      </c>
      <c r="CB63" s="518">
        <v>0</v>
      </c>
      <c r="CC63" s="518">
        <v>0</v>
      </c>
      <c r="CD63" s="518">
        <v>0</v>
      </c>
      <c r="CE63" s="518">
        <v>0</v>
      </c>
      <c r="CF63" s="518">
        <v>0</v>
      </c>
      <c r="CG63" s="518">
        <v>0</v>
      </c>
      <c r="CH63" s="518">
        <v>0</v>
      </c>
      <c r="CI63" s="518">
        <v>0</v>
      </c>
      <c r="CJ63" s="518">
        <v>0</v>
      </c>
      <c r="CK63" s="518">
        <v>0</v>
      </c>
      <c r="CL63" s="518">
        <v>0</v>
      </c>
      <c r="CM63" s="518">
        <v>0</v>
      </c>
      <c r="CN63" s="518">
        <v>0</v>
      </c>
      <c r="CO63" s="518">
        <v>0</v>
      </c>
      <c r="CP63" s="518">
        <v>0</v>
      </c>
      <c r="CQ63" s="518">
        <v>0</v>
      </c>
      <c r="CR63" s="518">
        <v>0</v>
      </c>
      <c r="CS63" s="518">
        <v>0</v>
      </c>
      <c r="CT63" s="518">
        <v>0</v>
      </c>
      <c r="CU63" s="518">
        <v>0</v>
      </c>
      <c r="CV63" s="518">
        <v>0</v>
      </c>
      <c r="CW63" s="518">
        <v>0</v>
      </c>
      <c r="CX63" s="518">
        <v>0</v>
      </c>
      <c r="CY63" s="518">
        <v>0</v>
      </c>
      <c r="CZ63" s="518">
        <v>0</v>
      </c>
      <c r="DA63" s="518">
        <v>0</v>
      </c>
      <c r="DB63" s="518">
        <v>0</v>
      </c>
      <c r="DC63" s="518">
        <v>0</v>
      </c>
      <c r="DD63" s="518">
        <v>0</v>
      </c>
      <c r="DE63" s="518">
        <v>0</v>
      </c>
      <c r="DF63" s="518">
        <v>0</v>
      </c>
      <c r="DG63" s="518">
        <v>0</v>
      </c>
      <c r="DH63" s="518">
        <v>0</v>
      </c>
      <c r="DI63" s="518">
        <v>0</v>
      </c>
      <c r="DJ63" s="518">
        <v>0</v>
      </c>
      <c r="DK63" s="518">
        <v>0</v>
      </c>
      <c r="DL63" s="518">
        <v>0</v>
      </c>
      <c r="DM63" s="518">
        <v>0</v>
      </c>
      <c r="DN63" s="518">
        <v>0</v>
      </c>
      <c r="DO63" s="518">
        <v>0</v>
      </c>
      <c r="DP63" s="518">
        <v>0</v>
      </c>
      <c r="DQ63" s="518">
        <v>0</v>
      </c>
      <c r="DR63" s="518">
        <v>0</v>
      </c>
      <c r="DS63" s="518">
        <v>0</v>
      </c>
      <c r="DT63" s="518">
        <v>0</v>
      </c>
      <c r="DU63" s="518">
        <v>0</v>
      </c>
      <c r="DV63" s="518">
        <v>0</v>
      </c>
      <c r="DW63" s="518">
        <v>0</v>
      </c>
      <c r="DX63" s="518">
        <v>0</v>
      </c>
      <c r="DY63" s="477"/>
      <c r="DZ63" s="517" t="s">
        <v>721</v>
      </c>
      <c r="EA63" s="517" t="s">
        <v>1101</v>
      </c>
      <c r="EB63" s="517" t="s">
        <v>26</v>
      </c>
      <c r="EC63" s="518">
        <v>28</v>
      </c>
      <c r="ED63" s="494" t="str">
        <f t="shared" si="0"/>
        <v>SWUC100228</v>
      </c>
      <c r="EE63" s="518">
        <v>10000</v>
      </c>
      <c r="EF63" s="518">
        <v>10000</v>
      </c>
      <c r="EG63" s="518">
        <v>10000</v>
      </c>
      <c r="EH63" s="518">
        <v>10000</v>
      </c>
      <c r="EI63" s="518">
        <v>10000</v>
      </c>
      <c r="EJ63" s="518">
        <v>10000</v>
      </c>
      <c r="EK63" s="518">
        <v>10000</v>
      </c>
      <c r="EL63" s="518">
        <v>10000</v>
      </c>
      <c r="EM63" s="518">
        <v>10000</v>
      </c>
      <c r="EN63" s="518">
        <v>10000</v>
      </c>
      <c r="EO63" s="518">
        <v>0</v>
      </c>
      <c r="EP63" s="518">
        <v>0</v>
      </c>
      <c r="EQ63" s="518">
        <v>0</v>
      </c>
      <c r="ER63" s="518">
        <v>0</v>
      </c>
      <c r="ES63" s="518">
        <v>0</v>
      </c>
      <c r="ET63" s="518">
        <v>0</v>
      </c>
      <c r="EU63" s="518">
        <v>0</v>
      </c>
      <c r="EV63" s="518">
        <v>0</v>
      </c>
      <c r="EW63" s="518">
        <v>0</v>
      </c>
      <c r="EX63" s="518">
        <v>0</v>
      </c>
      <c r="EY63" s="518">
        <v>0</v>
      </c>
      <c r="EZ63" s="518">
        <v>0</v>
      </c>
      <c r="FA63" s="518">
        <v>0</v>
      </c>
      <c r="FB63" s="518">
        <v>0</v>
      </c>
      <c r="FC63" s="518">
        <v>0</v>
      </c>
      <c r="FD63" s="518">
        <v>0</v>
      </c>
      <c r="FE63" s="518">
        <v>0</v>
      </c>
      <c r="FF63" s="518">
        <v>0</v>
      </c>
      <c r="FG63" s="518">
        <v>0</v>
      </c>
      <c r="FH63" s="518">
        <v>0</v>
      </c>
      <c r="FI63" s="518">
        <v>0</v>
      </c>
      <c r="FJ63" s="518">
        <v>0</v>
      </c>
      <c r="FK63" s="518">
        <v>0</v>
      </c>
      <c r="FL63" s="518">
        <v>0</v>
      </c>
      <c r="FM63" s="518">
        <v>0</v>
      </c>
      <c r="FN63" s="518">
        <v>0</v>
      </c>
      <c r="FO63" s="518">
        <v>0</v>
      </c>
      <c r="FP63" s="518">
        <v>0</v>
      </c>
      <c r="FQ63" s="518">
        <v>0</v>
      </c>
      <c r="FR63" s="518">
        <v>0</v>
      </c>
      <c r="FS63" s="518">
        <v>0</v>
      </c>
      <c r="FT63" s="518">
        <v>0</v>
      </c>
      <c r="FU63" s="518">
        <v>0</v>
      </c>
      <c r="FV63" s="518">
        <v>0</v>
      </c>
      <c r="FW63" s="518">
        <v>0</v>
      </c>
      <c r="FX63" s="518">
        <v>0</v>
      </c>
      <c r="FY63" s="518">
        <v>0</v>
      </c>
      <c r="FZ63" s="518">
        <v>0</v>
      </c>
      <c r="GA63" s="518">
        <v>0</v>
      </c>
      <c r="GB63" s="518">
        <v>0</v>
      </c>
      <c r="GC63" s="518">
        <v>0</v>
      </c>
      <c r="GD63" s="518">
        <v>0</v>
      </c>
      <c r="GE63" s="518">
        <v>0</v>
      </c>
      <c r="GF63" s="518">
        <v>0</v>
      </c>
      <c r="GG63" s="518">
        <v>0</v>
      </c>
      <c r="GH63" s="518">
        <v>0</v>
      </c>
      <c r="GI63" s="518">
        <v>0</v>
      </c>
      <c r="GJ63" s="518">
        <v>0</v>
      </c>
      <c r="GK63" s="518">
        <v>0</v>
      </c>
      <c r="GL63" s="518">
        <v>0</v>
      </c>
      <c r="GM63" s="518">
        <v>0</v>
      </c>
      <c r="GN63" s="518">
        <v>0</v>
      </c>
      <c r="GO63" s="518">
        <v>0</v>
      </c>
      <c r="GP63" s="518">
        <v>0</v>
      </c>
      <c r="GQ63" s="518">
        <v>0</v>
      </c>
      <c r="GR63" s="518">
        <v>0</v>
      </c>
      <c r="GS63" s="518">
        <v>0</v>
      </c>
      <c r="GT63" s="518">
        <v>0</v>
      </c>
      <c r="GU63" s="518">
        <v>0</v>
      </c>
      <c r="GV63" s="518">
        <v>0</v>
      </c>
      <c r="GW63" s="518">
        <v>0</v>
      </c>
      <c r="GX63" s="518">
        <v>0</v>
      </c>
      <c r="GY63" s="518">
        <v>0</v>
      </c>
      <c r="GZ63" s="518">
        <v>0</v>
      </c>
      <c r="HA63" s="518">
        <v>0</v>
      </c>
      <c r="HB63" s="518">
        <v>0</v>
      </c>
      <c r="HC63" s="518">
        <v>0</v>
      </c>
      <c r="HD63" s="518">
        <v>0</v>
      </c>
      <c r="HE63" s="518">
        <v>0</v>
      </c>
      <c r="HF63" s="518">
        <v>0</v>
      </c>
      <c r="HG63" s="518">
        <v>0</v>
      </c>
      <c r="HH63" s="518">
        <v>0</v>
      </c>
      <c r="HI63" s="518">
        <v>0</v>
      </c>
      <c r="HJ63" s="518">
        <v>0</v>
      </c>
      <c r="HK63" s="518">
        <v>0</v>
      </c>
      <c r="HL63" s="518">
        <v>0</v>
      </c>
      <c r="HM63" s="518">
        <v>0</v>
      </c>
      <c r="HN63" s="518">
        <v>0</v>
      </c>
      <c r="HO63" s="518">
        <v>0</v>
      </c>
      <c r="HP63" s="518">
        <v>0</v>
      </c>
      <c r="HQ63" s="518">
        <v>0</v>
      </c>
      <c r="HR63" s="518">
        <v>0</v>
      </c>
      <c r="HS63" s="518">
        <v>0</v>
      </c>
      <c r="HT63" s="518">
        <v>0</v>
      </c>
      <c r="HU63" s="518">
        <v>0</v>
      </c>
      <c r="HV63" s="518">
        <v>0</v>
      </c>
      <c r="HW63" s="518">
        <v>0</v>
      </c>
      <c r="HX63" s="518">
        <v>0</v>
      </c>
      <c r="HY63" s="518">
        <v>0</v>
      </c>
      <c r="HZ63" s="518">
        <v>0</v>
      </c>
      <c r="IA63" s="518">
        <v>0</v>
      </c>
      <c r="IB63" s="518">
        <v>0</v>
      </c>
      <c r="IC63" s="518">
        <v>0</v>
      </c>
      <c r="ID63" s="518">
        <v>0</v>
      </c>
      <c r="IE63" s="518">
        <v>0</v>
      </c>
      <c r="IF63" s="518">
        <v>0</v>
      </c>
      <c r="IG63" s="518">
        <v>0</v>
      </c>
      <c r="IH63" s="518">
        <v>0</v>
      </c>
      <c r="II63" s="518">
        <v>0</v>
      </c>
      <c r="IJ63" s="518">
        <v>0</v>
      </c>
      <c r="IK63" s="518">
        <v>0</v>
      </c>
    </row>
    <row r="64" spans="1:245" ht="16.5" hidden="1">
      <c r="A64" s="517" t="s">
        <v>721</v>
      </c>
      <c r="B64" s="517" t="s">
        <v>1101</v>
      </c>
      <c r="C64" s="517" t="s">
        <v>721</v>
      </c>
      <c r="D64" s="558"/>
      <c r="E64" s="517" t="s">
        <v>721</v>
      </c>
      <c r="F64" s="517" t="s">
        <v>26</v>
      </c>
      <c r="G64" s="558"/>
      <c r="H64" s="518">
        <v>29</v>
      </c>
      <c r="I64" s="558"/>
      <c r="J64" s="494" t="str">
        <f t="shared" si="1"/>
        <v>SWUC100229</v>
      </c>
      <c r="K64" s="518">
        <v>84</v>
      </c>
      <c r="M64" s="517" t="s">
        <v>721</v>
      </c>
      <c r="N64" s="517" t="s">
        <v>1101</v>
      </c>
      <c r="O64" s="517" t="s">
        <v>26</v>
      </c>
      <c r="P64" s="518">
        <v>29</v>
      </c>
      <c r="Q64" s="494" t="str">
        <f t="shared" si="2"/>
        <v>SWUC100229</v>
      </c>
      <c r="R64" s="518">
        <v>0</v>
      </c>
      <c r="S64" s="518">
        <v>7</v>
      </c>
      <c r="T64" s="518">
        <v>14</v>
      </c>
      <c r="U64" s="518">
        <v>21</v>
      </c>
      <c r="V64" s="518">
        <v>28</v>
      </c>
      <c r="W64" s="518">
        <v>37</v>
      </c>
      <c r="X64" s="518">
        <v>48</v>
      </c>
      <c r="Y64" s="518">
        <v>59</v>
      </c>
      <c r="Z64" s="518">
        <v>70</v>
      </c>
      <c r="AA64" s="518">
        <v>0</v>
      </c>
      <c r="AB64" s="518">
        <v>0</v>
      </c>
      <c r="AC64" s="518">
        <v>0</v>
      </c>
      <c r="AD64" s="518">
        <v>0</v>
      </c>
      <c r="AE64" s="518">
        <v>0</v>
      </c>
      <c r="AF64" s="518">
        <v>0</v>
      </c>
      <c r="AG64" s="518">
        <v>0</v>
      </c>
      <c r="AH64" s="518">
        <v>0</v>
      </c>
      <c r="AI64" s="518">
        <v>0</v>
      </c>
      <c r="AJ64" s="518">
        <v>0</v>
      </c>
      <c r="AK64" s="518">
        <v>0</v>
      </c>
      <c r="AL64" s="518">
        <v>0</v>
      </c>
      <c r="AM64" s="518">
        <v>0</v>
      </c>
      <c r="AN64" s="518">
        <v>0</v>
      </c>
      <c r="AO64" s="518">
        <v>0</v>
      </c>
      <c r="AP64" s="518">
        <v>0</v>
      </c>
      <c r="AQ64" s="518">
        <v>0</v>
      </c>
      <c r="AR64" s="518">
        <v>0</v>
      </c>
      <c r="AS64" s="518">
        <v>0</v>
      </c>
      <c r="AT64" s="518">
        <v>0</v>
      </c>
      <c r="AU64" s="518">
        <v>0</v>
      </c>
      <c r="AV64" s="518">
        <v>0</v>
      </c>
      <c r="AW64" s="518">
        <v>0</v>
      </c>
      <c r="AX64" s="518">
        <v>0</v>
      </c>
      <c r="AY64" s="518">
        <v>0</v>
      </c>
      <c r="AZ64" s="518">
        <v>0</v>
      </c>
      <c r="BA64" s="518">
        <v>0</v>
      </c>
      <c r="BB64" s="518">
        <v>0</v>
      </c>
      <c r="BC64" s="518">
        <v>0</v>
      </c>
      <c r="BD64" s="518">
        <v>0</v>
      </c>
      <c r="BE64" s="518">
        <v>0</v>
      </c>
      <c r="BF64" s="518">
        <v>0</v>
      </c>
      <c r="BG64" s="518">
        <v>0</v>
      </c>
      <c r="BH64" s="518">
        <v>0</v>
      </c>
      <c r="BI64" s="518">
        <v>0</v>
      </c>
      <c r="BJ64" s="518">
        <v>0</v>
      </c>
      <c r="BK64" s="518">
        <v>0</v>
      </c>
      <c r="BL64" s="518">
        <v>0</v>
      </c>
      <c r="BM64" s="518">
        <v>0</v>
      </c>
      <c r="BN64" s="518">
        <v>0</v>
      </c>
      <c r="BO64" s="518">
        <v>0</v>
      </c>
      <c r="BP64" s="518">
        <v>0</v>
      </c>
      <c r="BQ64" s="518">
        <v>0</v>
      </c>
      <c r="BR64" s="518">
        <v>0</v>
      </c>
      <c r="BS64" s="518">
        <v>0</v>
      </c>
      <c r="BT64" s="518">
        <v>0</v>
      </c>
      <c r="BU64" s="518">
        <v>0</v>
      </c>
      <c r="BV64" s="518">
        <v>0</v>
      </c>
      <c r="BW64" s="518">
        <v>0</v>
      </c>
      <c r="BX64" s="518">
        <v>0</v>
      </c>
      <c r="BY64" s="518">
        <v>0</v>
      </c>
      <c r="BZ64" s="518">
        <v>0</v>
      </c>
      <c r="CA64" s="518">
        <v>0</v>
      </c>
      <c r="CB64" s="518">
        <v>0</v>
      </c>
      <c r="CC64" s="518">
        <v>0</v>
      </c>
      <c r="CD64" s="518">
        <v>0</v>
      </c>
      <c r="CE64" s="518">
        <v>0</v>
      </c>
      <c r="CF64" s="518">
        <v>0</v>
      </c>
      <c r="CG64" s="518">
        <v>0</v>
      </c>
      <c r="CH64" s="518">
        <v>0</v>
      </c>
      <c r="CI64" s="518">
        <v>0</v>
      </c>
      <c r="CJ64" s="518">
        <v>0</v>
      </c>
      <c r="CK64" s="518">
        <v>0</v>
      </c>
      <c r="CL64" s="518">
        <v>0</v>
      </c>
      <c r="CM64" s="518">
        <v>0</v>
      </c>
      <c r="CN64" s="518">
        <v>0</v>
      </c>
      <c r="CO64" s="518">
        <v>0</v>
      </c>
      <c r="CP64" s="518">
        <v>0</v>
      </c>
      <c r="CQ64" s="518">
        <v>0</v>
      </c>
      <c r="CR64" s="518">
        <v>0</v>
      </c>
      <c r="CS64" s="518">
        <v>0</v>
      </c>
      <c r="CT64" s="518">
        <v>0</v>
      </c>
      <c r="CU64" s="518">
        <v>0</v>
      </c>
      <c r="CV64" s="518">
        <v>0</v>
      </c>
      <c r="CW64" s="518">
        <v>0</v>
      </c>
      <c r="CX64" s="518">
        <v>0</v>
      </c>
      <c r="CY64" s="518">
        <v>0</v>
      </c>
      <c r="CZ64" s="518">
        <v>0</v>
      </c>
      <c r="DA64" s="518">
        <v>0</v>
      </c>
      <c r="DB64" s="518">
        <v>0</v>
      </c>
      <c r="DC64" s="518">
        <v>0</v>
      </c>
      <c r="DD64" s="518">
        <v>0</v>
      </c>
      <c r="DE64" s="518">
        <v>0</v>
      </c>
      <c r="DF64" s="518">
        <v>0</v>
      </c>
      <c r="DG64" s="518">
        <v>0</v>
      </c>
      <c r="DH64" s="518">
        <v>0</v>
      </c>
      <c r="DI64" s="518">
        <v>0</v>
      </c>
      <c r="DJ64" s="518">
        <v>0</v>
      </c>
      <c r="DK64" s="518">
        <v>0</v>
      </c>
      <c r="DL64" s="518">
        <v>0</v>
      </c>
      <c r="DM64" s="518">
        <v>0</v>
      </c>
      <c r="DN64" s="518">
        <v>0</v>
      </c>
      <c r="DO64" s="518">
        <v>0</v>
      </c>
      <c r="DP64" s="518">
        <v>0</v>
      </c>
      <c r="DQ64" s="518">
        <v>0</v>
      </c>
      <c r="DR64" s="518">
        <v>0</v>
      </c>
      <c r="DS64" s="518">
        <v>0</v>
      </c>
      <c r="DT64" s="518">
        <v>0</v>
      </c>
      <c r="DU64" s="518">
        <v>0</v>
      </c>
      <c r="DV64" s="518">
        <v>0</v>
      </c>
      <c r="DW64" s="518">
        <v>0</v>
      </c>
      <c r="DX64" s="518">
        <v>0</v>
      </c>
      <c r="DY64" s="477"/>
      <c r="DZ64" s="517" t="s">
        <v>721</v>
      </c>
      <c r="EA64" s="517" t="s">
        <v>1101</v>
      </c>
      <c r="EB64" s="517" t="s">
        <v>26</v>
      </c>
      <c r="EC64" s="518">
        <v>29</v>
      </c>
      <c r="ED64" s="494" t="str">
        <f t="shared" si="0"/>
        <v>SWUC100229</v>
      </c>
      <c r="EE64" s="518">
        <v>10000</v>
      </c>
      <c r="EF64" s="518">
        <v>10000</v>
      </c>
      <c r="EG64" s="518">
        <v>10000</v>
      </c>
      <c r="EH64" s="518">
        <v>10000</v>
      </c>
      <c r="EI64" s="518">
        <v>10000</v>
      </c>
      <c r="EJ64" s="518">
        <v>10000</v>
      </c>
      <c r="EK64" s="518">
        <v>10000</v>
      </c>
      <c r="EL64" s="518">
        <v>10000</v>
      </c>
      <c r="EM64" s="518">
        <v>10000</v>
      </c>
      <c r="EN64" s="518">
        <v>10000</v>
      </c>
      <c r="EO64" s="518">
        <v>0</v>
      </c>
      <c r="EP64" s="518">
        <v>0</v>
      </c>
      <c r="EQ64" s="518">
        <v>0</v>
      </c>
      <c r="ER64" s="518">
        <v>0</v>
      </c>
      <c r="ES64" s="518">
        <v>0</v>
      </c>
      <c r="ET64" s="518">
        <v>0</v>
      </c>
      <c r="EU64" s="518">
        <v>0</v>
      </c>
      <c r="EV64" s="518">
        <v>0</v>
      </c>
      <c r="EW64" s="518">
        <v>0</v>
      </c>
      <c r="EX64" s="518">
        <v>0</v>
      </c>
      <c r="EY64" s="518">
        <v>0</v>
      </c>
      <c r="EZ64" s="518">
        <v>0</v>
      </c>
      <c r="FA64" s="518">
        <v>0</v>
      </c>
      <c r="FB64" s="518">
        <v>0</v>
      </c>
      <c r="FC64" s="518">
        <v>0</v>
      </c>
      <c r="FD64" s="518">
        <v>0</v>
      </c>
      <c r="FE64" s="518">
        <v>0</v>
      </c>
      <c r="FF64" s="518">
        <v>0</v>
      </c>
      <c r="FG64" s="518">
        <v>0</v>
      </c>
      <c r="FH64" s="518">
        <v>0</v>
      </c>
      <c r="FI64" s="518">
        <v>0</v>
      </c>
      <c r="FJ64" s="518">
        <v>0</v>
      </c>
      <c r="FK64" s="518">
        <v>0</v>
      </c>
      <c r="FL64" s="518">
        <v>0</v>
      </c>
      <c r="FM64" s="518">
        <v>0</v>
      </c>
      <c r="FN64" s="518">
        <v>0</v>
      </c>
      <c r="FO64" s="518">
        <v>0</v>
      </c>
      <c r="FP64" s="518">
        <v>0</v>
      </c>
      <c r="FQ64" s="518">
        <v>0</v>
      </c>
      <c r="FR64" s="518">
        <v>0</v>
      </c>
      <c r="FS64" s="518">
        <v>0</v>
      </c>
      <c r="FT64" s="518">
        <v>0</v>
      </c>
      <c r="FU64" s="518">
        <v>0</v>
      </c>
      <c r="FV64" s="518">
        <v>0</v>
      </c>
      <c r="FW64" s="518">
        <v>0</v>
      </c>
      <c r="FX64" s="518">
        <v>0</v>
      </c>
      <c r="FY64" s="518">
        <v>0</v>
      </c>
      <c r="FZ64" s="518">
        <v>0</v>
      </c>
      <c r="GA64" s="518">
        <v>0</v>
      </c>
      <c r="GB64" s="518">
        <v>0</v>
      </c>
      <c r="GC64" s="518">
        <v>0</v>
      </c>
      <c r="GD64" s="518">
        <v>0</v>
      </c>
      <c r="GE64" s="518">
        <v>0</v>
      </c>
      <c r="GF64" s="518">
        <v>0</v>
      </c>
      <c r="GG64" s="518">
        <v>0</v>
      </c>
      <c r="GH64" s="518">
        <v>0</v>
      </c>
      <c r="GI64" s="518">
        <v>0</v>
      </c>
      <c r="GJ64" s="518">
        <v>0</v>
      </c>
      <c r="GK64" s="518">
        <v>0</v>
      </c>
      <c r="GL64" s="518">
        <v>0</v>
      </c>
      <c r="GM64" s="518">
        <v>0</v>
      </c>
      <c r="GN64" s="518">
        <v>0</v>
      </c>
      <c r="GO64" s="518">
        <v>0</v>
      </c>
      <c r="GP64" s="518">
        <v>0</v>
      </c>
      <c r="GQ64" s="518">
        <v>0</v>
      </c>
      <c r="GR64" s="518">
        <v>0</v>
      </c>
      <c r="GS64" s="518">
        <v>0</v>
      </c>
      <c r="GT64" s="518">
        <v>0</v>
      </c>
      <c r="GU64" s="518">
        <v>0</v>
      </c>
      <c r="GV64" s="518">
        <v>0</v>
      </c>
      <c r="GW64" s="518">
        <v>0</v>
      </c>
      <c r="GX64" s="518">
        <v>0</v>
      </c>
      <c r="GY64" s="518">
        <v>0</v>
      </c>
      <c r="GZ64" s="518">
        <v>0</v>
      </c>
      <c r="HA64" s="518">
        <v>0</v>
      </c>
      <c r="HB64" s="518">
        <v>0</v>
      </c>
      <c r="HC64" s="518">
        <v>0</v>
      </c>
      <c r="HD64" s="518">
        <v>0</v>
      </c>
      <c r="HE64" s="518">
        <v>0</v>
      </c>
      <c r="HF64" s="518">
        <v>0</v>
      </c>
      <c r="HG64" s="518">
        <v>0</v>
      </c>
      <c r="HH64" s="518">
        <v>0</v>
      </c>
      <c r="HI64" s="518">
        <v>0</v>
      </c>
      <c r="HJ64" s="518">
        <v>0</v>
      </c>
      <c r="HK64" s="518">
        <v>0</v>
      </c>
      <c r="HL64" s="518">
        <v>0</v>
      </c>
      <c r="HM64" s="518">
        <v>0</v>
      </c>
      <c r="HN64" s="518">
        <v>0</v>
      </c>
      <c r="HO64" s="518">
        <v>0</v>
      </c>
      <c r="HP64" s="518">
        <v>0</v>
      </c>
      <c r="HQ64" s="518">
        <v>0</v>
      </c>
      <c r="HR64" s="518">
        <v>0</v>
      </c>
      <c r="HS64" s="518">
        <v>0</v>
      </c>
      <c r="HT64" s="518">
        <v>0</v>
      </c>
      <c r="HU64" s="518">
        <v>0</v>
      </c>
      <c r="HV64" s="518">
        <v>0</v>
      </c>
      <c r="HW64" s="518">
        <v>0</v>
      </c>
      <c r="HX64" s="518">
        <v>0</v>
      </c>
      <c r="HY64" s="518">
        <v>0</v>
      </c>
      <c r="HZ64" s="518">
        <v>0</v>
      </c>
      <c r="IA64" s="518">
        <v>0</v>
      </c>
      <c r="IB64" s="518">
        <v>0</v>
      </c>
      <c r="IC64" s="518">
        <v>0</v>
      </c>
      <c r="ID64" s="518">
        <v>0</v>
      </c>
      <c r="IE64" s="518">
        <v>0</v>
      </c>
      <c r="IF64" s="518">
        <v>0</v>
      </c>
      <c r="IG64" s="518">
        <v>0</v>
      </c>
      <c r="IH64" s="518">
        <v>0</v>
      </c>
      <c r="II64" s="518">
        <v>0</v>
      </c>
      <c r="IJ64" s="518">
        <v>0</v>
      </c>
      <c r="IK64" s="518">
        <v>0</v>
      </c>
    </row>
    <row r="65" spans="1:245" ht="16.5" hidden="1">
      <c r="A65" s="517" t="s">
        <v>721</v>
      </c>
      <c r="B65" s="517" t="s">
        <v>1101</v>
      </c>
      <c r="C65" s="517" t="s">
        <v>721</v>
      </c>
      <c r="D65" s="558"/>
      <c r="E65" s="517" t="s">
        <v>721</v>
      </c>
      <c r="F65" s="517" t="s">
        <v>26</v>
      </c>
      <c r="G65" s="558"/>
      <c r="H65" s="518">
        <v>30</v>
      </c>
      <c r="I65" s="558"/>
      <c r="J65" s="494" t="str">
        <f t="shared" si="1"/>
        <v>SWUC100230</v>
      </c>
      <c r="K65" s="518">
        <v>86</v>
      </c>
      <c r="M65" s="517" t="s">
        <v>721</v>
      </c>
      <c r="N65" s="517" t="s">
        <v>1101</v>
      </c>
      <c r="O65" s="517" t="s">
        <v>26</v>
      </c>
      <c r="P65" s="518">
        <v>30</v>
      </c>
      <c r="Q65" s="494" t="str">
        <f t="shared" si="2"/>
        <v>SWUC100230</v>
      </c>
      <c r="R65" s="518">
        <v>0</v>
      </c>
      <c r="S65" s="518">
        <v>7</v>
      </c>
      <c r="T65" s="518">
        <v>14</v>
      </c>
      <c r="U65" s="518">
        <v>21</v>
      </c>
      <c r="V65" s="518">
        <v>29</v>
      </c>
      <c r="W65" s="518">
        <v>38</v>
      </c>
      <c r="X65" s="518">
        <v>48</v>
      </c>
      <c r="Y65" s="518">
        <v>59</v>
      </c>
      <c r="Z65" s="518">
        <v>72</v>
      </c>
      <c r="AA65" s="518">
        <v>0</v>
      </c>
      <c r="AB65" s="518">
        <v>0</v>
      </c>
      <c r="AC65" s="518">
        <v>0</v>
      </c>
      <c r="AD65" s="518">
        <v>0</v>
      </c>
      <c r="AE65" s="518">
        <v>0</v>
      </c>
      <c r="AF65" s="518">
        <v>0</v>
      </c>
      <c r="AG65" s="518">
        <v>0</v>
      </c>
      <c r="AH65" s="518">
        <v>0</v>
      </c>
      <c r="AI65" s="518">
        <v>0</v>
      </c>
      <c r="AJ65" s="518">
        <v>0</v>
      </c>
      <c r="AK65" s="518">
        <v>0</v>
      </c>
      <c r="AL65" s="518">
        <v>0</v>
      </c>
      <c r="AM65" s="518">
        <v>0</v>
      </c>
      <c r="AN65" s="518">
        <v>0</v>
      </c>
      <c r="AO65" s="518">
        <v>0</v>
      </c>
      <c r="AP65" s="518">
        <v>0</v>
      </c>
      <c r="AQ65" s="518">
        <v>0</v>
      </c>
      <c r="AR65" s="518">
        <v>0</v>
      </c>
      <c r="AS65" s="518">
        <v>0</v>
      </c>
      <c r="AT65" s="518">
        <v>0</v>
      </c>
      <c r="AU65" s="518">
        <v>0</v>
      </c>
      <c r="AV65" s="518">
        <v>0</v>
      </c>
      <c r="AW65" s="518">
        <v>0</v>
      </c>
      <c r="AX65" s="518">
        <v>0</v>
      </c>
      <c r="AY65" s="518">
        <v>0</v>
      </c>
      <c r="AZ65" s="518">
        <v>0</v>
      </c>
      <c r="BA65" s="518">
        <v>0</v>
      </c>
      <c r="BB65" s="518">
        <v>0</v>
      </c>
      <c r="BC65" s="518">
        <v>0</v>
      </c>
      <c r="BD65" s="518">
        <v>0</v>
      </c>
      <c r="BE65" s="518">
        <v>0</v>
      </c>
      <c r="BF65" s="518">
        <v>0</v>
      </c>
      <c r="BG65" s="518">
        <v>0</v>
      </c>
      <c r="BH65" s="518">
        <v>0</v>
      </c>
      <c r="BI65" s="518">
        <v>0</v>
      </c>
      <c r="BJ65" s="518">
        <v>0</v>
      </c>
      <c r="BK65" s="518">
        <v>0</v>
      </c>
      <c r="BL65" s="518">
        <v>0</v>
      </c>
      <c r="BM65" s="518">
        <v>0</v>
      </c>
      <c r="BN65" s="518">
        <v>0</v>
      </c>
      <c r="BO65" s="518">
        <v>0</v>
      </c>
      <c r="BP65" s="518">
        <v>0</v>
      </c>
      <c r="BQ65" s="518">
        <v>0</v>
      </c>
      <c r="BR65" s="518">
        <v>0</v>
      </c>
      <c r="BS65" s="518">
        <v>0</v>
      </c>
      <c r="BT65" s="518">
        <v>0</v>
      </c>
      <c r="BU65" s="518">
        <v>0</v>
      </c>
      <c r="BV65" s="518">
        <v>0</v>
      </c>
      <c r="BW65" s="518">
        <v>0</v>
      </c>
      <c r="BX65" s="518">
        <v>0</v>
      </c>
      <c r="BY65" s="518">
        <v>0</v>
      </c>
      <c r="BZ65" s="518">
        <v>0</v>
      </c>
      <c r="CA65" s="518">
        <v>0</v>
      </c>
      <c r="CB65" s="518">
        <v>0</v>
      </c>
      <c r="CC65" s="518">
        <v>0</v>
      </c>
      <c r="CD65" s="518">
        <v>0</v>
      </c>
      <c r="CE65" s="518">
        <v>0</v>
      </c>
      <c r="CF65" s="518">
        <v>0</v>
      </c>
      <c r="CG65" s="518">
        <v>0</v>
      </c>
      <c r="CH65" s="518">
        <v>0</v>
      </c>
      <c r="CI65" s="518">
        <v>0</v>
      </c>
      <c r="CJ65" s="518">
        <v>0</v>
      </c>
      <c r="CK65" s="518">
        <v>0</v>
      </c>
      <c r="CL65" s="518">
        <v>0</v>
      </c>
      <c r="CM65" s="518">
        <v>0</v>
      </c>
      <c r="CN65" s="518">
        <v>0</v>
      </c>
      <c r="CO65" s="518">
        <v>0</v>
      </c>
      <c r="CP65" s="518">
        <v>0</v>
      </c>
      <c r="CQ65" s="518">
        <v>0</v>
      </c>
      <c r="CR65" s="518">
        <v>0</v>
      </c>
      <c r="CS65" s="518">
        <v>0</v>
      </c>
      <c r="CT65" s="518">
        <v>0</v>
      </c>
      <c r="CU65" s="518">
        <v>0</v>
      </c>
      <c r="CV65" s="518">
        <v>0</v>
      </c>
      <c r="CW65" s="518">
        <v>0</v>
      </c>
      <c r="CX65" s="518">
        <v>0</v>
      </c>
      <c r="CY65" s="518">
        <v>0</v>
      </c>
      <c r="CZ65" s="518">
        <v>0</v>
      </c>
      <c r="DA65" s="518">
        <v>0</v>
      </c>
      <c r="DB65" s="518">
        <v>0</v>
      </c>
      <c r="DC65" s="518">
        <v>0</v>
      </c>
      <c r="DD65" s="518">
        <v>0</v>
      </c>
      <c r="DE65" s="518">
        <v>0</v>
      </c>
      <c r="DF65" s="518">
        <v>0</v>
      </c>
      <c r="DG65" s="518">
        <v>0</v>
      </c>
      <c r="DH65" s="518">
        <v>0</v>
      </c>
      <c r="DI65" s="518">
        <v>0</v>
      </c>
      <c r="DJ65" s="518">
        <v>0</v>
      </c>
      <c r="DK65" s="518">
        <v>0</v>
      </c>
      <c r="DL65" s="518">
        <v>0</v>
      </c>
      <c r="DM65" s="518">
        <v>0</v>
      </c>
      <c r="DN65" s="518">
        <v>0</v>
      </c>
      <c r="DO65" s="518">
        <v>0</v>
      </c>
      <c r="DP65" s="518">
        <v>0</v>
      </c>
      <c r="DQ65" s="518">
        <v>0</v>
      </c>
      <c r="DR65" s="518">
        <v>0</v>
      </c>
      <c r="DS65" s="518">
        <v>0</v>
      </c>
      <c r="DT65" s="518">
        <v>0</v>
      </c>
      <c r="DU65" s="518">
        <v>0</v>
      </c>
      <c r="DV65" s="518">
        <v>0</v>
      </c>
      <c r="DW65" s="518">
        <v>0</v>
      </c>
      <c r="DX65" s="518">
        <v>0</v>
      </c>
      <c r="DY65" s="477"/>
      <c r="DZ65" s="517" t="s">
        <v>721</v>
      </c>
      <c r="EA65" s="517" t="s">
        <v>1101</v>
      </c>
      <c r="EB65" s="517" t="s">
        <v>26</v>
      </c>
      <c r="EC65" s="518">
        <v>30</v>
      </c>
      <c r="ED65" s="494" t="str">
        <f t="shared" ref="ED65:ED96" si="3">EA65&amp;TEXT(EB65,"00")&amp;TEXT(EC65,"00")</f>
        <v>SWUC100230</v>
      </c>
      <c r="EE65" s="518">
        <v>10000</v>
      </c>
      <c r="EF65" s="518">
        <v>10000</v>
      </c>
      <c r="EG65" s="518">
        <v>10000</v>
      </c>
      <c r="EH65" s="518">
        <v>10000</v>
      </c>
      <c r="EI65" s="518">
        <v>10000</v>
      </c>
      <c r="EJ65" s="518">
        <v>10000</v>
      </c>
      <c r="EK65" s="518">
        <v>10000</v>
      </c>
      <c r="EL65" s="518">
        <v>10000</v>
      </c>
      <c r="EM65" s="518">
        <v>10000</v>
      </c>
      <c r="EN65" s="518">
        <v>10000</v>
      </c>
      <c r="EO65" s="518">
        <v>0</v>
      </c>
      <c r="EP65" s="518">
        <v>0</v>
      </c>
      <c r="EQ65" s="518">
        <v>0</v>
      </c>
      <c r="ER65" s="518">
        <v>0</v>
      </c>
      <c r="ES65" s="518">
        <v>0</v>
      </c>
      <c r="ET65" s="518">
        <v>0</v>
      </c>
      <c r="EU65" s="518">
        <v>0</v>
      </c>
      <c r="EV65" s="518">
        <v>0</v>
      </c>
      <c r="EW65" s="518">
        <v>0</v>
      </c>
      <c r="EX65" s="518">
        <v>0</v>
      </c>
      <c r="EY65" s="518">
        <v>0</v>
      </c>
      <c r="EZ65" s="518">
        <v>0</v>
      </c>
      <c r="FA65" s="518">
        <v>0</v>
      </c>
      <c r="FB65" s="518">
        <v>0</v>
      </c>
      <c r="FC65" s="518">
        <v>0</v>
      </c>
      <c r="FD65" s="518">
        <v>0</v>
      </c>
      <c r="FE65" s="518">
        <v>0</v>
      </c>
      <c r="FF65" s="518">
        <v>0</v>
      </c>
      <c r="FG65" s="518">
        <v>0</v>
      </c>
      <c r="FH65" s="518">
        <v>0</v>
      </c>
      <c r="FI65" s="518">
        <v>0</v>
      </c>
      <c r="FJ65" s="518">
        <v>0</v>
      </c>
      <c r="FK65" s="518">
        <v>0</v>
      </c>
      <c r="FL65" s="518">
        <v>0</v>
      </c>
      <c r="FM65" s="518">
        <v>0</v>
      </c>
      <c r="FN65" s="518">
        <v>0</v>
      </c>
      <c r="FO65" s="518">
        <v>0</v>
      </c>
      <c r="FP65" s="518">
        <v>0</v>
      </c>
      <c r="FQ65" s="518">
        <v>0</v>
      </c>
      <c r="FR65" s="518">
        <v>0</v>
      </c>
      <c r="FS65" s="518">
        <v>0</v>
      </c>
      <c r="FT65" s="518">
        <v>0</v>
      </c>
      <c r="FU65" s="518">
        <v>0</v>
      </c>
      <c r="FV65" s="518">
        <v>0</v>
      </c>
      <c r="FW65" s="518">
        <v>0</v>
      </c>
      <c r="FX65" s="518">
        <v>0</v>
      </c>
      <c r="FY65" s="518">
        <v>0</v>
      </c>
      <c r="FZ65" s="518">
        <v>0</v>
      </c>
      <c r="GA65" s="518">
        <v>0</v>
      </c>
      <c r="GB65" s="518">
        <v>0</v>
      </c>
      <c r="GC65" s="518">
        <v>0</v>
      </c>
      <c r="GD65" s="518">
        <v>0</v>
      </c>
      <c r="GE65" s="518">
        <v>0</v>
      </c>
      <c r="GF65" s="518">
        <v>0</v>
      </c>
      <c r="GG65" s="518">
        <v>0</v>
      </c>
      <c r="GH65" s="518">
        <v>0</v>
      </c>
      <c r="GI65" s="518">
        <v>0</v>
      </c>
      <c r="GJ65" s="518">
        <v>0</v>
      </c>
      <c r="GK65" s="518">
        <v>0</v>
      </c>
      <c r="GL65" s="518">
        <v>0</v>
      </c>
      <c r="GM65" s="518">
        <v>0</v>
      </c>
      <c r="GN65" s="518">
        <v>0</v>
      </c>
      <c r="GO65" s="518">
        <v>0</v>
      </c>
      <c r="GP65" s="518">
        <v>0</v>
      </c>
      <c r="GQ65" s="518">
        <v>0</v>
      </c>
      <c r="GR65" s="518">
        <v>0</v>
      </c>
      <c r="GS65" s="518">
        <v>0</v>
      </c>
      <c r="GT65" s="518">
        <v>0</v>
      </c>
      <c r="GU65" s="518">
        <v>0</v>
      </c>
      <c r="GV65" s="518">
        <v>0</v>
      </c>
      <c r="GW65" s="518">
        <v>0</v>
      </c>
      <c r="GX65" s="518">
        <v>0</v>
      </c>
      <c r="GY65" s="518">
        <v>0</v>
      </c>
      <c r="GZ65" s="518">
        <v>0</v>
      </c>
      <c r="HA65" s="518">
        <v>0</v>
      </c>
      <c r="HB65" s="518">
        <v>0</v>
      </c>
      <c r="HC65" s="518">
        <v>0</v>
      </c>
      <c r="HD65" s="518">
        <v>0</v>
      </c>
      <c r="HE65" s="518">
        <v>0</v>
      </c>
      <c r="HF65" s="518">
        <v>0</v>
      </c>
      <c r="HG65" s="518">
        <v>0</v>
      </c>
      <c r="HH65" s="518">
        <v>0</v>
      </c>
      <c r="HI65" s="518">
        <v>0</v>
      </c>
      <c r="HJ65" s="518">
        <v>0</v>
      </c>
      <c r="HK65" s="518">
        <v>0</v>
      </c>
      <c r="HL65" s="518">
        <v>0</v>
      </c>
      <c r="HM65" s="518">
        <v>0</v>
      </c>
      <c r="HN65" s="518">
        <v>0</v>
      </c>
      <c r="HO65" s="518">
        <v>0</v>
      </c>
      <c r="HP65" s="518">
        <v>0</v>
      </c>
      <c r="HQ65" s="518">
        <v>0</v>
      </c>
      <c r="HR65" s="518">
        <v>0</v>
      </c>
      <c r="HS65" s="518">
        <v>0</v>
      </c>
      <c r="HT65" s="518">
        <v>0</v>
      </c>
      <c r="HU65" s="518">
        <v>0</v>
      </c>
      <c r="HV65" s="518">
        <v>0</v>
      </c>
      <c r="HW65" s="518">
        <v>0</v>
      </c>
      <c r="HX65" s="518">
        <v>0</v>
      </c>
      <c r="HY65" s="518">
        <v>0</v>
      </c>
      <c r="HZ65" s="518">
        <v>0</v>
      </c>
      <c r="IA65" s="518">
        <v>0</v>
      </c>
      <c r="IB65" s="518">
        <v>0</v>
      </c>
      <c r="IC65" s="518">
        <v>0</v>
      </c>
      <c r="ID65" s="518">
        <v>0</v>
      </c>
      <c r="IE65" s="518">
        <v>0</v>
      </c>
      <c r="IF65" s="518">
        <v>0</v>
      </c>
      <c r="IG65" s="518">
        <v>0</v>
      </c>
      <c r="IH65" s="518">
        <v>0</v>
      </c>
      <c r="II65" s="518">
        <v>0</v>
      </c>
      <c r="IJ65" s="518">
        <v>0</v>
      </c>
      <c r="IK65" s="518">
        <v>0</v>
      </c>
    </row>
    <row r="66" spans="1:245" ht="16.5" hidden="1">
      <c r="A66" s="517" t="s">
        <v>721</v>
      </c>
      <c r="B66" s="517" t="s">
        <v>1101</v>
      </c>
      <c r="C66" s="517" t="s">
        <v>721</v>
      </c>
      <c r="D66" s="558"/>
      <c r="E66" s="517" t="s">
        <v>721</v>
      </c>
      <c r="F66" s="517" t="s">
        <v>26</v>
      </c>
      <c r="G66" s="558"/>
      <c r="H66" s="518">
        <v>31</v>
      </c>
      <c r="I66" s="558"/>
      <c r="J66" s="494" t="str">
        <f t="shared" ref="J66:J96" si="4">B66&amp;TEXT(F66,"00")&amp;TEXT(H66,"00")</f>
        <v>SWUC100231</v>
      </c>
      <c r="K66" s="518">
        <v>94</v>
      </c>
      <c r="M66" s="517" t="s">
        <v>721</v>
      </c>
      <c r="N66" s="517" t="s">
        <v>1101</v>
      </c>
      <c r="O66" s="517" t="s">
        <v>26</v>
      </c>
      <c r="P66" s="518">
        <v>31</v>
      </c>
      <c r="Q66" s="494" t="str">
        <f t="shared" ref="Q66:Q96" si="5">N66&amp;TEXT(O66,"00")&amp;TEXT(P66,"00")</f>
        <v>SWUC100231</v>
      </c>
      <c r="R66" s="518">
        <v>0</v>
      </c>
      <c r="S66" s="518">
        <v>8</v>
      </c>
      <c r="T66" s="518">
        <v>16</v>
      </c>
      <c r="U66" s="518">
        <v>23</v>
      </c>
      <c r="V66" s="518">
        <v>31</v>
      </c>
      <c r="W66" s="518">
        <v>42</v>
      </c>
      <c r="X66" s="518">
        <v>53</v>
      </c>
      <c r="Y66" s="518">
        <v>65</v>
      </c>
      <c r="Z66" s="518">
        <v>79</v>
      </c>
      <c r="AA66" s="518">
        <v>0</v>
      </c>
      <c r="AB66" s="518">
        <v>0</v>
      </c>
      <c r="AC66" s="518">
        <v>0</v>
      </c>
      <c r="AD66" s="518">
        <v>0</v>
      </c>
      <c r="AE66" s="518">
        <v>0</v>
      </c>
      <c r="AF66" s="518">
        <v>0</v>
      </c>
      <c r="AG66" s="518">
        <v>0</v>
      </c>
      <c r="AH66" s="518">
        <v>0</v>
      </c>
      <c r="AI66" s="518">
        <v>0</v>
      </c>
      <c r="AJ66" s="518">
        <v>0</v>
      </c>
      <c r="AK66" s="518">
        <v>0</v>
      </c>
      <c r="AL66" s="518">
        <v>0</v>
      </c>
      <c r="AM66" s="518">
        <v>0</v>
      </c>
      <c r="AN66" s="518">
        <v>0</v>
      </c>
      <c r="AO66" s="518">
        <v>0</v>
      </c>
      <c r="AP66" s="518">
        <v>0</v>
      </c>
      <c r="AQ66" s="518">
        <v>0</v>
      </c>
      <c r="AR66" s="518">
        <v>0</v>
      </c>
      <c r="AS66" s="518">
        <v>0</v>
      </c>
      <c r="AT66" s="518">
        <v>0</v>
      </c>
      <c r="AU66" s="518">
        <v>0</v>
      </c>
      <c r="AV66" s="518">
        <v>0</v>
      </c>
      <c r="AW66" s="518">
        <v>0</v>
      </c>
      <c r="AX66" s="518">
        <v>0</v>
      </c>
      <c r="AY66" s="518">
        <v>0</v>
      </c>
      <c r="AZ66" s="518">
        <v>0</v>
      </c>
      <c r="BA66" s="518">
        <v>0</v>
      </c>
      <c r="BB66" s="518">
        <v>0</v>
      </c>
      <c r="BC66" s="518">
        <v>0</v>
      </c>
      <c r="BD66" s="518">
        <v>0</v>
      </c>
      <c r="BE66" s="518">
        <v>0</v>
      </c>
      <c r="BF66" s="518">
        <v>0</v>
      </c>
      <c r="BG66" s="518">
        <v>0</v>
      </c>
      <c r="BH66" s="518">
        <v>0</v>
      </c>
      <c r="BI66" s="518">
        <v>0</v>
      </c>
      <c r="BJ66" s="518">
        <v>0</v>
      </c>
      <c r="BK66" s="518">
        <v>0</v>
      </c>
      <c r="BL66" s="518">
        <v>0</v>
      </c>
      <c r="BM66" s="518">
        <v>0</v>
      </c>
      <c r="BN66" s="518">
        <v>0</v>
      </c>
      <c r="BO66" s="518">
        <v>0</v>
      </c>
      <c r="BP66" s="518">
        <v>0</v>
      </c>
      <c r="BQ66" s="518">
        <v>0</v>
      </c>
      <c r="BR66" s="518">
        <v>0</v>
      </c>
      <c r="BS66" s="518">
        <v>0</v>
      </c>
      <c r="BT66" s="518">
        <v>0</v>
      </c>
      <c r="BU66" s="518">
        <v>0</v>
      </c>
      <c r="BV66" s="518">
        <v>0</v>
      </c>
      <c r="BW66" s="518">
        <v>0</v>
      </c>
      <c r="BX66" s="518">
        <v>0</v>
      </c>
      <c r="BY66" s="518">
        <v>0</v>
      </c>
      <c r="BZ66" s="518">
        <v>0</v>
      </c>
      <c r="CA66" s="518">
        <v>0</v>
      </c>
      <c r="CB66" s="518">
        <v>0</v>
      </c>
      <c r="CC66" s="518">
        <v>0</v>
      </c>
      <c r="CD66" s="518">
        <v>0</v>
      </c>
      <c r="CE66" s="518">
        <v>0</v>
      </c>
      <c r="CF66" s="518">
        <v>0</v>
      </c>
      <c r="CG66" s="518">
        <v>0</v>
      </c>
      <c r="CH66" s="518">
        <v>0</v>
      </c>
      <c r="CI66" s="518">
        <v>0</v>
      </c>
      <c r="CJ66" s="518">
        <v>0</v>
      </c>
      <c r="CK66" s="518">
        <v>0</v>
      </c>
      <c r="CL66" s="518">
        <v>0</v>
      </c>
      <c r="CM66" s="518">
        <v>0</v>
      </c>
      <c r="CN66" s="518">
        <v>0</v>
      </c>
      <c r="CO66" s="518">
        <v>0</v>
      </c>
      <c r="CP66" s="518">
        <v>0</v>
      </c>
      <c r="CQ66" s="518">
        <v>0</v>
      </c>
      <c r="CR66" s="518">
        <v>0</v>
      </c>
      <c r="CS66" s="518">
        <v>0</v>
      </c>
      <c r="CT66" s="518">
        <v>0</v>
      </c>
      <c r="CU66" s="518">
        <v>0</v>
      </c>
      <c r="CV66" s="518">
        <v>0</v>
      </c>
      <c r="CW66" s="518">
        <v>0</v>
      </c>
      <c r="CX66" s="518">
        <v>0</v>
      </c>
      <c r="CY66" s="518">
        <v>0</v>
      </c>
      <c r="CZ66" s="518">
        <v>0</v>
      </c>
      <c r="DA66" s="518">
        <v>0</v>
      </c>
      <c r="DB66" s="518">
        <v>0</v>
      </c>
      <c r="DC66" s="518">
        <v>0</v>
      </c>
      <c r="DD66" s="518">
        <v>0</v>
      </c>
      <c r="DE66" s="518">
        <v>0</v>
      </c>
      <c r="DF66" s="518">
        <v>0</v>
      </c>
      <c r="DG66" s="518">
        <v>0</v>
      </c>
      <c r="DH66" s="518">
        <v>0</v>
      </c>
      <c r="DI66" s="518">
        <v>0</v>
      </c>
      <c r="DJ66" s="518">
        <v>0</v>
      </c>
      <c r="DK66" s="518">
        <v>0</v>
      </c>
      <c r="DL66" s="518">
        <v>0</v>
      </c>
      <c r="DM66" s="518">
        <v>0</v>
      </c>
      <c r="DN66" s="518">
        <v>0</v>
      </c>
      <c r="DO66" s="518">
        <v>0</v>
      </c>
      <c r="DP66" s="518">
        <v>0</v>
      </c>
      <c r="DQ66" s="518">
        <v>0</v>
      </c>
      <c r="DR66" s="518">
        <v>0</v>
      </c>
      <c r="DS66" s="518">
        <v>0</v>
      </c>
      <c r="DT66" s="518">
        <v>0</v>
      </c>
      <c r="DU66" s="518">
        <v>0</v>
      </c>
      <c r="DV66" s="518">
        <v>0</v>
      </c>
      <c r="DW66" s="518">
        <v>0</v>
      </c>
      <c r="DX66" s="518">
        <v>0</v>
      </c>
      <c r="DY66" s="477"/>
      <c r="DZ66" s="517" t="s">
        <v>721</v>
      </c>
      <c r="EA66" s="517" t="s">
        <v>1101</v>
      </c>
      <c r="EB66" s="517" t="s">
        <v>26</v>
      </c>
      <c r="EC66" s="518">
        <v>31</v>
      </c>
      <c r="ED66" s="494" t="str">
        <f t="shared" si="3"/>
        <v>SWUC100231</v>
      </c>
      <c r="EE66" s="518">
        <v>10000</v>
      </c>
      <c r="EF66" s="518">
        <v>10000</v>
      </c>
      <c r="EG66" s="518">
        <v>10000</v>
      </c>
      <c r="EH66" s="518">
        <v>10000</v>
      </c>
      <c r="EI66" s="518">
        <v>10000</v>
      </c>
      <c r="EJ66" s="518">
        <v>10000</v>
      </c>
      <c r="EK66" s="518">
        <v>10000</v>
      </c>
      <c r="EL66" s="518">
        <v>10000</v>
      </c>
      <c r="EM66" s="518">
        <v>10000</v>
      </c>
      <c r="EN66" s="518">
        <v>10000</v>
      </c>
      <c r="EO66" s="518">
        <v>0</v>
      </c>
      <c r="EP66" s="518">
        <v>0</v>
      </c>
      <c r="EQ66" s="518">
        <v>0</v>
      </c>
      <c r="ER66" s="518">
        <v>0</v>
      </c>
      <c r="ES66" s="518">
        <v>0</v>
      </c>
      <c r="ET66" s="518">
        <v>0</v>
      </c>
      <c r="EU66" s="518">
        <v>0</v>
      </c>
      <c r="EV66" s="518">
        <v>0</v>
      </c>
      <c r="EW66" s="518">
        <v>0</v>
      </c>
      <c r="EX66" s="518">
        <v>0</v>
      </c>
      <c r="EY66" s="518">
        <v>0</v>
      </c>
      <c r="EZ66" s="518">
        <v>0</v>
      </c>
      <c r="FA66" s="518">
        <v>0</v>
      </c>
      <c r="FB66" s="518">
        <v>0</v>
      </c>
      <c r="FC66" s="518">
        <v>0</v>
      </c>
      <c r="FD66" s="518">
        <v>0</v>
      </c>
      <c r="FE66" s="518">
        <v>0</v>
      </c>
      <c r="FF66" s="518">
        <v>0</v>
      </c>
      <c r="FG66" s="518">
        <v>0</v>
      </c>
      <c r="FH66" s="518">
        <v>0</v>
      </c>
      <c r="FI66" s="518">
        <v>0</v>
      </c>
      <c r="FJ66" s="518">
        <v>0</v>
      </c>
      <c r="FK66" s="518">
        <v>0</v>
      </c>
      <c r="FL66" s="518">
        <v>0</v>
      </c>
      <c r="FM66" s="518">
        <v>0</v>
      </c>
      <c r="FN66" s="518">
        <v>0</v>
      </c>
      <c r="FO66" s="518">
        <v>0</v>
      </c>
      <c r="FP66" s="518">
        <v>0</v>
      </c>
      <c r="FQ66" s="518">
        <v>0</v>
      </c>
      <c r="FR66" s="518">
        <v>0</v>
      </c>
      <c r="FS66" s="518">
        <v>0</v>
      </c>
      <c r="FT66" s="518">
        <v>0</v>
      </c>
      <c r="FU66" s="518">
        <v>0</v>
      </c>
      <c r="FV66" s="518">
        <v>0</v>
      </c>
      <c r="FW66" s="518">
        <v>0</v>
      </c>
      <c r="FX66" s="518">
        <v>0</v>
      </c>
      <c r="FY66" s="518">
        <v>0</v>
      </c>
      <c r="FZ66" s="518">
        <v>0</v>
      </c>
      <c r="GA66" s="518">
        <v>0</v>
      </c>
      <c r="GB66" s="518">
        <v>0</v>
      </c>
      <c r="GC66" s="518">
        <v>0</v>
      </c>
      <c r="GD66" s="518">
        <v>0</v>
      </c>
      <c r="GE66" s="518">
        <v>0</v>
      </c>
      <c r="GF66" s="518">
        <v>0</v>
      </c>
      <c r="GG66" s="518">
        <v>0</v>
      </c>
      <c r="GH66" s="518">
        <v>0</v>
      </c>
      <c r="GI66" s="518">
        <v>0</v>
      </c>
      <c r="GJ66" s="518">
        <v>0</v>
      </c>
      <c r="GK66" s="518">
        <v>0</v>
      </c>
      <c r="GL66" s="518">
        <v>0</v>
      </c>
      <c r="GM66" s="518">
        <v>0</v>
      </c>
      <c r="GN66" s="518">
        <v>0</v>
      </c>
      <c r="GO66" s="518">
        <v>0</v>
      </c>
      <c r="GP66" s="518">
        <v>0</v>
      </c>
      <c r="GQ66" s="518">
        <v>0</v>
      </c>
      <c r="GR66" s="518">
        <v>0</v>
      </c>
      <c r="GS66" s="518">
        <v>0</v>
      </c>
      <c r="GT66" s="518">
        <v>0</v>
      </c>
      <c r="GU66" s="518">
        <v>0</v>
      </c>
      <c r="GV66" s="518">
        <v>0</v>
      </c>
      <c r="GW66" s="518">
        <v>0</v>
      </c>
      <c r="GX66" s="518">
        <v>0</v>
      </c>
      <c r="GY66" s="518">
        <v>0</v>
      </c>
      <c r="GZ66" s="518">
        <v>0</v>
      </c>
      <c r="HA66" s="518">
        <v>0</v>
      </c>
      <c r="HB66" s="518">
        <v>0</v>
      </c>
      <c r="HC66" s="518">
        <v>0</v>
      </c>
      <c r="HD66" s="518">
        <v>0</v>
      </c>
      <c r="HE66" s="518">
        <v>0</v>
      </c>
      <c r="HF66" s="518">
        <v>0</v>
      </c>
      <c r="HG66" s="518">
        <v>0</v>
      </c>
      <c r="HH66" s="518">
        <v>0</v>
      </c>
      <c r="HI66" s="518">
        <v>0</v>
      </c>
      <c r="HJ66" s="518">
        <v>0</v>
      </c>
      <c r="HK66" s="518">
        <v>0</v>
      </c>
      <c r="HL66" s="518">
        <v>0</v>
      </c>
      <c r="HM66" s="518">
        <v>0</v>
      </c>
      <c r="HN66" s="518">
        <v>0</v>
      </c>
      <c r="HO66" s="518">
        <v>0</v>
      </c>
      <c r="HP66" s="518">
        <v>0</v>
      </c>
      <c r="HQ66" s="518">
        <v>0</v>
      </c>
      <c r="HR66" s="518">
        <v>0</v>
      </c>
      <c r="HS66" s="518">
        <v>0</v>
      </c>
      <c r="HT66" s="518">
        <v>0</v>
      </c>
      <c r="HU66" s="518">
        <v>0</v>
      </c>
      <c r="HV66" s="518">
        <v>0</v>
      </c>
      <c r="HW66" s="518">
        <v>0</v>
      </c>
      <c r="HX66" s="518">
        <v>0</v>
      </c>
      <c r="HY66" s="518">
        <v>0</v>
      </c>
      <c r="HZ66" s="518">
        <v>0</v>
      </c>
      <c r="IA66" s="518">
        <v>0</v>
      </c>
      <c r="IB66" s="518">
        <v>0</v>
      </c>
      <c r="IC66" s="518">
        <v>0</v>
      </c>
      <c r="ID66" s="518">
        <v>0</v>
      </c>
      <c r="IE66" s="518">
        <v>0</v>
      </c>
      <c r="IF66" s="518">
        <v>0</v>
      </c>
      <c r="IG66" s="518">
        <v>0</v>
      </c>
      <c r="IH66" s="518">
        <v>0</v>
      </c>
      <c r="II66" s="518">
        <v>0</v>
      </c>
      <c r="IJ66" s="518">
        <v>0</v>
      </c>
      <c r="IK66" s="518">
        <v>0</v>
      </c>
    </row>
    <row r="67" spans="1:245" ht="16.5" hidden="1">
      <c r="A67" s="517" t="s">
        <v>721</v>
      </c>
      <c r="B67" s="517" t="s">
        <v>1101</v>
      </c>
      <c r="C67" s="517" t="s">
        <v>721</v>
      </c>
      <c r="D67" s="558"/>
      <c r="E67" s="517" t="s">
        <v>721</v>
      </c>
      <c r="F67" s="517" t="s">
        <v>26</v>
      </c>
      <c r="G67" s="558"/>
      <c r="H67" s="518">
        <v>32</v>
      </c>
      <c r="I67" s="558"/>
      <c r="J67" s="494" t="str">
        <f t="shared" si="4"/>
        <v>SWUC100232</v>
      </c>
      <c r="K67" s="518">
        <v>102</v>
      </c>
      <c r="M67" s="517" t="s">
        <v>721</v>
      </c>
      <c r="N67" s="517" t="s">
        <v>1101</v>
      </c>
      <c r="O67" s="517" t="s">
        <v>26</v>
      </c>
      <c r="P67" s="518">
        <v>32</v>
      </c>
      <c r="Q67" s="494" t="str">
        <f t="shared" si="5"/>
        <v>SWUC100232</v>
      </c>
      <c r="R67" s="518">
        <v>0</v>
      </c>
      <c r="S67" s="518">
        <v>8</v>
      </c>
      <c r="T67" s="518">
        <v>17</v>
      </c>
      <c r="U67" s="518">
        <v>26</v>
      </c>
      <c r="V67" s="518">
        <v>34</v>
      </c>
      <c r="W67" s="518">
        <v>45</v>
      </c>
      <c r="X67" s="518">
        <v>57</v>
      </c>
      <c r="Y67" s="518">
        <v>70</v>
      </c>
      <c r="Z67" s="518">
        <v>86</v>
      </c>
      <c r="AA67" s="518">
        <v>0</v>
      </c>
      <c r="AB67" s="518">
        <v>0</v>
      </c>
      <c r="AC67" s="518">
        <v>0</v>
      </c>
      <c r="AD67" s="518">
        <v>0</v>
      </c>
      <c r="AE67" s="518">
        <v>0</v>
      </c>
      <c r="AF67" s="518">
        <v>0</v>
      </c>
      <c r="AG67" s="518">
        <v>0</v>
      </c>
      <c r="AH67" s="518">
        <v>0</v>
      </c>
      <c r="AI67" s="518">
        <v>0</v>
      </c>
      <c r="AJ67" s="518">
        <v>0</v>
      </c>
      <c r="AK67" s="518">
        <v>0</v>
      </c>
      <c r="AL67" s="518">
        <v>0</v>
      </c>
      <c r="AM67" s="518">
        <v>0</v>
      </c>
      <c r="AN67" s="518">
        <v>0</v>
      </c>
      <c r="AO67" s="518">
        <v>0</v>
      </c>
      <c r="AP67" s="518">
        <v>0</v>
      </c>
      <c r="AQ67" s="518">
        <v>0</v>
      </c>
      <c r="AR67" s="518">
        <v>0</v>
      </c>
      <c r="AS67" s="518">
        <v>0</v>
      </c>
      <c r="AT67" s="518">
        <v>0</v>
      </c>
      <c r="AU67" s="518">
        <v>0</v>
      </c>
      <c r="AV67" s="518">
        <v>0</v>
      </c>
      <c r="AW67" s="518">
        <v>0</v>
      </c>
      <c r="AX67" s="518">
        <v>0</v>
      </c>
      <c r="AY67" s="518">
        <v>0</v>
      </c>
      <c r="AZ67" s="518">
        <v>0</v>
      </c>
      <c r="BA67" s="518">
        <v>0</v>
      </c>
      <c r="BB67" s="518">
        <v>0</v>
      </c>
      <c r="BC67" s="518">
        <v>0</v>
      </c>
      <c r="BD67" s="518">
        <v>0</v>
      </c>
      <c r="BE67" s="518">
        <v>0</v>
      </c>
      <c r="BF67" s="518">
        <v>0</v>
      </c>
      <c r="BG67" s="518">
        <v>0</v>
      </c>
      <c r="BH67" s="518">
        <v>0</v>
      </c>
      <c r="BI67" s="518">
        <v>0</v>
      </c>
      <c r="BJ67" s="518">
        <v>0</v>
      </c>
      <c r="BK67" s="518">
        <v>0</v>
      </c>
      <c r="BL67" s="518">
        <v>0</v>
      </c>
      <c r="BM67" s="518">
        <v>0</v>
      </c>
      <c r="BN67" s="518">
        <v>0</v>
      </c>
      <c r="BO67" s="518">
        <v>0</v>
      </c>
      <c r="BP67" s="518">
        <v>0</v>
      </c>
      <c r="BQ67" s="518">
        <v>0</v>
      </c>
      <c r="BR67" s="518">
        <v>0</v>
      </c>
      <c r="BS67" s="518">
        <v>0</v>
      </c>
      <c r="BT67" s="518">
        <v>0</v>
      </c>
      <c r="BU67" s="518">
        <v>0</v>
      </c>
      <c r="BV67" s="518">
        <v>0</v>
      </c>
      <c r="BW67" s="518">
        <v>0</v>
      </c>
      <c r="BX67" s="518">
        <v>0</v>
      </c>
      <c r="BY67" s="518">
        <v>0</v>
      </c>
      <c r="BZ67" s="518">
        <v>0</v>
      </c>
      <c r="CA67" s="518">
        <v>0</v>
      </c>
      <c r="CB67" s="518">
        <v>0</v>
      </c>
      <c r="CC67" s="518">
        <v>0</v>
      </c>
      <c r="CD67" s="518">
        <v>0</v>
      </c>
      <c r="CE67" s="518">
        <v>0</v>
      </c>
      <c r="CF67" s="518">
        <v>0</v>
      </c>
      <c r="CG67" s="518">
        <v>0</v>
      </c>
      <c r="CH67" s="518">
        <v>0</v>
      </c>
      <c r="CI67" s="518">
        <v>0</v>
      </c>
      <c r="CJ67" s="518">
        <v>0</v>
      </c>
      <c r="CK67" s="518">
        <v>0</v>
      </c>
      <c r="CL67" s="518">
        <v>0</v>
      </c>
      <c r="CM67" s="518">
        <v>0</v>
      </c>
      <c r="CN67" s="518">
        <v>0</v>
      </c>
      <c r="CO67" s="518">
        <v>0</v>
      </c>
      <c r="CP67" s="518">
        <v>0</v>
      </c>
      <c r="CQ67" s="518">
        <v>0</v>
      </c>
      <c r="CR67" s="518">
        <v>0</v>
      </c>
      <c r="CS67" s="518">
        <v>0</v>
      </c>
      <c r="CT67" s="518">
        <v>0</v>
      </c>
      <c r="CU67" s="518">
        <v>0</v>
      </c>
      <c r="CV67" s="518">
        <v>0</v>
      </c>
      <c r="CW67" s="518">
        <v>0</v>
      </c>
      <c r="CX67" s="518">
        <v>0</v>
      </c>
      <c r="CY67" s="518">
        <v>0</v>
      </c>
      <c r="CZ67" s="518">
        <v>0</v>
      </c>
      <c r="DA67" s="518">
        <v>0</v>
      </c>
      <c r="DB67" s="518">
        <v>0</v>
      </c>
      <c r="DC67" s="518">
        <v>0</v>
      </c>
      <c r="DD67" s="518">
        <v>0</v>
      </c>
      <c r="DE67" s="518">
        <v>0</v>
      </c>
      <c r="DF67" s="518">
        <v>0</v>
      </c>
      <c r="DG67" s="518">
        <v>0</v>
      </c>
      <c r="DH67" s="518">
        <v>0</v>
      </c>
      <c r="DI67" s="518">
        <v>0</v>
      </c>
      <c r="DJ67" s="518">
        <v>0</v>
      </c>
      <c r="DK67" s="518">
        <v>0</v>
      </c>
      <c r="DL67" s="518">
        <v>0</v>
      </c>
      <c r="DM67" s="518">
        <v>0</v>
      </c>
      <c r="DN67" s="518">
        <v>0</v>
      </c>
      <c r="DO67" s="518">
        <v>0</v>
      </c>
      <c r="DP67" s="518">
        <v>0</v>
      </c>
      <c r="DQ67" s="518">
        <v>0</v>
      </c>
      <c r="DR67" s="518">
        <v>0</v>
      </c>
      <c r="DS67" s="518">
        <v>0</v>
      </c>
      <c r="DT67" s="518">
        <v>0</v>
      </c>
      <c r="DU67" s="518">
        <v>0</v>
      </c>
      <c r="DV67" s="518">
        <v>0</v>
      </c>
      <c r="DW67" s="518">
        <v>0</v>
      </c>
      <c r="DX67" s="518">
        <v>0</v>
      </c>
      <c r="DY67" s="477"/>
      <c r="DZ67" s="517" t="s">
        <v>721</v>
      </c>
      <c r="EA67" s="517" t="s">
        <v>1101</v>
      </c>
      <c r="EB67" s="517" t="s">
        <v>26</v>
      </c>
      <c r="EC67" s="518">
        <v>32</v>
      </c>
      <c r="ED67" s="494" t="str">
        <f t="shared" si="3"/>
        <v>SWUC100232</v>
      </c>
      <c r="EE67" s="518">
        <v>10000</v>
      </c>
      <c r="EF67" s="518">
        <v>10000</v>
      </c>
      <c r="EG67" s="518">
        <v>10000</v>
      </c>
      <c r="EH67" s="518">
        <v>10000</v>
      </c>
      <c r="EI67" s="518">
        <v>10000</v>
      </c>
      <c r="EJ67" s="518">
        <v>10000</v>
      </c>
      <c r="EK67" s="518">
        <v>10000</v>
      </c>
      <c r="EL67" s="518">
        <v>10000</v>
      </c>
      <c r="EM67" s="518">
        <v>10000</v>
      </c>
      <c r="EN67" s="518">
        <v>10000</v>
      </c>
      <c r="EO67" s="518">
        <v>0</v>
      </c>
      <c r="EP67" s="518">
        <v>0</v>
      </c>
      <c r="EQ67" s="518">
        <v>0</v>
      </c>
      <c r="ER67" s="518">
        <v>0</v>
      </c>
      <c r="ES67" s="518">
        <v>0</v>
      </c>
      <c r="ET67" s="518">
        <v>0</v>
      </c>
      <c r="EU67" s="518">
        <v>0</v>
      </c>
      <c r="EV67" s="518">
        <v>0</v>
      </c>
      <c r="EW67" s="518">
        <v>0</v>
      </c>
      <c r="EX67" s="518">
        <v>0</v>
      </c>
      <c r="EY67" s="518">
        <v>0</v>
      </c>
      <c r="EZ67" s="518">
        <v>0</v>
      </c>
      <c r="FA67" s="518">
        <v>0</v>
      </c>
      <c r="FB67" s="518">
        <v>0</v>
      </c>
      <c r="FC67" s="518">
        <v>0</v>
      </c>
      <c r="FD67" s="518">
        <v>0</v>
      </c>
      <c r="FE67" s="518">
        <v>0</v>
      </c>
      <c r="FF67" s="518">
        <v>0</v>
      </c>
      <c r="FG67" s="518">
        <v>0</v>
      </c>
      <c r="FH67" s="518">
        <v>0</v>
      </c>
      <c r="FI67" s="518">
        <v>0</v>
      </c>
      <c r="FJ67" s="518">
        <v>0</v>
      </c>
      <c r="FK67" s="518">
        <v>0</v>
      </c>
      <c r="FL67" s="518">
        <v>0</v>
      </c>
      <c r="FM67" s="518">
        <v>0</v>
      </c>
      <c r="FN67" s="518">
        <v>0</v>
      </c>
      <c r="FO67" s="518">
        <v>0</v>
      </c>
      <c r="FP67" s="518">
        <v>0</v>
      </c>
      <c r="FQ67" s="518">
        <v>0</v>
      </c>
      <c r="FR67" s="518">
        <v>0</v>
      </c>
      <c r="FS67" s="518">
        <v>0</v>
      </c>
      <c r="FT67" s="518">
        <v>0</v>
      </c>
      <c r="FU67" s="518">
        <v>0</v>
      </c>
      <c r="FV67" s="518">
        <v>0</v>
      </c>
      <c r="FW67" s="518">
        <v>0</v>
      </c>
      <c r="FX67" s="518">
        <v>0</v>
      </c>
      <c r="FY67" s="518">
        <v>0</v>
      </c>
      <c r="FZ67" s="518">
        <v>0</v>
      </c>
      <c r="GA67" s="518">
        <v>0</v>
      </c>
      <c r="GB67" s="518">
        <v>0</v>
      </c>
      <c r="GC67" s="518">
        <v>0</v>
      </c>
      <c r="GD67" s="518">
        <v>0</v>
      </c>
      <c r="GE67" s="518">
        <v>0</v>
      </c>
      <c r="GF67" s="518">
        <v>0</v>
      </c>
      <c r="GG67" s="518">
        <v>0</v>
      </c>
      <c r="GH67" s="518">
        <v>0</v>
      </c>
      <c r="GI67" s="518">
        <v>0</v>
      </c>
      <c r="GJ67" s="518">
        <v>0</v>
      </c>
      <c r="GK67" s="518">
        <v>0</v>
      </c>
      <c r="GL67" s="518">
        <v>0</v>
      </c>
      <c r="GM67" s="518">
        <v>0</v>
      </c>
      <c r="GN67" s="518">
        <v>0</v>
      </c>
      <c r="GO67" s="518">
        <v>0</v>
      </c>
      <c r="GP67" s="518">
        <v>0</v>
      </c>
      <c r="GQ67" s="518">
        <v>0</v>
      </c>
      <c r="GR67" s="518">
        <v>0</v>
      </c>
      <c r="GS67" s="518">
        <v>0</v>
      </c>
      <c r="GT67" s="518">
        <v>0</v>
      </c>
      <c r="GU67" s="518">
        <v>0</v>
      </c>
      <c r="GV67" s="518">
        <v>0</v>
      </c>
      <c r="GW67" s="518">
        <v>0</v>
      </c>
      <c r="GX67" s="518">
        <v>0</v>
      </c>
      <c r="GY67" s="518">
        <v>0</v>
      </c>
      <c r="GZ67" s="518">
        <v>0</v>
      </c>
      <c r="HA67" s="518">
        <v>0</v>
      </c>
      <c r="HB67" s="518">
        <v>0</v>
      </c>
      <c r="HC67" s="518">
        <v>0</v>
      </c>
      <c r="HD67" s="518">
        <v>0</v>
      </c>
      <c r="HE67" s="518">
        <v>0</v>
      </c>
      <c r="HF67" s="518">
        <v>0</v>
      </c>
      <c r="HG67" s="518">
        <v>0</v>
      </c>
      <c r="HH67" s="518">
        <v>0</v>
      </c>
      <c r="HI67" s="518">
        <v>0</v>
      </c>
      <c r="HJ67" s="518">
        <v>0</v>
      </c>
      <c r="HK67" s="518">
        <v>0</v>
      </c>
      <c r="HL67" s="518">
        <v>0</v>
      </c>
      <c r="HM67" s="518">
        <v>0</v>
      </c>
      <c r="HN67" s="518">
        <v>0</v>
      </c>
      <c r="HO67" s="518">
        <v>0</v>
      </c>
      <c r="HP67" s="518">
        <v>0</v>
      </c>
      <c r="HQ67" s="518">
        <v>0</v>
      </c>
      <c r="HR67" s="518">
        <v>0</v>
      </c>
      <c r="HS67" s="518">
        <v>0</v>
      </c>
      <c r="HT67" s="518">
        <v>0</v>
      </c>
      <c r="HU67" s="518">
        <v>0</v>
      </c>
      <c r="HV67" s="518">
        <v>0</v>
      </c>
      <c r="HW67" s="518">
        <v>0</v>
      </c>
      <c r="HX67" s="518">
        <v>0</v>
      </c>
      <c r="HY67" s="518">
        <v>0</v>
      </c>
      <c r="HZ67" s="518">
        <v>0</v>
      </c>
      <c r="IA67" s="518">
        <v>0</v>
      </c>
      <c r="IB67" s="518">
        <v>0</v>
      </c>
      <c r="IC67" s="518">
        <v>0</v>
      </c>
      <c r="ID67" s="518">
        <v>0</v>
      </c>
      <c r="IE67" s="518">
        <v>0</v>
      </c>
      <c r="IF67" s="518">
        <v>0</v>
      </c>
      <c r="IG67" s="518">
        <v>0</v>
      </c>
      <c r="IH67" s="518">
        <v>0</v>
      </c>
      <c r="II67" s="518">
        <v>0</v>
      </c>
      <c r="IJ67" s="518">
        <v>0</v>
      </c>
      <c r="IK67" s="518">
        <v>0</v>
      </c>
    </row>
    <row r="68" spans="1:245" ht="16.5" hidden="1">
      <c r="A68" s="517" t="s">
        <v>721</v>
      </c>
      <c r="B68" s="517" t="s">
        <v>1101</v>
      </c>
      <c r="C68" s="517" t="s">
        <v>721</v>
      </c>
      <c r="D68" s="558"/>
      <c r="E68" s="517" t="s">
        <v>721</v>
      </c>
      <c r="F68" s="517" t="s">
        <v>26</v>
      </c>
      <c r="G68" s="558"/>
      <c r="H68" s="518">
        <v>33</v>
      </c>
      <c r="I68" s="558"/>
      <c r="J68" s="494" t="str">
        <f t="shared" si="4"/>
        <v>SWUC100233</v>
      </c>
      <c r="K68" s="518">
        <v>110</v>
      </c>
      <c r="M68" s="517" t="s">
        <v>721</v>
      </c>
      <c r="N68" s="517" t="s">
        <v>1101</v>
      </c>
      <c r="O68" s="517" t="s">
        <v>26</v>
      </c>
      <c r="P68" s="518">
        <v>33</v>
      </c>
      <c r="Q68" s="494" t="str">
        <f t="shared" si="5"/>
        <v>SWUC100233</v>
      </c>
      <c r="R68" s="518">
        <v>0</v>
      </c>
      <c r="S68" s="518">
        <v>9</v>
      </c>
      <c r="T68" s="518">
        <v>18</v>
      </c>
      <c r="U68" s="518">
        <v>27</v>
      </c>
      <c r="V68" s="518">
        <v>36</v>
      </c>
      <c r="W68" s="518">
        <v>48</v>
      </c>
      <c r="X68" s="518">
        <v>61</v>
      </c>
      <c r="Y68" s="518">
        <v>77</v>
      </c>
      <c r="Z68" s="518">
        <v>92</v>
      </c>
      <c r="AA68" s="518">
        <v>0</v>
      </c>
      <c r="AB68" s="518">
        <v>0</v>
      </c>
      <c r="AC68" s="518">
        <v>0</v>
      </c>
      <c r="AD68" s="518">
        <v>0</v>
      </c>
      <c r="AE68" s="518">
        <v>0</v>
      </c>
      <c r="AF68" s="518">
        <v>0</v>
      </c>
      <c r="AG68" s="518">
        <v>0</v>
      </c>
      <c r="AH68" s="518">
        <v>0</v>
      </c>
      <c r="AI68" s="518">
        <v>0</v>
      </c>
      <c r="AJ68" s="518">
        <v>0</v>
      </c>
      <c r="AK68" s="518">
        <v>0</v>
      </c>
      <c r="AL68" s="518">
        <v>0</v>
      </c>
      <c r="AM68" s="518">
        <v>0</v>
      </c>
      <c r="AN68" s="518">
        <v>0</v>
      </c>
      <c r="AO68" s="518">
        <v>0</v>
      </c>
      <c r="AP68" s="518">
        <v>0</v>
      </c>
      <c r="AQ68" s="518">
        <v>0</v>
      </c>
      <c r="AR68" s="518">
        <v>0</v>
      </c>
      <c r="AS68" s="518">
        <v>0</v>
      </c>
      <c r="AT68" s="518">
        <v>0</v>
      </c>
      <c r="AU68" s="518">
        <v>0</v>
      </c>
      <c r="AV68" s="518">
        <v>0</v>
      </c>
      <c r="AW68" s="518">
        <v>0</v>
      </c>
      <c r="AX68" s="518">
        <v>0</v>
      </c>
      <c r="AY68" s="518">
        <v>0</v>
      </c>
      <c r="AZ68" s="518">
        <v>0</v>
      </c>
      <c r="BA68" s="518">
        <v>0</v>
      </c>
      <c r="BB68" s="518">
        <v>0</v>
      </c>
      <c r="BC68" s="518">
        <v>0</v>
      </c>
      <c r="BD68" s="518">
        <v>0</v>
      </c>
      <c r="BE68" s="518">
        <v>0</v>
      </c>
      <c r="BF68" s="518">
        <v>0</v>
      </c>
      <c r="BG68" s="518">
        <v>0</v>
      </c>
      <c r="BH68" s="518">
        <v>0</v>
      </c>
      <c r="BI68" s="518">
        <v>0</v>
      </c>
      <c r="BJ68" s="518">
        <v>0</v>
      </c>
      <c r="BK68" s="518">
        <v>0</v>
      </c>
      <c r="BL68" s="518">
        <v>0</v>
      </c>
      <c r="BM68" s="518">
        <v>0</v>
      </c>
      <c r="BN68" s="518">
        <v>0</v>
      </c>
      <c r="BO68" s="518">
        <v>0</v>
      </c>
      <c r="BP68" s="518">
        <v>0</v>
      </c>
      <c r="BQ68" s="518">
        <v>0</v>
      </c>
      <c r="BR68" s="518">
        <v>0</v>
      </c>
      <c r="BS68" s="518">
        <v>0</v>
      </c>
      <c r="BT68" s="518">
        <v>0</v>
      </c>
      <c r="BU68" s="518">
        <v>0</v>
      </c>
      <c r="BV68" s="518">
        <v>0</v>
      </c>
      <c r="BW68" s="518">
        <v>0</v>
      </c>
      <c r="BX68" s="518">
        <v>0</v>
      </c>
      <c r="BY68" s="518">
        <v>0</v>
      </c>
      <c r="BZ68" s="518">
        <v>0</v>
      </c>
      <c r="CA68" s="518">
        <v>0</v>
      </c>
      <c r="CB68" s="518">
        <v>0</v>
      </c>
      <c r="CC68" s="518">
        <v>0</v>
      </c>
      <c r="CD68" s="518">
        <v>0</v>
      </c>
      <c r="CE68" s="518">
        <v>0</v>
      </c>
      <c r="CF68" s="518">
        <v>0</v>
      </c>
      <c r="CG68" s="518">
        <v>0</v>
      </c>
      <c r="CH68" s="518">
        <v>0</v>
      </c>
      <c r="CI68" s="518">
        <v>0</v>
      </c>
      <c r="CJ68" s="518">
        <v>0</v>
      </c>
      <c r="CK68" s="518">
        <v>0</v>
      </c>
      <c r="CL68" s="518">
        <v>0</v>
      </c>
      <c r="CM68" s="518">
        <v>0</v>
      </c>
      <c r="CN68" s="518">
        <v>0</v>
      </c>
      <c r="CO68" s="518">
        <v>0</v>
      </c>
      <c r="CP68" s="518">
        <v>0</v>
      </c>
      <c r="CQ68" s="518">
        <v>0</v>
      </c>
      <c r="CR68" s="518">
        <v>0</v>
      </c>
      <c r="CS68" s="518">
        <v>0</v>
      </c>
      <c r="CT68" s="518">
        <v>0</v>
      </c>
      <c r="CU68" s="518">
        <v>0</v>
      </c>
      <c r="CV68" s="518">
        <v>0</v>
      </c>
      <c r="CW68" s="518">
        <v>0</v>
      </c>
      <c r="CX68" s="518">
        <v>0</v>
      </c>
      <c r="CY68" s="518">
        <v>0</v>
      </c>
      <c r="CZ68" s="518">
        <v>0</v>
      </c>
      <c r="DA68" s="518">
        <v>0</v>
      </c>
      <c r="DB68" s="518">
        <v>0</v>
      </c>
      <c r="DC68" s="518">
        <v>0</v>
      </c>
      <c r="DD68" s="518">
        <v>0</v>
      </c>
      <c r="DE68" s="518">
        <v>0</v>
      </c>
      <c r="DF68" s="518">
        <v>0</v>
      </c>
      <c r="DG68" s="518">
        <v>0</v>
      </c>
      <c r="DH68" s="518">
        <v>0</v>
      </c>
      <c r="DI68" s="518">
        <v>0</v>
      </c>
      <c r="DJ68" s="518">
        <v>0</v>
      </c>
      <c r="DK68" s="518">
        <v>0</v>
      </c>
      <c r="DL68" s="518">
        <v>0</v>
      </c>
      <c r="DM68" s="518">
        <v>0</v>
      </c>
      <c r="DN68" s="518">
        <v>0</v>
      </c>
      <c r="DO68" s="518">
        <v>0</v>
      </c>
      <c r="DP68" s="518">
        <v>0</v>
      </c>
      <c r="DQ68" s="518">
        <v>0</v>
      </c>
      <c r="DR68" s="518">
        <v>0</v>
      </c>
      <c r="DS68" s="518">
        <v>0</v>
      </c>
      <c r="DT68" s="518">
        <v>0</v>
      </c>
      <c r="DU68" s="518">
        <v>0</v>
      </c>
      <c r="DV68" s="518">
        <v>0</v>
      </c>
      <c r="DW68" s="518">
        <v>0</v>
      </c>
      <c r="DX68" s="518">
        <v>0</v>
      </c>
      <c r="DY68" s="477"/>
      <c r="DZ68" s="517" t="s">
        <v>721</v>
      </c>
      <c r="EA68" s="517" t="s">
        <v>1101</v>
      </c>
      <c r="EB68" s="517" t="s">
        <v>26</v>
      </c>
      <c r="EC68" s="518">
        <v>33</v>
      </c>
      <c r="ED68" s="494" t="str">
        <f t="shared" si="3"/>
        <v>SWUC100233</v>
      </c>
      <c r="EE68" s="518">
        <v>10000</v>
      </c>
      <c r="EF68" s="518">
        <v>10000</v>
      </c>
      <c r="EG68" s="518">
        <v>10000</v>
      </c>
      <c r="EH68" s="518">
        <v>10000</v>
      </c>
      <c r="EI68" s="518">
        <v>10000</v>
      </c>
      <c r="EJ68" s="518">
        <v>10000</v>
      </c>
      <c r="EK68" s="518">
        <v>10000</v>
      </c>
      <c r="EL68" s="518">
        <v>10000</v>
      </c>
      <c r="EM68" s="518">
        <v>10000</v>
      </c>
      <c r="EN68" s="518">
        <v>10000</v>
      </c>
      <c r="EO68" s="518">
        <v>0</v>
      </c>
      <c r="EP68" s="518">
        <v>0</v>
      </c>
      <c r="EQ68" s="518">
        <v>0</v>
      </c>
      <c r="ER68" s="518">
        <v>0</v>
      </c>
      <c r="ES68" s="518">
        <v>0</v>
      </c>
      <c r="ET68" s="518">
        <v>0</v>
      </c>
      <c r="EU68" s="518">
        <v>0</v>
      </c>
      <c r="EV68" s="518">
        <v>0</v>
      </c>
      <c r="EW68" s="518">
        <v>0</v>
      </c>
      <c r="EX68" s="518">
        <v>0</v>
      </c>
      <c r="EY68" s="518">
        <v>0</v>
      </c>
      <c r="EZ68" s="518">
        <v>0</v>
      </c>
      <c r="FA68" s="518">
        <v>0</v>
      </c>
      <c r="FB68" s="518">
        <v>0</v>
      </c>
      <c r="FC68" s="518">
        <v>0</v>
      </c>
      <c r="FD68" s="518">
        <v>0</v>
      </c>
      <c r="FE68" s="518">
        <v>0</v>
      </c>
      <c r="FF68" s="518">
        <v>0</v>
      </c>
      <c r="FG68" s="518">
        <v>0</v>
      </c>
      <c r="FH68" s="518">
        <v>0</v>
      </c>
      <c r="FI68" s="518">
        <v>0</v>
      </c>
      <c r="FJ68" s="518">
        <v>0</v>
      </c>
      <c r="FK68" s="518">
        <v>0</v>
      </c>
      <c r="FL68" s="518">
        <v>0</v>
      </c>
      <c r="FM68" s="518">
        <v>0</v>
      </c>
      <c r="FN68" s="518">
        <v>0</v>
      </c>
      <c r="FO68" s="518">
        <v>0</v>
      </c>
      <c r="FP68" s="518">
        <v>0</v>
      </c>
      <c r="FQ68" s="518">
        <v>0</v>
      </c>
      <c r="FR68" s="518">
        <v>0</v>
      </c>
      <c r="FS68" s="518">
        <v>0</v>
      </c>
      <c r="FT68" s="518">
        <v>0</v>
      </c>
      <c r="FU68" s="518">
        <v>0</v>
      </c>
      <c r="FV68" s="518">
        <v>0</v>
      </c>
      <c r="FW68" s="518">
        <v>0</v>
      </c>
      <c r="FX68" s="518">
        <v>0</v>
      </c>
      <c r="FY68" s="518">
        <v>0</v>
      </c>
      <c r="FZ68" s="518">
        <v>0</v>
      </c>
      <c r="GA68" s="518">
        <v>0</v>
      </c>
      <c r="GB68" s="518">
        <v>0</v>
      </c>
      <c r="GC68" s="518">
        <v>0</v>
      </c>
      <c r="GD68" s="518">
        <v>0</v>
      </c>
      <c r="GE68" s="518">
        <v>0</v>
      </c>
      <c r="GF68" s="518">
        <v>0</v>
      </c>
      <c r="GG68" s="518">
        <v>0</v>
      </c>
      <c r="GH68" s="518">
        <v>0</v>
      </c>
      <c r="GI68" s="518">
        <v>0</v>
      </c>
      <c r="GJ68" s="518">
        <v>0</v>
      </c>
      <c r="GK68" s="518">
        <v>0</v>
      </c>
      <c r="GL68" s="518">
        <v>0</v>
      </c>
      <c r="GM68" s="518">
        <v>0</v>
      </c>
      <c r="GN68" s="518">
        <v>0</v>
      </c>
      <c r="GO68" s="518">
        <v>0</v>
      </c>
      <c r="GP68" s="518">
        <v>0</v>
      </c>
      <c r="GQ68" s="518">
        <v>0</v>
      </c>
      <c r="GR68" s="518">
        <v>0</v>
      </c>
      <c r="GS68" s="518">
        <v>0</v>
      </c>
      <c r="GT68" s="518">
        <v>0</v>
      </c>
      <c r="GU68" s="518">
        <v>0</v>
      </c>
      <c r="GV68" s="518">
        <v>0</v>
      </c>
      <c r="GW68" s="518">
        <v>0</v>
      </c>
      <c r="GX68" s="518">
        <v>0</v>
      </c>
      <c r="GY68" s="518">
        <v>0</v>
      </c>
      <c r="GZ68" s="518">
        <v>0</v>
      </c>
      <c r="HA68" s="518">
        <v>0</v>
      </c>
      <c r="HB68" s="518">
        <v>0</v>
      </c>
      <c r="HC68" s="518">
        <v>0</v>
      </c>
      <c r="HD68" s="518">
        <v>0</v>
      </c>
      <c r="HE68" s="518">
        <v>0</v>
      </c>
      <c r="HF68" s="518">
        <v>0</v>
      </c>
      <c r="HG68" s="518">
        <v>0</v>
      </c>
      <c r="HH68" s="518">
        <v>0</v>
      </c>
      <c r="HI68" s="518">
        <v>0</v>
      </c>
      <c r="HJ68" s="518">
        <v>0</v>
      </c>
      <c r="HK68" s="518">
        <v>0</v>
      </c>
      <c r="HL68" s="518">
        <v>0</v>
      </c>
      <c r="HM68" s="518">
        <v>0</v>
      </c>
      <c r="HN68" s="518">
        <v>0</v>
      </c>
      <c r="HO68" s="518">
        <v>0</v>
      </c>
      <c r="HP68" s="518">
        <v>0</v>
      </c>
      <c r="HQ68" s="518">
        <v>0</v>
      </c>
      <c r="HR68" s="518">
        <v>0</v>
      </c>
      <c r="HS68" s="518">
        <v>0</v>
      </c>
      <c r="HT68" s="518">
        <v>0</v>
      </c>
      <c r="HU68" s="518">
        <v>0</v>
      </c>
      <c r="HV68" s="518">
        <v>0</v>
      </c>
      <c r="HW68" s="518">
        <v>0</v>
      </c>
      <c r="HX68" s="518">
        <v>0</v>
      </c>
      <c r="HY68" s="518">
        <v>0</v>
      </c>
      <c r="HZ68" s="518">
        <v>0</v>
      </c>
      <c r="IA68" s="518">
        <v>0</v>
      </c>
      <c r="IB68" s="518">
        <v>0</v>
      </c>
      <c r="IC68" s="518">
        <v>0</v>
      </c>
      <c r="ID68" s="518">
        <v>0</v>
      </c>
      <c r="IE68" s="518">
        <v>0</v>
      </c>
      <c r="IF68" s="518">
        <v>0</v>
      </c>
      <c r="IG68" s="518">
        <v>0</v>
      </c>
      <c r="IH68" s="518">
        <v>0</v>
      </c>
      <c r="II68" s="518">
        <v>0</v>
      </c>
      <c r="IJ68" s="518">
        <v>0</v>
      </c>
      <c r="IK68" s="518">
        <v>0</v>
      </c>
    </row>
    <row r="69" spans="1:245" ht="16.5" hidden="1">
      <c r="A69" s="517" t="s">
        <v>721</v>
      </c>
      <c r="B69" s="517" t="s">
        <v>1101</v>
      </c>
      <c r="C69" s="517" t="s">
        <v>721</v>
      </c>
      <c r="D69" s="558"/>
      <c r="E69" s="517" t="s">
        <v>721</v>
      </c>
      <c r="F69" s="517" t="s">
        <v>26</v>
      </c>
      <c r="G69" s="558"/>
      <c r="H69" s="518">
        <v>34</v>
      </c>
      <c r="I69" s="558"/>
      <c r="J69" s="494" t="str">
        <f t="shared" si="4"/>
        <v>SWUC100234</v>
      </c>
      <c r="K69" s="518">
        <v>118</v>
      </c>
      <c r="M69" s="517" t="s">
        <v>721</v>
      </c>
      <c r="N69" s="517" t="s">
        <v>1101</v>
      </c>
      <c r="O69" s="517" t="s">
        <v>26</v>
      </c>
      <c r="P69" s="518">
        <v>34</v>
      </c>
      <c r="Q69" s="494" t="str">
        <f t="shared" si="5"/>
        <v>SWUC100234</v>
      </c>
      <c r="R69" s="518">
        <v>0</v>
      </c>
      <c r="S69" s="518">
        <v>10</v>
      </c>
      <c r="T69" s="518">
        <v>20</v>
      </c>
      <c r="U69" s="518">
        <v>29</v>
      </c>
      <c r="V69" s="518">
        <v>39</v>
      </c>
      <c r="W69" s="518">
        <v>52</v>
      </c>
      <c r="X69" s="518">
        <v>66</v>
      </c>
      <c r="Y69" s="518">
        <v>82</v>
      </c>
      <c r="Z69" s="518">
        <v>99</v>
      </c>
      <c r="AA69" s="518">
        <v>0</v>
      </c>
      <c r="AB69" s="518">
        <v>0</v>
      </c>
      <c r="AC69" s="518">
        <v>0</v>
      </c>
      <c r="AD69" s="518">
        <v>0</v>
      </c>
      <c r="AE69" s="518">
        <v>0</v>
      </c>
      <c r="AF69" s="518">
        <v>0</v>
      </c>
      <c r="AG69" s="518">
        <v>0</v>
      </c>
      <c r="AH69" s="518">
        <v>0</v>
      </c>
      <c r="AI69" s="518">
        <v>0</v>
      </c>
      <c r="AJ69" s="518">
        <v>0</v>
      </c>
      <c r="AK69" s="518">
        <v>0</v>
      </c>
      <c r="AL69" s="518">
        <v>0</v>
      </c>
      <c r="AM69" s="518">
        <v>0</v>
      </c>
      <c r="AN69" s="518">
        <v>0</v>
      </c>
      <c r="AO69" s="518">
        <v>0</v>
      </c>
      <c r="AP69" s="518">
        <v>0</v>
      </c>
      <c r="AQ69" s="518">
        <v>0</v>
      </c>
      <c r="AR69" s="518">
        <v>0</v>
      </c>
      <c r="AS69" s="518">
        <v>0</v>
      </c>
      <c r="AT69" s="518">
        <v>0</v>
      </c>
      <c r="AU69" s="518">
        <v>0</v>
      </c>
      <c r="AV69" s="518">
        <v>0</v>
      </c>
      <c r="AW69" s="518">
        <v>0</v>
      </c>
      <c r="AX69" s="518">
        <v>0</v>
      </c>
      <c r="AY69" s="518">
        <v>0</v>
      </c>
      <c r="AZ69" s="518">
        <v>0</v>
      </c>
      <c r="BA69" s="518">
        <v>0</v>
      </c>
      <c r="BB69" s="518">
        <v>0</v>
      </c>
      <c r="BC69" s="518">
        <v>0</v>
      </c>
      <c r="BD69" s="518">
        <v>0</v>
      </c>
      <c r="BE69" s="518">
        <v>0</v>
      </c>
      <c r="BF69" s="518">
        <v>0</v>
      </c>
      <c r="BG69" s="518">
        <v>0</v>
      </c>
      <c r="BH69" s="518">
        <v>0</v>
      </c>
      <c r="BI69" s="518">
        <v>0</v>
      </c>
      <c r="BJ69" s="518">
        <v>0</v>
      </c>
      <c r="BK69" s="518">
        <v>0</v>
      </c>
      <c r="BL69" s="518">
        <v>0</v>
      </c>
      <c r="BM69" s="518">
        <v>0</v>
      </c>
      <c r="BN69" s="518">
        <v>0</v>
      </c>
      <c r="BO69" s="518">
        <v>0</v>
      </c>
      <c r="BP69" s="518">
        <v>0</v>
      </c>
      <c r="BQ69" s="518">
        <v>0</v>
      </c>
      <c r="BR69" s="518">
        <v>0</v>
      </c>
      <c r="BS69" s="518">
        <v>0</v>
      </c>
      <c r="BT69" s="518">
        <v>0</v>
      </c>
      <c r="BU69" s="518">
        <v>0</v>
      </c>
      <c r="BV69" s="518">
        <v>0</v>
      </c>
      <c r="BW69" s="518">
        <v>0</v>
      </c>
      <c r="BX69" s="518">
        <v>0</v>
      </c>
      <c r="BY69" s="518">
        <v>0</v>
      </c>
      <c r="BZ69" s="518">
        <v>0</v>
      </c>
      <c r="CA69" s="518">
        <v>0</v>
      </c>
      <c r="CB69" s="518">
        <v>0</v>
      </c>
      <c r="CC69" s="518">
        <v>0</v>
      </c>
      <c r="CD69" s="518">
        <v>0</v>
      </c>
      <c r="CE69" s="518">
        <v>0</v>
      </c>
      <c r="CF69" s="518">
        <v>0</v>
      </c>
      <c r="CG69" s="518">
        <v>0</v>
      </c>
      <c r="CH69" s="518">
        <v>0</v>
      </c>
      <c r="CI69" s="518">
        <v>0</v>
      </c>
      <c r="CJ69" s="518">
        <v>0</v>
      </c>
      <c r="CK69" s="518">
        <v>0</v>
      </c>
      <c r="CL69" s="518">
        <v>0</v>
      </c>
      <c r="CM69" s="518">
        <v>0</v>
      </c>
      <c r="CN69" s="518">
        <v>0</v>
      </c>
      <c r="CO69" s="518">
        <v>0</v>
      </c>
      <c r="CP69" s="518">
        <v>0</v>
      </c>
      <c r="CQ69" s="518">
        <v>0</v>
      </c>
      <c r="CR69" s="518">
        <v>0</v>
      </c>
      <c r="CS69" s="518">
        <v>0</v>
      </c>
      <c r="CT69" s="518">
        <v>0</v>
      </c>
      <c r="CU69" s="518">
        <v>0</v>
      </c>
      <c r="CV69" s="518">
        <v>0</v>
      </c>
      <c r="CW69" s="518">
        <v>0</v>
      </c>
      <c r="CX69" s="518">
        <v>0</v>
      </c>
      <c r="CY69" s="518">
        <v>0</v>
      </c>
      <c r="CZ69" s="518">
        <v>0</v>
      </c>
      <c r="DA69" s="518">
        <v>0</v>
      </c>
      <c r="DB69" s="518">
        <v>0</v>
      </c>
      <c r="DC69" s="518">
        <v>0</v>
      </c>
      <c r="DD69" s="518">
        <v>0</v>
      </c>
      <c r="DE69" s="518">
        <v>0</v>
      </c>
      <c r="DF69" s="518">
        <v>0</v>
      </c>
      <c r="DG69" s="518">
        <v>0</v>
      </c>
      <c r="DH69" s="518">
        <v>0</v>
      </c>
      <c r="DI69" s="518">
        <v>0</v>
      </c>
      <c r="DJ69" s="518">
        <v>0</v>
      </c>
      <c r="DK69" s="518">
        <v>0</v>
      </c>
      <c r="DL69" s="518">
        <v>0</v>
      </c>
      <c r="DM69" s="518">
        <v>0</v>
      </c>
      <c r="DN69" s="518">
        <v>0</v>
      </c>
      <c r="DO69" s="518">
        <v>0</v>
      </c>
      <c r="DP69" s="518">
        <v>0</v>
      </c>
      <c r="DQ69" s="518">
        <v>0</v>
      </c>
      <c r="DR69" s="518">
        <v>0</v>
      </c>
      <c r="DS69" s="518">
        <v>0</v>
      </c>
      <c r="DT69" s="518">
        <v>0</v>
      </c>
      <c r="DU69" s="518">
        <v>0</v>
      </c>
      <c r="DV69" s="518">
        <v>0</v>
      </c>
      <c r="DW69" s="518">
        <v>0</v>
      </c>
      <c r="DX69" s="518">
        <v>0</v>
      </c>
      <c r="DY69" s="477"/>
      <c r="DZ69" s="517" t="s">
        <v>721</v>
      </c>
      <c r="EA69" s="517" t="s">
        <v>1101</v>
      </c>
      <c r="EB69" s="517" t="s">
        <v>26</v>
      </c>
      <c r="EC69" s="518">
        <v>34</v>
      </c>
      <c r="ED69" s="494" t="str">
        <f t="shared" si="3"/>
        <v>SWUC100234</v>
      </c>
      <c r="EE69" s="518">
        <v>10000</v>
      </c>
      <c r="EF69" s="518">
        <v>10000</v>
      </c>
      <c r="EG69" s="518">
        <v>10000</v>
      </c>
      <c r="EH69" s="518">
        <v>10000</v>
      </c>
      <c r="EI69" s="518">
        <v>10000</v>
      </c>
      <c r="EJ69" s="518">
        <v>10000</v>
      </c>
      <c r="EK69" s="518">
        <v>10000</v>
      </c>
      <c r="EL69" s="518">
        <v>10000</v>
      </c>
      <c r="EM69" s="518">
        <v>10000</v>
      </c>
      <c r="EN69" s="518">
        <v>10000</v>
      </c>
      <c r="EO69" s="518">
        <v>0</v>
      </c>
      <c r="EP69" s="518">
        <v>0</v>
      </c>
      <c r="EQ69" s="518">
        <v>0</v>
      </c>
      <c r="ER69" s="518">
        <v>0</v>
      </c>
      <c r="ES69" s="518">
        <v>0</v>
      </c>
      <c r="ET69" s="518">
        <v>0</v>
      </c>
      <c r="EU69" s="518">
        <v>0</v>
      </c>
      <c r="EV69" s="518">
        <v>0</v>
      </c>
      <c r="EW69" s="518">
        <v>0</v>
      </c>
      <c r="EX69" s="518">
        <v>0</v>
      </c>
      <c r="EY69" s="518">
        <v>0</v>
      </c>
      <c r="EZ69" s="518">
        <v>0</v>
      </c>
      <c r="FA69" s="518">
        <v>0</v>
      </c>
      <c r="FB69" s="518">
        <v>0</v>
      </c>
      <c r="FC69" s="518">
        <v>0</v>
      </c>
      <c r="FD69" s="518">
        <v>0</v>
      </c>
      <c r="FE69" s="518">
        <v>0</v>
      </c>
      <c r="FF69" s="518">
        <v>0</v>
      </c>
      <c r="FG69" s="518">
        <v>0</v>
      </c>
      <c r="FH69" s="518">
        <v>0</v>
      </c>
      <c r="FI69" s="518">
        <v>0</v>
      </c>
      <c r="FJ69" s="518">
        <v>0</v>
      </c>
      <c r="FK69" s="518">
        <v>0</v>
      </c>
      <c r="FL69" s="518">
        <v>0</v>
      </c>
      <c r="FM69" s="518">
        <v>0</v>
      </c>
      <c r="FN69" s="518">
        <v>0</v>
      </c>
      <c r="FO69" s="518">
        <v>0</v>
      </c>
      <c r="FP69" s="518">
        <v>0</v>
      </c>
      <c r="FQ69" s="518">
        <v>0</v>
      </c>
      <c r="FR69" s="518">
        <v>0</v>
      </c>
      <c r="FS69" s="518">
        <v>0</v>
      </c>
      <c r="FT69" s="518">
        <v>0</v>
      </c>
      <c r="FU69" s="518">
        <v>0</v>
      </c>
      <c r="FV69" s="518">
        <v>0</v>
      </c>
      <c r="FW69" s="518">
        <v>0</v>
      </c>
      <c r="FX69" s="518">
        <v>0</v>
      </c>
      <c r="FY69" s="518">
        <v>0</v>
      </c>
      <c r="FZ69" s="518">
        <v>0</v>
      </c>
      <c r="GA69" s="518">
        <v>0</v>
      </c>
      <c r="GB69" s="518">
        <v>0</v>
      </c>
      <c r="GC69" s="518">
        <v>0</v>
      </c>
      <c r="GD69" s="518">
        <v>0</v>
      </c>
      <c r="GE69" s="518">
        <v>0</v>
      </c>
      <c r="GF69" s="518">
        <v>0</v>
      </c>
      <c r="GG69" s="518">
        <v>0</v>
      </c>
      <c r="GH69" s="518">
        <v>0</v>
      </c>
      <c r="GI69" s="518">
        <v>0</v>
      </c>
      <c r="GJ69" s="518">
        <v>0</v>
      </c>
      <c r="GK69" s="518">
        <v>0</v>
      </c>
      <c r="GL69" s="518">
        <v>0</v>
      </c>
      <c r="GM69" s="518">
        <v>0</v>
      </c>
      <c r="GN69" s="518">
        <v>0</v>
      </c>
      <c r="GO69" s="518">
        <v>0</v>
      </c>
      <c r="GP69" s="518">
        <v>0</v>
      </c>
      <c r="GQ69" s="518">
        <v>0</v>
      </c>
      <c r="GR69" s="518">
        <v>0</v>
      </c>
      <c r="GS69" s="518">
        <v>0</v>
      </c>
      <c r="GT69" s="518">
        <v>0</v>
      </c>
      <c r="GU69" s="518">
        <v>0</v>
      </c>
      <c r="GV69" s="518">
        <v>0</v>
      </c>
      <c r="GW69" s="518">
        <v>0</v>
      </c>
      <c r="GX69" s="518">
        <v>0</v>
      </c>
      <c r="GY69" s="518">
        <v>0</v>
      </c>
      <c r="GZ69" s="518">
        <v>0</v>
      </c>
      <c r="HA69" s="518">
        <v>0</v>
      </c>
      <c r="HB69" s="518">
        <v>0</v>
      </c>
      <c r="HC69" s="518">
        <v>0</v>
      </c>
      <c r="HD69" s="518">
        <v>0</v>
      </c>
      <c r="HE69" s="518">
        <v>0</v>
      </c>
      <c r="HF69" s="518">
        <v>0</v>
      </c>
      <c r="HG69" s="518">
        <v>0</v>
      </c>
      <c r="HH69" s="518">
        <v>0</v>
      </c>
      <c r="HI69" s="518">
        <v>0</v>
      </c>
      <c r="HJ69" s="518">
        <v>0</v>
      </c>
      <c r="HK69" s="518">
        <v>0</v>
      </c>
      <c r="HL69" s="518">
        <v>0</v>
      </c>
      <c r="HM69" s="518">
        <v>0</v>
      </c>
      <c r="HN69" s="518">
        <v>0</v>
      </c>
      <c r="HO69" s="518">
        <v>0</v>
      </c>
      <c r="HP69" s="518">
        <v>0</v>
      </c>
      <c r="HQ69" s="518">
        <v>0</v>
      </c>
      <c r="HR69" s="518">
        <v>0</v>
      </c>
      <c r="HS69" s="518">
        <v>0</v>
      </c>
      <c r="HT69" s="518">
        <v>0</v>
      </c>
      <c r="HU69" s="518">
        <v>0</v>
      </c>
      <c r="HV69" s="518">
        <v>0</v>
      </c>
      <c r="HW69" s="518">
        <v>0</v>
      </c>
      <c r="HX69" s="518">
        <v>0</v>
      </c>
      <c r="HY69" s="518">
        <v>0</v>
      </c>
      <c r="HZ69" s="518">
        <v>0</v>
      </c>
      <c r="IA69" s="518">
        <v>0</v>
      </c>
      <c r="IB69" s="518">
        <v>0</v>
      </c>
      <c r="IC69" s="518">
        <v>0</v>
      </c>
      <c r="ID69" s="518">
        <v>0</v>
      </c>
      <c r="IE69" s="518">
        <v>0</v>
      </c>
      <c r="IF69" s="518">
        <v>0</v>
      </c>
      <c r="IG69" s="518">
        <v>0</v>
      </c>
      <c r="IH69" s="518">
        <v>0</v>
      </c>
      <c r="II69" s="518">
        <v>0</v>
      </c>
      <c r="IJ69" s="518">
        <v>0</v>
      </c>
      <c r="IK69" s="518">
        <v>0</v>
      </c>
    </row>
    <row r="70" spans="1:245" ht="16.5" hidden="1">
      <c r="A70" s="517" t="s">
        <v>721</v>
      </c>
      <c r="B70" s="517" t="s">
        <v>1101</v>
      </c>
      <c r="C70" s="517" t="s">
        <v>721</v>
      </c>
      <c r="D70" s="558"/>
      <c r="E70" s="517" t="s">
        <v>721</v>
      </c>
      <c r="F70" s="517" t="s">
        <v>26</v>
      </c>
      <c r="G70" s="558"/>
      <c r="H70" s="518">
        <v>35</v>
      </c>
      <c r="I70" s="558"/>
      <c r="J70" s="494" t="str">
        <f t="shared" si="4"/>
        <v>SWUC100235</v>
      </c>
      <c r="K70" s="518">
        <v>126</v>
      </c>
      <c r="M70" s="517" t="s">
        <v>721</v>
      </c>
      <c r="N70" s="517" t="s">
        <v>1101</v>
      </c>
      <c r="O70" s="517" t="s">
        <v>26</v>
      </c>
      <c r="P70" s="518">
        <v>35</v>
      </c>
      <c r="Q70" s="494" t="str">
        <f t="shared" si="5"/>
        <v>SWUC100235</v>
      </c>
      <c r="R70" s="518">
        <v>0</v>
      </c>
      <c r="S70" s="518">
        <v>11</v>
      </c>
      <c r="T70" s="518">
        <v>20</v>
      </c>
      <c r="U70" s="518">
        <v>31</v>
      </c>
      <c r="V70" s="518">
        <v>41</v>
      </c>
      <c r="W70" s="518">
        <v>55</v>
      </c>
      <c r="X70" s="518">
        <v>71</v>
      </c>
      <c r="Y70" s="518">
        <v>87</v>
      </c>
      <c r="Z70" s="518">
        <v>105</v>
      </c>
      <c r="AA70" s="518">
        <v>0</v>
      </c>
      <c r="AB70" s="518">
        <v>0</v>
      </c>
      <c r="AC70" s="518">
        <v>0</v>
      </c>
      <c r="AD70" s="518">
        <v>0</v>
      </c>
      <c r="AE70" s="518">
        <v>0</v>
      </c>
      <c r="AF70" s="518">
        <v>0</v>
      </c>
      <c r="AG70" s="518">
        <v>0</v>
      </c>
      <c r="AH70" s="518">
        <v>0</v>
      </c>
      <c r="AI70" s="518">
        <v>0</v>
      </c>
      <c r="AJ70" s="518">
        <v>0</v>
      </c>
      <c r="AK70" s="518">
        <v>0</v>
      </c>
      <c r="AL70" s="518">
        <v>0</v>
      </c>
      <c r="AM70" s="518">
        <v>0</v>
      </c>
      <c r="AN70" s="518">
        <v>0</v>
      </c>
      <c r="AO70" s="518">
        <v>0</v>
      </c>
      <c r="AP70" s="518">
        <v>0</v>
      </c>
      <c r="AQ70" s="518">
        <v>0</v>
      </c>
      <c r="AR70" s="518">
        <v>0</v>
      </c>
      <c r="AS70" s="518">
        <v>0</v>
      </c>
      <c r="AT70" s="518">
        <v>0</v>
      </c>
      <c r="AU70" s="518">
        <v>0</v>
      </c>
      <c r="AV70" s="518">
        <v>0</v>
      </c>
      <c r="AW70" s="518">
        <v>0</v>
      </c>
      <c r="AX70" s="518">
        <v>0</v>
      </c>
      <c r="AY70" s="518">
        <v>0</v>
      </c>
      <c r="AZ70" s="518">
        <v>0</v>
      </c>
      <c r="BA70" s="518">
        <v>0</v>
      </c>
      <c r="BB70" s="518">
        <v>0</v>
      </c>
      <c r="BC70" s="518">
        <v>0</v>
      </c>
      <c r="BD70" s="518">
        <v>0</v>
      </c>
      <c r="BE70" s="518">
        <v>0</v>
      </c>
      <c r="BF70" s="518">
        <v>0</v>
      </c>
      <c r="BG70" s="518">
        <v>0</v>
      </c>
      <c r="BH70" s="518">
        <v>0</v>
      </c>
      <c r="BI70" s="518">
        <v>0</v>
      </c>
      <c r="BJ70" s="518">
        <v>0</v>
      </c>
      <c r="BK70" s="518">
        <v>0</v>
      </c>
      <c r="BL70" s="518">
        <v>0</v>
      </c>
      <c r="BM70" s="518">
        <v>0</v>
      </c>
      <c r="BN70" s="518">
        <v>0</v>
      </c>
      <c r="BO70" s="518">
        <v>0</v>
      </c>
      <c r="BP70" s="518">
        <v>0</v>
      </c>
      <c r="BQ70" s="518">
        <v>0</v>
      </c>
      <c r="BR70" s="518">
        <v>0</v>
      </c>
      <c r="BS70" s="518">
        <v>0</v>
      </c>
      <c r="BT70" s="518">
        <v>0</v>
      </c>
      <c r="BU70" s="518">
        <v>0</v>
      </c>
      <c r="BV70" s="518">
        <v>0</v>
      </c>
      <c r="BW70" s="518">
        <v>0</v>
      </c>
      <c r="BX70" s="518">
        <v>0</v>
      </c>
      <c r="BY70" s="518">
        <v>0</v>
      </c>
      <c r="BZ70" s="518">
        <v>0</v>
      </c>
      <c r="CA70" s="518">
        <v>0</v>
      </c>
      <c r="CB70" s="518">
        <v>0</v>
      </c>
      <c r="CC70" s="518">
        <v>0</v>
      </c>
      <c r="CD70" s="518">
        <v>0</v>
      </c>
      <c r="CE70" s="518">
        <v>0</v>
      </c>
      <c r="CF70" s="518">
        <v>0</v>
      </c>
      <c r="CG70" s="518">
        <v>0</v>
      </c>
      <c r="CH70" s="518">
        <v>0</v>
      </c>
      <c r="CI70" s="518">
        <v>0</v>
      </c>
      <c r="CJ70" s="518">
        <v>0</v>
      </c>
      <c r="CK70" s="518">
        <v>0</v>
      </c>
      <c r="CL70" s="518">
        <v>0</v>
      </c>
      <c r="CM70" s="518">
        <v>0</v>
      </c>
      <c r="CN70" s="518">
        <v>0</v>
      </c>
      <c r="CO70" s="518">
        <v>0</v>
      </c>
      <c r="CP70" s="518">
        <v>0</v>
      </c>
      <c r="CQ70" s="518">
        <v>0</v>
      </c>
      <c r="CR70" s="518">
        <v>0</v>
      </c>
      <c r="CS70" s="518">
        <v>0</v>
      </c>
      <c r="CT70" s="518">
        <v>0</v>
      </c>
      <c r="CU70" s="518">
        <v>0</v>
      </c>
      <c r="CV70" s="518">
        <v>0</v>
      </c>
      <c r="CW70" s="518">
        <v>0</v>
      </c>
      <c r="CX70" s="518">
        <v>0</v>
      </c>
      <c r="CY70" s="518">
        <v>0</v>
      </c>
      <c r="CZ70" s="518">
        <v>0</v>
      </c>
      <c r="DA70" s="518">
        <v>0</v>
      </c>
      <c r="DB70" s="518">
        <v>0</v>
      </c>
      <c r="DC70" s="518">
        <v>0</v>
      </c>
      <c r="DD70" s="518">
        <v>0</v>
      </c>
      <c r="DE70" s="518">
        <v>0</v>
      </c>
      <c r="DF70" s="518">
        <v>0</v>
      </c>
      <c r="DG70" s="518">
        <v>0</v>
      </c>
      <c r="DH70" s="518">
        <v>0</v>
      </c>
      <c r="DI70" s="518">
        <v>0</v>
      </c>
      <c r="DJ70" s="518">
        <v>0</v>
      </c>
      <c r="DK70" s="518">
        <v>0</v>
      </c>
      <c r="DL70" s="518">
        <v>0</v>
      </c>
      <c r="DM70" s="518">
        <v>0</v>
      </c>
      <c r="DN70" s="518">
        <v>0</v>
      </c>
      <c r="DO70" s="518">
        <v>0</v>
      </c>
      <c r="DP70" s="518">
        <v>0</v>
      </c>
      <c r="DQ70" s="518">
        <v>0</v>
      </c>
      <c r="DR70" s="518">
        <v>0</v>
      </c>
      <c r="DS70" s="518">
        <v>0</v>
      </c>
      <c r="DT70" s="518">
        <v>0</v>
      </c>
      <c r="DU70" s="518">
        <v>0</v>
      </c>
      <c r="DV70" s="518">
        <v>0</v>
      </c>
      <c r="DW70" s="518">
        <v>0</v>
      </c>
      <c r="DX70" s="518">
        <v>0</v>
      </c>
      <c r="DY70" s="477"/>
      <c r="DZ70" s="517" t="s">
        <v>721</v>
      </c>
      <c r="EA70" s="517" t="s">
        <v>1101</v>
      </c>
      <c r="EB70" s="517" t="s">
        <v>26</v>
      </c>
      <c r="EC70" s="518">
        <v>35</v>
      </c>
      <c r="ED70" s="494" t="str">
        <f t="shared" si="3"/>
        <v>SWUC100235</v>
      </c>
      <c r="EE70" s="518">
        <v>10000</v>
      </c>
      <c r="EF70" s="518">
        <v>10000</v>
      </c>
      <c r="EG70" s="518">
        <v>10000</v>
      </c>
      <c r="EH70" s="518">
        <v>10000</v>
      </c>
      <c r="EI70" s="518">
        <v>10000</v>
      </c>
      <c r="EJ70" s="518">
        <v>10000</v>
      </c>
      <c r="EK70" s="518">
        <v>10000</v>
      </c>
      <c r="EL70" s="518">
        <v>10000</v>
      </c>
      <c r="EM70" s="518">
        <v>10000</v>
      </c>
      <c r="EN70" s="518">
        <v>10000</v>
      </c>
      <c r="EO70" s="518">
        <v>0</v>
      </c>
      <c r="EP70" s="518">
        <v>0</v>
      </c>
      <c r="EQ70" s="518">
        <v>0</v>
      </c>
      <c r="ER70" s="518">
        <v>0</v>
      </c>
      <c r="ES70" s="518">
        <v>0</v>
      </c>
      <c r="ET70" s="518">
        <v>0</v>
      </c>
      <c r="EU70" s="518">
        <v>0</v>
      </c>
      <c r="EV70" s="518">
        <v>0</v>
      </c>
      <c r="EW70" s="518">
        <v>0</v>
      </c>
      <c r="EX70" s="518">
        <v>0</v>
      </c>
      <c r="EY70" s="518">
        <v>0</v>
      </c>
      <c r="EZ70" s="518">
        <v>0</v>
      </c>
      <c r="FA70" s="518">
        <v>0</v>
      </c>
      <c r="FB70" s="518">
        <v>0</v>
      </c>
      <c r="FC70" s="518">
        <v>0</v>
      </c>
      <c r="FD70" s="518">
        <v>0</v>
      </c>
      <c r="FE70" s="518">
        <v>0</v>
      </c>
      <c r="FF70" s="518">
        <v>0</v>
      </c>
      <c r="FG70" s="518">
        <v>0</v>
      </c>
      <c r="FH70" s="518">
        <v>0</v>
      </c>
      <c r="FI70" s="518">
        <v>0</v>
      </c>
      <c r="FJ70" s="518">
        <v>0</v>
      </c>
      <c r="FK70" s="518">
        <v>0</v>
      </c>
      <c r="FL70" s="518">
        <v>0</v>
      </c>
      <c r="FM70" s="518">
        <v>0</v>
      </c>
      <c r="FN70" s="518">
        <v>0</v>
      </c>
      <c r="FO70" s="518">
        <v>0</v>
      </c>
      <c r="FP70" s="518">
        <v>0</v>
      </c>
      <c r="FQ70" s="518">
        <v>0</v>
      </c>
      <c r="FR70" s="518">
        <v>0</v>
      </c>
      <c r="FS70" s="518">
        <v>0</v>
      </c>
      <c r="FT70" s="518">
        <v>0</v>
      </c>
      <c r="FU70" s="518">
        <v>0</v>
      </c>
      <c r="FV70" s="518">
        <v>0</v>
      </c>
      <c r="FW70" s="518">
        <v>0</v>
      </c>
      <c r="FX70" s="518">
        <v>0</v>
      </c>
      <c r="FY70" s="518">
        <v>0</v>
      </c>
      <c r="FZ70" s="518">
        <v>0</v>
      </c>
      <c r="GA70" s="518">
        <v>0</v>
      </c>
      <c r="GB70" s="518">
        <v>0</v>
      </c>
      <c r="GC70" s="518">
        <v>0</v>
      </c>
      <c r="GD70" s="518">
        <v>0</v>
      </c>
      <c r="GE70" s="518">
        <v>0</v>
      </c>
      <c r="GF70" s="518">
        <v>0</v>
      </c>
      <c r="GG70" s="518">
        <v>0</v>
      </c>
      <c r="GH70" s="518">
        <v>0</v>
      </c>
      <c r="GI70" s="518">
        <v>0</v>
      </c>
      <c r="GJ70" s="518">
        <v>0</v>
      </c>
      <c r="GK70" s="518">
        <v>0</v>
      </c>
      <c r="GL70" s="518">
        <v>0</v>
      </c>
      <c r="GM70" s="518">
        <v>0</v>
      </c>
      <c r="GN70" s="518">
        <v>0</v>
      </c>
      <c r="GO70" s="518">
        <v>0</v>
      </c>
      <c r="GP70" s="518">
        <v>0</v>
      </c>
      <c r="GQ70" s="518">
        <v>0</v>
      </c>
      <c r="GR70" s="518">
        <v>0</v>
      </c>
      <c r="GS70" s="518">
        <v>0</v>
      </c>
      <c r="GT70" s="518">
        <v>0</v>
      </c>
      <c r="GU70" s="518">
        <v>0</v>
      </c>
      <c r="GV70" s="518">
        <v>0</v>
      </c>
      <c r="GW70" s="518">
        <v>0</v>
      </c>
      <c r="GX70" s="518">
        <v>0</v>
      </c>
      <c r="GY70" s="518">
        <v>0</v>
      </c>
      <c r="GZ70" s="518">
        <v>0</v>
      </c>
      <c r="HA70" s="518">
        <v>0</v>
      </c>
      <c r="HB70" s="518">
        <v>0</v>
      </c>
      <c r="HC70" s="518">
        <v>0</v>
      </c>
      <c r="HD70" s="518">
        <v>0</v>
      </c>
      <c r="HE70" s="518">
        <v>0</v>
      </c>
      <c r="HF70" s="518">
        <v>0</v>
      </c>
      <c r="HG70" s="518">
        <v>0</v>
      </c>
      <c r="HH70" s="518">
        <v>0</v>
      </c>
      <c r="HI70" s="518">
        <v>0</v>
      </c>
      <c r="HJ70" s="518">
        <v>0</v>
      </c>
      <c r="HK70" s="518">
        <v>0</v>
      </c>
      <c r="HL70" s="518">
        <v>0</v>
      </c>
      <c r="HM70" s="518">
        <v>0</v>
      </c>
      <c r="HN70" s="518">
        <v>0</v>
      </c>
      <c r="HO70" s="518">
        <v>0</v>
      </c>
      <c r="HP70" s="518">
        <v>0</v>
      </c>
      <c r="HQ70" s="518">
        <v>0</v>
      </c>
      <c r="HR70" s="518">
        <v>0</v>
      </c>
      <c r="HS70" s="518">
        <v>0</v>
      </c>
      <c r="HT70" s="518">
        <v>0</v>
      </c>
      <c r="HU70" s="518">
        <v>0</v>
      </c>
      <c r="HV70" s="518">
        <v>0</v>
      </c>
      <c r="HW70" s="518">
        <v>0</v>
      </c>
      <c r="HX70" s="518">
        <v>0</v>
      </c>
      <c r="HY70" s="518">
        <v>0</v>
      </c>
      <c r="HZ70" s="518">
        <v>0</v>
      </c>
      <c r="IA70" s="518">
        <v>0</v>
      </c>
      <c r="IB70" s="518">
        <v>0</v>
      </c>
      <c r="IC70" s="518">
        <v>0</v>
      </c>
      <c r="ID70" s="518">
        <v>0</v>
      </c>
      <c r="IE70" s="518">
        <v>0</v>
      </c>
      <c r="IF70" s="518">
        <v>0</v>
      </c>
      <c r="IG70" s="518">
        <v>0</v>
      </c>
      <c r="IH70" s="518">
        <v>0</v>
      </c>
      <c r="II70" s="518">
        <v>0</v>
      </c>
      <c r="IJ70" s="518">
        <v>0</v>
      </c>
      <c r="IK70" s="518">
        <v>0</v>
      </c>
    </row>
    <row r="71" spans="1:245" ht="16.5" hidden="1">
      <c r="A71" s="517" t="s">
        <v>721</v>
      </c>
      <c r="B71" s="517" t="s">
        <v>1101</v>
      </c>
      <c r="C71" s="517" t="s">
        <v>721</v>
      </c>
      <c r="D71" s="558"/>
      <c r="E71" s="517" t="s">
        <v>721</v>
      </c>
      <c r="F71" s="517" t="s">
        <v>26</v>
      </c>
      <c r="G71" s="558"/>
      <c r="H71" s="518">
        <v>36</v>
      </c>
      <c r="I71" s="558"/>
      <c r="J71" s="494" t="str">
        <f t="shared" si="4"/>
        <v>SWUC100236</v>
      </c>
      <c r="K71" s="518">
        <v>134</v>
      </c>
      <c r="M71" s="517" t="s">
        <v>721</v>
      </c>
      <c r="N71" s="517" t="s">
        <v>1101</v>
      </c>
      <c r="O71" s="517" t="s">
        <v>26</v>
      </c>
      <c r="P71" s="518">
        <v>36</v>
      </c>
      <c r="Q71" s="494" t="str">
        <f t="shared" si="5"/>
        <v>SWUC100236</v>
      </c>
      <c r="R71" s="518">
        <v>0</v>
      </c>
      <c r="S71" s="518">
        <v>11</v>
      </c>
      <c r="T71" s="518">
        <v>22</v>
      </c>
      <c r="U71" s="518">
        <v>33</v>
      </c>
      <c r="V71" s="518">
        <v>44</v>
      </c>
      <c r="W71" s="518">
        <v>58</v>
      </c>
      <c r="X71" s="518">
        <v>75</v>
      </c>
      <c r="Y71" s="518">
        <v>93</v>
      </c>
      <c r="Z71" s="518">
        <v>112</v>
      </c>
      <c r="AA71" s="518">
        <v>0</v>
      </c>
      <c r="AB71" s="518">
        <v>0</v>
      </c>
      <c r="AC71" s="518">
        <v>0</v>
      </c>
      <c r="AD71" s="518">
        <v>0</v>
      </c>
      <c r="AE71" s="518">
        <v>0</v>
      </c>
      <c r="AF71" s="518">
        <v>0</v>
      </c>
      <c r="AG71" s="518">
        <v>0</v>
      </c>
      <c r="AH71" s="518">
        <v>0</v>
      </c>
      <c r="AI71" s="518">
        <v>0</v>
      </c>
      <c r="AJ71" s="518">
        <v>0</v>
      </c>
      <c r="AK71" s="518">
        <v>0</v>
      </c>
      <c r="AL71" s="518">
        <v>0</v>
      </c>
      <c r="AM71" s="518">
        <v>0</v>
      </c>
      <c r="AN71" s="518">
        <v>0</v>
      </c>
      <c r="AO71" s="518">
        <v>0</v>
      </c>
      <c r="AP71" s="518">
        <v>0</v>
      </c>
      <c r="AQ71" s="518">
        <v>0</v>
      </c>
      <c r="AR71" s="518">
        <v>0</v>
      </c>
      <c r="AS71" s="518">
        <v>0</v>
      </c>
      <c r="AT71" s="518">
        <v>0</v>
      </c>
      <c r="AU71" s="518">
        <v>0</v>
      </c>
      <c r="AV71" s="518">
        <v>0</v>
      </c>
      <c r="AW71" s="518">
        <v>0</v>
      </c>
      <c r="AX71" s="518">
        <v>0</v>
      </c>
      <c r="AY71" s="518">
        <v>0</v>
      </c>
      <c r="AZ71" s="518">
        <v>0</v>
      </c>
      <c r="BA71" s="518">
        <v>0</v>
      </c>
      <c r="BB71" s="518">
        <v>0</v>
      </c>
      <c r="BC71" s="518">
        <v>0</v>
      </c>
      <c r="BD71" s="518">
        <v>0</v>
      </c>
      <c r="BE71" s="518">
        <v>0</v>
      </c>
      <c r="BF71" s="518">
        <v>0</v>
      </c>
      <c r="BG71" s="518">
        <v>0</v>
      </c>
      <c r="BH71" s="518">
        <v>0</v>
      </c>
      <c r="BI71" s="518">
        <v>0</v>
      </c>
      <c r="BJ71" s="518">
        <v>0</v>
      </c>
      <c r="BK71" s="518">
        <v>0</v>
      </c>
      <c r="BL71" s="518">
        <v>0</v>
      </c>
      <c r="BM71" s="518">
        <v>0</v>
      </c>
      <c r="BN71" s="518">
        <v>0</v>
      </c>
      <c r="BO71" s="518">
        <v>0</v>
      </c>
      <c r="BP71" s="518">
        <v>0</v>
      </c>
      <c r="BQ71" s="518">
        <v>0</v>
      </c>
      <c r="BR71" s="518">
        <v>0</v>
      </c>
      <c r="BS71" s="518">
        <v>0</v>
      </c>
      <c r="BT71" s="518">
        <v>0</v>
      </c>
      <c r="BU71" s="518">
        <v>0</v>
      </c>
      <c r="BV71" s="518">
        <v>0</v>
      </c>
      <c r="BW71" s="518">
        <v>0</v>
      </c>
      <c r="BX71" s="518">
        <v>0</v>
      </c>
      <c r="BY71" s="518">
        <v>0</v>
      </c>
      <c r="BZ71" s="518">
        <v>0</v>
      </c>
      <c r="CA71" s="518">
        <v>0</v>
      </c>
      <c r="CB71" s="518">
        <v>0</v>
      </c>
      <c r="CC71" s="518">
        <v>0</v>
      </c>
      <c r="CD71" s="518">
        <v>0</v>
      </c>
      <c r="CE71" s="518">
        <v>0</v>
      </c>
      <c r="CF71" s="518">
        <v>0</v>
      </c>
      <c r="CG71" s="518">
        <v>0</v>
      </c>
      <c r="CH71" s="518">
        <v>0</v>
      </c>
      <c r="CI71" s="518">
        <v>0</v>
      </c>
      <c r="CJ71" s="518">
        <v>0</v>
      </c>
      <c r="CK71" s="518">
        <v>0</v>
      </c>
      <c r="CL71" s="518">
        <v>0</v>
      </c>
      <c r="CM71" s="518">
        <v>0</v>
      </c>
      <c r="CN71" s="518">
        <v>0</v>
      </c>
      <c r="CO71" s="518">
        <v>0</v>
      </c>
      <c r="CP71" s="518">
        <v>0</v>
      </c>
      <c r="CQ71" s="518">
        <v>0</v>
      </c>
      <c r="CR71" s="518">
        <v>0</v>
      </c>
      <c r="CS71" s="518">
        <v>0</v>
      </c>
      <c r="CT71" s="518">
        <v>0</v>
      </c>
      <c r="CU71" s="518">
        <v>0</v>
      </c>
      <c r="CV71" s="518">
        <v>0</v>
      </c>
      <c r="CW71" s="518">
        <v>0</v>
      </c>
      <c r="CX71" s="518">
        <v>0</v>
      </c>
      <c r="CY71" s="518">
        <v>0</v>
      </c>
      <c r="CZ71" s="518">
        <v>0</v>
      </c>
      <c r="DA71" s="518">
        <v>0</v>
      </c>
      <c r="DB71" s="518">
        <v>0</v>
      </c>
      <c r="DC71" s="518">
        <v>0</v>
      </c>
      <c r="DD71" s="518">
        <v>0</v>
      </c>
      <c r="DE71" s="518">
        <v>0</v>
      </c>
      <c r="DF71" s="518">
        <v>0</v>
      </c>
      <c r="DG71" s="518">
        <v>0</v>
      </c>
      <c r="DH71" s="518">
        <v>0</v>
      </c>
      <c r="DI71" s="518">
        <v>0</v>
      </c>
      <c r="DJ71" s="518">
        <v>0</v>
      </c>
      <c r="DK71" s="518">
        <v>0</v>
      </c>
      <c r="DL71" s="518">
        <v>0</v>
      </c>
      <c r="DM71" s="518">
        <v>0</v>
      </c>
      <c r="DN71" s="518">
        <v>0</v>
      </c>
      <c r="DO71" s="518">
        <v>0</v>
      </c>
      <c r="DP71" s="518">
        <v>0</v>
      </c>
      <c r="DQ71" s="518">
        <v>0</v>
      </c>
      <c r="DR71" s="518">
        <v>0</v>
      </c>
      <c r="DS71" s="518">
        <v>0</v>
      </c>
      <c r="DT71" s="518">
        <v>0</v>
      </c>
      <c r="DU71" s="518">
        <v>0</v>
      </c>
      <c r="DV71" s="518">
        <v>0</v>
      </c>
      <c r="DW71" s="518">
        <v>0</v>
      </c>
      <c r="DX71" s="518">
        <v>0</v>
      </c>
      <c r="DY71" s="477"/>
      <c r="DZ71" s="517" t="s">
        <v>721</v>
      </c>
      <c r="EA71" s="517" t="s">
        <v>1101</v>
      </c>
      <c r="EB71" s="517" t="s">
        <v>26</v>
      </c>
      <c r="EC71" s="518">
        <v>36</v>
      </c>
      <c r="ED71" s="494" t="str">
        <f t="shared" si="3"/>
        <v>SWUC100236</v>
      </c>
      <c r="EE71" s="518">
        <v>10000</v>
      </c>
      <c r="EF71" s="518">
        <v>10000</v>
      </c>
      <c r="EG71" s="518">
        <v>10000</v>
      </c>
      <c r="EH71" s="518">
        <v>10000</v>
      </c>
      <c r="EI71" s="518">
        <v>10000</v>
      </c>
      <c r="EJ71" s="518">
        <v>10000</v>
      </c>
      <c r="EK71" s="518">
        <v>10000</v>
      </c>
      <c r="EL71" s="518">
        <v>10000</v>
      </c>
      <c r="EM71" s="518">
        <v>10000</v>
      </c>
      <c r="EN71" s="518">
        <v>10000</v>
      </c>
      <c r="EO71" s="518">
        <v>0</v>
      </c>
      <c r="EP71" s="518">
        <v>0</v>
      </c>
      <c r="EQ71" s="518">
        <v>0</v>
      </c>
      <c r="ER71" s="518">
        <v>0</v>
      </c>
      <c r="ES71" s="518">
        <v>0</v>
      </c>
      <c r="ET71" s="518">
        <v>0</v>
      </c>
      <c r="EU71" s="518">
        <v>0</v>
      </c>
      <c r="EV71" s="518">
        <v>0</v>
      </c>
      <c r="EW71" s="518">
        <v>0</v>
      </c>
      <c r="EX71" s="518">
        <v>0</v>
      </c>
      <c r="EY71" s="518">
        <v>0</v>
      </c>
      <c r="EZ71" s="518">
        <v>0</v>
      </c>
      <c r="FA71" s="518">
        <v>0</v>
      </c>
      <c r="FB71" s="518">
        <v>0</v>
      </c>
      <c r="FC71" s="518">
        <v>0</v>
      </c>
      <c r="FD71" s="518">
        <v>0</v>
      </c>
      <c r="FE71" s="518">
        <v>0</v>
      </c>
      <c r="FF71" s="518">
        <v>0</v>
      </c>
      <c r="FG71" s="518">
        <v>0</v>
      </c>
      <c r="FH71" s="518">
        <v>0</v>
      </c>
      <c r="FI71" s="518">
        <v>0</v>
      </c>
      <c r="FJ71" s="518">
        <v>0</v>
      </c>
      <c r="FK71" s="518">
        <v>0</v>
      </c>
      <c r="FL71" s="518">
        <v>0</v>
      </c>
      <c r="FM71" s="518">
        <v>0</v>
      </c>
      <c r="FN71" s="518">
        <v>0</v>
      </c>
      <c r="FO71" s="518">
        <v>0</v>
      </c>
      <c r="FP71" s="518">
        <v>0</v>
      </c>
      <c r="FQ71" s="518">
        <v>0</v>
      </c>
      <c r="FR71" s="518">
        <v>0</v>
      </c>
      <c r="FS71" s="518">
        <v>0</v>
      </c>
      <c r="FT71" s="518">
        <v>0</v>
      </c>
      <c r="FU71" s="518">
        <v>0</v>
      </c>
      <c r="FV71" s="518">
        <v>0</v>
      </c>
      <c r="FW71" s="518">
        <v>0</v>
      </c>
      <c r="FX71" s="518">
        <v>0</v>
      </c>
      <c r="FY71" s="518">
        <v>0</v>
      </c>
      <c r="FZ71" s="518">
        <v>0</v>
      </c>
      <c r="GA71" s="518">
        <v>0</v>
      </c>
      <c r="GB71" s="518">
        <v>0</v>
      </c>
      <c r="GC71" s="518">
        <v>0</v>
      </c>
      <c r="GD71" s="518">
        <v>0</v>
      </c>
      <c r="GE71" s="518">
        <v>0</v>
      </c>
      <c r="GF71" s="518">
        <v>0</v>
      </c>
      <c r="GG71" s="518">
        <v>0</v>
      </c>
      <c r="GH71" s="518">
        <v>0</v>
      </c>
      <c r="GI71" s="518">
        <v>0</v>
      </c>
      <c r="GJ71" s="518">
        <v>0</v>
      </c>
      <c r="GK71" s="518">
        <v>0</v>
      </c>
      <c r="GL71" s="518">
        <v>0</v>
      </c>
      <c r="GM71" s="518">
        <v>0</v>
      </c>
      <c r="GN71" s="518">
        <v>0</v>
      </c>
      <c r="GO71" s="518">
        <v>0</v>
      </c>
      <c r="GP71" s="518">
        <v>0</v>
      </c>
      <c r="GQ71" s="518">
        <v>0</v>
      </c>
      <c r="GR71" s="518">
        <v>0</v>
      </c>
      <c r="GS71" s="518">
        <v>0</v>
      </c>
      <c r="GT71" s="518">
        <v>0</v>
      </c>
      <c r="GU71" s="518">
        <v>0</v>
      </c>
      <c r="GV71" s="518">
        <v>0</v>
      </c>
      <c r="GW71" s="518">
        <v>0</v>
      </c>
      <c r="GX71" s="518">
        <v>0</v>
      </c>
      <c r="GY71" s="518">
        <v>0</v>
      </c>
      <c r="GZ71" s="518">
        <v>0</v>
      </c>
      <c r="HA71" s="518">
        <v>0</v>
      </c>
      <c r="HB71" s="518">
        <v>0</v>
      </c>
      <c r="HC71" s="518">
        <v>0</v>
      </c>
      <c r="HD71" s="518">
        <v>0</v>
      </c>
      <c r="HE71" s="518">
        <v>0</v>
      </c>
      <c r="HF71" s="518">
        <v>0</v>
      </c>
      <c r="HG71" s="518">
        <v>0</v>
      </c>
      <c r="HH71" s="518">
        <v>0</v>
      </c>
      <c r="HI71" s="518">
        <v>0</v>
      </c>
      <c r="HJ71" s="518">
        <v>0</v>
      </c>
      <c r="HK71" s="518">
        <v>0</v>
      </c>
      <c r="HL71" s="518">
        <v>0</v>
      </c>
      <c r="HM71" s="518">
        <v>0</v>
      </c>
      <c r="HN71" s="518">
        <v>0</v>
      </c>
      <c r="HO71" s="518">
        <v>0</v>
      </c>
      <c r="HP71" s="518">
        <v>0</v>
      </c>
      <c r="HQ71" s="518">
        <v>0</v>
      </c>
      <c r="HR71" s="518">
        <v>0</v>
      </c>
      <c r="HS71" s="518">
        <v>0</v>
      </c>
      <c r="HT71" s="518">
        <v>0</v>
      </c>
      <c r="HU71" s="518">
        <v>0</v>
      </c>
      <c r="HV71" s="518">
        <v>0</v>
      </c>
      <c r="HW71" s="518">
        <v>0</v>
      </c>
      <c r="HX71" s="518">
        <v>0</v>
      </c>
      <c r="HY71" s="518">
        <v>0</v>
      </c>
      <c r="HZ71" s="518">
        <v>0</v>
      </c>
      <c r="IA71" s="518">
        <v>0</v>
      </c>
      <c r="IB71" s="518">
        <v>0</v>
      </c>
      <c r="IC71" s="518">
        <v>0</v>
      </c>
      <c r="ID71" s="518">
        <v>0</v>
      </c>
      <c r="IE71" s="518">
        <v>0</v>
      </c>
      <c r="IF71" s="518">
        <v>0</v>
      </c>
      <c r="IG71" s="518">
        <v>0</v>
      </c>
      <c r="IH71" s="518">
        <v>0</v>
      </c>
      <c r="II71" s="518">
        <v>0</v>
      </c>
      <c r="IJ71" s="518">
        <v>0</v>
      </c>
      <c r="IK71" s="518">
        <v>0</v>
      </c>
    </row>
    <row r="72" spans="1:245" ht="16.5" hidden="1">
      <c r="A72" s="517" t="s">
        <v>721</v>
      </c>
      <c r="B72" s="517" t="s">
        <v>1101</v>
      </c>
      <c r="C72" s="517" t="s">
        <v>721</v>
      </c>
      <c r="D72" s="558"/>
      <c r="E72" s="517" t="s">
        <v>721</v>
      </c>
      <c r="F72" s="517" t="s">
        <v>26</v>
      </c>
      <c r="G72" s="558"/>
      <c r="H72" s="518">
        <v>37</v>
      </c>
      <c r="I72" s="558"/>
      <c r="J72" s="494" t="str">
        <f t="shared" si="4"/>
        <v>SWUC100237</v>
      </c>
      <c r="K72" s="518">
        <v>142</v>
      </c>
      <c r="M72" s="517" t="s">
        <v>721</v>
      </c>
      <c r="N72" s="517" t="s">
        <v>1101</v>
      </c>
      <c r="O72" s="517" t="s">
        <v>26</v>
      </c>
      <c r="P72" s="518">
        <v>37</v>
      </c>
      <c r="Q72" s="494" t="str">
        <f t="shared" si="5"/>
        <v>SWUC100237</v>
      </c>
      <c r="R72" s="518">
        <v>0</v>
      </c>
      <c r="S72" s="518">
        <v>11</v>
      </c>
      <c r="T72" s="518">
        <v>23</v>
      </c>
      <c r="U72" s="518">
        <v>35</v>
      </c>
      <c r="V72" s="518">
        <v>47</v>
      </c>
      <c r="W72" s="518">
        <v>62</v>
      </c>
      <c r="X72" s="518">
        <v>79</v>
      </c>
      <c r="Y72" s="518">
        <v>98</v>
      </c>
      <c r="Z72" s="518">
        <v>119</v>
      </c>
      <c r="AA72" s="518">
        <v>0</v>
      </c>
      <c r="AB72" s="518">
        <v>0</v>
      </c>
      <c r="AC72" s="518">
        <v>0</v>
      </c>
      <c r="AD72" s="518">
        <v>0</v>
      </c>
      <c r="AE72" s="518">
        <v>0</v>
      </c>
      <c r="AF72" s="518">
        <v>0</v>
      </c>
      <c r="AG72" s="518">
        <v>0</v>
      </c>
      <c r="AH72" s="518">
        <v>0</v>
      </c>
      <c r="AI72" s="518">
        <v>0</v>
      </c>
      <c r="AJ72" s="518">
        <v>0</v>
      </c>
      <c r="AK72" s="518">
        <v>0</v>
      </c>
      <c r="AL72" s="518">
        <v>0</v>
      </c>
      <c r="AM72" s="518">
        <v>0</v>
      </c>
      <c r="AN72" s="518">
        <v>0</v>
      </c>
      <c r="AO72" s="518">
        <v>0</v>
      </c>
      <c r="AP72" s="518">
        <v>0</v>
      </c>
      <c r="AQ72" s="518">
        <v>0</v>
      </c>
      <c r="AR72" s="518">
        <v>0</v>
      </c>
      <c r="AS72" s="518">
        <v>0</v>
      </c>
      <c r="AT72" s="518">
        <v>0</v>
      </c>
      <c r="AU72" s="518">
        <v>0</v>
      </c>
      <c r="AV72" s="518">
        <v>0</v>
      </c>
      <c r="AW72" s="518">
        <v>0</v>
      </c>
      <c r="AX72" s="518">
        <v>0</v>
      </c>
      <c r="AY72" s="518">
        <v>0</v>
      </c>
      <c r="AZ72" s="518">
        <v>0</v>
      </c>
      <c r="BA72" s="518">
        <v>0</v>
      </c>
      <c r="BB72" s="518">
        <v>0</v>
      </c>
      <c r="BC72" s="518">
        <v>0</v>
      </c>
      <c r="BD72" s="518">
        <v>0</v>
      </c>
      <c r="BE72" s="518">
        <v>0</v>
      </c>
      <c r="BF72" s="518">
        <v>0</v>
      </c>
      <c r="BG72" s="518">
        <v>0</v>
      </c>
      <c r="BH72" s="518">
        <v>0</v>
      </c>
      <c r="BI72" s="518">
        <v>0</v>
      </c>
      <c r="BJ72" s="518">
        <v>0</v>
      </c>
      <c r="BK72" s="518">
        <v>0</v>
      </c>
      <c r="BL72" s="518">
        <v>0</v>
      </c>
      <c r="BM72" s="518">
        <v>0</v>
      </c>
      <c r="BN72" s="518">
        <v>0</v>
      </c>
      <c r="BO72" s="518">
        <v>0</v>
      </c>
      <c r="BP72" s="518">
        <v>0</v>
      </c>
      <c r="BQ72" s="518">
        <v>0</v>
      </c>
      <c r="BR72" s="518">
        <v>0</v>
      </c>
      <c r="BS72" s="518">
        <v>0</v>
      </c>
      <c r="BT72" s="518">
        <v>0</v>
      </c>
      <c r="BU72" s="518">
        <v>0</v>
      </c>
      <c r="BV72" s="518">
        <v>0</v>
      </c>
      <c r="BW72" s="518">
        <v>0</v>
      </c>
      <c r="BX72" s="518">
        <v>0</v>
      </c>
      <c r="BY72" s="518">
        <v>0</v>
      </c>
      <c r="BZ72" s="518">
        <v>0</v>
      </c>
      <c r="CA72" s="518">
        <v>0</v>
      </c>
      <c r="CB72" s="518">
        <v>0</v>
      </c>
      <c r="CC72" s="518">
        <v>0</v>
      </c>
      <c r="CD72" s="518">
        <v>0</v>
      </c>
      <c r="CE72" s="518">
        <v>0</v>
      </c>
      <c r="CF72" s="518">
        <v>0</v>
      </c>
      <c r="CG72" s="518">
        <v>0</v>
      </c>
      <c r="CH72" s="518">
        <v>0</v>
      </c>
      <c r="CI72" s="518">
        <v>0</v>
      </c>
      <c r="CJ72" s="518">
        <v>0</v>
      </c>
      <c r="CK72" s="518">
        <v>0</v>
      </c>
      <c r="CL72" s="518">
        <v>0</v>
      </c>
      <c r="CM72" s="518">
        <v>0</v>
      </c>
      <c r="CN72" s="518">
        <v>0</v>
      </c>
      <c r="CO72" s="518">
        <v>0</v>
      </c>
      <c r="CP72" s="518">
        <v>0</v>
      </c>
      <c r="CQ72" s="518">
        <v>0</v>
      </c>
      <c r="CR72" s="518">
        <v>0</v>
      </c>
      <c r="CS72" s="518">
        <v>0</v>
      </c>
      <c r="CT72" s="518">
        <v>0</v>
      </c>
      <c r="CU72" s="518">
        <v>0</v>
      </c>
      <c r="CV72" s="518">
        <v>0</v>
      </c>
      <c r="CW72" s="518">
        <v>0</v>
      </c>
      <c r="CX72" s="518">
        <v>0</v>
      </c>
      <c r="CY72" s="518">
        <v>0</v>
      </c>
      <c r="CZ72" s="518">
        <v>0</v>
      </c>
      <c r="DA72" s="518">
        <v>0</v>
      </c>
      <c r="DB72" s="518">
        <v>0</v>
      </c>
      <c r="DC72" s="518">
        <v>0</v>
      </c>
      <c r="DD72" s="518">
        <v>0</v>
      </c>
      <c r="DE72" s="518">
        <v>0</v>
      </c>
      <c r="DF72" s="518">
        <v>0</v>
      </c>
      <c r="DG72" s="518">
        <v>0</v>
      </c>
      <c r="DH72" s="518">
        <v>0</v>
      </c>
      <c r="DI72" s="518">
        <v>0</v>
      </c>
      <c r="DJ72" s="518">
        <v>0</v>
      </c>
      <c r="DK72" s="518">
        <v>0</v>
      </c>
      <c r="DL72" s="518">
        <v>0</v>
      </c>
      <c r="DM72" s="518">
        <v>0</v>
      </c>
      <c r="DN72" s="518">
        <v>0</v>
      </c>
      <c r="DO72" s="518">
        <v>0</v>
      </c>
      <c r="DP72" s="518">
        <v>0</v>
      </c>
      <c r="DQ72" s="518">
        <v>0</v>
      </c>
      <c r="DR72" s="518">
        <v>0</v>
      </c>
      <c r="DS72" s="518">
        <v>0</v>
      </c>
      <c r="DT72" s="518">
        <v>0</v>
      </c>
      <c r="DU72" s="518">
        <v>0</v>
      </c>
      <c r="DV72" s="518">
        <v>0</v>
      </c>
      <c r="DW72" s="518">
        <v>0</v>
      </c>
      <c r="DX72" s="518">
        <v>0</v>
      </c>
      <c r="DY72" s="477"/>
      <c r="DZ72" s="517" t="s">
        <v>721</v>
      </c>
      <c r="EA72" s="517" t="s">
        <v>1101</v>
      </c>
      <c r="EB72" s="517" t="s">
        <v>26</v>
      </c>
      <c r="EC72" s="518">
        <v>37</v>
      </c>
      <c r="ED72" s="494" t="str">
        <f t="shared" si="3"/>
        <v>SWUC100237</v>
      </c>
      <c r="EE72" s="518">
        <v>10000</v>
      </c>
      <c r="EF72" s="518">
        <v>10000</v>
      </c>
      <c r="EG72" s="518">
        <v>10000</v>
      </c>
      <c r="EH72" s="518">
        <v>10000</v>
      </c>
      <c r="EI72" s="518">
        <v>10000</v>
      </c>
      <c r="EJ72" s="518">
        <v>10000</v>
      </c>
      <c r="EK72" s="518">
        <v>10000</v>
      </c>
      <c r="EL72" s="518">
        <v>10000</v>
      </c>
      <c r="EM72" s="518">
        <v>10000</v>
      </c>
      <c r="EN72" s="518">
        <v>10000</v>
      </c>
      <c r="EO72" s="518">
        <v>0</v>
      </c>
      <c r="EP72" s="518">
        <v>0</v>
      </c>
      <c r="EQ72" s="518">
        <v>0</v>
      </c>
      <c r="ER72" s="518">
        <v>0</v>
      </c>
      <c r="ES72" s="518">
        <v>0</v>
      </c>
      <c r="ET72" s="518">
        <v>0</v>
      </c>
      <c r="EU72" s="518">
        <v>0</v>
      </c>
      <c r="EV72" s="518">
        <v>0</v>
      </c>
      <c r="EW72" s="518">
        <v>0</v>
      </c>
      <c r="EX72" s="518">
        <v>0</v>
      </c>
      <c r="EY72" s="518">
        <v>0</v>
      </c>
      <c r="EZ72" s="518">
        <v>0</v>
      </c>
      <c r="FA72" s="518">
        <v>0</v>
      </c>
      <c r="FB72" s="518">
        <v>0</v>
      </c>
      <c r="FC72" s="518">
        <v>0</v>
      </c>
      <c r="FD72" s="518">
        <v>0</v>
      </c>
      <c r="FE72" s="518">
        <v>0</v>
      </c>
      <c r="FF72" s="518">
        <v>0</v>
      </c>
      <c r="FG72" s="518">
        <v>0</v>
      </c>
      <c r="FH72" s="518">
        <v>0</v>
      </c>
      <c r="FI72" s="518">
        <v>0</v>
      </c>
      <c r="FJ72" s="518">
        <v>0</v>
      </c>
      <c r="FK72" s="518">
        <v>0</v>
      </c>
      <c r="FL72" s="518">
        <v>0</v>
      </c>
      <c r="FM72" s="518">
        <v>0</v>
      </c>
      <c r="FN72" s="518">
        <v>0</v>
      </c>
      <c r="FO72" s="518">
        <v>0</v>
      </c>
      <c r="FP72" s="518">
        <v>0</v>
      </c>
      <c r="FQ72" s="518">
        <v>0</v>
      </c>
      <c r="FR72" s="518">
        <v>0</v>
      </c>
      <c r="FS72" s="518">
        <v>0</v>
      </c>
      <c r="FT72" s="518">
        <v>0</v>
      </c>
      <c r="FU72" s="518">
        <v>0</v>
      </c>
      <c r="FV72" s="518">
        <v>0</v>
      </c>
      <c r="FW72" s="518">
        <v>0</v>
      </c>
      <c r="FX72" s="518">
        <v>0</v>
      </c>
      <c r="FY72" s="518">
        <v>0</v>
      </c>
      <c r="FZ72" s="518">
        <v>0</v>
      </c>
      <c r="GA72" s="518">
        <v>0</v>
      </c>
      <c r="GB72" s="518">
        <v>0</v>
      </c>
      <c r="GC72" s="518">
        <v>0</v>
      </c>
      <c r="GD72" s="518">
        <v>0</v>
      </c>
      <c r="GE72" s="518">
        <v>0</v>
      </c>
      <c r="GF72" s="518">
        <v>0</v>
      </c>
      <c r="GG72" s="518">
        <v>0</v>
      </c>
      <c r="GH72" s="518">
        <v>0</v>
      </c>
      <c r="GI72" s="518">
        <v>0</v>
      </c>
      <c r="GJ72" s="518">
        <v>0</v>
      </c>
      <c r="GK72" s="518">
        <v>0</v>
      </c>
      <c r="GL72" s="518">
        <v>0</v>
      </c>
      <c r="GM72" s="518">
        <v>0</v>
      </c>
      <c r="GN72" s="518">
        <v>0</v>
      </c>
      <c r="GO72" s="518">
        <v>0</v>
      </c>
      <c r="GP72" s="518">
        <v>0</v>
      </c>
      <c r="GQ72" s="518">
        <v>0</v>
      </c>
      <c r="GR72" s="518">
        <v>0</v>
      </c>
      <c r="GS72" s="518">
        <v>0</v>
      </c>
      <c r="GT72" s="518">
        <v>0</v>
      </c>
      <c r="GU72" s="518">
        <v>0</v>
      </c>
      <c r="GV72" s="518">
        <v>0</v>
      </c>
      <c r="GW72" s="518">
        <v>0</v>
      </c>
      <c r="GX72" s="518">
        <v>0</v>
      </c>
      <c r="GY72" s="518">
        <v>0</v>
      </c>
      <c r="GZ72" s="518">
        <v>0</v>
      </c>
      <c r="HA72" s="518">
        <v>0</v>
      </c>
      <c r="HB72" s="518">
        <v>0</v>
      </c>
      <c r="HC72" s="518">
        <v>0</v>
      </c>
      <c r="HD72" s="518">
        <v>0</v>
      </c>
      <c r="HE72" s="518">
        <v>0</v>
      </c>
      <c r="HF72" s="518">
        <v>0</v>
      </c>
      <c r="HG72" s="518">
        <v>0</v>
      </c>
      <c r="HH72" s="518">
        <v>0</v>
      </c>
      <c r="HI72" s="518">
        <v>0</v>
      </c>
      <c r="HJ72" s="518">
        <v>0</v>
      </c>
      <c r="HK72" s="518">
        <v>0</v>
      </c>
      <c r="HL72" s="518">
        <v>0</v>
      </c>
      <c r="HM72" s="518">
        <v>0</v>
      </c>
      <c r="HN72" s="518">
        <v>0</v>
      </c>
      <c r="HO72" s="518">
        <v>0</v>
      </c>
      <c r="HP72" s="518">
        <v>0</v>
      </c>
      <c r="HQ72" s="518">
        <v>0</v>
      </c>
      <c r="HR72" s="518">
        <v>0</v>
      </c>
      <c r="HS72" s="518">
        <v>0</v>
      </c>
      <c r="HT72" s="518">
        <v>0</v>
      </c>
      <c r="HU72" s="518">
        <v>0</v>
      </c>
      <c r="HV72" s="518">
        <v>0</v>
      </c>
      <c r="HW72" s="518">
        <v>0</v>
      </c>
      <c r="HX72" s="518">
        <v>0</v>
      </c>
      <c r="HY72" s="518">
        <v>0</v>
      </c>
      <c r="HZ72" s="518">
        <v>0</v>
      </c>
      <c r="IA72" s="518">
        <v>0</v>
      </c>
      <c r="IB72" s="518">
        <v>0</v>
      </c>
      <c r="IC72" s="518">
        <v>0</v>
      </c>
      <c r="ID72" s="518">
        <v>0</v>
      </c>
      <c r="IE72" s="518">
        <v>0</v>
      </c>
      <c r="IF72" s="518">
        <v>0</v>
      </c>
      <c r="IG72" s="518">
        <v>0</v>
      </c>
      <c r="IH72" s="518">
        <v>0</v>
      </c>
      <c r="II72" s="518">
        <v>0</v>
      </c>
      <c r="IJ72" s="518">
        <v>0</v>
      </c>
      <c r="IK72" s="518">
        <v>0</v>
      </c>
    </row>
    <row r="73" spans="1:245" ht="16.5" hidden="1">
      <c r="A73" s="517" t="s">
        <v>721</v>
      </c>
      <c r="B73" s="517" t="s">
        <v>1101</v>
      </c>
      <c r="C73" s="517" t="s">
        <v>721</v>
      </c>
      <c r="D73" s="558"/>
      <c r="E73" s="517" t="s">
        <v>721</v>
      </c>
      <c r="F73" s="517" t="s">
        <v>26</v>
      </c>
      <c r="G73" s="558"/>
      <c r="H73" s="518">
        <v>38</v>
      </c>
      <c r="I73" s="558"/>
      <c r="J73" s="494" t="str">
        <f t="shared" si="4"/>
        <v>SWUC100238</v>
      </c>
      <c r="K73" s="518">
        <v>150</v>
      </c>
      <c r="M73" s="517" t="s">
        <v>721</v>
      </c>
      <c r="N73" s="517" t="s">
        <v>1101</v>
      </c>
      <c r="O73" s="517" t="s">
        <v>26</v>
      </c>
      <c r="P73" s="518">
        <v>38</v>
      </c>
      <c r="Q73" s="494" t="str">
        <f t="shared" si="5"/>
        <v>SWUC100238</v>
      </c>
      <c r="R73" s="518">
        <v>0</v>
      </c>
      <c r="S73" s="518">
        <v>12</v>
      </c>
      <c r="T73" s="518">
        <v>24</v>
      </c>
      <c r="U73" s="518">
        <v>37</v>
      </c>
      <c r="V73" s="518">
        <v>49</v>
      </c>
      <c r="W73" s="518">
        <v>66</v>
      </c>
      <c r="X73" s="518">
        <v>83</v>
      </c>
      <c r="Y73" s="518">
        <v>104</v>
      </c>
      <c r="Z73" s="518">
        <v>125</v>
      </c>
      <c r="AA73" s="518">
        <v>0</v>
      </c>
      <c r="AB73" s="518">
        <v>0</v>
      </c>
      <c r="AC73" s="518">
        <v>0</v>
      </c>
      <c r="AD73" s="518">
        <v>0</v>
      </c>
      <c r="AE73" s="518">
        <v>0</v>
      </c>
      <c r="AF73" s="518">
        <v>0</v>
      </c>
      <c r="AG73" s="518">
        <v>0</v>
      </c>
      <c r="AH73" s="518">
        <v>0</v>
      </c>
      <c r="AI73" s="518">
        <v>0</v>
      </c>
      <c r="AJ73" s="518">
        <v>0</v>
      </c>
      <c r="AK73" s="518">
        <v>0</v>
      </c>
      <c r="AL73" s="518">
        <v>0</v>
      </c>
      <c r="AM73" s="518">
        <v>0</v>
      </c>
      <c r="AN73" s="518">
        <v>0</v>
      </c>
      <c r="AO73" s="518">
        <v>0</v>
      </c>
      <c r="AP73" s="518">
        <v>0</v>
      </c>
      <c r="AQ73" s="518">
        <v>0</v>
      </c>
      <c r="AR73" s="518">
        <v>0</v>
      </c>
      <c r="AS73" s="518">
        <v>0</v>
      </c>
      <c r="AT73" s="518">
        <v>0</v>
      </c>
      <c r="AU73" s="518">
        <v>0</v>
      </c>
      <c r="AV73" s="518">
        <v>0</v>
      </c>
      <c r="AW73" s="518">
        <v>0</v>
      </c>
      <c r="AX73" s="518">
        <v>0</v>
      </c>
      <c r="AY73" s="518">
        <v>0</v>
      </c>
      <c r="AZ73" s="518">
        <v>0</v>
      </c>
      <c r="BA73" s="518">
        <v>0</v>
      </c>
      <c r="BB73" s="518">
        <v>0</v>
      </c>
      <c r="BC73" s="518">
        <v>0</v>
      </c>
      <c r="BD73" s="518">
        <v>0</v>
      </c>
      <c r="BE73" s="518">
        <v>0</v>
      </c>
      <c r="BF73" s="518">
        <v>0</v>
      </c>
      <c r="BG73" s="518">
        <v>0</v>
      </c>
      <c r="BH73" s="518">
        <v>0</v>
      </c>
      <c r="BI73" s="518">
        <v>0</v>
      </c>
      <c r="BJ73" s="518">
        <v>0</v>
      </c>
      <c r="BK73" s="518">
        <v>0</v>
      </c>
      <c r="BL73" s="518">
        <v>0</v>
      </c>
      <c r="BM73" s="518">
        <v>0</v>
      </c>
      <c r="BN73" s="518">
        <v>0</v>
      </c>
      <c r="BO73" s="518">
        <v>0</v>
      </c>
      <c r="BP73" s="518">
        <v>0</v>
      </c>
      <c r="BQ73" s="518">
        <v>0</v>
      </c>
      <c r="BR73" s="518">
        <v>0</v>
      </c>
      <c r="BS73" s="518">
        <v>0</v>
      </c>
      <c r="BT73" s="518">
        <v>0</v>
      </c>
      <c r="BU73" s="518">
        <v>0</v>
      </c>
      <c r="BV73" s="518">
        <v>0</v>
      </c>
      <c r="BW73" s="518">
        <v>0</v>
      </c>
      <c r="BX73" s="518">
        <v>0</v>
      </c>
      <c r="BY73" s="518">
        <v>0</v>
      </c>
      <c r="BZ73" s="518">
        <v>0</v>
      </c>
      <c r="CA73" s="518">
        <v>0</v>
      </c>
      <c r="CB73" s="518">
        <v>0</v>
      </c>
      <c r="CC73" s="518">
        <v>0</v>
      </c>
      <c r="CD73" s="518">
        <v>0</v>
      </c>
      <c r="CE73" s="518">
        <v>0</v>
      </c>
      <c r="CF73" s="518">
        <v>0</v>
      </c>
      <c r="CG73" s="518">
        <v>0</v>
      </c>
      <c r="CH73" s="518">
        <v>0</v>
      </c>
      <c r="CI73" s="518">
        <v>0</v>
      </c>
      <c r="CJ73" s="518">
        <v>0</v>
      </c>
      <c r="CK73" s="518">
        <v>0</v>
      </c>
      <c r="CL73" s="518">
        <v>0</v>
      </c>
      <c r="CM73" s="518">
        <v>0</v>
      </c>
      <c r="CN73" s="518">
        <v>0</v>
      </c>
      <c r="CO73" s="518">
        <v>0</v>
      </c>
      <c r="CP73" s="518">
        <v>0</v>
      </c>
      <c r="CQ73" s="518">
        <v>0</v>
      </c>
      <c r="CR73" s="518">
        <v>0</v>
      </c>
      <c r="CS73" s="518">
        <v>0</v>
      </c>
      <c r="CT73" s="518">
        <v>0</v>
      </c>
      <c r="CU73" s="518">
        <v>0</v>
      </c>
      <c r="CV73" s="518">
        <v>0</v>
      </c>
      <c r="CW73" s="518">
        <v>0</v>
      </c>
      <c r="CX73" s="518">
        <v>0</v>
      </c>
      <c r="CY73" s="518">
        <v>0</v>
      </c>
      <c r="CZ73" s="518">
        <v>0</v>
      </c>
      <c r="DA73" s="518">
        <v>0</v>
      </c>
      <c r="DB73" s="518">
        <v>0</v>
      </c>
      <c r="DC73" s="518">
        <v>0</v>
      </c>
      <c r="DD73" s="518">
        <v>0</v>
      </c>
      <c r="DE73" s="518">
        <v>0</v>
      </c>
      <c r="DF73" s="518">
        <v>0</v>
      </c>
      <c r="DG73" s="518">
        <v>0</v>
      </c>
      <c r="DH73" s="518">
        <v>0</v>
      </c>
      <c r="DI73" s="518">
        <v>0</v>
      </c>
      <c r="DJ73" s="518">
        <v>0</v>
      </c>
      <c r="DK73" s="518">
        <v>0</v>
      </c>
      <c r="DL73" s="518">
        <v>0</v>
      </c>
      <c r="DM73" s="518">
        <v>0</v>
      </c>
      <c r="DN73" s="518">
        <v>0</v>
      </c>
      <c r="DO73" s="518">
        <v>0</v>
      </c>
      <c r="DP73" s="518">
        <v>0</v>
      </c>
      <c r="DQ73" s="518">
        <v>0</v>
      </c>
      <c r="DR73" s="518">
        <v>0</v>
      </c>
      <c r="DS73" s="518">
        <v>0</v>
      </c>
      <c r="DT73" s="518">
        <v>0</v>
      </c>
      <c r="DU73" s="518">
        <v>0</v>
      </c>
      <c r="DV73" s="518">
        <v>0</v>
      </c>
      <c r="DW73" s="518">
        <v>0</v>
      </c>
      <c r="DX73" s="518">
        <v>0</v>
      </c>
      <c r="DY73" s="477"/>
      <c r="DZ73" s="517" t="s">
        <v>721</v>
      </c>
      <c r="EA73" s="517" t="s">
        <v>1101</v>
      </c>
      <c r="EB73" s="517" t="s">
        <v>26</v>
      </c>
      <c r="EC73" s="518">
        <v>38</v>
      </c>
      <c r="ED73" s="494" t="str">
        <f t="shared" si="3"/>
        <v>SWUC100238</v>
      </c>
      <c r="EE73" s="518">
        <v>10000</v>
      </c>
      <c r="EF73" s="518">
        <v>10000</v>
      </c>
      <c r="EG73" s="518">
        <v>10000</v>
      </c>
      <c r="EH73" s="518">
        <v>10000</v>
      </c>
      <c r="EI73" s="518">
        <v>10000</v>
      </c>
      <c r="EJ73" s="518">
        <v>10000</v>
      </c>
      <c r="EK73" s="518">
        <v>10000</v>
      </c>
      <c r="EL73" s="518">
        <v>10000</v>
      </c>
      <c r="EM73" s="518">
        <v>10000</v>
      </c>
      <c r="EN73" s="518">
        <v>10000</v>
      </c>
      <c r="EO73" s="518">
        <v>0</v>
      </c>
      <c r="EP73" s="518">
        <v>0</v>
      </c>
      <c r="EQ73" s="518">
        <v>0</v>
      </c>
      <c r="ER73" s="518">
        <v>0</v>
      </c>
      <c r="ES73" s="518">
        <v>0</v>
      </c>
      <c r="ET73" s="518">
        <v>0</v>
      </c>
      <c r="EU73" s="518">
        <v>0</v>
      </c>
      <c r="EV73" s="518">
        <v>0</v>
      </c>
      <c r="EW73" s="518">
        <v>0</v>
      </c>
      <c r="EX73" s="518">
        <v>0</v>
      </c>
      <c r="EY73" s="518">
        <v>0</v>
      </c>
      <c r="EZ73" s="518">
        <v>0</v>
      </c>
      <c r="FA73" s="518">
        <v>0</v>
      </c>
      <c r="FB73" s="518">
        <v>0</v>
      </c>
      <c r="FC73" s="518">
        <v>0</v>
      </c>
      <c r="FD73" s="518">
        <v>0</v>
      </c>
      <c r="FE73" s="518">
        <v>0</v>
      </c>
      <c r="FF73" s="518">
        <v>0</v>
      </c>
      <c r="FG73" s="518">
        <v>0</v>
      </c>
      <c r="FH73" s="518">
        <v>0</v>
      </c>
      <c r="FI73" s="518">
        <v>0</v>
      </c>
      <c r="FJ73" s="518">
        <v>0</v>
      </c>
      <c r="FK73" s="518">
        <v>0</v>
      </c>
      <c r="FL73" s="518">
        <v>0</v>
      </c>
      <c r="FM73" s="518">
        <v>0</v>
      </c>
      <c r="FN73" s="518">
        <v>0</v>
      </c>
      <c r="FO73" s="518">
        <v>0</v>
      </c>
      <c r="FP73" s="518">
        <v>0</v>
      </c>
      <c r="FQ73" s="518">
        <v>0</v>
      </c>
      <c r="FR73" s="518">
        <v>0</v>
      </c>
      <c r="FS73" s="518">
        <v>0</v>
      </c>
      <c r="FT73" s="518">
        <v>0</v>
      </c>
      <c r="FU73" s="518">
        <v>0</v>
      </c>
      <c r="FV73" s="518">
        <v>0</v>
      </c>
      <c r="FW73" s="518">
        <v>0</v>
      </c>
      <c r="FX73" s="518">
        <v>0</v>
      </c>
      <c r="FY73" s="518">
        <v>0</v>
      </c>
      <c r="FZ73" s="518">
        <v>0</v>
      </c>
      <c r="GA73" s="518">
        <v>0</v>
      </c>
      <c r="GB73" s="518">
        <v>0</v>
      </c>
      <c r="GC73" s="518">
        <v>0</v>
      </c>
      <c r="GD73" s="518">
        <v>0</v>
      </c>
      <c r="GE73" s="518">
        <v>0</v>
      </c>
      <c r="GF73" s="518">
        <v>0</v>
      </c>
      <c r="GG73" s="518">
        <v>0</v>
      </c>
      <c r="GH73" s="518">
        <v>0</v>
      </c>
      <c r="GI73" s="518">
        <v>0</v>
      </c>
      <c r="GJ73" s="518">
        <v>0</v>
      </c>
      <c r="GK73" s="518">
        <v>0</v>
      </c>
      <c r="GL73" s="518">
        <v>0</v>
      </c>
      <c r="GM73" s="518">
        <v>0</v>
      </c>
      <c r="GN73" s="518">
        <v>0</v>
      </c>
      <c r="GO73" s="518">
        <v>0</v>
      </c>
      <c r="GP73" s="518">
        <v>0</v>
      </c>
      <c r="GQ73" s="518">
        <v>0</v>
      </c>
      <c r="GR73" s="518">
        <v>0</v>
      </c>
      <c r="GS73" s="518">
        <v>0</v>
      </c>
      <c r="GT73" s="518">
        <v>0</v>
      </c>
      <c r="GU73" s="518">
        <v>0</v>
      </c>
      <c r="GV73" s="518">
        <v>0</v>
      </c>
      <c r="GW73" s="518">
        <v>0</v>
      </c>
      <c r="GX73" s="518">
        <v>0</v>
      </c>
      <c r="GY73" s="518">
        <v>0</v>
      </c>
      <c r="GZ73" s="518">
        <v>0</v>
      </c>
      <c r="HA73" s="518">
        <v>0</v>
      </c>
      <c r="HB73" s="518">
        <v>0</v>
      </c>
      <c r="HC73" s="518">
        <v>0</v>
      </c>
      <c r="HD73" s="518">
        <v>0</v>
      </c>
      <c r="HE73" s="518">
        <v>0</v>
      </c>
      <c r="HF73" s="518">
        <v>0</v>
      </c>
      <c r="HG73" s="518">
        <v>0</v>
      </c>
      <c r="HH73" s="518">
        <v>0</v>
      </c>
      <c r="HI73" s="518">
        <v>0</v>
      </c>
      <c r="HJ73" s="518">
        <v>0</v>
      </c>
      <c r="HK73" s="518">
        <v>0</v>
      </c>
      <c r="HL73" s="518">
        <v>0</v>
      </c>
      <c r="HM73" s="518">
        <v>0</v>
      </c>
      <c r="HN73" s="518">
        <v>0</v>
      </c>
      <c r="HO73" s="518">
        <v>0</v>
      </c>
      <c r="HP73" s="518">
        <v>0</v>
      </c>
      <c r="HQ73" s="518">
        <v>0</v>
      </c>
      <c r="HR73" s="518">
        <v>0</v>
      </c>
      <c r="HS73" s="518">
        <v>0</v>
      </c>
      <c r="HT73" s="518">
        <v>0</v>
      </c>
      <c r="HU73" s="518">
        <v>0</v>
      </c>
      <c r="HV73" s="518">
        <v>0</v>
      </c>
      <c r="HW73" s="518">
        <v>0</v>
      </c>
      <c r="HX73" s="518">
        <v>0</v>
      </c>
      <c r="HY73" s="518">
        <v>0</v>
      </c>
      <c r="HZ73" s="518">
        <v>0</v>
      </c>
      <c r="IA73" s="518">
        <v>0</v>
      </c>
      <c r="IB73" s="518">
        <v>0</v>
      </c>
      <c r="IC73" s="518">
        <v>0</v>
      </c>
      <c r="ID73" s="518">
        <v>0</v>
      </c>
      <c r="IE73" s="518">
        <v>0</v>
      </c>
      <c r="IF73" s="518">
        <v>0</v>
      </c>
      <c r="IG73" s="518">
        <v>0</v>
      </c>
      <c r="IH73" s="518">
        <v>0</v>
      </c>
      <c r="II73" s="518">
        <v>0</v>
      </c>
      <c r="IJ73" s="518">
        <v>0</v>
      </c>
      <c r="IK73" s="518">
        <v>0</v>
      </c>
    </row>
    <row r="74" spans="1:245" ht="16.5" hidden="1">
      <c r="A74" s="517" t="s">
        <v>721</v>
      </c>
      <c r="B74" s="517" t="s">
        <v>1101</v>
      </c>
      <c r="C74" s="517" t="s">
        <v>721</v>
      </c>
      <c r="D74" s="558"/>
      <c r="E74" s="517" t="s">
        <v>721</v>
      </c>
      <c r="F74" s="517" t="s">
        <v>26</v>
      </c>
      <c r="G74" s="558"/>
      <c r="H74" s="518">
        <v>39</v>
      </c>
      <c r="I74" s="558"/>
      <c r="J74" s="494" t="str">
        <f t="shared" si="4"/>
        <v>SWUC100239</v>
      </c>
      <c r="K74" s="518">
        <v>158</v>
      </c>
      <c r="M74" s="517" t="s">
        <v>721</v>
      </c>
      <c r="N74" s="517" t="s">
        <v>1101</v>
      </c>
      <c r="O74" s="517" t="s">
        <v>26</v>
      </c>
      <c r="P74" s="518">
        <v>39</v>
      </c>
      <c r="Q74" s="494" t="str">
        <f t="shared" si="5"/>
        <v>SWUC100239</v>
      </c>
      <c r="R74" s="518">
        <v>0</v>
      </c>
      <c r="S74" s="518">
        <v>13</v>
      </c>
      <c r="T74" s="518">
        <v>26</v>
      </c>
      <c r="U74" s="518">
        <v>38</v>
      </c>
      <c r="V74" s="518">
        <v>52</v>
      </c>
      <c r="W74" s="518">
        <v>69</v>
      </c>
      <c r="X74" s="518">
        <v>88</v>
      </c>
      <c r="Y74" s="518">
        <v>109</v>
      </c>
      <c r="Z74" s="518">
        <v>132</v>
      </c>
      <c r="AA74" s="518">
        <v>0</v>
      </c>
      <c r="AB74" s="518">
        <v>0</v>
      </c>
      <c r="AC74" s="518">
        <v>0</v>
      </c>
      <c r="AD74" s="518">
        <v>0</v>
      </c>
      <c r="AE74" s="518">
        <v>0</v>
      </c>
      <c r="AF74" s="518">
        <v>0</v>
      </c>
      <c r="AG74" s="518">
        <v>0</v>
      </c>
      <c r="AH74" s="518">
        <v>0</v>
      </c>
      <c r="AI74" s="518">
        <v>0</v>
      </c>
      <c r="AJ74" s="518">
        <v>0</v>
      </c>
      <c r="AK74" s="518">
        <v>0</v>
      </c>
      <c r="AL74" s="518">
        <v>0</v>
      </c>
      <c r="AM74" s="518">
        <v>0</v>
      </c>
      <c r="AN74" s="518">
        <v>0</v>
      </c>
      <c r="AO74" s="518">
        <v>0</v>
      </c>
      <c r="AP74" s="518">
        <v>0</v>
      </c>
      <c r="AQ74" s="518">
        <v>0</v>
      </c>
      <c r="AR74" s="518">
        <v>0</v>
      </c>
      <c r="AS74" s="518">
        <v>0</v>
      </c>
      <c r="AT74" s="518">
        <v>0</v>
      </c>
      <c r="AU74" s="518">
        <v>0</v>
      </c>
      <c r="AV74" s="518">
        <v>0</v>
      </c>
      <c r="AW74" s="518">
        <v>0</v>
      </c>
      <c r="AX74" s="518">
        <v>0</v>
      </c>
      <c r="AY74" s="518">
        <v>0</v>
      </c>
      <c r="AZ74" s="518">
        <v>0</v>
      </c>
      <c r="BA74" s="518">
        <v>0</v>
      </c>
      <c r="BB74" s="518">
        <v>0</v>
      </c>
      <c r="BC74" s="518">
        <v>0</v>
      </c>
      <c r="BD74" s="518">
        <v>0</v>
      </c>
      <c r="BE74" s="518">
        <v>0</v>
      </c>
      <c r="BF74" s="518">
        <v>0</v>
      </c>
      <c r="BG74" s="518">
        <v>0</v>
      </c>
      <c r="BH74" s="518">
        <v>0</v>
      </c>
      <c r="BI74" s="518">
        <v>0</v>
      </c>
      <c r="BJ74" s="518">
        <v>0</v>
      </c>
      <c r="BK74" s="518">
        <v>0</v>
      </c>
      <c r="BL74" s="518">
        <v>0</v>
      </c>
      <c r="BM74" s="518">
        <v>0</v>
      </c>
      <c r="BN74" s="518">
        <v>0</v>
      </c>
      <c r="BO74" s="518">
        <v>0</v>
      </c>
      <c r="BP74" s="518">
        <v>0</v>
      </c>
      <c r="BQ74" s="518">
        <v>0</v>
      </c>
      <c r="BR74" s="518">
        <v>0</v>
      </c>
      <c r="BS74" s="518">
        <v>0</v>
      </c>
      <c r="BT74" s="518">
        <v>0</v>
      </c>
      <c r="BU74" s="518">
        <v>0</v>
      </c>
      <c r="BV74" s="518">
        <v>0</v>
      </c>
      <c r="BW74" s="518">
        <v>0</v>
      </c>
      <c r="BX74" s="518">
        <v>0</v>
      </c>
      <c r="BY74" s="518">
        <v>0</v>
      </c>
      <c r="BZ74" s="518">
        <v>0</v>
      </c>
      <c r="CA74" s="518">
        <v>0</v>
      </c>
      <c r="CB74" s="518">
        <v>0</v>
      </c>
      <c r="CC74" s="518">
        <v>0</v>
      </c>
      <c r="CD74" s="518">
        <v>0</v>
      </c>
      <c r="CE74" s="518">
        <v>0</v>
      </c>
      <c r="CF74" s="518">
        <v>0</v>
      </c>
      <c r="CG74" s="518">
        <v>0</v>
      </c>
      <c r="CH74" s="518">
        <v>0</v>
      </c>
      <c r="CI74" s="518">
        <v>0</v>
      </c>
      <c r="CJ74" s="518">
        <v>0</v>
      </c>
      <c r="CK74" s="518">
        <v>0</v>
      </c>
      <c r="CL74" s="518">
        <v>0</v>
      </c>
      <c r="CM74" s="518">
        <v>0</v>
      </c>
      <c r="CN74" s="518">
        <v>0</v>
      </c>
      <c r="CO74" s="518">
        <v>0</v>
      </c>
      <c r="CP74" s="518">
        <v>0</v>
      </c>
      <c r="CQ74" s="518">
        <v>0</v>
      </c>
      <c r="CR74" s="518">
        <v>0</v>
      </c>
      <c r="CS74" s="518">
        <v>0</v>
      </c>
      <c r="CT74" s="518">
        <v>0</v>
      </c>
      <c r="CU74" s="518">
        <v>0</v>
      </c>
      <c r="CV74" s="518">
        <v>0</v>
      </c>
      <c r="CW74" s="518">
        <v>0</v>
      </c>
      <c r="CX74" s="518">
        <v>0</v>
      </c>
      <c r="CY74" s="518">
        <v>0</v>
      </c>
      <c r="CZ74" s="518">
        <v>0</v>
      </c>
      <c r="DA74" s="518">
        <v>0</v>
      </c>
      <c r="DB74" s="518">
        <v>0</v>
      </c>
      <c r="DC74" s="518">
        <v>0</v>
      </c>
      <c r="DD74" s="518">
        <v>0</v>
      </c>
      <c r="DE74" s="518">
        <v>0</v>
      </c>
      <c r="DF74" s="518">
        <v>0</v>
      </c>
      <c r="DG74" s="518">
        <v>0</v>
      </c>
      <c r="DH74" s="518">
        <v>0</v>
      </c>
      <c r="DI74" s="518">
        <v>0</v>
      </c>
      <c r="DJ74" s="518">
        <v>0</v>
      </c>
      <c r="DK74" s="518">
        <v>0</v>
      </c>
      <c r="DL74" s="518">
        <v>0</v>
      </c>
      <c r="DM74" s="518">
        <v>0</v>
      </c>
      <c r="DN74" s="518">
        <v>0</v>
      </c>
      <c r="DO74" s="518">
        <v>0</v>
      </c>
      <c r="DP74" s="518">
        <v>0</v>
      </c>
      <c r="DQ74" s="518">
        <v>0</v>
      </c>
      <c r="DR74" s="518">
        <v>0</v>
      </c>
      <c r="DS74" s="518">
        <v>0</v>
      </c>
      <c r="DT74" s="518">
        <v>0</v>
      </c>
      <c r="DU74" s="518">
        <v>0</v>
      </c>
      <c r="DV74" s="518">
        <v>0</v>
      </c>
      <c r="DW74" s="518">
        <v>0</v>
      </c>
      <c r="DX74" s="518">
        <v>0</v>
      </c>
      <c r="DY74" s="477"/>
      <c r="DZ74" s="517" t="s">
        <v>721</v>
      </c>
      <c r="EA74" s="517" t="s">
        <v>1101</v>
      </c>
      <c r="EB74" s="517" t="s">
        <v>26</v>
      </c>
      <c r="EC74" s="518">
        <v>39</v>
      </c>
      <c r="ED74" s="494" t="str">
        <f t="shared" si="3"/>
        <v>SWUC100239</v>
      </c>
      <c r="EE74" s="518">
        <v>10000</v>
      </c>
      <c r="EF74" s="518">
        <v>10000</v>
      </c>
      <c r="EG74" s="518">
        <v>10000</v>
      </c>
      <c r="EH74" s="518">
        <v>10000</v>
      </c>
      <c r="EI74" s="518">
        <v>10000</v>
      </c>
      <c r="EJ74" s="518">
        <v>10000</v>
      </c>
      <c r="EK74" s="518">
        <v>10000</v>
      </c>
      <c r="EL74" s="518">
        <v>10000</v>
      </c>
      <c r="EM74" s="518">
        <v>10000</v>
      </c>
      <c r="EN74" s="518">
        <v>10000</v>
      </c>
      <c r="EO74" s="518">
        <v>0</v>
      </c>
      <c r="EP74" s="518">
        <v>0</v>
      </c>
      <c r="EQ74" s="518">
        <v>0</v>
      </c>
      <c r="ER74" s="518">
        <v>0</v>
      </c>
      <c r="ES74" s="518">
        <v>0</v>
      </c>
      <c r="ET74" s="518">
        <v>0</v>
      </c>
      <c r="EU74" s="518">
        <v>0</v>
      </c>
      <c r="EV74" s="518">
        <v>0</v>
      </c>
      <c r="EW74" s="518">
        <v>0</v>
      </c>
      <c r="EX74" s="518">
        <v>0</v>
      </c>
      <c r="EY74" s="518">
        <v>0</v>
      </c>
      <c r="EZ74" s="518">
        <v>0</v>
      </c>
      <c r="FA74" s="518">
        <v>0</v>
      </c>
      <c r="FB74" s="518">
        <v>0</v>
      </c>
      <c r="FC74" s="518">
        <v>0</v>
      </c>
      <c r="FD74" s="518">
        <v>0</v>
      </c>
      <c r="FE74" s="518">
        <v>0</v>
      </c>
      <c r="FF74" s="518">
        <v>0</v>
      </c>
      <c r="FG74" s="518">
        <v>0</v>
      </c>
      <c r="FH74" s="518">
        <v>0</v>
      </c>
      <c r="FI74" s="518">
        <v>0</v>
      </c>
      <c r="FJ74" s="518">
        <v>0</v>
      </c>
      <c r="FK74" s="518">
        <v>0</v>
      </c>
      <c r="FL74" s="518">
        <v>0</v>
      </c>
      <c r="FM74" s="518">
        <v>0</v>
      </c>
      <c r="FN74" s="518">
        <v>0</v>
      </c>
      <c r="FO74" s="518">
        <v>0</v>
      </c>
      <c r="FP74" s="518">
        <v>0</v>
      </c>
      <c r="FQ74" s="518">
        <v>0</v>
      </c>
      <c r="FR74" s="518">
        <v>0</v>
      </c>
      <c r="FS74" s="518">
        <v>0</v>
      </c>
      <c r="FT74" s="518">
        <v>0</v>
      </c>
      <c r="FU74" s="518">
        <v>0</v>
      </c>
      <c r="FV74" s="518">
        <v>0</v>
      </c>
      <c r="FW74" s="518">
        <v>0</v>
      </c>
      <c r="FX74" s="518">
        <v>0</v>
      </c>
      <c r="FY74" s="518">
        <v>0</v>
      </c>
      <c r="FZ74" s="518">
        <v>0</v>
      </c>
      <c r="GA74" s="518">
        <v>0</v>
      </c>
      <c r="GB74" s="518">
        <v>0</v>
      </c>
      <c r="GC74" s="518">
        <v>0</v>
      </c>
      <c r="GD74" s="518">
        <v>0</v>
      </c>
      <c r="GE74" s="518">
        <v>0</v>
      </c>
      <c r="GF74" s="518">
        <v>0</v>
      </c>
      <c r="GG74" s="518">
        <v>0</v>
      </c>
      <c r="GH74" s="518">
        <v>0</v>
      </c>
      <c r="GI74" s="518">
        <v>0</v>
      </c>
      <c r="GJ74" s="518">
        <v>0</v>
      </c>
      <c r="GK74" s="518">
        <v>0</v>
      </c>
      <c r="GL74" s="518">
        <v>0</v>
      </c>
      <c r="GM74" s="518">
        <v>0</v>
      </c>
      <c r="GN74" s="518">
        <v>0</v>
      </c>
      <c r="GO74" s="518">
        <v>0</v>
      </c>
      <c r="GP74" s="518">
        <v>0</v>
      </c>
      <c r="GQ74" s="518">
        <v>0</v>
      </c>
      <c r="GR74" s="518">
        <v>0</v>
      </c>
      <c r="GS74" s="518">
        <v>0</v>
      </c>
      <c r="GT74" s="518">
        <v>0</v>
      </c>
      <c r="GU74" s="518">
        <v>0</v>
      </c>
      <c r="GV74" s="518">
        <v>0</v>
      </c>
      <c r="GW74" s="518">
        <v>0</v>
      </c>
      <c r="GX74" s="518">
        <v>0</v>
      </c>
      <c r="GY74" s="518">
        <v>0</v>
      </c>
      <c r="GZ74" s="518">
        <v>0</v>
      </c>
      <c r="HA74" s="518">
        <v>0</v>
      </c>
      <c r="HB74" s="518">
        <v>0</v>
      </c>
      <c r="HC74" s="518">
        <v>0</v>
      </c>
      <c r="HD74" s="518">
        <v>0</v>
      </c>
      <c r="HE74" s="518">
        <v>0</v>
      </c>
      <c r="HF74" s="518">
        <v>0</v>
      </c>
      <c r="HG74" s="518">
        <v>0</v>
      </c>
      <c r="HH74" s="518">
        <v>0</v>
      </c>
      <c r="HI74" s="518">
        <v>0</v>
      </c>
      <c r="HJ74" s="518">
        <v>0</v>
      </c>
      <c r="HK74" s="518">
        <v>0</v>
      </c>
      <c r="HL74" s="518">
        <v>0</v>
      </c>
      <c r="HM74" s="518">
        <v>0</v>
      </c>
      <c r="HN74" s="518">
        <v>0</v>
      </c>
      <c r="HO74" s="518">
        <v>0</v>
      </c>
      <c r="HP74" s="518">
        <v>0</v>
      </c>
      <c r="HQ74" s="518">
        <v>0</v>
      </c>
      <c r="HR74" s="518">
        <v>0</v>
      </c>
      <c r="HS74" s="518">
        <v>0</v>
      </c>
      <c r="HT74" s="518">
        <v>0</v>
      </c>
      <c r="HU74" s="518">
        <v>0</v>
      </c>
      <c r="HV74" s="518">
        <v>0</v>
      </c>
      <c r="HW74" s="518">
        <v>0</v>
      </c>
      <c r="HX74" s="518">
        <v>0</v>
      </c>
      <c r="HY74" s="518">
        <v>0</v>
      </c>
      <c r="HZ74" s="518">
        <v>0</v>
      </c>
      <c r="IA74" s="518">
        <v>0</v>
      </c>
      <c r="IB74" s="518">
        <v>0</v>
      </c>
      <c r="IC74" s="518">
        <v>0</v>
      </c>
      <c r="ID74" s="518">
        <v>0</v>
      </c>
      <c r="IE74" s="518">
        <v>0</v>
      </c>
      <c r="IF74" s="518">
        <v>0</v>
      </c>
      <c r="IG74" s="518">
        <v>0</v>
      </c>
      <c r="IH74" s="518">
        <v>0</v>
      </c>
      <c r="II74" s="518">
        <v>0</v>
      </c>
      <c r="IJ74" s="518">
        <v>0</v>
      </c>
      <c r="IK74" s="518">
        <v>0</v>
      </c>
    </row>
    <row r="75" spans="1:245" ht="16.5" hidden="1">
      <c r="A75" s="517" t="s">
        <v>721</v>
      </c>
      <c r="B75" s="517" t="s">
        <v>1101</v>
      </c>
      <c r="C75" s="517" t="s">
        <v>721</v>
      </c>
      <c r="D75" s="558"/>
      <c r="E75" s="517" t="s">
        <v>721</v>
      </c>
      <c r="F75" s="517" t="s">
        <v>26</v>
      </c>
      <c r="G75" s="558"/>
      <c r="H75" s="518">
        <v>40</v>
      </c>
      <c r="I75" s="558"/>
      <c r="J75" s="494" t="str">
        <f t="shared" si="4"/>
        <v>SWUC100240</v>
      </c>
      <c r="K75" s="518">
        <v>165</v>
      </c>
      <c r="M75" s="517" t="s">
        <v>721</v>
      </c>
      <c r="N75" s="517" t="s">
        <v>1101</v>
      </c>
      <c r="O75" s="517" t="s">
        <v>26</v>
      </c>
      <c r="P75" s="518">
        <v>40</v>
      </c>
      <c r="Q75" s="494" t="str">
        <f t="shared" si="5"/>
        <v>SWUC100240</v>
      </c>
      <c r="R75" s="518">
        <v>0</v>
      </c>
      <c r="S75" s="518">
        <v>14</v>
      </c>
      <c r="T75" s="518">
        <v>27</v>
      </c>
      <c r="U75" s="518">
        <v>41</v>
      </c>
      <c r="V75" s="518">
        <v>54</v>
      </c>
      <c r="W75" s="518">
        <v>72</v>
      </c>
      <c r="X75" s="518">
        <v>92</v>
      </c>
      <c r="Y75" s="518">
        <v>114</v>
      </c>
      <c r="Z75" s="518">
        <v>138</v>
      </c>
      <c r="AA75" s="518">
        <v>0</v>
      </c>
      <c r="AB75" s="518">
        <v>0</v>
      </c>
      <c r="AC75" s="518">
        <v>0</v>
      </c>
      <c r="AD75" s="518">
        <v>0</v>
      </c>
      <c r="AE75" s="518">
        <v>0</v>
      </c>
      <c r="AF75" s="518">
        <v>0</v>
      </c>
      <c r="AG75" s="518">
        <v>0</v>
      </c>
      <c r="AH75" s="518">
        <v>0</v>
      </c>
      <c r="AI75" s="518">
        <v>0</v>
      </c>
      <c r="AJ75" s="518">
        <v>0</v>
      </c>
      <c r="AK75" s="518">
        <v>0</v>
      </c>
      <c r="AL75" s="518">
        <v>0</v>
      </c>
      <c r="AM75" s="518">
        <v>0</v>
      </c>
      <c r="AN75" s="518">
        <v>0</v>
      </c>
      <c r="AO75" s="518">
        <v>0</v>
      </c>
      <c r="AP75" s="518">
        <v>0</v>
      </c>
      <c r="AQ75" s="518">
        <v>0</v>
      </c>
      <c r="AR75" s="518">
        <v>0</v>
      </c>
      <c r="AS75" s="518">
        <v>0</v>
      </c>
      <c r="AT75" s="518">
        <v>0</v>
      </c>
      <c r="AU75" s="518">
        <v>0</v>
      </c>
      <c r="AV75" s="518">
        <v>0</v>
      </c>
      <c r="AW75" s="518">
        <v>0</v>
      </c>
      <c r="AX75" s="518">
        <v>0</v>
      </c>
      <c r="AY75" s="518">
        <v>0</v>
      </c>
      <c r="AZ75" s="518">
        <v>0</v>
      </c>
      <c r="BA75" s="518">
        <v>0</v>
      </c>
      <c r="BB75" s="518">
        <v>0</v>
      </c>
      <c r="BC75" s="518">
        <v>0</v>
      </c>
      <c r="BD75" s="518">
        <v>0</v>
      </c>
      <c r="BE75" s="518">
        <v>0</v>
      </c>
      <c r="BF75" s="518">
        <v>0</v>
      </c>
      <c r="BG75" s="518">
        <v>0</v>
      </c>
      <c r="BH75" s="518">
        <v>0</v>
      </c>
      <c r="BI75" s="518">
        <v>0</v>
      </c>
      <c r="BJ75" s="518">
        <v>0</v>
      </c>
      <c r="BK75" s="518">
        <v>0</v>
      </c>
      <c r="BL75" s="518">
        <v>0</v>
      </c>
      <c r="BM75" s="518">
        <v>0</v>
      </c>
      <c r="BN75" s="518">
        <v>0</v>
      </c>
      <c r="BO75" s="518">
        <v>0</v>
      </c>
      <c r="BP75" s="518">
        <v>0</v>
      </c>
      <c r="BQ75" s="518">
        <v>0</v>
      </c>
      <c r="BR75" s="518">
        <v>0</v>
      </c>
      <c r="BS75" s="518">
        <v>0</v>
      </c>
      <c r="BT75" s="518">
        <v>0</v>
      </c>
      <c r="BU75" s="518">
        <v>0</v>
      </c>
      <c r="BV75" s="518">
        <v>0</v>
      </c>
      <c r="BW75" s="518">
        <v>0</v>
      </c>
      <c r="BX75" s="518">
        <v>0</v>
      </c>
      <c r="BY75" s="518">
        <v>0</v>
      </c>
      <c r="BZ75" s="518">
        <v>0</v>
      </c>
      <c r="CA75" s="518">
        <v>0</v>
      </c>
      <c r="CB75" s="518">
        <v>0</v>
      </c>
      <c r="CC75" s="518">
        <v>0</v>
      </c>
      <c r="CD75" s="518">
        <v>0</v>
      </c>
      <c r="CE75" s="518">
        <v>0</v>
      </c>
      <c r="CF75" s="518">
        <v>0</v>
      </c>
      <c r="CG75" s="518">
        <v>0</v>
      </c>
      <c r="CH75" s="518">
        <v>0</v>
      </c>
      <c r="CI75" s="518">
        <v>0</v>
      </c>
      <c r="CJ75" s="518">
        <v>0</v>
      </c>
      <c r="CK75" s="518">
        <v>0</v>
      </c>
      <c r="CL75" s="518">
        <v>0</v>
      </c>
      <c r="CM75" s="518">
        <v>0</v>
      </c>
      <c r="CN75" s="518">
        <v>0</v>
      </c>
      <c r="CO75" s="518">
        <v>0</v>
      </c>
      <c r="CP75" s="518">
        <v>0</v>
      </c>
      <c r="CQ75" s="518">
        <v>0</v>
      </c>
      <c r="CR75" s="518">
        <v>0</v>
      </c>
      <c r="CS75" s="518">
        <v>0</v>
      </c>
      <c r="CT75" s="518">
        <v>0</v>
      </c>
      <c r="CU75" s="518">
        <v>0</v>
      </c>
      <c r="CV75" s="518">
        <v>0</v>
      </c>
      <c r="CW75" s="518">
        <v>0</v>
      </c>
      <c r="CX75" s="518">
        <v>0</v>
      </c>
      <c r="CY75" s="518">
        <v>0</v>
      </c>
      <c r="CZ75" s="518">
        <v>0</v>
      </c>
      <c r="DA75" s="518">
        <v>0</v>
      </c>
      <c r="DB75" s="518">
        <v>0</v>
      </c>
      <c r="DC75" s="518">
        <v>0</v>
      </c>
      <c r="DD75" s="518">
        <v>0</v>
      </c>
      <c r="DE75" s="518">
        <v>0</v>
      </c>
      <c r="DF75" s="518">
        <v>0</v>
      </c>
      <c r="DG75" s="518">
        <v>0</v>
      </c>
      <c r="DH75" s="518">
        <v>0</v>
      </c>
      <c r="DI75" s="518">
        <v>0</v>
      </c>
      <c r="DJ75" s="518">
        <v>0</v>
      </c>
      <c r="DK75" s="518">
        <v>0</v>
      </c>
      <c r="DL75" s="518">
        <v>0</v>
      </c>
      <c r="DM75" s="518">
        <v>0</v>
      </c>
      <c r="DN75" s="518">
        <v>0</v>
      </c>
      <c r="DO75" s="518">
        <v>0</v>
      </c>
      <c r="DP75" s="518">
        <v>0</v>
      </c>
      <c r="DQ75" s="518">
        <v>0</v>
      </c>
      <c r="DR75" s="518">
        <v>0</v>
      </c>
      <c r="DS75" s="518">
        <v>0</v>
      </c>
      <c r="DT75" s="518">
        <v>0</v>
      </c>
      <c r="DU75" s="518">
        <v>0</v>
      </c>
      <c r="DV75" s="518">
        <v>0</v>
      </c>
      <c r="DW75" s="518">
        <v>0</v>
      </c>
      <c r="DX75" s="518">
        <v>0</v>
      </c>
      <c r="DY75" s="477"/>
      <c r="DZ75" s="517" t="s">
        <v>721</v>
      </c>
      <c r="EA75" s="517" t="s">
        <v>1101</v>
      </c>
      <c r="EB75" s="517" t="s">
        <v>26</v>
      </c>
      <c r="EC75" s="518">
        <v>40</v>
      </c>
      <c r="ED75" s="494" t="str">
        <f t="shared" si="3"/>
        <v>SWUC100240</v>
      </c>
      <c r="EE75" s="518">
        <v>10000</v>
      </c>
      <c r="EF75" s="518">
        <v>10000</v>
      </c>
      <c r="EG75" s="518">
        <v>10000</v>
      </c>
      <c r="EH75" s="518">
        <v>10000</v>
      </c>
      <c r="EI75" s="518">
        <v>10000</v>
      </c>
      <c r="EJ75" s="518">
        <v>10000</v>
      </c>
      <c r="EK75" s="518">
        <v>10000</v>
      </c>
      <c r="EL75" s="518">
        <v>10000</v>
      </c>
      <c r="EM75" s="518">
        <v>10000</v>
      </c>
      <c r="EN75" s="518">
        <v>10000</v>
      </c>
      <c r="EO75" s="518">
        <v>0</v>
      </c>
      <c r="EP75" s="518">
        <v>0</v>
      </c>
      <c r="EQ75" s="518">
        <v>0</v>
      </c>
      <c r="ER75" s="518">
        <v>0</v>
      </c>
      <c r="ES75" s="518">
        <v>0</v>
      </c>
      <c r="ET75" s="518">
        <v>0</v>
      </c>
      <c r="EU75" s="518">
        <v>0</v>
      </c>
      <c r="EV75" s="518">
        <v>0</v>
      </c>
      <c r="EW75" s="518">
        <v>0</v>
      </c>
      <c r="EX75" s="518">
        <v>0</v>
      </c>
      <c r="EY75" s="518">
        <v>0</v>
      </c>
      <c r="EZ75" s="518">
        <v>0</v>
      </c>
      <c r="FA75" s="518">
        <v>0</v>
      </c>
      <c r="FB75" s="518">
        <v>0</v>
      </c>
      <c r="FC75" s="518">
        <v>0</v>
      </c>
      <c r="FD75" s="518">
        <v>0</v>
      </c>
      <c r="FE75" s="518">
        <v>0</v>
      </c>
      <c r="FF75" s="518">
        <v>0</v>
      </c>
      <c r="FG75" s="518">
        <v>0</v>
      </c>
      <c r="FH75" s="518">
        <v>0</v>
      </c>
      <c r="FI75" s="518">
        <v>0</v>
      </c>
      <c r="FJ75" s="518">
        <v>0</v>
      </c>
      <c r="FK75" s="518">
        <v>0</v>
      </c>
      <c r="FL75" s="518">
        <v>0</v>
      </c>
      <c r="FM75" s="518">
        <v>0</v>
      </c>
      <c r="FN75" s="518">
        <v>0</v>
      </c>
      <c r="FO75" s="518">
        <v>0</v>
      </c>
      <c r="FP75" s="518">
        <v>0</v>
      </c>
      <c r="FQ75" s="518">
        <v>0</v>
      </c>
      <c r="FR75" s="518">
        <v>0</v>
      </c>
      <c r="FS75" s="518">
        <v>0</v>
      </c>
      <c r="FT75" s="518">
        <v>0</v>
      </c>
      <c r="FU75" s="518">
        <v>0</v>
      </c>
      <c r="FV75" s="518">
        <v>0</v>
      </c>
      <c r="FW75" s="518">
        <v>0</v>
      </c>
      <c r="FX75" s="518">
        <v>0</v>
      </c>
      <c r="FY75" s="518">
        <v>0</v>
      </c>
      <c r="FZ75" s="518">
        <v>0</v>
      </c>
      <c r="GA75" s="518">
        <v>0</v>
      </c>
      <c r="GB75" s="518">
        <v>0</v>
      </c>
      <c r="GC75" s="518">
        <v>0</v>
      </c>
      <c r="GD75" s="518">
        <v>0</v>
      </c>
      <c r="GE75" s="518">
        <v>0</v>
      </c>
      <c r="GF75" s="518">
        <v>0</v>
      </c>
      <c r="GG75" s="518">
        <v>0</v>
      </c>
      <c r="GH75" s="518">
        <v>0</v>
      </c>
      <c r="GI75" s="518">
        <v>0</v>
      </c>
      <c r="GJ75" s="518">
        <v>0</v>
      </c>
      <c r="GK75" s="518">
        <v>0</v>
      </c>
      <c r="GL75" s="518">
        <v>0</v>
      </c>
      <c r="GM75" s="518">
        <v>0</v>
      </c>
      <c r="GN75" s="518">
        <v>0</v>
      </c>
      <c r="GO75" s="518">
        <v>0</v>
      </c>
      <c r="GP75" s="518">
        <v>0</v>
      </c>
      <c r="GQ75" s="518">
        <v>0</v>
      </c>
      <c r="GR75" s="518">
        <v>0</v>
      </c>
      <c r="GS75" s="518">
        <v>0</v>
      </c>
      <c r="GT75" s="518">
        <v>0</v>
      </c>
      <c r="GU75" s="518">
        <v>0</v>
      </c>
      <c r="GV75" s="518">
        <v>0</v>
      </c>
      <c r="GW75" s="518">
        <v>0</v>
      </c>
      <c r="GX75" s="518">
        <v>0</v>
      </c>
      <c r="GY75" s="518">
        <v>0</v>
      </c>
      <c r="GZ75" s="518">
        <v>0</v>
      </c>
      <c r="HA75" s="518">
        <v>0</v>
      </c>
      <c r="HB75" s="518">
        <v>0</v>
      </c>
      <c r="HC75" s="518">
        <v>0</v>
      </c>
      <c r="HD75" s="518">
        <v>0</v>
      </c>
      <c r="HE75" s="518">
        <v>0</v>
      </c>
      <c r="HF75" s="518">
        <v>0</v>
      </c>
      <c r="HG75" s="518">
        <v>0</v>
      </c>
      <c r="HH75" s="518">
        <v>0</v>
      </c>
      <c r="HI75" s="518">
        <v>0</v>
      </c>
      <c r="HJ75" s="518">
        <v>0</v>
      </c>
      <c r="HK75" s="518">
        <v>0</v>
      </c>
      <c r="HL75" s="518">
        <v>0</v>
      </c>
      <c r="HM75" s="518">
        <v>0</v>
      </c>
      <c r="HN75" s="518">
        <v>0</v>
      </c>
      <c r="HO75" s="518">
        <v>0</v>
      </c>
      <c r="HP75" s="518">
        <v>0</v>
      </c>
      <c r="HQ75" s="518">
        <v>0</v>
      </c>
      <c r="HR75" s="518">
        <v>0</v>
      </c>
      <c r="HS75" s="518">
        <v>0</v>
      </c>
      <c r="HT75" s="518">
        <v>0</v>
      </c>
      <c r="HU75" s="518">
        <v>0</v>
      </c>
      <c r="HV75" s="518">
        <v>0</v>
      </c>
      <c r="HW75" s="518">
        <v>0</v>
      </c>
      <c r="HX75" s="518">
        <v>0</v>
      </c>
      <c r="HY75" s="518">
        <v>0</v>
      </c>
      <c r="HZ75" s="518">
        <v>0</v>
      </c>
      <c r="IA75" s="518">
        <v>0</v>
      </c>
      <c r="IB75" s="518">
        <v>0</v>
      </c>
      <c r="IC75" s="518">
        <v>0</v>
      </c>
      <c r="ID75" s="518">
        <v>0</v>
      </c>
      <c r="IE75" s="518">
        <v>0</v>
      </c>
      <c r="IF75" s="518">
        <v>0</v>
      </c>
      <c r="IG75" s="518">
        <v>0</v>
      </c>
      <c r="IH75" s="518">
        <v>0</v>
      </c>
      <c r="II75" s="518">
        <v>0</v>
      </c>
      <c r="IJ75" s="518">
        <v>0</v>
      </c>
      <c r="IK75" s="518">
        <v>0</v>
      </c>
    </row>
    <row r="76" spans="1:245" ht="16.5" hidden="1">
      <c r="A76" s="517" t="s">
        <v>721</v>
      </c>
      <c r="B76" s="517" t="s">
        <v>1101</v>
      </c>
      <c r="C76" s="517" t="s">
        <v>721</v>
      </c>
      <c r="D76" s="558"/>
      <c r="E76" s="517" t="s">
        <v>721</v>
      </c>
      <c r="F76" s="517" t="s">
        <v>26</v>
      </c>
      <c r="G76" s="558"/>
      <c r="H76" s="518">
        <v>41</v>
      </c>
      <c r="I76" s="558"/>
      <c r="J76" s="494" t="str">
        <f t="shared" si="4"/>
        <v>SWUC100241</v>
      </c>
      <c r="K76" s="518">
        <v>180</v>
      </c>
      <c r="M76" s="517" t="s">
        <v>721</v>
      </c>
      <c r="N76" s="517" t="s">
        <v>1101</v>
      </c>
      <c r="O76" s="517" t="s">
        <v>26</v>
      </c>
      <c r="P76" s="518">
        <v>41</v>
      </c>
      <c r="Q76" s="494" t="str">
        <f t="shared" si="5"/>
        <v>SWUC100241</v>
      </c>
      <c r="R76" s="518">
        <v>0</v>
      </c>
      <c r="S76" s="518">
        <v>14</v>
      </c>
      <c r="T76" s="518">
        <v>29</v>
      </c>
      <c r="U76" s="518">
        <v>44</v>
      </c>
      <c r="V76" s="518">
        <v>59</v>
      </c>
      <c r="W76" s="518">
        <v>78</v>
      </c>
      <c r="X76" s="518">
        <v>99</v>
      </c>
      <c r="Y76" s="518">
        <v>123</v>
      </c>
      <c r="Z76" s="518">
        <v>149</v>
      </c>
      <c r="AA76" s="518">
        <v>0</v>
      </c>
      <c r="AB76" s="518">
        <v>0</v>
      </c>
      <c r="AC76" s="518">
        <v>0</v>
      </c>
      <c r="AD76" s="518">
        <v>0</v>
      </c>
      <c r="AE76" s="518">
        <v>0</v>
      </c>
      <c r="AF76" s="518">
        <v>0</v>
      </c>
      <c r="AG76" s="518">
        <v>0</v>
      </c>
      <c r="AH76" s="518">
        <v>0</v>
      </c>
      <c r="AI76" s="518">
        <v>0</v>
      </c>
      <c r="AJ76" s="518">
        <v>0</v>
      </c>
      <c r="AK76" s="518">
        <v>0</v>
      </c>
      <c r="AL76" s="518">
        <v>0</v>
      </c>
      <c r="AM76" s="518">
        <v>0</v>
      </c>
      <c r="AN76" s="518">
        <v>0</v>
      </c>
      <c r="AO76" s="518">
        <v>0</v>
      </c>
      <c r="AP76" s="518">
        <v>0</v>
      </c>
      <c r="AQ76" s="518">
        <v>0</v>
      </c>
      <c r="AR76" s="518">
        <v>0</v>
      </c>
      <c r="AS76" s="518">
        <v>0</v>
      </c>
      <c r="AT76" s="518">
        <v>0</v>
      </c>
      <c r="AU76" s="518">
        <v>0</v>
      </c>
      <c r="AV76" s="518">
        <v>0</v>
      </c>
      <c r="AW76" s="518">
        <v>0</v>
      </c>
      <c r="AX76" s="518">
        <v>0</v>
      </c>
      <c r="AY76" s="518">
        <v>0</v>
      </c>
      <c r="AZ76" s="518">
        <v>0</v>
      </c>
      <c r="BA76" s="518">
        <v>0</v>
      </c>
      <c r="BB76" s="518">
        <v>0</v>
      </c>
      <c r="BC76" s="518">
        <v>0</v>
      </c>
      <c r="BD76" s="518">
        <v>0</v>
      </c>
      <c r="BE76" s="518">
        <v>0</v>
      </c>
      <c r="BF76" s="518">
        <v>0</v>
      </c>
      <c r="BG76" s="518">
        <v>0</v>
      </c>
      <c r="BH76" s="518">
        <v>0</v>
      </c>
      <c r="BI76" s="518">
        <v>0</v>
      </c>
      <c r="BJ76" s="518">
        <v>0</v>
      </c>
      <c r="BK76" s="518">
        <v>0</v>
      </c>
      <c r="BL76" s="518">
        <v>0</v>
      </c>
      <c r="BM76" s="518">
        <v>0</v>
      </c>
      <c r="BN76" s="518">
        <v>0</v>
      </c>
      <c r="BO76" s="518">
        <v>0</v>
      </c>
      <c r="BP76" s="518">
        <v>0</v>
      </c>
      <c r="BQ76" s="518">
        <v>0</v>
      </c>
      <c r="BR76" s="518">
        <v>0</v>
      </c>
      <c r="BS76" s="518">
        <v>0</v>
      </c>
      <c r="BT76" s="518">
        <v>0</v>
      </c>
      <c r="BU76" s="518">
        <v>0</v>
      </c>
      <c r="BV76" s="518">
        <v>0</v>
      </c>
      <c r="BW76" s="518">
        <v>0</v>
      </c>
      <c r="BX76" s="518">
        <v>0</v>
      </c>
      <c r="BY76" s="518">
        <v>0</v>
      </c>
      <c r="BZ76" s="518">
        <v>0</v>
      </c>
      <c r="CA76" s="518">
        <v>0</v>
      </c>
      <c r="CB76" s="518">
        <v>0</v>
      </c>
      <c r="CC76" s="518">
        <v>0</v>
      </c>
      <c r="CD76" s="518">
        <v>0</v>
      </c>
      <c r="CE76" s="518">
        <v>0</v>
      </c>
      <c r="CF76" s="518">
        <v>0</v>
      </c>
      <c r="CG76" s="518">
        <v>0</v>
      </c>
      <c r="CH76" s="518">
        <v>0</v>
      </c>
      <c r="CI76" s="518">
        <v>0</v>
      </c>
      <c r="CJ76" s="518">
        <v>0</v>
      </c>
      <c r="CK76" s="518">
        <v>0</v>
      </c>
      <c r="CL76" s="518">
        <v>0</v>
      </c>
      <c r="CM76" s="518">
        <v>0</v>
      </c>
      <c r="CN76" s="518">
        <v>0</v>
      </c>
      <c r="CO76" s="518">
        <v>0</v>
      </c>
      <c r="CP76" s="518">
        <v>0</v>
      </c>
      <c r="CQ76" s="518">
        <v>0</v>
      </c>
      <c r="CR76" s="518">
        <v>0</v>
      </c>
      <c r="CS76" s="518">
        <v>0</v>
      </c>
      <c r="CT76" s="518">
        <v>0</v>
      </c>
      <c r="CU76" s="518">
        <v>0</v>
      </c>
      <c r="CV76" s="518">
        <v>0</v>
      </c>
      <c r="CW76" s="518">
        <v>0</v>
      </c>
      <c r="CX76" s="518">
        <v>0</v>
      </c>
      <c r="CY76" s="518">
        <v>0</v>
      </c>
      <c r="CZ76" s="518">
        <v>0</v>
      </c>
      <c r="DA76" s="518">
        <v>0</v>
      </c>
      <c r="DB76" s="518">
        <v>0</v>
      </c>
      <c r="DC76" s="518">
        <v>0</v>
      </c>
      <c r="DD76" s="518">
        <v>0</v>
      </c>
      <c r="DE76" s="518">
        <v>0</v>
      </c>
      <c r="DF76" s="518">
        <v>0</v>
      </c>
      <c r="DG76" s="518">
        <v>0</v>
      </c>
      <c r="DH76" s="518">
        <v>0</v>
      </c>
      <c r="DI76" s="518">
        <v>0</v>
      </c>
      <c r="DJ76" s="518">
        <v>0</v>
      </c>
      <c r="DK76" s="518">
        <v>0</v>
      </c>
      <c r="DL76" s="518">
        <v>0</v>
      </c>
      <c r="DM76" s="518">
        <v>0</v>
      </c>
      <c r="DN76" s="518">
        <v>0</v>
      </c>
      <c r="DO76" s="518">
        <v>0</v>
      </c>
      <c r="DP76" s="518">
        <v>0</v>
      </c>
      <c r="DQ76" s="518">
        <v>0</v>
      </c>
      <c r="DR76" s="518">
        <v>0</v>
      </c>
      <c r="DS76" s="518">
        <v>0</v>
      </c>
      <c r="DT76" s="518">
        <v>0</v>
      </c>
      <c r="DU76" s="518">
        <v>0</v>
      </c>
      <c r="DV76" s="518">
        <v>0</v>
      </c>
      <c r="DW76" s="518">
        <v>0</v>
      </c>
      <c r="DX76" s="518">
        <v>0</v>
      </c>
      <c r="DY76" s="477"/>
      <c r="DZ76" s="517" t="s">
        <v>721</v>
      </c>
      <c r="EA76" s="517" t="s">
        <v>1101</v>
      </c>
      <c r="EB76" s="517" t="s">
        <v>26</v>
      </c>
      <c r="EC76" s="518">
        <v>41</v>
      </c>
      <c r="ED76" s="494" t="str">
        <f t="shared" si="3"/>
        <v>SWUC100241</v>
      </c>
      <c r="EE76" s="518">
        <v>10000</v>
      </c>
      <c r="EF76" s="518">
        <v>10000</v>
      </c>
      <c r="EG76" s="518">
        <v>10000</v>
      </c>
      <c r="EH76" s="518">
        <v>10000</v>
      </c>
      <c r="EI76" s="518">
        <v>10000</v>
      </c>
      <c r="EJ76" s="518">
        <v>10000</v>
      </c>
      <c r="EK76" s="518">
        <v>10000</v>
      </c>
      <c r="EL76" s="518">
        <v>10000</v>
      </c>
      <c r="EM76" s="518">
        <v>10000</v>
      </c>
      <c r="EN76" s="518">
        <v>10000</v>
      </c>
      <c r="EO76" s="518">
        <v>0</v>
      </c>
      <c r="EP76" s="518">
        <v>0</v>
      </c>
      <c r="EQ76" s="518">
        <v>0</v>
      </c>
      <c r="ER76" s="518">
        <v>0</v>
      </c>
      <c r="ES76" s="518">
        <v>0</v>
      </c>
      <c r="ET76" s="518">
        <v>0</v>
      </c>
      <c r="EU76" s="518">
        <v>0</v>
      </c>
      <c r="EV76" s="518">
        <v>0</v>
      </c>
      <c r="EW76" s="518">
        <v>0</v>
      </c>
      <c r="EX76" s="518">
        <v>0</v>
      </c>
      <c r="EY76" s="518">
        <v>0</v>
      </c>
      <c r="EZ76" s="518">
        <v>0</v>
      </c>
      <c r="FA76" s="518">
        <v>0</v>
      </c>
      <c r="FB76" s="518">
        <v>0</v>
      </c>
      <c r="FC76" s="518">
        <v>0</v>
      </c>
      <c r="FD76" s="518">
        <v>0</v>
      </c>
      <c r="FE76" s="518">
        <v>0</v>
      </c>
      <c r="FF76" s="518">
        <v>0</v>
      </c>
      <c r="FG76" s="518">
        <v>0</v>
      </c>
      <c r="FH76" s="518">
        <v>0</v>
      </c>
      <c r="FI76" s="518">
        <v>0</v>
      </c>
      <c r="FJ76" s="518">
        <v>0</v>
      </c>
      <c r="FK76" s="518">
        <v>0</v>
      </c>
      <c r="FL76" s="518">
        <v>0</v>
      </c>
      <c r="FM76" s="518">
        <v>0</v>
      </c>
      <c r="FN76" s="518">
        <v>0</v>
      </c>
      <c r="FO76" s="518">
        <v>0</v>
      </c>
      <c r="FP76" s="518">
        <v>0</v>
      </c>
      <c r="FQ76" s="518">
        <v>0</v>
      </c>
      <c r="FR76" s="518">
        <v>0</v>
      </c>
      <c r="FS76" s="518">
        <v>0</v>
      </c>
      <c r="FT76" s="518">
        <v>0</v>
      </c>
      <c r="FU76" s="518">
        <v>0</v>
      </c>
      <c r="FV76" s="518">
        <v>0</v>
      </c>
      <c r="FW76" s="518">
        <v>0</v>
      </c>
      <c r="FX76" s="518">
        <v>0</v>
      </c>
      <c r="FY76" s="518">
        <v>0</v>
      </c>
      <c r="FZ76" s="518">
        <v>0</v>
      </c>
      <c r="GA76" s="518">
        <v>0</v>
      </c>
      <c r="GB76" s="518">
        <v>0</v>
      </c>
      <c r="GC76" s="518">
        <v>0</v>
      </c>
      <c r="GD76" s="518">
        <v>0</v>
      </c>
      <c r="GE76" s="518">
        <v>0</v>
      </c>
      <c r="GF76" s="518">
        <v>0</v>
      </c>
      <c r="GG76" s="518">
        <v>0</v>
      </c>
      <c r="GH76" s="518">
        <v>0</v>
      </c>
      <c r="GI76" s="518">
        <v>0</v>
      </c>
      <c r="GJ76" s="518">
        <v>0</v>
      </c>
      <c r="GK76" s="518">
        <v>0</v>
      </c>
      <c r="GL76" s="518">
        <v>0</v>
      </c>
      <c r="GM76" s="518">
        <v>0</v>
      </c>
      <c r="GN76" s="518">
        <v>0</v>
      </c>
      <c r="GO76" s="518">
        <v>0</v>
      </c>
      <c r="GP76" s="518">
        <v>0</v>
      </c>
      <c r="GQ76" s="518">
        <v>0</v>
      </c>
      <c r="GR76" s="518">
        <v>0</v>
      </c>
      <c r="GS76" s="518">
        <v>0</v>
      </c>
      <c r="GT76" s="518">
        <v>0</v>
      </c>
      <c r="GU76" s="518">
        <v>0</v>
      </c>
      <c r="GV76" s="518">
        <v>0</v>
      </c>
      <c r="GW76" s="518">
        <v>0</v>
      </c>
      <c r="GX76" s="518">
        <v>0</v>
      </c>
      <c r="GY76" s="518">
        <v>0</v>
      </c>
      <c r="GZ76" s="518">
        <v>0</v>
      </c>
      <c r="HA76" s="518">
        <v>0</v>
      </c>
      <c r="HB76" s="518">
        <v>0</v>
      </c>
      <c r="HC76" s="518">
        <v>0</v>
      </c>
      <c r="HD76" s="518">
        <v>0</v>
      </c>
      <c r="HE76" s="518">
        <v>0</v>
      </c>
      <c r="HF76" s="518">
        <v>0</v>
      </c>
      <c r="HG76" s="518">
        <v>0</v>
      </c>
      <c r="HH76" s="518">
        <v>0</v>
      </c>
      <c r="HI76" s="518">
        <v>0</v>
      </c>
      <c r="HJ76" s="518">
        <v>0</v>
      </c>
      <c r="HK76" s="518">
        <v>0</v>
      </c>
      <c r="HL76" s="518">
        <v>0</v>
      </c>
      <c r="HM76" s="518">
        <v>0</v>
      </c>
      <c r="HN76" s="518">
        <v>0</v>
      </c>
      <c r="HO76" s="518">
        <v>0</v>
      </c>
      <c r="HP76" s="518">
        <v>0</v>
      </c>
      <c r="HQ76" s="518">
        <v>0</v>
      </c>
      <c r="HR76" s="518">
        <v>0</v>
      </c>
      <c r="HS76" s="518">
        <v>0</v>
      </c>
      <c r="HT76" s="518">
        <v>0</v>
      </c>
      <c r="HU76" s="518">
        <v>0</v>
      </c>
      <c r="HV76" s="518">
        <v>0</v>
      </c>
      <c r="HW76" s="518">
        <v>0</v>
      </c>
      <c r="HX76" s="518">
        <v>0</v>
      </c>
      <c r="HY76" s="518">
        <v>0</v>
      </c>
      <c r="HZ76" s="518">
        <v>0</v>
      </c>
      <c r="IA76" s="518">
        <v>0</v>
      </c>
      <c r="IB76" s="518">
        <v>0</v>
      </c>
      <c r="IC76" s="518">
        <v>0</v>
      </c>
      <c r="ID76" s="518">
        <v>0</v>
      </c>
      <c r="IE76" s="518">
        <v>0</v>
      </c>
      <c r="IF76" s="518">
        <v>0</v>
      </c>
      <c r="IG76" s="518">
        <v>0</v>
      </c>
      <c r="IH76" s="518">
        <v>0</v>
      </c>
      <c r="II76" s="518">
        <v>0</v>
      </c>
      <c r="IJ76" s="518">
        <v>0</v>
      </c>
      <c r="IK76" s="518">
        <v>0</v>
      </c>
    </row>
    <row r="77" spans="1:245" ht="16.5" hidden="1">
      <c r="A77" s="517" t="s">
        <v>721</v>
      </c>
      <c r="B77" s="517" t="s">
        <v>1101</v>
      </c>
      <c r="C77" s="517" t="s">
        <v>721</v>
      </c>
      <c r="D77" s="558"/>
      <c r="E77" s="517" t="s">
        <v>721</v>
      </c>
      <c r="F77" s="517" t="s">
        <v>26</v>
      </c>
      <c r="G77" s="558"/>
      <c r="H77" s="518">
        <v>42</v>
      </c>
      <c r="I77" s="558"/>
      <c r="J77" s="494" t="str">
        <f t="shared" si="4"/>
        <v>SWUC100242</v>
      </c>
      <c r="K77" s="518">
        <v>195</v>
      </c>
      <c r="M77" s="517" t="s">
        <v>721</v>
      </c>
      <c r="N77" s="517" t="s">
        <v>1101</v>
      </c>
      <c r="O77" s="517" t="s">
        <v>26</v>
      </c>
      <c r="P77" s="518">
        <v>42</v>
      </c>
      <c r="Q77" s="494" t="str">
        <f t="shared" si="5"/>
        <v>SWUC100242</v>
      </c>
      <c r="R77" s="518">
        <v>0</v>
      </c>
      <c r="S77" s="518">
        <v>16</v>
      </c>
      <c r="T77" s="518">
        <v>31</v>
      </c>
      <c r="U77" s="518">
        <v>47</v>
      </c>
      <c r="V77" s="518">
        <v>63</v>
      </c>
      <c r="W77" s="518">
        <v>84</v>
      </c>
      <c r="X77" s="518">
        <v>107</v>
      </c>
      <c r="Y77" s="518">
        <v>133</v>
      </c>
      <c r="Z77" s="518">
        <v>162</v>
      </c>
      <c r="AA77" s="518">
        <v>0</v>
      </c>
      <c r="AB77" s="518">
        <v>0</v>
      </c>
      <c r="AC77" s="518">
        <v>0</v>
      </c>
      <c r="AD77" s="518">
        <v>0</v>
      </c>
      <c r="AE77" s="518">
        <v>0</v>
      </c>
      <c r="AF77" s="518">
        <v>0</v>
      </c>
      <c r="AG77" s="518">
        <v>0</v>
      </c>
      <c r="AH77" s="518">
        <v>0</v>
      </c>
      <c r="AI77" s="518">
        <v>0</v>
      </c>
      <c r="AJ77" s="518">
        <v>0</v>
      </c>
      <c r="AK77" s="518">
        <v>0</v>
      </c>
      <c r="AL77" s="518">
        <v>0</v>
      </c>
      <c r="AM77" s="518">
        <v>0</v>
      </c>
      <c r="AN77" s="518">
        <v>0</v>
      </c>
      <c r="AO77" s="518">
        <v>0</v>
      </c>
      <c r="AP77" s="518">
        <v>0</v>
      </c>
      <c r="AQ77" s="518">
        <v>0</v>
      </c>
      <c r="AR77" s="518">
        <v>0</v>
      </c>
      <c r="AS77" s="518">
        <v>0</v>
      </c>
      <c r="AT77" s="518">
        <v>0</v>
      </c>
      <c r="AU77" s="518">
        <v>0</v>
      </c>
      <c r="AV77" s="518">
        <v>0</v>
      </c>
      <c r="AW77" s="518">
        <v>0</v>
      </c>
      <c r="AX77" s="518">
        <v>0</v>
      </c>
      <c r="AY77" s="518">
        <v>0</v>
      </c>
      <c r="AZ77" s="518">
        <v>0</v>
      </c>
      <c r="BA77" s="518">
        <v>0</v>
      </c>
      <c r="BB77" s="518">
        <v>0</v>
      </c>
      <c r="BC77" s="518">
        <v>0</v>
      </c>
      <c r="BD77" s="518">
        <v>0</v>
      </c>
      <c r="BE77" s="518">
        <v>0</v>
      </c>
      <c r="BF77" s="518">
        <v>0</v>
      </c>
      <c r="BG77" s="518">
        <v>0</v>
      </c>
      <c r="BH77" s="518">
        <v>0</v>
      </c>
      <c r="BI77" s="518">
        <v>0</v>
      </c>
      <c r="BJ77" s="518">
        <v>0</v>
      </c>
      <c r="BK77" s="518">
        <v>0</v>
      </c>
      <c r="BL77" s="518">
        <v>0</v>
      </c>
      <c r="BM77" s="518">
        <v>0</v>
      </c>
      <c r="BN77" s="518">
        <v>0</v>
      </c>
      <c r="BO77" s="518">
        <v>0</v>
      </c>
      <c r="BP77" s="518">
        <v>0</v>
      </c>
      <c r="BQ77" s="518">
        <v>0</v>
      </c>
      <c r="BR77" s="518">
        <v>0</v>
      </c>
      <c r="BS77" s="518">
        <v>0</v>
      </c>
      <c r="BT77" s="518">
        <v>0</v>
      </c>
      <c r="BU77" s="518">
        <v>0</v>
      </c>
      <c r="BV77" s="518">
        <v>0</v>
      </c>
      <c r="BW77" s="518">
        <v>0</v>
      </c>
      <c r="BX77" s="518">
        <v>0</v>
      </c>
      <c r="BY77" s="518">
        <v>0</v>
      </c>
      <c r="BZ77" s="518">
        <v>0</v>
      </c>
      <c r="CA77" s="518">
        <v>0</v>
      </c>
      <c r="CB77" s="518">
        <v>0</v>
      </c>
      <c r="CC77" s="518">
        <v>0</v>
      </c>
      <c r="CD77" s="518">
        <v>0</v>
      </c>
      <c r="CE77" s="518">
        <v>0</v>
      </c>
      <c r="CF77" s="518">
        <v>0</v>
      </c>
      <c r="CG77" s="518">
        <v>0</v>
      </c>
      <c r="CH77" s="518">
        <v>0</v>
      </c>
      <c r="CI77" s="518">
        <v>0</v>
      </c>
      <c r="CJ77" s="518">
        <v>0</v>
      </c>
      <c r="CK77" s="518">
        <v>0</v>
      </c>
      <c r="CL77" s="518">
        <v>0</v>
      </c>
      <c r="CM77" s="518">
        <v>0</v>
      </c>
      <c r="CN77" s="518">
        <v>0</v>
      </c>
      <c r="CO77" s="518">
        <v>0</v>
      </c>
      <c r="CP77" s="518">
        <v>0</v>
      </c>
      <c r="CQ77" s="518">
        <v>0</v>
      </c>
      <c r="CR77" s="518">
        <v>0</v>
      </c>
      <c r="CS77" s="518">
        <v>0</v>
      </c>
      <c r="CT77" s="518">
        <v>0</v>
      </c>
      <c r="CU77" s="518">
        <v>0</v>
      </c>
      <c r="CV77" s="518">
        <v>0</v>
      </c>
      <c r="CW77" s="518">
        <v>0</v>
      </c>
      <c r="CX77" s="518">
        <v>0</v>
      </c>
      <c r="CY77" s="518">
        <v>0</v>
      </c>
      <c r="CZ77" s="518">
        <v>0</v>
      </c>
      <c r="DA77" s="518">
        <v>0</v>
      </c>
      <c r="DB77" s="518">
        <v>0</v>
      </c>
      <c r="DC77" s="518">
        <v>0</v>
      </c>
      <c r="DD77" s="518">
        <v>0</v>
      </c>
      <c r="DE77" s="518">
        <v>0</v>
      </c>
      <c r="DF77" s="518">
        <v>0</v>
      </c>
      <c r="DG77" s="518">
        <v>0</v>
      </c>
      <c r="DH77" s="518">
        <v>0</v>
      </c>
      <c r="DI77" s="518">
        <v>0</v>
      </c>
      <c r="DJ77" s="518">
        <v>0</v>
      </c>
      <c r="DK77" s="518">
        <v>0</v>
      </c>
      <c r="DL77" s="518">
        <v>0</v>
      </c>
      <c r="DM77" s="518">
        <v>0</v>
      </c>
      <c r="DN77" s="518">
        <v>0</v>
      </c>
      <c r="DO77" s="518">
        <v>0</v>
      </c>
      <c r="DP77" s="518">
        <v>0</v>
      </c>
      <c r="DQ77" s="518">
        <v>0</v>
      </c>
      <c r="DR77" s="518">
        <v>0</v>
      </c>
      <c r="DS77" s="518">
        <v>0</v>
      </c>
      <c r="DT77" s="518">
        <v>0</v>
      </c>
      <c r="DU77" s="518">
        <v>0</v>
      </c>
      <c r="DV77" s="518">
        <v>0</v>
      </c>
      <c r="DW77" s="518">
        <v>0</v>
      </c>
      <c r="DX77" s="518">
        <v>0</v>
      </c>
      <c r="DY77" s="477"/>
      <c r="DZ77" s="517" t="s">
        <v>721</v>
      </c>
      <c r="EA77" s="517" t="s">
        <v>1101</v>
      </c>
      <c r="EB77" s="517" t="s">
        <v>26</v>
      </c>
      <c r="EC77" s="518">
        <v>42</v>
      </c>
      <c r="ED77" s="494" t="str">
        <f t="shared" si="3"/>
        <v>SWUC100242</v>
      </c>
      <c r="EE77" s="518">
        <v>10000</v>
      </c>
      <c r="EF77" s="518">
        <v>10000</v>
      </c>
      <c r="EG77" s="518">
        <v>10000</v>
      </c>
      <c r="EH77" s="518">
        <v>10000</v>
      </c>
      <c r="EI77" s="518">
        <v>10000</v>
      </c>
      <c r="EJ77" s="518">
        <v>10000</v>
      </c>
      <c r="EK77" s="518">
        <v>10000</v>
      </c>
      <c r="EL77" s="518">
        <v>10000</v>
      </c>
      <c r="EM77" s="518">
        <v>10000</v>
      </c>
      <c r="EN77" s="518">
        <v>10000</v>
      </c>
      <c r="EO77" s="518">
        <v>0</v>
      </c>
      <c r="EP77" s="518">
        <v>0</v>
      </c>
      <c r="EQ77" s="518">
        <v>0</v>
      </c>
      <c r="ER77" s="518">
        <v>0</v>
      </c>
      <c r="ES77" s="518">
        <v>0</v>
      </c>
      <c r="ET77" s="518">
        <v>0</v>
      </c>
      <c r="EU77" s="518">
        <v>0</v>
      </c>
      <c r="EV77" s="518">
        <v>0</v>
      </c>
      <c r="EW77" s="518">
        <v>0</v>
      </c>
      <c r="EX77" s="518">
        <v>0</v>
      </c>
      <c r="EY77" s="518">
        <v>0</v>
      </c>
      <c r="EZ77" s="518">
        <v>0</v>
      </c>
      <c r="FA77" s="518">
        <v>0</v>
      </c>
      <c r="FB77" s="518">
        <v>0</v>
      </c>
      <c r="FC77" s="518">
        <v>0</v>
      </c>
      <c r="FD77" s="518">
        <v>0</v>
      </c>
      <c r="FE77" s="518">
        <v>0</v>
      </c>
      <c r="FF77" s="518">
        <v>0</v>
      </c>
      <c r="FG77" s="518">
        <v>0</v>
      </c>
      <c r="FH77" s="518">
        <v>0</v>
      </c>
      <c r="FI77" s="518">
        <v>0</v>
      </c>
      <c r="FJ77" s="518">
        <v>0</v>
      </c>
      <c r="FK77" s="518">
        <v>0</v>
      </c>
      <c r="FL77" s="518">
        <v>0</v>
      </c>
      <c r="FM77" s="518">
        <v>0</v>
      </c>
      <c r="FN77" s="518">
        <v>0</v>
      </c>
      <c r="FO77" s="518">
        <v>0</v>
      </c>
      <c r="FP77" s="518">
        <v>0</v>
      </c>
      <c r="FQ77" s="518">
        <v>0</v>
      </c>
      <c r="FR77" s="518">
        <v>0</v>
      </c>
      <c r="FS77" s="518">
        <v>0</v>
      </c>
      <c r="FT77" s="518">
        <v>0</v>
      </c>
      <c r="FU77" s="518">
        <v>0</v>
      </c>
      <c r="FV77" s="518">
        <v>0</v>
      </c>
      <c r="FW77" s="518">
        <v>0</v>
      </c>
      <c r="FX77" s="518">
        <v>0</v>
      </c>
      <c r="FY77" s="518">
        <v>0</v>
      </c>
      <c r="FZ77" s="518">
        <v>0</v>
      </c>
      <c r="GA77" s="518">
        <v>0</v>
      </c>
      <c r="GB77" s="518">
        <v>0</v>
      </c>
      <c r="GC77" s="518">
        <v>0</v>
      </c>
      <c r="GD77" s="518">
        <v>0</v>
      </c>
      <c r="GE77" s="518">
        <v>0</v>
      </c>
      <c r="GF77" s="518">
        <v>0</v>
      </c>
      <c r="GG77" s="518">
        <v>0</v>
      </c>
      <c r="GH77" s="518">
        <v>0</v>
      </c>
      <c r="GI77" s="518">
        <v>0</v>
      </c>
      <c r="GJ77" s="518">
        <v>0</v>
      </c>
      <c r="GK77" s="518">
        <v>0</v>
      </c>
      <c r="GL77" s="518">
        <v>0</v>
      </c>
      <c r="GM77" s="518">
        <v>0</v>
      </c>
      <c r="GN77" s="518">
        <v>0</v>
      </c>
      <c r="GO77" s="518">
        <v>0</v>
      </c>
      <c r="GP77" s="518">
        <v>0</v>
      </c>
      <c r="GQ77" s="518">
        <v>0</v>
      </c>
      <c r="GR77" s="518">
        <v>0</v>
      </c>
      <c r="GS77" s="518">
        <v>0</v>
      </c>
      <c r="GT77" s="518">
        <v>0</v>
      </c>
      <c r="GU77" s="518">
        <v>0</v>
      </c>
      <c r="GV77" s="518">
        <v>0</v>
      </c>
      <c r="GW77" s="518">
        <v>0</v>
      </c>
      <c r="GX77" s="518">
        <v>0</v>
      </c>
      <c r="GY77" s="518">
        <v>0</v>
      </c>
      <c r="GZ77" s="518">
        <v>0</v>
      </c>
      <c r="HA77" s="518">
        <v>0</v>
      </c>
      <c r="HB77" s="518">
        <v>0</v>
      </c>
      <c r="HC77" s="518">
        <v>0</v>
      </c>
      <c r="HD77" s="518">
        <v>0</v>
      </c>
      <c r="HE77" s="518">
        <v>0</v>
      </c>
      <c r="HF77" s="518">
        <v>0</v>
      </c>
      <c r="HG77" s="518">
        <v>0</v>
      </c>
      <c r="HH77" s="518">
        <v>0</v>
      </c>
      <c r="HI77" s="518">
        <v>0</v>
      </c>
      <c r="HJ77" s="518">
        <v>0</v>
      </c>
      <c r="HK77" s="518">
        <v>0</v>
      </c>
      <c r="HL77" s="518">
        <v>0</v>
      </c>
      <c r="HM77" s="518">
        <v>0</v>
      </c>
      <c r="HN77" s="518">
        <v>0</v>
      </c>
      <c r="HO77" s="518">
        <v>0</v>
      </c>
      <c r="HP77" s="518">
        <v>0</v>
      </c>
      <c r="HQ77" s="518">
        <v>0</v>
      </c>
      <c r="HR77" s="518">
        <v>0</v>
      </c>
      <c r="HS77" s="518">
        <v>0</v>
      </c>
      <c r="HT77" s="518">
        <v>0</v>
      </c>
      <c r="HU77" s="518">
        <v>0</v>
      </c>
      <c r="HV77" s="518">
        <v>0</v>
      </c>
      <c r="HW77" s="518">
        <v>0</v>
      </c>
      <c r="HX77" s="518">
        <v>0</v>
      </c>
      <c r="HY77" s="518">
        <v>0</v>
      </c>
      <c r="HZ77" s="518">
        <v>0</v>
      </c>
      <c r="IA77" s="518">
        <v>0</v>
      </c>
      <c r="IB77" s="518">
        <v>0</v>
      </c>
      <c r="IC77" s="518">
        <v>0</v>
      </c>
      <c r="ID77" s="518">
        <v>0</v>
      </c>
      <c r="IE77" s="518">
        <v>0</v>
      </c>
      <c r="IF77" s="518">
        <v>0</v>
      </c>
      <c r="IG77" s="518">
        <v>0</v>
      </c>
      <c r="IH77" s="518">
        <v>0</v>
      </c>
      <c r="II77" s="518">
        <v>0</v>
      </c>
      <c r="IJ77" s="518">
        <v>0</v>
      </c>
      <c r="IK77" s="518">
        <v>0</v>
      </c>
    </row>
    <row r="78" spans="1:245" ht="16.5" hidden="1">
      <c r="A78" s="517" t="s">
        <v>721</v>
      </c>
      <c r="B78" s="517" t="s">
        <v>1101</v>
      </c>
      <c r="C78" s="517" t="s">
        <v>721</v>
      </c>
      <c r="D78" s="558"/>
      <c r="E78" s="517" t="s">
        <v>721</v>
      </c>
      <c r="F78" s="517" t="s">
        <v>26</v>
      </c>
      <c r="G78" s="558"/>
      <c r="H78" s="518">
        <v>43</v>
      </c>
      <c r="I78" s="558"/>
      <c r="J78" s="494" t="str">
        <f t="shared" si="4"/>
        <v>SWUC100243</v>
      </c>
      <c r="K78" s="518">
        <v>210</v>
      </c>
      <c r="M78" s="517" t="s">
        <v>721</v>
      </c>
      <c r="N78" s="517" t="s">
        <v>1101</v>
      </c>
      <c r="O78" s="517" t="s">
        <v>26</v>
      </c>
      <c r="P78" s="518">
        <v>43</v>
      </c>
      <c r="Q78" s="494" t="str">
        <f t="shared" si="5"/>
        <v>SWUC100243</v>
      </c>
      <c r="R78" s="518">
        <v>0</v>
      </c>
      <c r="S78" s="518">
        <v>17</v>
      </c>
      <c r="T78" s="518">
        <v>33</v>
      </c>
      <c r="U78" s="518">
        <v>50</v>
      </c>
      <c r="V78" s="518">
        <v>68</v>
      </c>
      <c r="W78" s="518">
        <v>90</v>
      </c>
      <c r="X78" s="518">
        <v>115</v>
      </c>
      <c r="Y78" s="518">
        <v>143</v>
      </c>
      <c r="Z78" s="518">
        <v>175</v>
      </c>
      <c r="AA78" s="518">
        <v>0</v>
      </c>
      <c r="AB78" s="518">
        <v>0</v>
      </c>
      <c r="AC78" s="518">
        <v>0</v>
      </c>
      <c r="AD78" s="518">
        <v>0</v>
      </c>
      <c r="AE78" s="518">
        <v>0</v>
      </c>
      <c r="AF78" s="518">
        <v>0</v>
      </c>
      <c r="AG78" s="518">
        <v>0</v>
      </c>
      <c r="AH78" s="518">
        <v>0</v>
      </c>
      <c r="AI78" s="518">
        <v>0</v>
      </c>
      <c r="AJ78" s="518">
        <v>0</v>
      </c>
      <c r="AK78" s="518">
        <v>0</v>
      </c>
      <c r="AL78" s="518">
        <v>0</v>
      </c>
      <c r="AM78" s="518">
        <v>0</v>
      </c>
      <c r="AN78" s="518">
        <v>0</v>
      </c>
      <c r="AO78" s="518">
        <v>0</v>
      </c>
      <c r="AP78" s="518">
        <v>0</v>
      </c>
      <c r="AQ78" s="518">
        <v>0</v>
      </c>
      <c r="AR78" s="518">
        <v>0</v>
      </c>
      <c r="AS78" s="518">
        <v>0</v>
      </c>
      <c r="AT78" s="518">
        <v>0</v>
      </c>
      <c r="AU78" s="518">
        <v>0</v>
      </c>
      <c r="AV78" s="518">
        <v>0</v>
      </c>
      <c r="AW78" s="518">
        <v>0</v>
      </c>
      <c r="AX78" s="518">
        <v>0</v>
      </c>
      <c r="AY78" s="518">
        <v>0</v>
      </c>
      <c r="AZ78" s="518">
        <v>0</v>
      </c>
      <c r="BA78" s="518">
        <v>0</v>
      </c>
      <c r="BB78" s="518">
        <v>0</v>
      </c>
      <c r="BC78" s="518">
        <v>0</v>
      </c>
      <c r="BD78" s="518">
        <v>0</v>
      </c>
      <c r="BE78" s="518">
        <v>0</v>
      </c>
      <c r="BF78" s="518">
        <v>0</v>
      </c>
      <c r="BG78" s="518">
        <v>0</v>
      </c>
      <c r="BH78" s="518">
        <v>0</v>
      </c>
      <c r="BI78" s="518">
        <v>0</v>
      </c>
      <c r="BJ78" s="518">
        <v>0</v>
      </c>
      <c r="BK78" s="518">
        <v>0</v>
      </c>
      <c r="BL78" s="518">
        <v>0</v>
      </c>
      <c r="BM78" s="518">
        <v>0</v>
      </c>
      <c r="BN78" s="518">
        <v>0</v>
      </c>
      <c r="BO78" s="518">
        <v>0</v>
      </c>
      <c r="BP78" s="518">
        <v>0</v>
      </c>
      <c r="BQ78" s="518">
        <v>0</v>
      </c>
      <c r="BR78" s="518">
        <v>0</v>
      </c>
      <c r="BS78" s="518">
        <v>0</v>
      </c>
      <c r="BT78" s="518">
        <v>0</v>
      </c>
      <c r="BU78" s="518">
        <v>0</v>
      </c>
      <c r="BV78" s="518">
        <v>0</v>
      </c>
      <c r="BW78" s="518">
        <v>0</v>
      </c>
      <c r="BX78" s="518">
        <v>0</v>
      </c>
      <c r="BY78" s="518">
        <v>0</v>
      </c>
      <c r="BZ78" s="518">
        <v>0</v>
      </c>
      <c r="CA78" s="518">
        <v>0</v>
      </c>
      <c r="CB78" s="518">
        <v>0</v>
      </c>
      <c r="CC78" s="518">
        <v>0</v>
      </c>
      <c r="CD78" s="518">
        <v>0</v>
      </c>
      <c r="CE78" s="518">
        <v>0</v>
      </c>
      <c r="CF78" s="518">
        <v>0</v>
      </c>
      <c r="CG78" s="518">
        <v>0</v>
      </c>
      <c r="CH78" s="518">
        <v>0</v>
      </c>
      <c r="CI78" s="518">
        <v>0</v>
      </c>
      <c r="CJ78" s="518">
        <v>0</v>
      </c>
      <c r="CK78" s="518">
        <v>0</v>
      </c>
      <c r="CL78" s="518">
        <v>0</v>
      </c>
      <c r="CM78" s="518">
        <v>0</v>
      </c>
      <c r="CN78" s="518">
        <v>0</v>
      </c>
      <c r="CO78" s="518">
        <v>0</v>
      </c>
      <c r="CP78" s="518">
        <v>0</v>
      </c>
      <c r="CQ78" s="518">
        <v>0</v>
      </c>
      <c r="CR78" s="518">
        <v>0</v>
      </c>
      <c r="CS78" s="518">
        <v>0</v>
      </c>
      <c r="CT78" s="518">
        <v>0</v>
      </c>
      <c r="CU78" s="518">
        <v>0</v>
      </c>
      <c r="CV78" s="518">
        <v>0</v>
      </c>
      <c r="CW78" s="518">
        <v>0</v>
      </c>
      <c r="CX78" s="518">
        <v>0</v>
      </c>
      <c r="CY78" s="518">
        <v>0</v>
      </c>
      <c r="CZ78" s="518">
        <v>0</v>
      </c>
      <c r="DA78" s="518">
        <v>0</v>
      </c>
      <c r="DB78" s="518">
        <v>0</v>
      </c>
      <c r="DC78" s="518">
        <v>0</v>
      </c>
      <c r="DD78" s="518">
        <v>0</v>
      </c>
      <c r="DE78" s="518">
        <v>0</v>
      </c>
      <c r="DF78" s="518">
        <v>0</v>
      </c>
      <c r="DG78" s="518">
        <v>0</v>
      </c>
      <c r="DH78" s="518">
        <v>0</v>
      </c>
      <c r="DI78" s="518">
        <v>0</v>
      </c>
      <c r="DJ78" s="518">
        <v>0</v>
      </c>
      <c r="DK78" s="518">
        <v>0</v>
      </c>
      <c r="DL78" s="518">
        <v>0</v>
      </c>
      <c r="DM78" s="518">
        <v>0</v>
      </c>
      <c r="DN78" s="518">
        <v>0</v>
      </c>
      <c r="DO78" s="518">
        <v>0</v>
      </c>
      <c r="DP78" s="518">
        <v>0</v>
      </c>
      <c r="DQ78" s="518">
        <v>0</v>
      </c>
      <c r="DR78" s="518">
        <v>0</v>
      </c>
      <c r="DS78" s="518">
        <v>0</v>
      </c>
      <c r="DT78" s="518">
        <v>0</v>
      </c>
      <c r="DU78" s="518">
        <v>0</v>
      </c>
      <c r="DV78" s="518">
        <v>0</v>
      </c>
      <c r="DW78" s="518">
        <v>0</v>
      </c>
      <c r="DX78" s="518">
        <v>0</v>
      </c>
      <c r="DY78" s="477"/>
      <c r="DZ78" s="517" t="s">
        <v>721</v>
      </c>
      <c r="EA78" s="517" t="s">
        <v>1101</v>
      </c>
      <c r="EB78" s="517" t="s">
        <v>26</v>
      </c>
      <c r="EC78" s="518">
        <v>43</v>
      </c>
      <c r="ED78" s="494" t="str">
        <f t="shared" si="3"/>
        <v>SWUC100243</v>
      </c>
      <c r="EE78" s="518">
        <v>10000</v>
      </c>
      <c r="EF78" s="518">
        <v>10000</v>
      </c>
      <c r="EG78" s="518">
        <v>10000</v>
      </c>
      <c r="EH78" s="518">
        <v>10000</v>
      </c>
      <c r="EI78" s="518">
        <v>10000</v>
      </c>
      <c r="EJ78" s="518">
        <v>10000</v>
      </c>
      <c r="EK78" s="518">
        <v>10000</v>
      </c>
      <c r="EL78" s="518">
        <v>10000</v>
      </c>
      <c r="EM78" s="518">
        <v>10000</v>
      </c>
      <c r="EN78" s="518">
        <v>10000</v>
      </c>
      <c r="EO78" s="518">
        <v>0</v>
      </c>
      <c r="EP78" s="518">
        <v>0</v>
      </c>
      <c r="EQ78" s="518">
        <v>0</v>
      </c>
      <c r="ER78" s="518">
        <v>0</v>
      </c>
      <c r="ES78" s="518">
        <v>0</v>
      </c>
      <c r="ET78" s="518">
        <v>0</v>
      </c>
      <c r="EU78" s="518">
        <v>0</v>
      </c>
      <c r="EV78" s="518">
        <v>0</v>
      </c>
      <c r="EW78" s="518">
        <v>0</v>
      </c>
      <c r="EX78" s="518">
        <v>0</v>
      </c>
      <c r="EY78" s="518">
        <v>0</v>
      </c>
      <c r="EZ78" s="518">
        <v>0</v>
      </c>
      <c r="FA78" s="518">
        <v>0</v>
      </c>
      <c r="FB78" s="518">
        <v>0</v>
      </c>
      <c r="FC78" s="518">
        <v>0</v>
      </c>
      <c r="FD78" s="518">
        <v>0</v>
      </c>
      <c r="FE78" s="518">
        <v>0</v>
      </c>
      <c r="FF78" s="518">
        <v>0</v>
      </c>
      <c r="FG78" s="518">
        <v>0</v>
      </c>
      <c r="FH78" s="518">
        <v>0</v>
      </c>
      <c r="FI78" s="518">
        <v>0</v>
      </c>
      <c r="FJ78" s="518">
        <v>0</v>
      </c>
      <c r="FK78" s="518">
        <v>0</v>
      </c>
      <c r="FL78" s="518">
        <v>0</v>
      </c>
      <c r="FM78" s="518">
        <v>0</v>
      </c>
      <c r="FN78" s="518">
        <v>0</v>
      </c>
      <c r="FO78" s="518">
        <v>0</v>
      </c>
      <c r="FP78" s="518">
        <v>0</v>
      </c>
      <c r="FQ78" s="518">
        <v>0</v>
      </c>
      <c r="FR78" s="518">
        <v>0</v>
      </c>
      <c r="FS78" s="518">
        <v>0</v>
      </c>
      <c r="FT78" s="518">
        <v>0</v>
      </c>
      <c r="FU78" s="518">
        <v>0</v>
      </c>
      <c r="FV78" s="518">
        <v>0</v>
      </c>
      <c r="FW78" s="518">
        <v>0</v>
      </c>
      <c r="FX78" s="518">
        <v>0</v>
      </c>
      <c r="FY78" s="518">
        <v>0</v>
      </c>
      <c r="FZ78" s="518">
        <v>0</v>
      </c>
      <c r="GA78" s="518">
        <v>0</v>
      </c>
      <c r="GB78" s="518">
        <v>0</v>
      </c>
      <c r="GC78" s="518">
        <v>0</v>
      </c>
      <c r="GD78" s="518">
        <v>0</v>
      </c>
      <c r="GE78" s="518">
        <v>0</v>
      </c>
      <c r="GF78" s="518">
        <v>0</v>
      </c>
      <c r="GG78" s="518">
        <v>0</v>
      </c>
      <c r="GH78" s="518">
        <v>0</v>
      </c>
      <c r="GI78" s="518">
        <v>0</v>
      </c>
      <c r="GJ78" s="518">
        <v>0</v>
      </c>
      <c r="GK78" s="518">
        <v>0</v>
      </c>
      <c r="GL78" s="518">
        <v>0</v>
      </c>
      <c r="GM78" s="518">
        <v>0</v>
      </c>
      <c r="GN78" s="518">
        <v>0</v>
      </c>
      <c r="GO78" s="518">
        <v>0</v>
      </c>
      <c r="GP78" s="518">
        <v>0</v>
      </c>
      <c r="GQ78" s="518">
        <v>0</v>
      </c>
      <c r="GR78" s="518">
        <v>0</v>
      </c>
      <c r="GS78" s="518">
        <v>0</v>
      </c>
      <c r="GT78" s="518">
        <v>0</v>
      </c>
      <c r="GU78" s="518">
        <v>0</v>
      </c>
      <c r="GV78" s="518">
        <v>0</v>
      </c>
      <c r="GW78" s="518">
        <v>0</v>
      </c>
      <c r="GX78" s="518">
        <v>0</v>
      </c>
      <c r="GY78" s="518">
        <v>0</v>
      </c>
      <c r="GZ78" s="518">
        <v>0</v>
      </c>
      <c r="HA78" s="518">
        <v>0</v>
      </c>
      <c r="HB78" s="518">
        <v>0</v>
      </c>
      <c r="HC78" s="518">
        <v>0</v>
      </c>
      <c r="HD78" s="518">
        <v>0</v>
      </c>
      <c r="HE78" s="518">
        <v>0</v>
      </c>
      <c r="HF78" s="518">
        <v>0</v>
      </c>
      <c r="HG78" s="518">
        <v>0</v>
      </c>
      <c r="HH78" s="518">
        <v>0</v>
      </c>
      <c r="HI78" s="518">
        <v>0</v>
      </c>
      <c r="HJ78" s="518">
        <v>0</v>
      </c>
      <c r="HK78" s="518">
        <v>0</v>
      </c>
      <c r="HL78" s="518">
        <v>0</v>
      </c>
      <c r="HM78" s="518">
        <v>0</v>
      </c>
      <c r="HN78" s="518">
        <v>0</v>
      </c>
      <c r="HO78" s="518">
        <v>0</v>
      </c>
      <c r="HP78" s="518">
        <v>0</v>
      </c>
      <c r="HQ78" s="518">
        <v>0</v>
      </c>
      <c r="HR78" s="518">
        <v>0</v>
      </c>
      <c r="HS78" s="518">
        <v>0</v>
      </c>
      <c r="HT78" s="518">
        <v>0</v>
      </c>
      <c r="HU78" s="518">
        <v>0</v>
      </c>
      <c r="HV78" s="518">
        <v>0</v>
      </c>
      <c r="HW78" s="518">
        <v>0</v>
      </c>
      <c r="HX78" s="518">
        <v>0</v>
      </c>
      <c r="HY78" s="518">
        <v>0</v>
      </c>
      <c r="HZ78" s="518">
        <v>0</v>
      </c>
      <c r="IA78" s="518">
        <v>0</v>
      </c>
      <c r="IB78" s="518">
        <v>0</v>
      </c>
      <c r="IC78" s="518">
        <v>0</v>
      </c>
      <c r="ID78" s="518">
        <v>0</v>
      </c>
      <c r="IE78" s="518">
        <v>0</v>
      </c>
      <c r="IF78" s="518">
        <v>0</v>
      </c>
      <c r="IG78" s="518">
        <v>0</v>
      </c>
      <c r="IH78" s="518">
        <v>0</v>
      </c>
      <c r="II78" s="518">
        <v>0</v>
      </c>
      <c r="IJ78" s="518">
        <v>0</v>
      </c>
      <c r="IK78" s="518">
        <v>0</v>
      </c>
    </row>
    <row r="79" spans="1:245" ht="16.5" hidden="1">
      <c r="A79" s="517" t="s">
        <v>721</v>
      </c>
      <c r="B79" s="517" t="s">
        <v>1101</v>
      </c>
      <c r="C79" s="517" t="s">
        <v>721</v>
      </c>
      <c r="D79" s="558"/>
      <c r="E79" s="517" t="s">
        <v>721</v>
      </c>
      <c r="F79" s="517" t="s">
        <v>26</v>
      </c>
      <c r="G79" s="558"/>
      <c r="H79" s="518">
        <v>44</v>
      </c>
      <c r="I79" s="558"/>
      <c r="J79" s="494" t="str">
        <f t="shared" si="4"/>
        <v>SWUC100244</v>
      </c>
      <c r="K79" s="518">
        <v>225</v>
      </c>
      <c r="M79" s="517" t="s">
        <v>721</v>
      </c>
      <c r="N79" s="517" t="s">
        <v>1101</v>
      </c>
      <c r="O79" s="517" t="s">
        <v>26</v>
      </c>
      <c r="P79" s="518">
        <v>44</v>
      </c>
      <c r="Q79" s="494" t="str">
        <f t="shared" si="5"/>
        <v>SWUC100244</v>
      </c>
      <c r="R79" s="518">
        <v>0</v>
      </c>
      <c r="S79" s="518">
        <v>18</v>
      </c>
      <c r="T79" s="518">
        <v>35</v>
      </c>
      <c r="U79" s="518">
        <v>53</v>
      </c>
      <c r="V79" s="518">
        <v>71</v>
      </c>
      <c r="W79" s="518">
        <v>96</v>
      </c>
      <c r="X79" s="518">
        <v>123</v>
      </c>
      <c r="Y79" s="518">
        <v>154</v>
      </c>
      <c r="Z79" s="518">
        <v>187</v>
      </c>
      <c r="AA79" s="518">
        <v>0</v>
      </c>
      <c r="AB79" s="518">
        <v>0</v>
      </c>
      <c r="AC79" s="518">
        <v>0</v>
      </c>
      <c r="AD79" s="518">
        <v>0</v>
      </c>
      <c r="AE79" s="518">
        <v>0</v>
      </c>
      <c r="AF79" s="518">
        <v>0</v>
      </c>
      <c r="AG79" s="518">
        <v>0</v>
      </c>
      <c r="AH79" s="518">
        <v>0</v>
      </c>
      <c r="AI79" s="518">
        <v>0</v>
      </c>
      <c r="AJ79" s="518">
        <v>0</v>
      </c>
      <c r="AK79" s="518">
        <v>0</v>
      </c>
      <c r="AL79" s="518">
        <v>0</v>
      </c>
      <c r="AM79" s="518">
        <v>0</v>
      </c>
      <c r="AN79" s="518">
        <v>0</v>
      </c>
      <c r="AO79" s="518">
        <v>0</v>
      </c>
      <c r="AP79" s="518">
        <v>0</v>
      </c>
      <c r="AQ79" s="518">
        <v>0</v>
      </c>
      <c r="AR79" s="518">
        <v>0</v>
      </c>
      <c r="AS79" s="518">
        <v>0</v>
      </c>
      <c r="AT79" s="518">
        <v>0</v>
      </c>
      <c r="AU79" s="518">
        <v>0</v>
      </c>
      <c r="AV79" s="518">
        <v>0</v>
      </c>
      <c r="AW79" s="518">
        <v>0</v>
      </c>
      <c r="AX79" s="518">
        <v>0</v>
      </c>
      <c r="AY79" s="518">
        <v>0</v>
      </c>
      <c r="AZ79" s="518">
        <v>0</v>
      </c>
      <c r="BA79" s="518">
        <v>0</v>
      </c>
      <c r="BB79" s="518">
        <v>0</v>
      </c>
      <c r="BC79" s="518">
        <v>0</v>
      </c>
      <c r="BD79" s="518">
        <v>0</v>
      </c>
      <c r="BE79" s="518">
        <v>0</v>
      </c>
      <c r="BF79" s="518">
        <v>0</v>
      </c>
      <c r="BG79" s="518">
        <v>0</v>
      </c>
      <c r="BH79" s="518">
        <v>0</v>
      </c>
      <c r="BI79" s="518">
        <v>0</v>
      </c>
      <c r="BJ79" s="518">
        <v>0</v>
      </c>
      <c r="BK79" s="518">
        <v>0</v>
      </c>
      <c r="BL79" s="518">
        <v>0</v>
      </c>
      <c r="BM79" s="518">
        <v>0</v>
      </c>
      <c r="BN79" s="518">
        <v>0</v>
      </c>
      <c r="BO79" s="518">
        <v>0</v>
      </c>
      <c r="BP79" s="518">
        <v>0</v>
      </c>
      <c r="BQ79" s="518">
        <v>0</v>
      </c>
      <c r="BR79" s="518">
        <v>0</v>
      </c>
      <c r="BS79" s="518">
        <v>0</v>
      </c>
      <c r="BT79" s="518">
        <v>0</v>
      </c>
      <c r="BU79" s="518">
        <v>0</v>
      </c>
      <c r="BV79" s="518">
        <v>0</v>
      </c>
      <c r="BW79" s="518">
        <v>0</v>
      </c>
      <c r="BX79" s="518">
        <v>0</v>
      </c>
      <c r="BY79" s="518">
        <v>0</v>
      </c>
      <c r="BZ79" s="518">
        <v>0</v>
      </c>
      <c r="CA79" s="518">
        <v>0</v>
      </c>
      <c r="CB79" s="518">
        <v>0</v>
      </c>
      <c r="CC79" s="518">
        <v>0</v>
      </c>
      <c r="CD79" s="518">
        <v>0</v>
      </c>
      <c r="CE79" s="518">
        <v>0</v>
      </c>
      <c r="CF79" s="518">
        <v>0</v>
      </c>
      <c r="CG79" s="518">
        <v>0</v>
      </c>
      <c r="CH79" s="518">
        <v>0</v>
      </c>
      <c r="CI79" s="518">
        <v>0</v>
      </c>
      <c r="CJ79" s="518">
        <v>0</v>
      </c>
      <c r="CK79" s="518">
        <v>0</v>
      </c>
      <c r="CL79" s="518">
        <v>0</v>
      </c>
      <c r="CM79" s="518">
        <v>0</v>
      </c>
      <c r="CN79" s="518">
        <v>0</v>
      </c>
      <c r="CO79" s="518">
        <v>0</v>
      </c>
      <c r="CP79" s="518">
        <v>0</v>
      </c>
      <c r="CQ79" s="518">
        <v>0</v>
      </c>
      <c r="CR79" s="518">
        <v>0</v>
      </c>
      <c r="CS79" s="518">
        <v>0</v>
      </c>
      <c r="CT79" s="518">
        <v>0</v>
      </c>
      <c r="CU79" s="518">
        <v>0</v>
      </c>
      <c r="CV79" s="518">
        <v>0</v>
      </c>
      <c r="CW79" s="518">
        <v>0</v>
      </c>
      <c r="CX79" s="518">
        <v>0</v>
      </c>
      <c r="CY79" s="518">
        <v>0</v>
      </c>
      <c r="CZ79" s="518">
        <v>0</v>
      </c>
      <c r="DA79" s="518">
        <v>0</v>
      </c>
      <c r="DB79" s="518">
        <v>0</v>
      </c>
      <c r="DC79" s="518">
        <v>0</v>
      </c>
      <c r="DD79" s="518">
        <v>0</v>
      </c>
      <c r="DE79" s="518">
        <v>0</v>
      </c>
      <c r="DF79" s="518">
        <v>0</v>
      </c>
      <c r="DG79" s="518">
        <v>0</v>
      </c>
      <c r="DH79" s="518">
        <v>0</v>
      </c>
      <c r="DI79" s="518">
        <v>0</v>
      </c>
      <c r="DJ79" s="518">
        <v>0</v>
      </c>
      <c r="DK79" s="518">
        <v>0</v>
      </c>
      <c r="DL79" s="518">
        <v>0</v>
      </c>
      <c r="DM79" s="518">
        <v>0</v>
      </c>
      <c r="DN79" s="518">
        <v>0</v>
      </c>
      <c r="DO79" s="518">
        <v>0</v>
      </c>
      <c r="DP79" s="518">
        <v>0</v>
      </c>
      <c r="DQ79" s="518">
        <v>0</v>
      </c>
      <c r="DR79" s="518">
        <v>0</v>
      </c>
      <c r="DS79" s="518">
        <v>0</v>
      </c>
      <c r="DT79" s="518">
        <v>0</v>
      </c>
      <c r="DU79" s="518">
        <v>0</v>
      </c>
      <c r="DV79" s="518">
        <v>0</v>
      </c>
      <c r="DW79" s="518">
        <v>0</v>
      </c>
      <c r="DX79" s="518">
        <v>0</v>
      </c>
      <c r="DY79" s="477"/>
      <c r="DZ79" s="517" t="s">
        <v>721</v>
      </c>
      <c r="EA79" s="517" t="s">
        <v>1101</v>
      </c>
      <c r="EB79" s="517" t="s">
        <v>26</v>
      </c>
      <c r="EC79" s="518">
        <v>44</v>
      </c>
      <c r="ED79" s="494" t="str">
        <f t="shared" si="3"/>
        <v>SWUC100244</v>
      </c>
      <c r="EE79" s="518">
        <v>10000</v>
      </c>
      <c r="EF79" s="518">
        <v>10000</v>
      </c>
      <c r="EG79" s="518">
        <v>10000</v>
      </c>
      <c r="EH79" s="518">
        <v>10000</v>
      </c>
      <c r="EI79" s="518">
        <v>10000</v>
      </c>
      <c r="EJ79" s="518">
        <v>10000</v>
      </c>
      <c r="EK79" s="518">
        <v>10000</v>
      </c>
      <c r="EL79" s="518">
        <v>10000</v>
      </c>
      <c r="EM79" s="518">
        <v>10000</v>
      </c>
      <c r="EN79" s="518">
        <v>10000</v>
      </c>
      <c r="EO79" s="518">
        <v>0</v>
      </c>
      <c r="EP79" s="518">
        <v>0</v>
      </c>
      <c r="EQ79" s="518">
        <v>0</v>
      </c>
      <c r="ER79" s="518">
        <v>0</v>
      </c>
      <c r="ES79" s="518">
        <v>0</v>
      </c>
      <c r="ET79" s="518">
        <v>0</v>
      </c>
      <c r="EU79" s="518">
        <v>0</v>
      </c>
      <c r="EV79" s="518">
        <v>0</v>
      </c>
      <c r="EW79" s="518">
        <v>0</v>
      </c>
      <c r="EX79" s="518">
        <v>0</v>
      </c>
      <c r="EY79" s="518">
        <v>0</v>
      </c>
      <c r="EZ79" s="518">
        <v>0</v>
      </c>
      <c r="FA79" s="518">
        <v>0</v>
      </c>
      <c r="FB79" s="518">
        <v>0</v>
      </c>
      <c r="FC79" s="518">
        <v>0</v>
      </c>
      <c r="FD79" s="518">
        <v>0</v>
      </c>
      <c r="FE79" s="518">
        <v>0</v>
      </c>
      <c r="FF79" s="518">
        <v>0</v>
      </c>
      <c r="FG79" s="518">
        <v>0</v>
      </c>
      <c r="FH79" s="518">
        <v>0</v>
      </c>
      <c r="FI79" s="518">
        <v>0</v>
      </c>
      <c r="FJ79" s="518">
        <v>0</v>
      </c>
      <c r="FK79" s="518">
        <v>0</v>
      </c>
      <c r="FL79" s="518">
        <v>0</v>
      </c>
      <c r="FM79" s="518">
        <v>0</v>
      </c>
      <c r="FN79" s="518">
        <v>0</v>
      </c>
      <c r="FO79" s="518">
        <v>0</v>
      </c>
      <c r="FP79" s="518">
        <v>0</v>
      </c>
      <c r="FQ79" s="518">
        <v>0</v>
      </c>
      <c r="FR79" s="518">
        <v>0</v>
      </c>
      <c r="FS79" s="518">
        <v>0</v>
      </c>
      <c r="FT79" s="518">
        <v>0</v>
      </c>
      <c r="FU79" s="518">
        <v>0</v>
      </c>
      <c r="FV79" s="518">
        <v>0</v>
      </c>
      <c r="FW79" s="518">
        <v>0</v>
      </c>
      <c r="FX79" s="518">
        <v>0</v>
      </c>
      <c r="FY79" s="518">
        <v>0</v>
      </c>
      <c r="FZ79" s="518">
        <v>0</v>
      </c>
      <c r="GA79" s="518">
        <v>0</v>
      </c>
      <c r="GB79" s="518">
        <v>0</v>
      </c>
      <c r="GC79" s="518">
        <v>0</v>
      </c>
      <c r="GD79" s="518">
        <v>0</v>
      </c>
      <c r="GE79" s="518">
        <v>0</v>
      </c>
      <c r="GF79" s="518">
        <v>0</v>
      </c>
      <c r="GG79" s="518">
        <v>0</v>
      </c>
      <c r="GH79" s="518">
        <v>0</v>
      </c>
      <c r="GI79" s="518">
        <v>0</v>
      </c>
      <c r="GJ79" s="518">
        <v>0</v>
      </c>
      <c r="GK79" s="518">
        <v>0</v>
      </c>
      <c r="GL79" s="518">
        <v>0</v>
      </c>
      <c r="GM79" s="518">
        <v>0</v>
      </c>
      <c r="GN79" s="518">
        <v>0</v>
      </c>
      <c r="GO79" s="518">
        <v>0</v>
      </c>
      <c r="GP79" s="518">
        <v>0</v>
      </c>
      <c r="GQ79" s="518">
        <v>0</v>
      </c>
      <c r="GR79" s="518">
        <v>0</v>
      </c>
      <c r="GS79" s="518">
        <v>0</v>
      </c>
      <c r="GT79" s="518">
        <v>0</v>
      </c>
      <c r="GU79" s="518">
        <v>0</v>
      </c>
      <c r="GV79" s="518">
        <v>0</v>
      </c>
      <c r="GW79" s="518">
        <v>0</v>
      </c>
      <c r="GX79" s="518">
        <v>0</v>
      </c>
      <c r="GY79" s="518">
        <v>0</v>
      </c>
      <c r="GZ79" s="518">
        <v>0</v>
      </c>
      <c r="HA79" s="518">
        <v>0</v>
      </c>
      <c r="HB79" s="518">
        <v>0</v>
      </c>
      <c r="HC79" s="518">
        <v>0</v>
      </c>
      <c r="HD79" s="518">
        <v>0</v>
      </c>
      <c r="HE79" s="518">
        <v>0</v>
      </c>
      <c r="HF79" s="518">
        <v>0</v>
      </c>
      <c r="HG79" s="518">
        <v>0</v>
      </c>
      <c r="HH79" s="518">
        <v>0</v>
      </c>
      <c r="HI79" s="518">
        <v>0</v>
      </c>
      <c r="HJ79" s="518">
        <v>0</v>
      </c>
      <c r="HK79" s="518">
        <v>0</v>
      </c>
      <c r="HL79" s="518">
        <v>0</v>
      </c>
      <c r="HM79" s="518">
        <v>0</v>
      </c>
      <c r="HN79" s="518">
        <v>0</v>
      </c>
      <c r="HO79" s="518">
        <v>0</v>
      </c>
      <c r="HP79" s="518">
        <v>0</v>
      </c>
      <c r="HQ79" s="518">
        <v>0</v>
      </c>
      <c r="HR79" s="518">
        <v>0</v>
      </c>
      <c r="HS79" s="518">
        <v>0</v>
      </c>
      <c r="HT79" s="518">
        <v>0</v>
      </c>
      <c r="HU79" s="518">
        <v>0</v>
      </c>
      <c r="HV79" s="518">
        <v>0</v>
      </c>
      <c r="HW79" s="518">
        <v>0</v>
      </c>
      <c r="HX79" s="518">
        <v>0</v>
      </c>
      <c r="HY79" s="518">
        <v>0</v>
      </c>
      <c r="HZ79" s="518">
        <v>0</v>
      </c>
      <c r="IA79" s="518">
        <v>0</v>
      </c>
      <c r="IB79" s="518">
        <v>0</v>
      </c>
      <c r="IC79" s="518">
        <v>0</v>
      </c>
      <c r="ID79" s="518">
        <v>0</v>
      </c>
      <c r="IE79" s="518">
        <v>0</v>
      </c>
      <c r="IF79" s="518">
        <v>0</v>
      </c>
      <c r="IG79" s="518">
        <v>0</v>
      </c>
      <c r="IH79" s="518">
        <v>0</v>
      </c>
      <c r="II79" s="518">
        <v>0</v>
      </c>
      <c r="IJ79" s="518">
        <v>0</v>
      </c>
      <c r="IK79" s="518">
        <v>0</v>
      </c>
    </row>
    <row r="80" spans="1:245" ht="16.5" hidden="1">
      <c r="A80" s="517" t="s">
        <v>721</v>
      </c>
      <c r="B80" s="517" t="s">
        <v>1101</v>
      </c>
      <c r="C80" s="517" t="s">
        <v>721</v>
      </c>
      <c r="D80" s="558"/>
      <c r="E80" s="517" t="s">
        <v>721</v>
      </c>
      <c r="F80" s="517" t="s">
        <v>26</v>
      </c>
      <c r="G80" s="558"/>
      <c r="H80" s="518">
        <v>45</v>
      </c>
      <c r="I80" s="558"/>
      <c r="J80" s="494" t="str">
        <f t="shared" si="4"/>
        <v>SWUC100245</v>
      </c>
      <c r="K80" s="518">
        <v>240</v>
      </c>
      <c r="M80" s="517" t="s">
        <v>721</v>
      </c>
      <c r="N80" s="517" t="s">
        <v>1101</v>
      </c>
      <c r="O80" s="517" t="s">
        <v>26</v>
      </c>
      <c r="P80" s="518">
        <v>45</v>
      </c>
      <c r="Q80" s="494" t="str">
        <f t="shared" si="5"/>
        <v>SWUC100245</v>
      </c>
      <c r="R80" s="518">
        <v>0</v>
      </c>
      <c r="S80" s="518">
        <v>19</v>
      </c>
      <c r="T80" s="518">
        <v>38</v>
      </c>
      <c r="U80" s="518">
        <v>57</v>
      </c>
      <c r="V80" s="518">
        <v>76</v>
      </c>
      <c r="W80" s="518">
        <v>102</v>
      </c>
      <c r="X80" s="518">
        <v>132</v>
      </c>
      <c r="Y80" s="518">
        <v>165</v>
      </c>
      <c r="Z80" s="518">
        <v>200</v>
      </c>
      <c r="AA80" s="518">
        <v>0</v>
      </c>
      <c r="AB80" s="518">
        <v>0</v>
      </c>
      <c r="AC80" s="518">
        <v>0</v>
      </c>
      <c r="AD80" s="518">
        <v>0</v>
      </c>
      <c r="AE80" s="518">
        <v>0</v>
      </c>
      <c r="AF80" s="518">
        <v>0</v>
      </c>
      <c r="AG80" s="518">
        <v>0</v>
      </c>
      <c r="AH80" s="518">
        <v>0</v>
      </c>
      <c r="AI80" s="518">
        <v>0</v>
      </c>
      <c r="AJ80" s="518">
        <v>0</v>
      </c>
      <c r="AK80" s="518">
        <v>0</v>
      </c>
      <c r="AL80" s="518">
        <v>0</v>
      </c>
      <c r="AM80" s="518">
        <v>0</v>
      </c>
      <c r="AN80" s="518">
        <v>0</v>
      </c>
      <c r="AO80" s="518">
        <v>0</v>
      </c>
      <c r="AP80" s="518">
        <v>0</v>
      </c>
      <c r="AQ80" s="518">
        <v>0</v>
      </c>
      <c r="AR80" s="518">
        <v>0</v>
      </c>
      <c r="AS80" s="518">
        <v>0</v>
      </c>
      <c r="AT80" s="518">
        <v>0</v>
      </c>
      <c r="AU80" s="518">
        <v>0</v>
      </c>
      <c r="AV80" s="518">
        <v>0</v>
      </c>
      <c r="AW80" s="518">
        <v>0</v>
      </c>
      <c r="AX80" s="518">
        <v>0</v>
      </c>
      <c r="AY80" s="518">
        <v>0</v>
      </c>
      <c r="AZ80" s="518">
        <v>0</v>
      </c>
      <c r="BA80" s="518">
        <v>0</v>
      </c>
      <c r="BB80" s="518">
        <v>0</v>
      </c>
      <c r="BC80" s="518">
        <v>0</v>
      </c>
      <c r="BD80" s="518">
        <v>0</v>
      </c>
      <c r="BE80" s="518">
        <v>0</v>
      </c>
      <c r="BF80" s="518">
        <v>0</v>
      </c>
      <c r="BG80" s="518">
        <v>0</v>
      </c>
      <c r="BH80" s="518">
        <v>0</v>
      </c>
      <c r="BI80" s="518">
        <v>0</v>
      </c>
      <c r="BJ80" s="518">
        <v>0</v>
      </c>
      <c r="BK80" s="518">
        <v>0</v>
      </c>
      <c r="BL80" s="518">
        <v>0</v>
      </c>
      <c r="BM80" s="518">
        <v>0</v>
      </c>
      <c r="BN80" s="518">
        <v>0</v>
      </c>
      <c r="BO80" s="518">
        <v>0</v>
      </c>
      <c r="BP80" s="518">
        <v>0</v>
      </c>
      <c r="BQ80" s="518">
        <v>0</v>
      </c>
      <c r="BR80" s="518">
        <v>0</v>
      </c>
      <c r="BS80" s="518">
        <v>0</v>
      </c>
      <c r="BT80" s="518">
        <v>0</v>
      </c>
      <c r="BU80" s="518">
        <v>0</v>
      </c>
      <c r="BV80" s="518">
        <v>0</v>
      </c>
      <c r="BW80" s="518">
        <v>0</v>
      </c>
      <c r="BX80" s="518">
        <v>0</v>
      </c>
      <c r="BY80" s="518">
        <v>0</v>
      </c>
      <c r="BZ80" s="518">
        <v>0</v>
      </c>
      <c r="CA80" s="518">
        <v>0</v>
      </c>
      <c r="CB80" s="518">
        <v>0</v>
      </c>
      <c r="CC80" s="518">
        <v>0</v>
      </c>
      <c r="CD80" s="518">
        <v>0</v>
      </c>
      <c r="CE80" s="518">
        <v>0</v>
      </c>
      <c r="CF80" s="518">
        <v>0</v>
      </c>
      <c r="CG80" s="518">
        <v>0</v>
      </c>
      <c r="CH80" s="518">
        <v>0</v>
      </c>
      <c r="CI80" s="518">
        <v>0</v>
      </c>
      <c r="CJ80" s="518">
        <v>0</v>
      </c>
      <c r="CK80" s="518">
        <v>0</v>
      </c>
      <c r="CL80" s="518">
        <v>0</v>
      </c>
      <c r="CM80" s="518">
        <v>0</v>
      </c>
      <c r="CN80" s="518">
        <v>0</v>
      </c>
      <c r="CO80" s="518">
        <v>0</v>
      </c>
      <c r="CP80" s="518">
        <v>0</v>
      </c>
      <c r="CQ80" s="518">
        <v>0</v>
      </c>
      <c r="CR80" s="518">
        <v>0</v>
      </c>
      <c r="CS80" s="518">
        <v>0</v>
      </c>
      <c r="CT80" s="518">
        <v>0</v>
      </c>
      <c r="CU80" s="518">
        <v>0</v>
      </c>
      <c r="CV80" s="518">
        <v>0</v>
      </c>
      <c r="CW80" s="518">
        <v>0</v>
      </c>
      <c r="CX80" s="518">
        <v>0</v>
      </c>
      <c r="CY80" s="518">
        <v>0</v>
      </c>
      <c r="CZ80" s="518">
        <v>0</v>
      </c>
      <c r="DA80" s="518">
        <v>0</v>
      </c>
      <c r="DB80" s="518">
        <v>0</v>
      </c>
      <c r="DC80" s="518">
        <v>0</v>
      </c>
      <c r="DD80" s="518">
        <v>0</v>
      </c>
      <c r="DE80" s="518">
        <v>0</v>
      </c>
      <c r="DF80" s="518">
        <v>0</v>
      </c>
      <c r="DG80" s="518">
        <v>0</v>
      </c>
      <c r="DH80" s="518">
        <v>0</v>
      </c>
      <c r="DI80" s="518">
        <v>0</v>
      </c>
      <c r="DJ80" s="518">
        <v>0</v>
      </c>
      <c r="DK80" s="518">
        <v>0</v>
      </c>
      <c r="DL80" s="518">
        <v>0</v>
      </c>
      <c r="DM80" s="518">
        <v>0</v>
      </c>
      <c r="DN80" s="518">
        <v>0</v>
      </c>
      <c r="DO80" s="518">
        <v>0</v>
      </c>
      <c r="DP80" s="518">
        <v>0</v>
      </c>
      <c r="DQ80" s="518">
        <v>0</v>
      </c>
      <c r="DR80" s="518">
        <v>0</v>
      </c>
      <c r="DS80" s="518">
        <v>0</v>
      </c>
      <c r="DT80" s="518">
        <v>0</v>
      </c>
      <c r="DU80" s="518">
        <v>0</v>
      </c>
      <c r="DV80" s="518">
        <v>0</v>
      </c>
      <c r="DW80" s="518">
        <v>0</v>
      </c>
      <c r="DX80" s="518">
        <v>0</v>
      </c>
      <c r="DY80" s="477"/>
      <c r="DZ80" s="517" t="s">
        <v>721</v>
      </c>
      <c r="EA80" s="517" t="s">
        <v>1101</v>
      </c>
      <c r="EB80" s="517" t="s">
        <v>26</v>
      </c>
      <c r="EC80" s="518">
        <v>45</v>
      </c>
      <c r="ED80" s="494" t="str">
        <f t="shared" si="3"/>
        <v>SWUC100245</v>
      </c>
      <c r="EE80" s="518">
        <v>10000</v>
      </c>
      <c r="EF80" s="518">
        <v>10000</v>
      </c>
      <c r="EG80" s="518">
        <v>10000</v>
      </c>
      <c r="EH80" s="518">
        <v>10000</v>
      </c>
      <c r="EI80" s="518">
        <v>10000</v>
      </c>
      <c r="EJ80" s="518">
        <v>10000</v>
      </c>
      <c r="EK80" s="518">
        <v>10000</v>
      </c>
      <c r="EL80" s="518">
        <v>10000</v>
      </c>
      <c r="EM80" s="518">
        <v>10000</v>
      </c>
      <c r="EN80" s="518">
        <v>10000</v>
      </c>
      <c r="EO80" s="518">
        <v>0</v>
      </c>
      <c r="EP80" s="518">
        <v>0</v>
      </c>
      <c r="EQ80" s="518">
        <v>0</v>
      </c>
      <c r="ER80" s="518">
        <v>0</v>
      </c>
      <c r="ES80" s="518">
        <v>0</v>
      </c>
      <c r="ET80" s="518">
        <v>0</v>
      </c>
      <c r="EU80" s="518">
        <v>0</v>
      </c>
      <c r="EV80" s="518">
        <v>0</v>
      </c>
      <c r="EW80" s="518">
        <v>0</v>
      </c>
      <c r="EX80" s="518">
        <v>0</v>
      </c>
      <c r="EY80" s="518">
        <v>0</v>
      </c>
      <c r="EZ80" s="518">
        <v>0</v>
      </c>
      <c r="FA80" s="518">
        <v>0</v>
      </c>
      <c r="FB80" s="518">
        <v>0</v>
      </c>
      <c r="FC80" s="518">
        <v>0</v>
      </c>
      <c r="FD80" s="518">
        <v>0</v>
      </c>
      <c r="FE80" s="518">
        <v>0</v>
      </c>
      <c r="FF80" s="518">
        <v>0</v>
      </c>
      <c r="FG80" s="518">
        <v>0</v>
      </c>
      <c r="FH80" s="518">
        <v>0</v>
      </c>
      <c r="FI80" s="518">
        <v>0</v>
      </c>
      <c r="FJ80" s="518">
        <v>0</v>
      </c>
      <c r="FK80" s="518">
        <v>0</v>
      </c>
      <c r="FL80" s="518">
        <v>0</v>
      </c>
      <c r="FM80" s="518">
        <v>0</v>
      </c>
      <c r="FN80" s="518">
        <v>0</v>
      </c>
      <c r="FO80" s="518">
        <v>0</v>
      </c>
      <c r="FP80" s="518">
        <v>0</v>
      </c>
      <c r="FQ80" s="518">
        <v>0</v>
      </c>
      <c r="FR80" s="518">
        <v>0</v>
      </c>
      <c r="FS80" s="518">
        <v>0</v>
      </c>
      <c r="FT80" s="518">
        <v>0</v>
      </c>
      <c r="FU80" s="518">
        <v>0</v>
      </c>
      <c r="FV80" s="518">
        <v>0</v>
      </c>
      <c r="FW80" s="518">
        <v>0</v>
      </c>
      <c r="FX80" s="518">
        <v>0</v>
      </c>
      <c r="FY80" s="518">
        <v>0</v>
      </c>
      <c r="FZ80" s="518">
        <v>0</v>
      </c>
      <c r="GA80" s="518">
        <v>0</v>
      </c>
      <c r="GB80" s="518">
        <v>0</v>
      </c>
      <c r="GC80" s="518">
        <v>0</v>
      </c>
      <c r="GD80" s="518">
        <v>0</v>
      </c>
      <c r="GE80" s="518">
        <v>0</v>
      </c>
      <c r="GF80" s="518">
        <v>0</v>
      </c>
      <c r="GG80" s="518">
        <v>0</v>
      </c>
      <c r="GH80" s="518">
        <v>0</v>
      </c>
      <c r="GI80" s="518">
        <v>0</v>
      </c>
      <c r="GJ80" s="518">
        <v>0</v>
      </c>
      <c r="GK80" s="518">
        <v>0</v>
      </c>
      <c r="GL80" s="518">
        <v>0</v>
      </c>
      <c r="GM80" s="518">
        <v>0</v>
      </c>
      <c r="GN80" s="518">
        <v>0</v>
      </c>
      <c r="GO80" s="518">
        <v>0</v>
      </c>
      <c r="GP80" s="518">
        <v>0</v>
      </c>
      <c r="GQ80" s="518">
        <v>0</v>
      </c>
      <c r="GR80" s="518">
        <v>0</v>
      </c>
      <c r="GS80" s="518">
        <v>0</v>
      </c>
      <c r="GT80" s="518">
        <v>0</v>
      </c>
      <c r="GU80" s="518">
        <v>0</v>
      </c>
      <c r="GV80" s="518">
        <v>0</v>
      </c>
      <c r="GW80" s="518">
        <v>0</v>
      </c>
      <c r="GX80" s="518">
        <v>0</v>
      </c>
      <c r="GY80" s="518">
        <v>0</v>
      </c>
      <c r="GZ80" s="518">
        <v>0</v>
      </c>
      <c r="HA80" s="518">
        <v>0</v>
      </c>
      <c r="HB80" s="518">
        <v>0</v>
      </c>
      <c r="HC80" s="518">
        <v>0</v>
      </c>
      <c r="HD80" s="518">
        <v>0</v>
      </c>
      <c r="HE80" s="518">
        <v>0</v>
      </c>
      <c r="HF80" s="518">
        <v>0</v>
      </c>
      <c r="HG80" s="518">
        <v>0</v>
      </c>
      <c r="HH80" s="518">
        <v>0</v>
      </c>
      <c r="HI80" s="518">
        <v>0</v>
      </c>
      <c r="HJ80" s="518">
        <v>0</v>
      </c>
      <c r="HK80" s="518">
        <v>0</v>
      </c>
      <c r="HL80" s="518">
        <v>0</v>
      </c>
      <c r="HM80" s="518">
        <v>0</v>
      </c>
      <c r="HN80" s="518">
        <v>0</v>
      </c>
      <c r="HO80" s="518">
        <v>0</v>
      </c>
      <c r="HP80" s="518">
        <v>0</v>
      </c>
      <c r="HQ80" s="518">
        <v>0</v>
      </c>
      <c r="HR80" s="518">
        <v>0</v>
      </c>
      <c r="HS80" s="518">
        <v>0</v>
      </c>
      <c r="HT80" s="518">
        <v>0</v>
      </c>
      <c r="HU80" s="518">
        <v>0</v>
      </c>
      <c r="HV80" s="518">
        <v>0</v>
      </c>
      <c r="HW80" s="518">
        <v>0</v>
      </c>
      <c r="HX80" s="518">
        <v>0</v>
      </c>
      <c r="HY80" s="518">
        <v>0</v>
      </c>
      <c r="HZ80" s="518">
        <v>0</v>
      </c>
      <c r="IA80" s="518">
        <v>0</v>
      </c>
      <c r="IB80" s="518">
        <v>0</v>
      </c>
      <c r="IC80" s="518">
        <v>0</v>
      </c>
      <c r="ID80" s="518">
        <v>0</v>
      </c>
      <c r="IE80" s="518">
        <v>0</v>
      </c>
      <c r="IF80" s="518">
        <v>0</v>
      </c>
      <c r="IG80" s="518">
        <v>0</v>
      </c>
      <c r="IH80" s="518">
        <v>0</v>
      </c>
      <c r="II80" s="518">
        <v>0</v>
      </c>
      <c r="IJ80" s="518">
        <v>0</v>
      </c>
      <c r="IK80" s="518">
        <v>0</v>
      </c>
    </row>
    <row r="81" spans="1:245" ht="16.5" hidden="1">
      <c r="A81" s="517" t="s">
        <v>721</v>
      </c>
      <c r="B81" s="517" t="s">
        <v>1101</v>
      </c>
      <c r="C81" s="517" t="s">
        <v>721</v>
      </c>
      <c r="D81" s="558"/>
      <c r="E81" s="517" t="s">
        <v>721</v>
      </c>
      <c r="F81" s="517" t="s">
        <v>26</v>
      </c>
      <c r="G81" s="558"/>
      <c r="H81" s="518">
        <v>46</v>
      </c>
      <c r="I81" s="558"/>
      <c r="J81" s="494" t="str">
        <f t="shared" si="4"/>
        <v>SWUC100246</v>
      </c>
      <c r="K81" s="518">
        <v>255</v>
      </c>
      <c r="M81" s="517" t="s">
        <v>721</v>
      </c>
      <c r="N81" s="517" t="s">
        <v>1101</v>
      </c>
      <c r="O81" s="517" t="s">
        <v>26</v>
      </c>
      <c r="P81" s="518">
        <v>46</v>
      </c>
      <c r="Q81" s="494" t="str">
        <f t="shared" si="5"/>
        <v>SWUC100246</v>
      </c>
      <c r="R81" s="518">
        <v>0</v>
      </c>
      <c r="S81" s="518">
        <v>20</v>
      </c>
      <c r="T81" s="518">
        <v>40</v>
      </c>
      <c r="U81" s="518">
        <v>60</v>
      </c>
      <c r="V81" s="518">
        <v>81</v>
      </c>
      <c r="W81" s="518">
        <v>110</v>
      </c>
      <c r="X81" s="518">
        <v>140</v>
      </c>
      <c r="Y81" s="518">
        <v>175</v>
      </c>
      <c r="Z81" s="518">
        <v>212</v>
      </c>
      <c r="AA81" s="518">
        <v>0</v>
      </c>
      <c r="AB81" s="518">
        <v>0</v>
      </c>
      <c r="AC81" s="518">
        <v>0</v>
      </c>
      <c r="AD81" s="518">
        <v>0</v>
      </c>
      <c r="AE81" s="518">
        <v>0</v>
      </c>
      <c r="AF81" s="518">
        <v>0</v>
      </c>
      <c r="AG81" s="518">
        <v>0</v>
      </c>
      <c r="AH81" s="518">
        <v>0</v>
      </c>
      <c r="AI81" s="518">
        <v>0</v>
      </c>
      <c r="AJ81" s="518">
        <v>0</v>
      </c>
      <c r="AK81" s="518">
        <v>0</v>
      </c>
      <c r="AL81" s="518">
        <v>0</v>
      </c>
      <c r="AM81" s="518">
        <v>0</v>
      </c>
      <c r="AN81" s="518">
        <v>0</v>
      </c>
      <c r="AO81" s="518">
        <v>0</v>
      </c>
      <c r="AP81" s="518">
        <v>0</v>
      </c>
      <c r="AQ81" s="518">
        <v>0</v>
      </c>
      <c r="AR81" s="518">
        <v>0</v>
      </c>
      <c r="AS81" s="518">
        <v>0</v>
      </c>
      <c r="AT81" s="518">
        <v>0</v>
      </c>
      <c r="AU81" s="518">
        <v>0</v>
      </c>
      <c r="AV81" s="518">
        <v>0</v>
      </c>
      <c r="AW81" s="518">
        <v>0</v>
      </c>
      <c r="AX81" s="518">
        <v>0</v>
      </c>
      <c r="AY81" s="518">
        <v>0</v>
      </c>
      <c r="AZ81" s="518">
        <v>0</v>
      </c>
      <c r="BA81" s="518">
        <v>0</v>
      </c>
      <c r="BB81" s="518">
        <v>0</v>
      </c>
      <c r="BC81" s="518">
        <v>0</v>
      </c>
      <c r="BD81" s="518">
        <v>0</v>
      </c>
      <c r="BE81" s="518">
        <v>0</v>
      </c>
      <c r="BF81" s="518">
        <v>0</v>
      </c>
      <c r="BG81" s="518">
        <v>0</v>
      </c>
      <c r="BH81" s="518">
        <v>0</v>
      </c>
      <c r="BI81" s="518">
        <v>0</v>
      </c>
      <c r="BJ81" s="518">
        <v>0</v>
      </c>
      <c r="BK81" s="518">
        <v>0</v>
      </c>
      <c r="BL81" s="518">
        <v>0</v>
      </c>
      <c r="BM81" s="518">
        <v>0</v>
      </c>
      <c r="BN81" s="518">
        <v>0</v>
      </c>
      <c r="BO81" s="518">
        <v>0</v>
      </c>
      <c r="BP81" s="518">
        <v>0</v>
      </c>
      <c r="BQ81" s="518">
        <v>0</v>
      </c>
      <c r="BR81" s="518">
        <v>0</v>
      </c>
      <c r="BS81" s="518">
        <v>0</v>
      </c>
      <c r="BT81" s="518">
        <v>0</v>
      </c>
      <c r="BU81" s="518">
        <v>0</v>
      </c>
      <c r="BV81" s="518">
        <v>0</v>
      </c>
      <c r="BW81" s="518">
        <v>0</v>
      </c>
      <c r="BX81" s="518">
        <v>0</v>
      </c>
      <c r="BY81" s="518">
        <v>0</v>
      </c>
      <c r="BZ81" s="518">
        <v>0</v>
      </c>
      <c r="CA81" s="518">
        <v>0</v>
      </c>
      <c r="CB81" s="518">
        <v>0</v>
      </c>
      <c r="CC81" s="518">
        <v>0</v>
      </c>
      <c r="CD81" s="518">
        <v>0</v>
      </c>
      <c r="CE81" s="518">
        <v>0</v>
      </c>
      <c r="CF81" s="518">
        <v>0</v>
      </c>
      <c r="CG81" s="518">
        <v>0</v>
      </c>
      <c r="CH81" s="518">
        <v>0</v>
      </c>
      <c r="CI81" s="518">
        <v>0</v>
      </c>
      <c r="CJ81" s="518">
        <v>0</v>
      </c>
      <c r="CK81" s="518">
        <v>0</v>
      </c>
      <c r="CL81" s="518">
        <v>0</v>
      </c>
      <c r="CM81" s="518">
        <v>0</v>
      </c>
      <c r="CN81" s="518">
        <v>0</v>
      </c>
      <c r="CO81" s="518">
        <v>0</v>
      </c>
      <c r="CP81" s="518">
        <v>0</v>
      </c>
      <c r="CQ81" s="518">
        <v>0</v>
      </c>
      <c r="CR81" s="518">
        <v>0</v>
      </c>
      <c r="CS81" s="518">
        <v>0</v>
      </c>
      <c r="CT81" s="518">
        <v>0</v>
      </c>
      <c r="CU81" s="518">
        <v>0</v>
      </c>
      <c r="CV81" s="518">
        <v>0</v>
      </c>
      <c r="CW81" s="518">
        <v>0</v>
      </c>
      <c r="CX81" s="518">
        <v>0</v>
      </c>
      <c r="CY81" s="518">
        <v>0</v>
      </c>
      <c r="CZ81" s="518">
        <v>0</v>
      </c>
      <c r="DA81" s="518">
        <v>0</v>
      </c>
      <c r="DB81" s="518">
        <v>0</v>
      </c>
      <c r="DC81" s="518">
        <v>0</v>
      </c>
      <c r="DD81" s="518">
        <v>0</v>
      </c>
      <c r="DE81" s="518">
        <v>0</v>
      </c>
      <c r="DF81" s="518">
        <v>0</v>
      </c>
      <c r="DG81" s="518">
        <v>0</v>
      </c>
      <c r="DH81" s="518">
        <v>0</v>
      </c>
      <c r="DI81" s="518">
        <v>0</v>
      </c>
      <c r="DJ81" s="518">
        <v>0</v>
      </c>
      <c r="DK81" s="518">
        <v>0</v>
      </c>
      <c r="DL81" s="518">
        <v>0</v>
      </c>
      <c r="DM81" s="518">
        <v>0</v>
      </c>
      <c r="DN81" s="518">
        <v>0</v>
      </c>
      <c r="DO81" s="518">
        <v>0</v>
      </c>
      <c r="DP81" s="518">
        <v>0</v>
      </c>
      <c r="DQ81" s="518">
        <v>0</v>
      </c>
      <c r="DR81" s="518">
        <v>0</v>
      </c>
      <c r="DS81" s="518">
        <v>0</v>
      </c>
      <c r="DT81" s="518">
        <v>0</v>
      </c>
      <c r="DU81" s="518">
        <v>0</v>
      </c>
      <c r="DV81" s="518">
        <v>0</v>
      </c>
      <c r="DW81" s="518">
        <v>0</v>
      </c>
      <c r="DX81" s="518">
        <v>0</v>
      </c>
      <c r="DY81" s="477"/>
      <c r="DZ81" s="517" t="s">
        <v>721</v>
      </c>
      <c r="EA81" s="517" t="s">
        <v>1101</v>
      </c>
      <c r="EB81" s="517" t="s">
        <v>26</v>
      </c>
      <c r="EC81" s="518">
        <v>46</v>
      </c>
      <c r="ED81" s="494" t="str">
        <f t="shared" si="3"/>
        <v>SWUC100246</v>
      </c>
      <c r="EE81" s="518">
        <v>10000</v>
      </c>
      <c r="EF81" s="518">
        <v>10000</v>
      </c>
      <c r="EG81" s="518">
        <v>10000</v>
      </c>
      <c r="EH81" s="518">
        <v>10000</v>
      </c>
      <c r="EI81" s="518">
        <v>10000</v>
      </c>
      <c r="EJ81" s="518">
        <v>10000</v>
      </c>
      <c r="EK81" s="518">
        <v>10000</v>
      </c>
      <c r="EL81" s="518">
        <v>10000</v>
      </c>
      <c r="EM81" s="518">
        <v>10000</v>
      </c>
      <c r="EN81" s="518">
        <v>10000</v>
      </c>
      <c r="EO81" s="518">
        <v>0</v>
      </c>
      <c r="EP81" s="518">
        <v>0</v>
      </c>
      <c r="EQ81" s="518">
        <v>0</v>
      </c>
      <c r="ER81" s="518">
        <v>0</v>
      </c>
      <c r="ES81" s="518">
        <v>0</v>
      </c>
      <c r="ET81" s="518">
        <v>0</v>
      </c>
      <c r="EU81" s="518">
        <v>0</v>
      </c>
      <c r="EV81" s="518">
        <v>0</v>
      </c>
      <c r="EW81" s="518">
        <v>0</v>
      </c>
      <c r="EX81" s="518">
        <v>0</v>
      </c>
      <c r="EY81" s="518">
        <v>0</v>
      </c>
      <c r="EZ81" s="518">
        <v>0</v>
      </c>
      <c r="FA81" s="518">
        <v>0</v>
      </c>
      <c r="FB81" s="518">
        <v>0</v>
      </c>
      <c r="FC81" s="518">
        <v>0</v>
      </c>
      <c r="FD81" s="518">
        <v>0</v>
      </c>
      <c r="FE81" s="518">
        <v>0</v>
      </c>
      <c r="FF81" s="518">
        <v>0</v>
      </c>
      <c r="FG81" s="518">
        <v>0</v>
      </c>
      <c r="FH81" s="518">
        <v>0</v>
      </c>
      <c r="FI81" s="518">
        <v>0</v>
      </c>
      <c r="FJ81" s="518">
        <v>0</v>
      </c>
      <c r="FK81" s="518">
        <v>0</v>
      </c>
      <c r="FL81" s="518">
        <v>0</v>
      </c>
      <c r="FM81" s="518">
        <v>0</v>
      </c>
      <c r="FN81" s="518">
        <v>0</v>
      </c>
      <c r="FO81" s="518">
        <v>0</v>
      </c>
      <c r="FP81" s="518">
        <v>0</v>
      </c>
      <c r="FQ81" s="518">
        <v>0</v>
      </c>
      <c r="FR81" s="518">
        <v>0</v>
      </c>
      <c r="FS81" s="518">
        <v>0</v>
      </c>
      <c r="FT81" s="518">
        <v>0</v>
      </c>
      <c r="FU81" s="518">
        <v>0</v>
      </c>
      <c r="FV81" s="518">
        <v>0</v>
      </c>
      <c r="FW81" s="518">
        <v>0</v>
      </c>
      <c r="FX81" s="518">
        <v>0</v>
      </c>
      <c r="FY81" s="518">
        <v>0</v>
      </c>
      <c r="FZ81" s="518">
        <v>0</v>
      </c>
      <c r="GA81" s="518">
        <v>0</v>
      </c>
      <c r="GB81" s="518">
        <v>0</v>
      </c>
      <c r="GC81" s="518">
        <v>0</v>
      </c>
      <c r="GD81" s="518">
        <v>0</v>
      </c>
      <c r="GE81" s="518">
        <v>0</v>
      </c>
      <c r="GF81" s="518">
        <v>0</v>
      </c>
      <c r="GG81" s="518">
        <v>0</v>
      </c>
      <c r="GH81" s="518">
        <v>0</v>
      </c>
      <c r="GI81" s="518">
        <v>0</v>
      </c>
      <c r="GJ81" s="518">
        <v>0</v>
      </c>
      <c r="GK81" s="518">
        <v>0</v>
      </c>
      <c r="GL81" s="518">
        <v>0</v>
      </c>
      <c r="GM81" s="518">
        <v>0</v>
      </c>
      <c r="GN81" s="518">
        <v>0</v>
      </c>
      <c r="GO81" s="518">
        <v>0</v>
      </c>
      <c r="GP81" s="518">
        <v>0</v>
      </c>
      <c r="GQ81" s="518">
        <v>0</v>
      </c>
      <c r="GR81" s="518">
        <v>0</v>
      </c>
      <c r="GS81" s="518">
        <v>0</v>
      </c>
      <c r="GT81" s="518">
        <v>0</v>
      </c>
      <c r="GU81" s="518">
        <v>0</v>
      </c>
      <c r="GV81" s="518">
        <v>0</v>
      </c>
      <c r="GW81" s="518">
        <v>0</v>
      </c>
      <c r="GX81" s="518">
        <v>0</v>
      </c>
      <c r="GY81" s="518">
        <v>0</v>
      </c>
      <c r="GZ81" s="518">
        <v>0</v>
      </c>
      <c r="HA81" s="518">
        <v>0</v>
      </c>
      <c r="HB81" s="518">
        <v>0</v>
      </c>
      <c r="HC81" s="518">
        <v>0</v>
      </c>
      <c r="HD81" s="518">
        <v>0</v>
      </c>
      <c r="HE81" s="518">
        <v>0</v>
      </c>
      <c r="HF81" s="518">
        <v>0</v>
      </c>
      <c r="HG81" s="518">
        <v>0</v>
      </c>
      <c r="HH81" s="518">
        <v>0</v>
      </c>
      <c r="HI81" s="518">
        <v>0</v>
      </c>
      <c r="HJ81" s="518">
        <v>0</v>
      </c>
      <c r="HK81" s="518">
        <v>0</v>
      </c>
      <c r="HL81" s="518">
        <v>0</v>
      </c>
      <c r="HM81" s="518">
        <v>0</v>
      </c>
      <c r="HN81" s="518">
        <v>0</v>
      </c>
      <c r="HO81" s="518">
        <v>0</v>
      </c>
      <c r="HP81" s="518">
        <v>0</v>
      </c>
      <c r="HQ81" s="518">
        <v>0</v>
      </c>
      <c r="HR81" s="518">
        <v>0</v>
      </c>
      <c r="HS81" s="518">
        <v>0</v>
      </c>
      <c r="HT81" s="518">
        <v>0</v>
      </c>
      <c r="HU81" s="518">
        <v>0</v>
      </c>
      <c r="HV81" s="518">
        <v>0</v>
      </c>
      <c r="HW81" s="518">
        <v>0</v>
      </c>
      <c r="HX81" s="518">
        <v>0</v>
      </c>
      <c r="HY81" s="518">
        <v>0</v>
      </c>
      <c r="HZ81" s="518">
        <v>0</v>
      </c>
      <c r="IA81" s="518">
        <v>0</v>
      </c>
      <c r="IB81" s="518">
        <v>0</v>
      </c>
      <c r="IC81" s="518">
        <v>0</v>
      </c>
      <c r="ID81" s="518">
        <v>0</v>
      </c>
      <c r="IE81" s="518">
        <v>0</v>
      </c>
      <c r="IF81" s="518">
        <v>0</v>
      </c>
      <c r="IG81" s="518">
        <v>0</v>
      </c>
      <c r="IH81" s="518">
        <v>0</v>
      </c>
      <c r="II81" s="518">
        <v>0</v>
      </c>
      <c r="IJ81" s="518">
        <v>0</v>
      </c>
      <c r="IK81" s="518">
        <v>0</v>
      </c>
    </row>
    <row r="82" spans="1:245" ht="16.5" hidden="1">
      <c r="A82" s="517" t="s">
        <v>721</v>
      </c>
      <c r="B82" s="517" t="s">
        <v>1101</v>
      </c>
      <c r="C82" s="517" t="s">
        <v>721</v>
      </c>
      <c r="D82" s="558"/>
      <c r="E82" s="517" t="s">
        <v>721</v>
      </c>
      <c r="F82" s="517" t="s">
        <v>26</v>
      </c>
      <c r="G82" s="558"/>
      <c r="H82" s="518">
        <v>47</v>
      </c>
      <c r="I82" s="558"/>
      <c r="J82" s="494" t="str">
        <f t="shared" si="4"/>
        <v>SWUC100247</v>
      </c>
      <c r="K82" s="518">
        <v>270</v>
      </c>
      <c r="M82" s="517" t="s">
        <v>721</v>
      </c>
      <c r="N82" s="517" t="s">
        <v>1101</v>
      </c>
      <c r="O82" s="517" t="s">
        <v>26</v>
      </c>
      <c r="P82" s="518">
        <v>47</v>
      </c>
      <c r="Q82" s="494" t="str">
        <f t="shared" si="5"/>
        <v>SWUC100247</v>
      </c>
      <c r="R82" s="518">
        <v>0</v>
      </c>
      <c r="S82" s="518">
        <v>21</v>
      </c>
      <c r="T82" s="518">
        <v>42</v>
      </c>
      <c r="U82" s="518">
        <v>64</v>
      </c>
      <c r="V82" s="518">
        <v>86</v>
      </c>
      <c r="W82" s="518">
        <v>116</v>
      </c>
      <c r="X82" s="518">
        <v>149</v>
      </c>
      <c r="Y82" s="518">
        <v>185</v>
      </c>
      <c r="Z82" s="518">
        <v>225</v>
      </c>
      <c r="AA82" s="518">
        <v>0</v>
      </c>
      <c r="AB82" s="518">
        <v>0</v>
      </c>
      <c r="AC82" s="518">
        <v>0</v>
      </c>
      <c r="AD82" s="518">
        <v>0</v>
      </c>
      <c r="AE82" s="518">
        <v>0</v>
      </c>
      <c r="AF82" s="518">
        <v>0</v>
      </c>
      <c r="AG82" s="518">
        <v>0</v>
      </c>
      <c r="AH82" s="518">
        <v>0</v>
      </c>
      <c r="AI82" s="518">
        <v>0</v>
      </c>
      <c r="AJ82" s="518">
        <v>0</v>
      </c>
      <c r="AK82" s="518">
        <v>0</v>
      </c>
      <c r="AL82" s="518">
        <v>0</v>
      </c>
      <c r="AM82" s="518">
        <v>0</v>
      </c>
      <c r="AN82" s="518">
        <v>0</v>
      </c>
      <c r="AO82" s="518">
        <v>0</v>
      </c>
      <c r="AP82" s="518">
        <v>0</v>
      </c>
      <c r="AQ82" s="518">
        <v>0</v>
      </c>
      <c r="AR82" s="518">
        <v>0</v>
      </c>
      <c r="AS82" s="518">
        <v>0</v>
      </c>
      <c r="AT82" s="518">
        <v>0</v>
      </c>
      <c r="AU82" s="518">
        <v>0</v>
      </c>
      <c r="AV82" s="518">
        <v>0</v>
      </c>
      <c r="AW82" s="518">
        <v>0</v>
      </c>
      <c r="AX82" s="518">
        <v>0</v>
      </c>
      <c r="AY82" s="518">
        <v>0</v>
      </c>
      <c r="AZ82" s="518">
        <v>0</v>
      </c>
      <c r="BA82" s="518">
        <v>0</v>
      </c>
      <c r="BB82" s="518">
        <v>0</v>
      </c>
      <c r="BC82" s="518">
        <v>0</v>
      </c>
      <c r="BD82" s="518">
        <v>0</v>
      </c>
      <c r="BE82" s="518">
        <v>0</v>
      </c>
      <c r="BF82" s="518">
        <v>0</v>
      </c>
      <c r="BG82" s="518">
        <v>0</v>
      </c>
      <c r="BH82" s="518">
        <v>0</v>
      </c>
      <c r="BI82" s="518">
        <v>0</v>
      </c>
      <c r="BJ82" s="518">
        <v>0</v>
      </c>
      <c r="BK82" s="518">
        <v>0</v>
      </c>
      <c r="BL82" s="518">
        <v>0</v>
      </c>
      <c r="BM82" s="518">
        <v>0</v>
      </c>
      <c r="BN82" s="518">
        <v>0</v>
      </c>
      <c r="BO82" s="518">
        <v>0</v>
      </c>
      <c r="BP82" s="518">
        <v>0</v>
      </c>
      <c r="BQ82" s="518">
        <v>0</v>
      </c>
      <c r="BR82" s="518">
        <v>0</v>
      </c>
      <c r="BS82" s="518">
        <v>0</v>
      </c>
      <c r="BT82" s="518">
        <v>0</v>
      </c>
      <c r="BU82" s="518">
        <v>0</v>
      </c>
      <c r="BV82" s="518">
        <v>0</v>
      </c>
      <c r="BW82" s="518">
        <v>0</v>
      </c>
      <c r="BX82" s="518">
        <v>0</v>
      </c>
      <c r="BY82" s="518">
        <v>0</v>
      </c>
      <c r="BZ82" s="518">
        <v>0</v>
      </c>
      <c r="CA82" s="518">
        <v>0</v>
      </c>
      <c r="CB82" s="518">
        <v>0</v>
      </c>
      <c r="CC82" s="518">
        <v>0</v>
      </c>
      <c r="CD82" s="518">
        <v>0</v>
      </c>
      <c r="CE82" s="518">
        <v>0</v>
      </c>
      <c r="CF82" s="518">
        <v>0</v>
      </c>
      <c r="CG82" s="518">
        <v>0</v>
      </c>
      <c r="CH82" s="518">
        <v>0</v>
      </c>
      <c r="CI82" s="518">
        <v>0</v>
      </c>
      <c r="CJ82" s="518">
        <v>0</v>
      </c>
      <c r="CK82" s="518">
        <v>0</v>
      </c>
      <c r="CL82" s="518">
        <v>0</v>
      </c>
      <c r="CM82" s="518">
        <v>0</v>
      </c>
      <c r="CN82" s="518">
        <v>0</v>
      </c>
      <c r="CO82" s="518">
        <v>0</v>
      </c>
      <c r="CP82" s="518">
        <v>0</v>
      </c>
      <c r="CQ82" s="518">
        <v>0</v>
      </c>
      <c r="CR82" s="518">
        <v>0</v>
      </c>
      <c r="CS82" s="518">
        <v>0</v>
      </c>
      <c r="CT82" s="518">
        <v>0</v>
      </c>
      <c r="CU82" s="518">
        <v>0</v>
      </c>
      <c r="CV82" s="518">
        <v>0</v>
      </c>
      <c r="CW82" s="518">
        <v>0</v>
      </c>
      <c r="CX82" s="518">
        <v>0</v>
      </c>
      <c r="CY82" s="518">
        <v>0</v>
      </c>
      <c r="CZ82" s="518">
        <v>0</v>
      </c>
      <c r="DA82" s="518">
        <v>0</v>
      </c>
      <c r="DB82" s="518">
        <v>0</v>
      </c>
      <c r="DC82" s="518">
        <v>0</v>
      </c>
      <c r="DD82" s="518">
        <v>0</v>
      </c>
      <c r="DE82" s="518">
        <v>0</v>
      </c>
      <c r="DF82" s="518">
        <v>0</v>
      </c>
      <c r="DG82" s="518">
        <v>0</v>
      </c>
      <c r="DH82" s="518">
        <v>0</v>
      </c>
      <c r="DI82" s="518">
        <v>0</v>
      </c>
      <c r="DJ82" s="518">
        <v>0</v>
      </c>
      <c r="DK82" s="518">
        <v>0</v>
      </c>
      <c r="DL82" s="518">
        <v>0</v>
      </c>
      <c r="DM82" s="518">
        <v>0</v>
      </c>
      <c r="DN82" s="518">
        <v>0</v>
      </c>
      <c r="DO82" s="518">
        <v>0</v>
      </c>
      <c r="DP82" s="518">
        <v>0</v>
      </c>
      <c r="DQ82" s="518">
        <v>0</v>
      </c>
      <c r="DR82" s="518">
        <v>0</v>
      </c>
      <c r="DS82" s="518">
        <v>0</v>
      </c>
      <c r="DT82" s="518">
        <v>0</v>
      </c>
      <c r="DU82" s="518">
        <v>0</v>
      </c>
      <c r="DV82" s="518">
        <v>0</v>
      </c>
      <c r="DW82" s="518">
        <v>0</v>
      </c>
      <c r="DX82" s="518">
        <v>0</v>
      </c>
      <c r="DY82" s="477"/>
      <c r="DZ82" s="517" t="s">
        <v>721</v>
      </c>
      <c r="EA82" s="517" t="s">
        <v>1101</v>
      </c>
      <c r="EB82" s="517" t="s">
        <v>26</v>
      </c>
      <c r="EC82" s="518">
        <v>47</v>
      </c>
      <c r="ED82" s="494" t="str">
        <f t="shared" si="3"/>
        <v>SWUC100247</v>
      </c>
      <c r="EE82" s="518">
        <v>10000</v>
      </c>
      <c r="EF82" s="518">
        <v>10000</v>
      </c>
      <c r="EG82" s="518">
        <v>10000</v>
      </c>
      <c r="EH82" s="518">
        <v>10000</v>
      </c>
      <c r="EI82" s="518">
        <v>10000</v>
      </c>
      <c r="EJ82" s="518">
        <v>10000</v>
      </c>
      <c r="EK82" s="518">
        <v>10000</v>
      </c>
      <c r="EL82" s="518">
        <v>10000</v>
      </c>
      <c r="EM82" s="518">
        <v>10000</v>
      </c>
      <c r="EN82" s="518">
        <v>10000</v>
      </c>
      <c r="EO82" s="518">
        <v>0</v>
      </c>
      <c r="EP82" s="518">
        <v>0</v>
      </c>
      <c r="EQ82" s="518">
        <v>0</v>
      </c>
      <c r="ER82" s="518">
        <v>0</v>
      </c>
      <c r="ES82" s="518">
        <v>0</v>
      </c>
      <c r="ET82" s="518">
        <v>0</v>
      </c>
      <c r="EU82" s="518">
        <v>0</v>
      </c>
      <c r="EV82" s="518">
        <v>0</v>
      </c>
      <c r="EW82" s="518">
        <v>0</v>
      </c>
      <c r="EX82" s="518">
        <v>0</v>
      </c>
      <c r="EY82" s="518">
        <v>0</v>
      </c>
      <c r="EZ82" s="518">
        <v>0</v>
      </c>
      <c r="FA82" s="518">
        <v>0</v>
      </c>
      <c r="FB82" s="518">
        <v>0</v>
      </c>
      <c r="FC82" s="518">
        <v>0</v>
      </c>
      <c r="FD82" s="518">
        <v>0</v>
      </c>
      <c r="FE82" s="518">
        <v>0</v>
      </c>
      <c r="FF82" s="518">
        <v>0</v>
      </c>
      <c r="FG82" s="518">
        <v>0</v>
      </c>
      <c r="FH82" s="518">
        <v>0</v>
      </c>
      <c r="FI82" s="518">
        <v>0</v>
      </c>
      <c r="FJ82" s="518">
        <v>0</v>
      </c>
      <c r="FK82" s="518">
        <v>0</v>
      </c>
      <c r="FL82" s="518">
        <v>0</v>
      </c>
      <c r="FM82" s="518">
        <v>0</v>
      </c>
      <c r="FN82" s="518">
        <v>0</v>
      </c>
      <c r="FO82" s="518">
        <v>0</v>
      </c>
      <c r="FP82" s="518">
        <v>0</v>
      </c>
      <c r="FQ82" s="518">
        <v>0</v>
      </c>
      <c r="FR82" s="518">
        <v>0</v>
      </c>
      <c r="FS82" s="518">
        <v>0</v>
      </c>
      <c r="FT82" s="518">
        <v>0</v>
      </c>
      <c r="FU82" s="518">
        <v>0</v>
      </c>
      <c r="FV82" s="518">
        <v>0</v>
      </c>
      <c r="FW82" s="518">
        <v>0</v>
      </c>
      <c r="FX82" s="518">
        <v>0</v>
      </c>
      <c r="FY82" s="518">
        <v>0</v>
      </c>
      <c r="FZ82" s="518">
        <v>0</v>
      </c>
      <c r="GA82" s="518">
        <v>0</v>
      </c>
      <c r="GB82" s="518">
        <v>0</v>
      </c>
      <c r="GC82" s="518">
        <v>0</v>
      </c>
      <c r="GD82" s="518">
        <v>0</v>
      </c>
      <c r="GE82" s="518">
        <v>0</v>
      </c>
      <c r="GF82" s="518">
        <v>0</v>
      </c>
      <c r="GG82" s="518">
        <v>0</v>
      </c>
      <c r="GH82" s="518">
        <v>0</v>
      </c>
      <c r="GI82" s="518">
        <v>0</v>
      </c>
      <c r="GJ82" s="518">
        <v>0</v>
      </c>
      <c r="GK82" s="518">
        <v>0</v>
      </c>
      <c r="GL82" s="518">
        <v>0</v>
      </c>
      <c r="GM82" s="518">
        <v>0</v>
      </c>
      <c r="GN82" s="518">
        <v>0</v>
      </c>
      <c r="GO82" s="518">
        <v>0</v>
      </c>
      <c r="GP82" s="518">
        <v>0</v>
      </c>
      <c r="GQ82" s="518">
        <v>0</v>
      </c>
      <c r="GR82" s="518">
        <v>0</v>
      </c>
      <c r="GS82" s="518">
        <v>0</v>
      </c>
      <c r="GT82" s="518">
        <v>0</v>
      </c>
      <c r="GU82" s="518">
        <v>0</v>
      </c>
      <c r="GV82" s="518">
        <v>0</v>
      </c>
      <c r="GW82" s="518">
        <v>0</v>
      </c>
      <c r="GX82" s="518">
        <v>0</v>
      </c>
      <c r="GY82" s="518">
        <v>0</v>
      </c>
      <c r="GZ82" s="518">
        <v>0</v>
      </c>
      <c r="HA82" s="518">
        <v>0</v>
      </c>
      <c r="HB82" s="518">
        <v>0</v>
      </c>
      <c r="HC82" s="518">
        <v>0</v>
      </c>
      <c r="HD82" s="518">
        <v>0</v>
      </c>
      <c r="HE82" s="518">
        <v>0</v>
      </c>
      <c r="HF82" s="518">
        <v>0</v>
      </c>
      <c r="HG82" s="518">
        <v>0</v>
      </c>
      <c r="HH82" s="518">
        <v>0</v>
      </c>
      <c r="HI82" s="518">
        <v>0</v>
      </c>
      <c r="HJ82" s="518">
        <v>0</v>
      </c>
      <c r="HK82" s="518">
        <v>0</v>
      </c>
      <c r="HL82" s="518">
        <v>0</v>
      </c>
      <c r="HM82" s="518">
        <v>0</v>
      </c>
      <c r="HN82" s="518">
        <v>0</v>
      </c>
      <c r="HO82" s="518">
        <v>0</v>
      </c>
      <c r="HP82" s="518">
        <v>0</v>
      </c>
      <c r="HQ82" s="518">
        <v>0</v>
      </c>
      <c r="HR82" s="518">
        <v>0</v>
      </c>
      <c r="HS82" s="518">
        <v>0</v>
      </c>
      <c r="HT82" s="518">
        <v>0</v>
      </c>
      <c r="HU82" s="518">
        <v>0</v>
      </c>
      <c r="HV82" s="518">
        <v>0</v>
      </c>
      <c r="HW82" s="518">
        <v>0</v>
      </c>
      <c r="HX82" s="518">
        <v>0</v>
      </c>
      <c r="HY82" s="518">
        <v>0</v>
      </c>
      <c r="HZ82" s="518">
        <v>0</v>
      </c>
      <c r="IA82" s="518">
        <v>0</v>
      </c>
      <c r="IB82" s="518">
        <v>0</v>
      </c>
      <c r="IC82" s="518">
        <v>0</v>
      </c>
      <c r="ID82" s="518">
        <v>0</v>
      </c>
      <c r="IE82" s="518">
        <v>0</v>
      </c>
      <c r="IF82" s="518">
        <v>0</v>
      </c>
      <c r="IG82" s="518">
        <v>0</v>
      </c>
      <c r="IH82" s="518">
        <v>0</v>
      </c>
      <c r="II82" s="518">
        <v>0</v>
      </c>
      <c r="IJ82" s="518">
        <v>0</v>
      </c>
      <c r="IK82" s="518">
        <v>0</v>
      </c>
    </row>
    <row r="83" spans="1:245" ht="16.5" hidden="1">
      <c r="A83" s="517" t="s">
        <v>721</v>
      </c>
      <c r="B83" s="517" t="s">
        <v>1101</v>
      </c>
      <c r="C83" s="517" t="s">
        <v>721</v>
      </c>
      <c r="D83" s="558"/>
      <c r="E83" s="517" t="s">
        <v>721</v>
      </c>
      <c r="F83" s="517" t="s">
        <v>26</v>
      </c>
      <c r="G83" s="558"/>
      <c r="H83" s="518">
        <v>48</v>
      </c>
      <c r="I83" s="558"/>
      <c r="J83" s="494" t="str">
        <f t="shared" si="4"/>
        <v>SWUC100248</v>
      </c>
      <c r="K83" s="518">
        <v>285</v>
      </c>
      <c r="M83" s="517" t="s">
        <v>721</v>
      </c>
      <c r="N83" s="517" t="s">
        <v>1101</v>
      </c>
      <c r="O83" s="517" t="s">
        <v>26</v>
      </c>
      <c r="P83" s="518">
        <v>48</v>
      </c>
      <c r="Q83" s="494" t="str">
        <f t="shared" si="5"/>
        <v>SWUC100248</v>
      </c>
      <c r="R83" s="518">
        <v>0</v>
      </c>
      <c r="S83" s="518">
        <v>22</v>
      </c>
      <c r="T83" s="518">
        <v>45</v>
      </c>
      <c r="U83" s="518">
        <v>68</v>
      </c>
      <c r="V83" s="518">
        <v>92</v>
      </c>
      <c r="W83" s="518">
        <v>123</v>
      </c>
      <c r="X83" s="518">
        <v>157</v>
      </c>
      <c r="Y83" s="518">
        <v>196</v>
      </c>
      <c r="Z83" s="518">
        <v>238</v>
      </c>
      <c r="AA83" s="518">
        <v>0</v>
      </c>
      <c r="AB83" s="518">
        <v>0</v>
      </c>
      <c r="AC83" s="518">
        <v>0</v>
      </c>
      <c r="AD83" s="518">
        <v>0</v>
      </c>
      <c r="AE83" s="518">
        <v>0</v>
      </c>
      <c r="AF83" s="518">
        <v>0</v>
      </c>
      <c r="AG83" s="518">
        <v>0</v>
      </c>
      <c r="AH83" s="518">
        <v>0</v>
      </c>
      <c r="AI83" s="518">
        <v>0</v>
      </c>
      <c r="AJ83" s="518">
        <v>0</v>
      </c>
      <c r="AK83" s="518">
        <v>0</v>
      </c>
      <c r="AL83" s="518">
        <v>0</v>
      </c>
      <c r="AM83" s="518">
        <v>0</v>
      </c>
      <c r="AN83" s="518">
        <v>0</v>
      </c>
      <c r="AO83" s="518">
        <v>0</v>
      </c>
      <c r="AP83" s="518">
        <v>0</v>
      </c>
      <c r="AQ83" s="518">
        <v>0</v>
      </c>
      <c r="AR83" s="518">
        <v>0</v>
      </c>
      <c r="AS83" s="518">
        <v>0</v>
      </c>
      <c r="AT83" s="518">
        <v>0</v>
      </c>
      <c r="AU83" s="518">
        <v>0</v>
      </c>
      <c r="AV83" s="518">
        <v>0</v>
      </c>
      <c r="AW83" s="518">
        <v>0</v>
      </c>
      <c r="AX83" s="518">
        <v>0</v>
      </c>
      <c r="AY83" s="518">
        <v>0</v>
      </c>
      <c r="AZ83" s="518">
        <v>0</v>
      </c>
      <c r="BA83" s="518">
        <v>0</v>
      </c>
      <c r="BB83" s="518">
        <v>0</v>
      </c>
      <c r="BC83" s="518">
        <v>0</v>
      </c>
      <c r="BD83" s="518">
        <v>0</v>
      </c>
      <c r="BE83" s="518">
        <v>0</v>
      </c>
      <c r="BF83" s="518">
        <v>0</v>
      </c>
      <c r="BG83" s="518">
        <v>0</v>
      </c>
      <c r="BH83" s="518">
        <v>0</v>
      </c>
      <c r="BI83" s="518">
        <v>0</v>
      </c>
      <c r="BJ83" s="518">
        <v>0</v>
      </c>
      <c r="BK83" s="518">
        <v>0</v>
      </c>
      <c r="BL83" s="518">
        <v>0</v>
      </c>
      <c r="BM83" s="518">
        <v>0</v>
      </c>
      <c r="BN83" s="518">
        <v>0</v>
      </c>
      <c r="BO83" s="518">
        <v>0</v>
      </c>
      <c r="BP83" s="518">
        <v>0</v>
      </c>
      <c r="BQ83" s="518">
        <v>0</v>
      </c>
      <c r="BR83" s="518">
        <v>0</v>
      </c>
      <c r="BS83" s="518">
        <v>0</v>
      </c>
      <c r="BT83" s="518">
        <v>0</v>
      </c>
      <c r="BU83" s="518">
        <v>0</v>
      </c>
      <c r="BV83" s="518">
        <v>0</v>
      </c>
      <c r="BW83" s="518">
        <v>0</v>
      </c>
      <c r="BX83" s="518">
        <v>0</v>
      </c>
      <c r="BY83" s="518">
        <v>0</v>
      </c>
      <c r="BZ83" s="518">
        <v>0</v>
      </c>
      <c r="CA83" s="518">
        <v>0</v>
      </c>
      <c r="CB83" s="518">
        <v>0</v>
      </c>
      <c r="CC83" s="518">
        <v>0</v>
      </c>
      <c r="CD83" s="518">
        <v>0</v>
      </c>
      <c r="CE83" s="518">
        <v>0</v>
      </c>
      <c r="CF83" s="518">
        <v>0</v>
      </c>
      <c r="CG83" s="518">
        <v>0</v>
      </c>
      <c r="CH83" s="518">
        <v>0</v>
      </c>
      <c r="CI83" s="518">
        <v>0</v>
      </c>
      <c r="CJ83" s="518">
        <v>0</v>
      </c>
      <c r="CK83" s="518">
        <v>0</v>
      </c>
      <c r="CL83" s="518">
        <v>0</v>
      </c>
      <c r="CM83" s="518">
        <v>0</v>
      </c>
      <c r="CN83" s="518">
        <v>0</v>
      </c>
      <c r="CO83" s="518">
        <v>0</v>
      </c>
      <c r="CP83" s="518">
        <v>0</v>
      </c>
      <c r="CQ83" s="518">
        <v>0</v>
      </c>
      <c r="CR83" s="518">
        <v>0</v>
      </c>
      <c r="CS83" s="518">
        <v>0</v>
      </c>
      <c r="CT83" s="518">
        <v>0</v>
      </c>
      <c r="CU83" s="518">
        <v>0</v>
      </c>
      <c r="CV83" s="518">
        <v>0</v>
      </c>
      <c r="CW83" s="518">
        <v>0</v>
      </c>
      <c r="CX83" s="518">
        <v>0</v>
      </c>
      <c r="CY83" s="518">
        <v>0</v>
      </c>
      <c r="CZ83" s="518">
        <v>0</v>
      </c>
      <c r="DA83" s="518">
        <v>0</v>
      </c>
      <c r="DB83" s="518">
        <v>0</v>
      </c>
      <c r="DC83" s="518">
        <v>0</v>
      </c>
      <c r="DD83" s="518">
        <v>0</v>
      </c>
      <c r="DE83" s="518">
        <v>0</v>
      </c>
      <c r="DF83" s="518">
        <v>0</v>
      </c>
      <c r="DG83" s="518">
        <v>0</v>
      </c>
      <c r="DH83" s="518">
        <v>0</v>
      </c>
      <c r="DI83" s="518">
        <v>0</v>
      </c>
      <c r="DJ83" s="518">
        <v>0</v>
      </c>
      <c r="DK83" s="518">
        <v>0</v>
      </c>
      <c r="DL83" s="518">
        <v>0</v>
      </c>
      <c r="DM83" s="518">
        <v>0</v>
      </c>
      <c r="DN83" s="518">
        <v>0</v>
      </c>
      <c r="DO83" s="518">
        <v>0</v>
      </c>
      <c r="DP83" s="518">
        <v>0</v>
      </c>
      <c r="DQ83" s="518">
        <v>0</v>
      </c>
      <c r="DR83" s="518">
        <v>0</v>
      </c>
      <c r="DS83" s="518">
        <v>0</v>
      </c>
      <c r="DT83" s="518">
        <v>0</v>
      </c>
      <c r="DU83" s="518">
        <v>0</v>
      </c>
      <c r="DV83" s="518">
        <v>0</v>
      </c>
      <c r="DW83" s="518">
        <v>0</v>
      </c>
      <c r="DX83" s="518">
        <v>0</v>
      </c>
      <c r="DY83" s="477"/>
      <c r="DZ83" s="517" t="s">
        <v>721</v>
      </c>
      <c r="EA83" s="517" t="s">
        <v>1101</v>
      </c>
      <c r="EB83" s="517" t="s">
        <v>26</v>
      </c>
      <c r="EC83" s="518">
        <v>48</v>
      </c>
      <c r="ED83" s="494" t="str">
        <f t="shared" si="3"/>
        <v>SWUC100248</v>
      </c>
      <c r="EE83" s="518">
        <v>10000</v>
      </c>
      <c r="EF83" s="518">
        <v>10000</v>
      </c>
      <c r="EG83" s="518">
        <v>10000</v>
      </c>
      <c r="EH83" s="518">
        <v>10000</v>
      </c>
      <c r="EI83" s="518">
        <v>10000</v>
      </c>
      <c r="EJ83" s="518">
        <v>10000</v>
      </c>
      <c r="EK83" s="518">
        <v>10000</v>
      </c>
      <c r="EL83" s="518">
        <v>10000</v>
      </c>
      <c r="EM83" s="518">
        <v>10000</v>
      </c>
      <c r="EN83" s="518">
        <v>10000</v>
      </c>
      <c r="EO83" s="518">
        <v>0</v>
      </c>
      <c r="EP83" s="518">
        <v>0</v>
      </c>
      <c r="EQ83" s="518">
        <v>0</v>
      </c>
      <c r="ER83" s="518">
        <v>0</v>
      </c>
      <c r="ES83" s="518">
        <v>0</v>
      </c>
      <c r="ET83" s="518">
        <v>0</v>
      </c>
      <c r="EU83" s="518">
        <v>0</v>
      </c>
      <c r="EV83" s="518">
        <v>0</v>
      </c>
      <c r="EW83" s="518">
        <v>0</v>
      </c>
      <c r="EX83" s="518">
        <v>0</v>
      </c>
      <c r="EY83" s="518">
        <v>0</v>
      </c>
      <c r="EZ83" s="518">
        <v>0</v>
      </c>
      <c r="FA83" s="518">
        <v>0</v>
      </c>
      <c r="FB83" s="518">
        <v>0</v>
      </c>
      <c r="FC83" s="518">
        <v>0</v>
      </c>
      <c r="FD83" s="518">
        <v>0</v>
      </c>
      <c r="FE83" s="518">
        <v>0</v>
      </c>
      <c r="FF83" s="518">
        <v>0</v>
      </c>
      <c r="FG83" s="518">
        <v>0</v>
      </c>
      <c r="FH83" s="518">
        <v>0</v>
      </c>
      <c r="FI83" s="518">
        <v>0</v>
      </c>
      <c r="FJ83" s="518">
        <v>0</v>
      </c>
      <c r="FK83" s="518">
        <v>0</v>
      </c>
      <c r="FL83" s="518">
        <v>0</v>
      </c>
      <c r="FM83" s="518">
        <v>0</v>
      </c>
      <c r="FN83" s="518">
        <v>0</v>
      </c>
      <c r="FO83" s="518">
        <v>0</v>
      </c>
      <c r="FP83" s="518">
        <v>0</v>
      </c>
      <c r="FQ83" s="518">
        <v>0</v>
      </c>
      <c r="FR83" s="518">
        <v>0</v>
      </c>
      <c r="FS83" s="518">
        <v>0</v>
      </c>
      <c r="FT83" s="518">
        <v>0</v>
      </c>
      <c r="FU83" s="518">
        <v>0</v>
      </c>
      <c r="FV83" s="518">
        <v>0</v>
      </c>
      <c r="FW83" s="518">
        <v>0</v>
      </c>
      <c r="FX83" s="518">
        <v>0</v>
      </c>
      <c r="FY83" s="518">
        <v>0</v>
      </c>
      <c r="FZ83" s="518">
        <v>0</v>
      </c>
      <c r="GA83" s="518">
        <v>0</v>
      </c>
      <c r="GB83" s="518">
        <v>0</v>
      </c>
      <c r="GC83" s="518">
        <v>0</v>
      </c>
      <c r="GD83" s="518">
        <v>0</v>
      </c>
      <c r="GE83" s="518">
        <v>0</v>
      </c>
      <c r="GF83" s="518">
        <v>0</v>
      </c>
      <c r="GG83" s="518">
        <v>0</v>
      </c>
      <c r="GH83" s="518">
        <v>0</v>
      </c>
      <c r="GI83" s="518">
        <v>0</v>
      </c>
      <c r="GJ83" s="518">
        <v>0</v>
      </c>
      <c r="GK83" s="518">
        <v>0</v>
      </c>
      <c r="GL83" s="518">
        <v>0</v>
      </c>
      <c r="GM83" s="518">
        <v>0</v>
      </c>
      <c r="GN83" s="518">
        <v>0</v>
      </c>
      <c r="GO83" s="518">
        <v>0</v>
      </c>
      <c r="GP83" s="518">
        <v>0</v>
      </c>
      <c r="GQ83" s="518">
        <v>0</v>
      </c>
      <c r="GR83" s="518">
        <v>0</v>
      </c>
      <c r="GS83" s="518">
        <v>0</v>
      </c>
      <c r="GT83" s="518">
        <v>0</v>
      </c>
      <c r="GU83" s="518">
        <v>0</v>
      </c>
      <c r="GV83" s="518">
        <v>0</v>
      </c>
      <c r="GW83" s="518">
        <v>0</v>
      </c>
      <c r="GX83" s="518">
        <v>0</v>
      </c>
      <c r="GY83" s="518">
        <v>0</v>
      </c>
      <c r="GZ83" s="518">
        <v>0</v>
      </c>
      <c r="HA83" s="518">
        <v>0</v>
      </c>
      <c r="HB83" s="518">
        <v>0</v>
      </c>
      <c r="HC83" s="518">
        <v>0</v>
      </c>
      <c r="HD83" s="518">
        <v>0</v>
      </c>
      <c r="HE83" s="518">
        <v>0</v>
      </c>
      <c r="HF83" s="518">
        <v>0</v>
      </c>
      <c r="HG83" s="518">
        <v>0</v>
      </c>
      <c r="HH83" s="518">
        <v>0</v>
      </c>
      <c r="HI83" s="518">
        <v>0</v>
      </c>
      <c r="HJ83" s="518">
        <v>0</v>
      </c>
      <c r="HK83" s="518">
        <v>0</v>
      </c>
      <c r="HL83" s="518">
        <v>0</v>
      </c>
      <c r="HM83" s="518">
        <v>0</v>
      </c>
      <c r="HN83" s="518">
        <v>0</v>
      </c>
      <c r="HO83" s="518">
        <v>0</v>
      </c>
      <c r="HP83" s="518">
        <v>0</v>
      </c>
      <c r="HQ83" s="518">
        <v>0</v>
      </c>
      <c r="HR83" s="518">
        <v>0</v>
      </c>
      <c r="HS83" s="518">
        <v>0</v>
      </c>
      <c r="HT83" s="518">
        <v>0</v>
      </c>
      <c r="HU83" s="518">
        <v>0</v>
      </c>
      <c r="HV83" s="518">
        <v>0</v>
      </c>
      <c r="HW83" s="518">
        <v>0</v>
      </c>
      <c r="HX83" s="518">
        <v>0</v>
      </c>
      <c r="HY83" s="518">
        <v>0</v>
      </c>
      <c r="HZ83" s="518">
        <v>0</v>
      </c>
      <c r="IA83" s="518">
        <v>0</v>
      </c>
      <c r="IB83" s="518">
        <v>0</v>
      </c>
      <c r="IC83" s="518">
        <v>0</v>
      </c>
      <c r="ID83" s="518">
        <v>0</v>
      </c>
      <c r="IE83" s="518">
        <v>0</v>
      </c>
      <c r="IF83" s="518">
        <v>0</v>
      </c>
      <c r="IG83" s="518">
        <v>0</v>
      </c>
      <c r="IH83" s="518">
        <v>0</v>
      </c>
      <c r="II83" s="518">
        <v>0</v>
      </c>
      <c r="IJ83" s="518">
        <v>0</v>
      </c>
      <c r="IK83" s="518">
        <v>0</v>
      </c>
    </row>
    <row r="84" spans="1:245" ht="16.5" hidden="1">
      <c r="A84" s="517" t="s">
        <v>721</v>
      </c>
      <c r="B84" s="517" t="s">
        <v>1101</v>
      </c>
      <c r="C84" s="517" t="s">
        <v>721</v>
      </c>
      <c r="D84" s="558"/>
      <c r="E84" s="517" t="s">
        <v>721</v>
      </c>
      <c r="F84" s="517" t="s">
        <v>26</v>
      </c>
      <c r="G84" s="558"/>
      <c r="H84" s="518">
        <v>49</v>
      </c>
      <c r="I84" s="558"/>
      <c r="J84" s="494" t="str">
        <f t="shared" si="4"/>
        <v>SWUC100249</v>
      </c>
      <c r="K84" s="518">
        <v>300</v>
      </c>
      <c r="M84" s="517" t="s">
        <v>721</v>
      </c>
      <c r="N84" s="517" t="s">
        <v>1101</v>
      </c>
      <c r="O84" s="517" t="s">
        <v>26</v>
      </c>
      <c r="P84" s="518">
        <v>49</v>
      </c>
      <c r="Q84" s="494" t="str">
        <f t="shared" si="5"/>
        <v>SWUC100249</v>
      </c>
      <c r="R84" s="518">
        <v>0</v>
      </c>
      <c r="S84" s="518">
        <v>24</v>
      </c>
      <c r="T84" s="518">
        <v>48</v>
      </c>
      <c r="U84" s="518">
        <v>73</v>
      </c>
      <c r="V84" s="518">
        <v>97</v>
      </c>
      <c r="W84" s="518">
        <v>130</v>
      </c>
      <c r="X84" s="518">
        <v>167</v>
      </c>
      <c r="Y84" s="518">
        <v>207</v>
      </c>
      <c r="Z84" s="518">
        <v>251</v>
      </c>
      <c r="AA84" s="518">
        <v>0</v>
      </c>
      <c r="AB84" s="518">
        <v>0</v>
      </c>
      <c r="AC84" s="518">
        <v>0</v>
      </c>
      <c r="AD84" s="518">
        <v>0</v>
      </c>
      <c r="AE84" s="518">
        <v>0</v>
      </c>
      <c r="AF84" s="518">
        <v>0</v>
      </c>
      <c r="AG84" s="518">
        <v>0</v>
      </c>
      <c r="AH84" s="518">
        <v>0</v>
      </c>
      <c r="AI84" s="518">
        <v>0</v>
      </c>
      <c r="AJ84" s="518">
        <v>0</v>
      </c>
      <c r="AK84" s="518">
        <v>0</v>
      </c>
      <c r="AL84" s="518">
        <v>0</v>
      </c>
      <c r="AM84" s="518">
        <v>0</v>
      </c>
      <c r="AN84" s="518">
        <v>0</v>
      </c>
      <c r="AO84" s="518">
        <v>0</v>
      </c>
      <c r="AP84" s="518">
        <v>0</v>
      </c>
      <c r="AQ84" s="518">
        <v>0</v>
      </c>
      <c r="AR84" s="518">
        <v>0</v>
      </c>
      <c r="AS84" s="518">
        <v>0</v>
      </c>
      <c r="AT84" s="518">
        <v>0</v>
      </c>
      <c r="AU84" s="518">
        <v>0</v>
      </c>
      <c r="AV84" s="518">
        <v>0</v>
      </c>
      <c r="AW84" s="518">
        <v>0</v>
      </c>
      <c r="AX84" s="518">
        <v>0</v>
      </c>
      <c r="AY84" s="518">
        <v>0</v>
      </c>
      <c r="AZ84" s="518">
        <v>0</v>
      </c>
      <c r="BA84" s="518">
        <v>0</v>
      </c>
      <c r="BB84" s="518">
        <v>0</v>
      </c>
      <c r="BC84" s="518">
        <v>0</v>
      </c>
      <c r="BD84" s="518">
        <v>0</v>
      </c>
      <c r="BE84" s="518">
        <v>0</v>
      </c>
      <c r="BF84" s="518">
        <v>0</v>
      </c>
      <c r="BG84" s="518">
        <v>0</v>
      </c>
      <c r="BH84" s="518">
        <v>0</v>
      </c>
      <c r="BI84" s="518">
        <v>0</v>
      </c>
      <c r="BJ84" s="518">
        <v>0</v>
      </c>
      <c r="BK84" s="518">
        <v>0</v>
      </c>
      <c r="BL84" s="518">
        <v>0</v>
      </c>
      <c r="BM84" s="518">
        <v>0</v>
      </c>
      <c r="BN84" s="518">
        <v>0</v>
      </c>
      <c r="BO84" s="518">
        <v>0</v>
      </c>
      <c r="BP84" s="518">
        <v>0</v>
      </c>
      <c r="BQ84" s="518">
        <v>0</v>
      </c>
      <c r="BR84" s="518">
        <v>0</v>
      </c>
      <c r="BS84" s="518">
        <v>0</v>
      </c>
      <c r="BT84" s="518">
        <v>0</v>
      </c>
      <c r="BU84" s="518">
        <v>0</v>
      </c>
      <c r="BV84" s="518">
        <v>0</v>
      </c>
      <c r="BW84" s="518">
        <v>0</v>
      </c>
      <c r="BX84" s="518">
        <v>0</v>
      </c>
      <c r="BY84" s="518">
        <v>0</v>
      </c>
      <c r="BZ84" s="518">
        <v>0</v>
      </c>
      <c r="CA84" s="518">
        <v>0</v>
      </c>
      <c r="CB84" s="518">
        <v>0</v>
      </c>
      <c r="CC84" s="518">
        <v>0</v>
      </c>
      <c r="CD84" s="518">
        <v>0</v>
      </c>
      <c r="CE84" s="518">
        <v>0</v>
      </c>
      <c r="CF84" s="518">
        <v>0</v>
      </c>
      <c r="CG84" s="518">
        <v>0</v>
      </c>
      <c r="CH84" s="518">
        <v>0</v>
      </c>
      <c r="CI84" s="518">
        <v>0</v>
      </c>
      <c r="CJ84" s="518">
        <v>0</v>
      </c>
      <c r="CK84" s="518">
        <v>0</v>
      </c>
      <c r="CL84" s="518">
        <v>0</v>
      </c>
      <c r="CM84" s="518">
        <v>0</v>
      </c>
      <c r="CN84" s="518">
        <v>0</v>
      </c>
      <c r="CO84" s="518">
        <v>0</v>
      </c>
      <c r="CP84" s="518">
        <v>0</v>
      </c>
      <c r="CQ84" s="518">
        <v>0</v>
      </c>
      <c r="CR84" s="518">
        <v>0</v>
      </c>
      <c r="CS84" s="518">
        <v>0</v>
      </c>
      <c r="CT84" s="518">
        <v>0</v>
      </c>
      <c r="CU84" s="518">
        <v>0</v>
      </c>
      <c r="CV84" s="518">
        <v>0</v>
      </c>
      <c r="CW84" s="518">
        <v>0</v>
      </c>
      <c r="CX84" s="518">
        <v>0</v>
      </c>
      <c r="CY84" s="518">
        <v>0</v>
      </c>
      <c r="CZ84" s="518">
        <v>0</v>
      </c>
      <c r="DA84" s="518">
        <v>0</v>
      </c>
      <c r="DB84" s="518">
        <v>0</v>
      </c>
      <c r="DC84" s="518">
        <v>0</v>
      </c>
      <c r="DD84" s="518">
        <v>0</v>
      </c>
      <c r="DE84" s="518">
        <v>0</v>
      </c>
      <c r="DF84" s="518">
        <v>0</v>
      </c>
      <c r="DG84" s="518">
        <v>0</v>
      </c>
      <c r="DH84" s="518">
        <v>0</v>
      </c>
      <c r="DI84" s="518">
        <v>0</v>
      </c>
      <c r="DJ84" s="518">
        <v>0</v>
      </c>
      <c r="DK84" s="518">
        <v>0</v>
      </c>
      <c r="DL84" s="518">
        <v>0</v>
      </c>
      <c r="DM84" s="518">
        <v>0</v>
      </c>
      <c r="DN84" s="518">
        <v>0</v>
      </c>
      <c r="DO84" s="518">
        <v>0</v>
      </c>
      <c r="DP84" s="518">
        <v>0</v>
      </c>
      <c r="DQ84" s="518">
        <v>0</v>
      </c>
      <c r="DR84" s="518">
        <v>0</v>
      </c>
      <c r="DS84" s="518">
        <v>0</v>
      </c>
      <c r="DT84" s="518">
        <v>0</v>
      </c>
      <c r="DU84" s="518">
        <v>0</v>
      </c>
      <c r="DV84" s="518">
        <v>0</v>
      </c>
      <c r="DW84" s="518">
        <v>0</v>
      </c>
      <c r="DX84" s="518">
        <v>0</v>
      </c>
      <c r="DY84" s="477"/>
      <c r="DZ84" s="517" t="s">
        <v>721</v>
      </c>
      <c r="EA84" s="517" t="s">
        <v>1101</v>
      </c>
      <c r="EB84" s="517" t="s">
        <v>26</v>
      </c>
      <c r="EC84" s="518">
        <v>49</v>
      </c>
      <c r="ED84" s="494" t="str">
        <f t="shared" si="3"/>
        <v>SWUC100249</v>
      </c>
      <c r="EE84" s="518">
        <v>10000</v>
      </c>
      <c r="EF84" s="518">
        <v>10000</v>
      </c>
      <c r="EG84" s="518">
        <v>10000</v>
      </c>
      <c r="EH84" s="518">
        <v>10000</v>
      </c>
      <c r="EI84" s="518">
        <v>10000</v>
      </c>
      <c r="EJ84" s="518">
        <v>10000</v>
      </c>
      <c r="EK84" s="518">
        <v>10000</v>
      </c>
      <c r="EL84" s="518">
        <v>10000</v>
      </c>
      <c r="EM84" s="518">
        <v>10000</v>
      </c>
      <c r="EN84" s="518">
        <v>10000</v>
      </c>
      <c r="EO84" s="518">
        <v>0</v>
      </c>
      <c r="EP84" s="518">
        <v>0</v>
      </c>
      <c r="EQ84" s="518">
        <v>0</v>
      </c>
      <c r="ER84" s="518">
        <v>0</v>
      </c>
      <c r="ES84" s="518">
        <v>0</v>
      </c>
      <c r="ET84" s="518">
        <v>0</v>
      </c>
      <c r="EU84" s="518">
        <v>0</v>
      </c>
      <c r="EV84" s="518">
        <v>0</v>
      </c>
      <c r="EW84" s="518">
        <v>0</v>
      </c>
      <c r="EX84" s="518">
        <v>0</v>
      </c>
      <c r="EY84" s="518">
        <v>0</v>
      </c>
      <c r="EZ84" s="518">
        <v>0</v>
      </c>
      <c r="FA84" s="518">
        <v>0</v>
      </c>
      <c r="FB84" s="518">
        <v>0</v>
      </c>
      <c r="FC84" s="518">
        <v>0</v>
      </c>
      <c r="FD84" s="518">
        <v>0</v>
      </c>
      <c r="FE84" s="518">
        <v>0</v>
      </c>
      <c r="FF84" s="518">
        <v>0</v>
      </c>
      <c r="FG84" s="518">
        <v>0</v>
      </c>
      <c r="FH84" s="518">
        <v>0</v>
      </c>
      <c r="FI84" s="518">
        <v>0</v>
      </c>
      <c r="FJ84" s="518">
        <v>0</v>
      </c>
      <c r="FK84" s="518">
        <v>0</v>
      </c>
      <c r="FL84" s="518">
        <v>0</v>
      </c>
      <c r="FM84" s="518">
        <v>0</v>
      </c>
      <c r="FN84" s="518">
        <v>0</v>
      </c>
      <c r="FO84" s="518">
        <v>0</v>
      </c>
      <c r="FP84" s="518">
        <v>0</v>
      </c>
      <c r="FQ84" s="518">
        <v>0</v>
      </c>
      <c r="FR84" s="518">
        <v>0</v>
      </c>
      <c r="FS84" s="518">
        <v>0</v>
      </c>
      <c r="FT84" s="518">
        <v>0</v>
      </c>
      <c r="FU84" s="518">
        <v>0</v>
      </c>
      <c r="FV84" s="518">
        <v>0</v>
      </c>
      <c r="FW84" s="518">
        <v>0</v>
      </c>
      <c r="FX84" s="518">
        <v>0</v>
      </c>
      <c r="FY84" s="518">
        <v>0</v>
      </c>
      <c r="FZ84" s="518">
        <v>0</v>
      </c>
      <c r="GA84" s="518">
        <v>0</v>
      </c>
      <c r="GB84" s="518">
        <v>0</v>
      </c>
      <c r="GC84" s="518">
        <v>0</v>
      </c>
      <c r="GD84" s="518">
        <v>0</v>
      </c>
      <c r="GE84" s="518">
        <v>0</v>
      </c>
      <c r="GF84" s="518">
        <v>0</v>
      </c>
      <c r="GG84" s="518">
        <v>0</v>
      </c>
      <c r="GH84" s="518">
        <v>0</v>
      </c>
      <c r="GI84" s="518">
        <v>0</v>
      </c>
      <c r="GJ84" s="518">
        <v>0</v>
      </c>
      <c r="GK84" s="518">
        <v>0</v>
      </c>
      <c r="GL84" s="518">
        <v>0</v>
      </c>
      <c r="GM84" s="518">
        <v>0</v>
      </c>
      <c r="GN84" s="518">
        <v>0</v>
      </c>
      <c r="GO84" s="518">
        <v>0</v>
      </c>
      <c r="GP84" s="518">
        <v>0</v>
      </c>
      <c r="GQ84" s="518">
        <v>0</v>
      </c>
      <c r="GR84" s="518">
        <v>0</v>
      </c>
      <c r="GS84" s="518">
        <v>0</v>
      </c>
      <c r="GT84" s="518">
        <v>0</v>
      </c>
      <c r="GU84" s="518">
        <v>0</v>
      </c>
      <c r="GV84" s="518">
        <v>0</v>
      </c>
      <c r="GW84" s="518">
        <v>0</v>
      </c>
      <c r="GX84" s="518">
        <v>0</v>
      </c>
      <c r="GY84" s="518">
        <v>0</v>
      </c>
      <c r="GZ84" s="518">
        <v>0</v>
      </c>
      <c r="HA84" s="518">
        <v>0</v>
      </c>
      <c r="HB84" s="518">
        <v>0</v>
      </c>
      <c r="HC84" s="518">
        <v>0</v>
      </c>
      <c r="HD84" s="518">
        <v>0</v>
      </c>
      <c r="HE84" s="518">
        <v>0</v>
      </c>
      <c r="HF84" s="518">
        <v>0</v>
      </c>
      <c r="HG84" s="518">
        <v>0</v>
      </c>
      <c r="HH84" s="518">
        <v>0</v>
      </c>
      <c r="HI84" s="518">
        <v>0</v>
      </c>
      <c r="HJ84" s="518">
        <v>0</v>
      </c>
      <c r="HK84" s="518">
        <v>0</v>
      </c>
      <c r="HL84" s="518">
        <v>0</v>
      </c>
      <c r="HM84" s="518">
        <v>0</v>
      </c>
      <c r="HN84" s="518">
        <v>0</v>
      </c>
      <c r="HO84" s="518">
        <v>0</v>
      </c>
      <c r="HP84" s="518">
        <v>0</v>
      </c>
      <c r="HQ84" s="518">
        <v>0</v>
      </c>
      <c r="HR84" s="518">
        <v>0</v>
      </c>
      <c r="HS84" s="518">
        <v>0</v>
      </c>
      <c r="HT84" s="518">
        <v>0</v>
      </c>
      <c r="HU84" s="518">
        <v>0</v>
      </c>
      <c r="HV84" s="518">
        <v>0</v>
      </c>
      <c r="HW84" s="518">
        <v>0</v>
      </c>
      <c r="HX84" s="518">
        <v>0</v>
      </c>
      <c r="HY84" s="518">
        <v>0</v>
      </c>
      <c r="HZ84" s="518">
        <v>0</v>
      </c>
      <c r="IA84" s="518">
        <v>0</v>
      </c>
      <c r="IB84" s="518">
        <v>0</v>
      </c>
      <c r="IC84" s="518">
        <v>0</v>
      </c>
      <c r="ID84" s="518">
        <v>0</v>
      </c>
      <c r="IE84" s="518">
        <v>0</v>
      </c>
      <c r="IF84" s="518">
        <v>0</v>
      </c>
      <c r="IG84" s="518">
        <v>0</v>
      </c>
      <c r="IH84" s="518">
        <v>0</v>
      </c>
      <c r="II84" s="518">
        <v>0</v>
      </c>
      <c r="IJ84" s="518">
        <v>0</v>
      </c>
      <c r="IK84" s="518">
        <v>0</v>
      </c>
    </row>
    <row r="85" spans="1:245" ht="16.5" hidden="1">
      <c r="A85" s="517" t="s">
        <v>721</v>
      </c>
      <c r="B85" s="517" t="s">
        <v>1101</v>
      </c>
      <c r="C85" s="517" t="s">
        <v>721</v>
      </c>
      <c r="D85" s="558"/>
      <c r="E85" s="517" t="s">
        <v>721</v>
      </c>
      <c r="F85" s="517" t="s">
        <v>26</v>
      </c>
      <c r="G85" s="558"/>
      <c r="H85" s="518">
        <v>50</v>
      </c>
      <c r="I85" s="558"/>
      <c r="J85" s="494" t="str">
        <f t="shared" si="4"/>
        <v>SWUC100250</v>
      </c>
      <c r="K85" s="518">
        <v>318</v>
      </c>
      <c r="M85" s="517" t="s">
        <v>721</v>
      </c>
      <c r="N85" s="517" t="s">
        <v>1101</v>
      </c>
      <c r="O85" s="517" t="s">
        <v>26</v>
      </c>
      <c r="P85" s="518">
        <v>50</v>
      </c>
      <c r="Q85" s="494" t="str">
        <f t="shared" si="5"/>
        <v>SWUC100250</v>
      </c>
      <c r="R85" s="518">
        <v>0</v>
      </c>
      <c r="S85" s="518">
        <v>26</v>
      </c>
      <c r="T85" s="518">
        <v>51</v>
      </c>
      <c r="U85" s="518">
        <v>77</v>
      </c>
      <c r="V85" s="518">
        <v>103</v>
      </c>
      <c r="W85" s="518">
        <v>138</v>
      </c>
      <c r="X85" s="518">
        <v>177</v>
      </c>
      <c r="Y85" s="518">
        <v>220</v>
      </c>
      <c r="Z85" s="518">
        <v>265</v>
      </c>
      <c r="AA85" s="518">
        <v>0</v>
      </c>
      <c r="AB85" s="518">
        <v>0</v>
      </c>
      <c r="AC85" s="518">
        <v>0</v>
      </c>
      <c r="AD85" s="518">
        <v>0</v>
      </c>
      <c r="AE85" s="518">
        <v>0</v>
      </c>
      <c r="AF85" s="518">
        <v>0</v>
      </c>
      <c r="AG85" s="518">
        <v>0</v>
      </c>
      <c r="AH85" s="518">
        <v>0</v>
      </c>
      <c r="AI85" s="518">
        <v>0</v>
      </c>
      <c r="AJ85" s="518">
        <v>0</v>
      </c>
      <c r="AK85" s="518">
        <v>0</v>
      </c>
      <c r="AL85" s="518">
        <v>0</v>
      </c>
      <c r="AM85" s="518">
        <v>0</v>
      </c>
      <c r="AN85" s="518">
        <v>0</v>
      </c>
      <c r="AO85" s="518">
        <v>0</v>
      </c>
      <c r="AP85" s="518">
        <v>0</v>
      </c>
      <c r="AQ85" s="518">
        <v>0</v>
      </c>
      <c r="AR85" s="518">
        <v>0</v>
      </c>
      <c r="AS85" s="518">
        <v>0</v>
      </c>
      <c r="AT85" s="518">
        <v>0</v>
      </c>
      <c r="AU85" s="518">
        <v>0</v>
      </c>
      <c r="AV85" s="518">
        <v>0</v>
      </c>
      <c r="AW85" s="518">
        <v>0</v>
      </c>
      <c r="AX85" s="518">
        <v>0</v>
      </c>
      <c r="AY85" s="518">
        <v>0</v>
      </c>
      <c r="AZ85" s="518">
        <v>0</v>
      </c>
      <c r="BA85" s="518">
        <v>0</v>
      </c>
      <c r="BB85" s="518">
        <v>0</v>
      </c>
      <c r="BC85" s="518">
        <v>0</v>
      </c>
      <c r="BD85" s="518">
        <v>0</v>
      </c>
      <c r="BE85" s="518">
        <v>0</v>
      </c>
      <c r="BF85" s="518">
        <v>0</v>
      </c>
      <c r="BG85" s="518">
        <v>0</v>
      </c>
      <c r="BH85" s="518">
        <v>0</v>
      </c>
      <c r="BI85" s="518">
        <v>0</v>
      </c>
      <c r="BJ85" s="518">
        <v>0</v>
      </c>
      <c r="BK85" s="518">
        <v>0</v>
      </c>
      <c r="BL85" s="518">
        <v>0</v>
      </c>
      <c r="BM85" s="518">
        <v>0</v>
      </c>
      <c r="BN85" s="518">
        <v>0</v>
      </c>
      <c r="BO85" s="518">
        <v>0</v>
      </c>
      <c r="BP85" s="518">
        <v>0</v>
      </c>
      <c r="BQ85" s="518">
        <v>0</v>
      </c>
      <c r="BR85" s="518">
        <v>0</v>
      </c>
      <c r="BS85" s="518">
        <v>0</v>
      </c>
      <c r="BT85" s="518">
        <v>0</v>
      </c>
      <c r="BU85" s="518">
        <v>0</v>
      </c>
      <c r="BV85" s="518">
        <v>0</v>
      </c>
      <c r="BW85" s="518">
        <v>0</v>
      </c>
      <c r="BX85" s="518">
        <v>0</v>
      </c>
      <c r="BY85" s="518">
        <v>0</v>
      </c>
      <c r="BZ85" s="518">
        <v>0</v>
      </c>
      <c r="CA85" s="518">
        <v>0</v>
      </c>
      <c r="CB85" s="518">
        <v>0</v>
      </c>
      <c r="CC85" s="518">
        <v>0</v>
      </c>
      <c r="CD85" s="518">
        <v>0</v>
      </c>
      <c r="CE85" s="518">
        <v>0</v>
      </c>
      <c r="CF85" s="518">
        <v>0</v>
      </c>
      <c r="CG85" s="518">
        <v>0</v>
      </c>
      <c r="CH85" s="518">
        <v>0</v>
      </c>
      <c r="CI85" s="518">
        <v>0</v>
      </c>
      <c r="CJ85" s="518">
        <v>0</v>
      </c>
      <c r="CK85" s="518">
        <v>0</v>
      </c>
      <c r="CL85" s="518">
        <v>0</v>
      </c>
      <c r="CM85" s="518">
        <v>0</v>
      </c>
      <c r="CN85" s="518">
        <v>0</v>
      </c>
      <c r="CO85" s="518">
        <v>0</v>
      </c>
      <c r="CP85" s="518">
        <v>0</v>
      </c>
      <c r="CQ85" s="518">
        <v>0</v>
      </c>
      <c r="CR85" s="518">
        <v>0</v>
      </c>
      <c r="CS85" s="518">
        <v>0</v>
      </c>
      <c r="CT85" s="518">
        <v>0</v>
      </c>
      <c r="CU85" s="518">
        <v>0</v>
      </c>
      <c r="CV85" s="518">
        <v>0</v>
      </c>
      <c r="CW85" s="518">
        <v>0</v>
      </c>
      <c r="CX85" s="518">
        <v>0</v>
      </c>
      <c r="CY85" s="518">
        <v>0</v>
      </c>
      <c r="CZ85" s="518">
        <v>0</v>
      </c>
      <c r="DA85" s="518">
        <v>0</v>
      </c>
      <c r="DB85" s="518">
        <v>0</v>
      </c>
      <c r="DC85" s="518">
        <v>0</v>
      </c>
      <c r="DD85" s="518">
        <v>0</v>
      </c>
      <c r="DE85" s="518">
        <v>0</v>
      </c>
      <c r="DF85" s="518">
        <v>0</v>
      </c>
      <c r="DG85" s="518">
        <v>0</v>
      </c>
      <c r="DH85" s="518">
        <v>0</v>
      </c>
      <c r="DI85" s="518">
        <v>0</v>
      </c>
      <c r="DJ85" s="518">
        <v>0</v>
      </c>
      <c r="DK85" s="518">
        <v>0</v>
      </c>
      <c r="DL85" s="518">
        <v>0</v>
      </c>
      <c r="DM85" s="518">
        <v>0</v>
      </c>
      <c r="DN85" s="518">
        <v>0</v>
      </c>
      <c r="DO85" s="518">
        <v>0</v>
      </c>
      <c r="DP85" s="518">
        <v>0</v>
      </c>
      <c r="DQ85" s="518">
        <v>0</v>
      </c>
      <c r="DR85" s="518">
        <v>0</v>
      </c>
      <c r="DS85" s="518">
        <v>0</v>
      </c>
      <c r="DT85" s="518">
        <v>0</v>
      </c>
      <c r="DU85" s="518">
        <v>0</v>
      </c>
      <c r="DV85" s="518">
        <v>0</v>
      </c>
      <c r="DW85" s="518">
        <v>0</v>
      </c>
      <c r="DX85" s="518">
        <v>0</v>
      </c>
      <c r="DY85" s="477"/>
      <c r="DZ85" s="517" t="s">
        <v>721</v>
      </c>
      <c r="EA85" s="517" t="s">
        <v>1101</v>
      </c>
      <c r="EB85" s="517" t="s">
        <v>26</v>
      </c>
      <c r="EC85" s="518">
        <v>50</v>
      </c>
      <c r="ED85" s="494" t="str">
        <f t="shared" si="3"/>
        <v>SWUC100250</v>
      </c>
      <c r="EE85" s="518">
        <v>10000</v>
      </c>
      <c r="EF85" s="518">
        <v>10000</v>
      </c>
      <c r="EG85" s="518">
        <v>10000</v>
      </c>
      <c r="EH85" s="518">
        <v>10000</v>
      </c>
      <c r="EI85" s="518">
        <v>10000</v>
      </c>
      <c r="EJ85" s="518">
        <v>10000</v>
      </c>
      <c r="EK85" s="518">
        <v>10000</v>
      </c>
      <c r="EL85" s="518">
        <v>10000</v>
      </c>
      <c r="EM85" s="518">
        <v>10000</v>
      </c>
      <c r="EN85" s="518">
        <v>10000</v>
      </c>
      <c r="EO85" s="518">
        <v>0</v>
      </c>
      <c r="EP85" s="518">
        <v>0</v>
      </c>
      <c r="EQ85" s="518">
        <v>0</v>
      </c>
      <c r="ER85" s="518">
        <v>0</v>
      </c>
      <c r="ES85" s="518">
        <v>0</v>
      </c>
      <c r="ET85" s="518">
        <v>0</v>
      </c>
      <c r="EU85" s="518">
        <v>0</v>
      </c>
      <c r="EV85" s="518">
        <v>0</v>
      </c>
      <c r="EW85" s="518">
        <v>0</v>
      </c>
      <c r="EX85" s="518">
        <v>0</v>
      </c>
      <c r="EY85" s="518">
        <v>0</v>
      </c>
      <c r="EZ85" s="518">
        <v>0</v>
      </c>
      <c r="FA85" s="518">
        <v>0</v>
      </c>
      <c r="FB85" s="518">
        <v>0</v>
      </c>
      <c r="FC85" s="518">
        <v>0</v>
      </c>
      <c r="FD85" s="518">
        <v>0</v>
      </c>
      <c r="FE85" s="518">
        <v>0</v>
      </c>
      <c r="FF85" s="518">
        <v>0</v>
      </c>
      <c r="FG85" s="518">
        <v>0</v>
      </c>
      <c r="FH85" s="518">
        <v>0</v>
      </c>
      <c r="FI85" s="518">
        <v>0</v>
      </c>
      <c r="FJ85" s="518">
        <v>0</v>
      </c>
      <c r="FK85" s="518">
        <v>0</v>
      </c>
      <c r="FL85" s="518">
        <v>0</v>
      </c>
      <c r="FM85" s="518">
        <v>0</v>
      </c>
      <c r="FN85" s="518">
        <v>0</v>
      </c>
      <c r="FO85" s="518">
        <v>0</v>
      </c>
      <c r="FP85" s="518">
        <v>0</v>
      </c>
      <c r="FQ85" s="518">
        <v>0</v>
      </c>
      <c r="FR85" s="518">
        <v>0</v>
      </c>
      <c r="FS85" s="518">
        <v>0</v>
      </c>
      <c r="FT85" s="518">
        <v>0</v>
      </c>
      <c r="FU85" s="518">
        <v>0</v>
      </c>
      <c r="FV85" s="518">
        <v>0</v>
      </c>
      <c r="FW85" s="518">
        <v>0</v>
      </c>
      <c r="FX85" s="518">
        <v>0</v>
      </c>
      <c r="FY85" s="518">
        <v>0</v>
      </c>
      <c r="FZ85" s="518">
        <v>0</v>
      </c>
      <c r="GA85" s="518">
        <v>0</v>
      </c>
      <c r="GB85" s="518">
        <v>0</v>
      </c>
      <c r="GC85" s="518">
        <v>0</v>
      </c>
      <c r="GD85" s="518">
        <v>0</v>
      </c>
      <c r="GE85" s="518">
        <v>0</v>
      </c>
      <c r="GF85" s="518">
        <v>0</v>
      </c>
      <c r="GG85" s="518">
        <v>0</v>
      </c>
      <c r="GH85" s="518">
        <v>0</v>
      </c>
      <c r="GI85" s="518">
        <v>0</v>
      </c>
      <c r="GJ85" s="518">
        <v>0</v>
      </c>
      <c r="GK85" s="518">
        <v>0</v>
      </c>
      <c r="GL85" s="518">
        <v>0</v>
      </c>
      <c r="GM85" s="518">
        <v>0</v>
      </c>
      <c r="GN85" s="518">
        <v>0</v>
      </c>
      <c r="GO85" s="518">
        <v>0</v>
      </c>
      <c r="GP85" s="518">
        <v>0</v>
      </c>
      <c r="GQ85" s="518">
        <v>0</v>
      </c>
      <c r="GR85" s="518">
        <v>0</v>
      </c>
      <c r="GS85" s="518">
        <v>0</v>
      </c>
      <c r="GT85" s="518">
        <v>0</v>
      </c>
      <c r="GU85" s="518">
        <v>0</v>
      </c>
      <c r="GV85" s="518">
        <v>0</v>
      </c>
      <c r="GW85" s="518">
        <v>0</v>
      </c>
      <c r="GX85" s="518">
        <v>0</v>
      </c>
      <c r="GY85" s="518">
        <v>0</v>
      </c>
      <c r="GZ85" s="518">
        <v>0</v>
      </c>
      <c r="HA85" s="518">
        <v>0</v>
      </c>
      <c r="HB85" s="518">
        <v>0</v>
      </c>
      <c r="HC85" s="518">
        <v>0</v>
      </c>
      <c r="HD85" s="518">
        <v>0</v>
      </c>
      <c r="HE85" s="518">
        <v>0</v>
      </c>
      <c r="HF85" s="518">
        <v>0</v>
      </c>
      <c r="HG85" s="518">
        <v>0</v>
      </c>
      <c r="HH85" s="518">
        <v>0</v>
      </c>
      <c r="HI85" s="518">
        <v>0</v>
      </c>
      <c r="HJ85" s="518">
        <v>0</v>
      </c>
      <c r="HK85" s="518">
        <v>0</v>
      </c>
      <c r="HL85" s="518">
        <v>0</v>
      </c>
      <c r="HM85" s="518">
        <v>0</v>
      </c>
      <c r="HN85" s="518">
        <v>0</v>
      </c>
      <c r="HO85" s="518">
        <v>0</v>
      </c>
      <c r="HP85" s="518">
        <v>0</v>
      </c>
      <c r="HQ85" s="518">
        <v>0</v>
      </c>
      <c r="HR85" s="518">
        <v>0</v>
      </c>
      <c r="HS85" s="518">
        <v>0</v>
      </c>
      <c r="HT85" s="518">
        <v>0</v>
      </c>
      <c r="HU85" s="518">
        <v>0</v>
      </c>
      <c r="HV85" s="518">
        <v>0</v>
      </c>
      <c r="HW85" s="518">
        <v>0</v>
      </c>
      <c r="HX85" s="518">
        <v>0</v>
      </c>
      <c r="HY85" s="518">
        <v>0</v>
      </c>
      <c r="HZ85" s="518">
        <v>0</v>
      </c>
      <c r="IA85" s="518">
        <v>0</v>
      </c>
      <c r="IB85" s="518">
        <v>0</v>
      </c>
      <c r="IC85" s="518">
        <v>0</v>
      </c>
      <c r="ID85" s="518">
        <v>0</v>
      </c>
      <c r="IE85" s="518">
        <v>0</v>
      </c>
      <c r="IF85" s="518">
        <v>0</v>
      </c>
      <c r="IG85" s="518">
        <v>0</v>
      </c>
      <c r="IH85" s="518">
        <v>0</v>
      </c>
      <c r="II85" s="518">
        <v>0</v>
      </c>
      <c r="IJ85" s="518">
        <v>0</v>
      </c>
      <c r="IK85" s="518">
        <v>0</v>
      </c>
    </row>
    <row r="86" spans="1:245" ht="16.5" hidden="1">
      <c r="A86" s="517" t="s">
        <v>721</v>
      </c>
      <c r="B86" s="517" t="s">
        <v>1101</v>
      </c>
      <c r="C86" s="517" t="s">
        <v>721</v>
      </c>
      <c r="D86" s="558"/>
      <c r="E86" s="517" t="s">
        <v>721</v>
      </c>
      <c r="F86" s="517" t="s">
        <v>26</v>
      </c>
      <c r="G86" s="558"/>
      <c r="H86" s="518">
        <v>51</v>
      </c>
      <c r="I86" s="558"/>
      <c r="J86" s="494" t="str">
        <f t="shared" si="4"/>
        <v>SWUC100251</v>
      </c>
      <c r="K86" s="518">
        <v>337</v>
      </c>
      <c r="M86" s="517" t="s">
        <v>721</v>
      </c>
      <c r="N86" s="517" t="s">
        <v>1101</v>
      </c>
      <c r="O86" s="517" t="s">
        <v>26</v>
      </c>
      <c r="P86" s="518">
        <v>51</v>
      </c>
      <c r="Q86" s="494" t="str">
        <f t="shared" si="5"/>
        <v>SWUC100251</v>
      </c>
      <c r="R86" s="518">
        <v>0</v>
      </c>
      <c r="S86" s="518">
        <v>27</v>
      </c>
      <c r="T86" s="518">
        <v>54</v>
      </c>
      <c r="U86" s="518">
        <v>81</v>
      </c>
      <c r="V86" s="518">
        <v>109</v>
      </c>
      <c r="W86" s="518">
        <v>146</v>
      </c>
      <c r="X86" s="518">
        <v>187</v>
      </c>
      <c r="Y86" s="518">
        <v>232</v>
      </c>
      <c r="Z86" s="518">
        <v>280</v>
      </c>
      <c r="AA86" s="518">
        <v>0</v>
      </c>
      <c r="AB86" s="518">
        <v>0</v>
      </c>
      <c r="AC86" s="518">
        <v>0</v>
      </c>
      <c r="AD86" s="518">
        <v>0</v>
      </c>
      <c r="AE86" s="518">
        <v>0</v>
      </c>
      <c r="AF86" s="518">
        <v>0</v>
      </c>
      <c r="AG86" s="518">
        <v>0</v>
      </c>
      <c r="AH86" s="518">
        <v>0</v>
      </c>
      <c r="AI86" s="518">
        <v>0</v>
      </c>
      <c r="AJ86" s="518">
        <v>0</v>
      </c>
      <c r="AK86" s="518">
        <v>0</v>
      </c>
      <c r="AL86" s="518">
        <v>0</v>
      </c>
      <c r="AM86" s="518">
        <v>0</v>
      </c>
      <c r="AN86" s="518">
        <v>0</v>
      </c>
      <c r="AO86" s="518">
        <v>0</v>
      </c>
      <c r="AP86" s="518">
        <v>0</v>
      </c>
      <c r="AQ86" s="518">
        <v>0</v>
      </c>
      <c r="AR86" s="518">
        <v>0</v>
      </c>
      <c r="AS86" s="518">
        <v>0</v>
      </c>
      <c r="AT86" s="518">
        <v>0</v>
      </c>
      <c r="AU86" s="518">
        <v>0</v>
      </c>
      <c r="AV86" s="518">
        <v>0</v>
      </c>
      <c r="AW86" s="518">
        <v>0</v>
      </c>
      <c r="AX86" s="518">
        <v>0</v>
      </c>
      <c r="AY86" s="518">
        <v>0</v>
      </c>
      <c r="AZ86" s="518">
        <v>0</v>
      </c>
      <c r="BA86" s="518">
        <v>0</v>
      </c>
      <c r="BB86" s="518">
        <v>0</v>
      </c>
      <c r="BC86" s="518">
        <v>0</v>
      </c>
      <c r="BD86" s="518">
        <v>0</v>
      </c>
      <c r="BE86" s="518">
        <v>0</v>
      </c>
      <c r="BF86" s="518">
        <v>0</v>
      </c>
      <c r="BG86" s="518">
        <v>0</v>
      </c>
      <c r="BH86" s="518">
        <v>0</v>
      </c>
      <c r="BI86" s="518">
        <v>0</v>
      </c>
      <c r="BJ86" s="518">
        <v>0</v>
      </c>
      <c r="BK86" s="518">
        <v>0</v>
      </c>
      <c r="BL86" s="518">
        <v>0</v>
      </c>
      <c r="BM86" s="518">
        <v>0</v>
      </c>
      <c r="BN86" s="518">
        <v>0</v>
      </c>
      <c r="BO86" s="518">
        <v>0</v>
      </c>
      <c r="BP86" s="518">
        <v>0</v>
      </c>
      <c r="BQ86" s="518">
        <v>0</v>
      </c>
      <c r="BR86" s="518">
        <v>0</v>
      </c>
      <c r="BS86" s="518">
        <v>0</v>
      </c>
      <c r="BT86" s="518">
        <v>0</v>
      </c>
      <c r="BU86" s="518">
        <v>0</v>
      </c>
      <c r="BV86" s="518">
        <v>0</v>
      </c>
      <c r="BW86" s="518">
        <v>0</v>
      </c>
      <c r="BX86" s="518">
        <v>0</v>
      </c>
      <c r="BY86" s="518">
        <v>0</v>
      </c>
      <c r="BZ86" s="518">
        <v>0</v>
      </c>
      <c r="CA86" s="518">
        <v>0</v>
      </c>
      <c r="CB86" s="518">
        <v>0</v>
      </c>
      <c r="CC86" s="518">
        <v>0</v>
      </c>
      <c r="CD86" s="518">
        <v>0</v>
      </c>
      <c r="CE86" s="518">
        <v>0</v>
      </c>
      <c r="CF86" s="518">
        <v>0</v>
      </c>
      <c r="CG86" s="518">
        <v>0</v>
      </c>
      <c r="CH86" s="518">
        <v>0</v>
      </c>
      <c r="CI86" s="518">
        <v>0</v>
      </c>
      <c r="CJ86" s="518">
        <v>0</v>
      </c>
      <c r="CK86" s="518">
        <v>0</v>
      </c>
      <c r="CL86" s="518">
        <v>0</v>
      </c>
      <c r="CM86" s="518">
        <v>0</v>
      </c>
      <c r="CN86" s="518">
        <v>0</v>
      </c>
      <c r="CO86" s="518">
        <v>0</v>
      </c>
      <c r="CP86" s="518">
        <v>0</v>
      </c>
      <c r="CQ86" s="518">
        <v>0</v>
      </c>
      <c r="CR86" s="518">
        <v>0</v>
      </c>
      <c r="CS86" s="518">
        <v>0</v>
      </c>
      <c r="CT86" s="518">
        <v>0</v>
      </c>
      <c r="CU86" s="518">
        <v>0</v>
      </c>
      <c r="CV86" s="518">
        <v>0</v>
      </c>
      <c r="CW86" s="518">
        <v>0</v>
      </c>
      <c r="CX86" s="518">
        <v>0</v>
      </c>
      <c r="CY86" s="518">
        <v>0</v>
      </c>
      <c r="CZ86" s="518">
        <v>0</v>
      </c>
      <c r="DA86" s="518">
        <v>0</v>
      </c>
      <c r="DB86" s="518">
        <v>0</v>
      </c>
      <c r="DC86" s="518">
        <v>0</v>
      </c>
      <c r="DD86" s="518">
        <v>0</v>
      </c>
      <c r="DE86" s="518">
        <v>0</v>
      </c>
      <c r="DF86" s="518">
        <v>0</v>
      </c>
      <c r="DG86" s="518">
        <v>0</v>
      </c>
      <c r="DH86" s="518">
        <v>0</v>
      </c>
      <c r="DI86" s="518">
        <v>0</v>
      </c>
      <c r="DJ86" s="518">
        <v>0</v>
      </c>
      <c r="DK86" s="518">
        <v>0</v>
      </c>
      <c r="DL86" s="518">
        <v>0</v>
      </c>
      <c r="DM86" s="518">
        <v>0</v>
      </c>
      <c r="DN86" s="518">
        <v>0</v>
      </c>
      <c r="DO86" s="518">
        <v>0</v>
      </c>
      <c r="DP86" s="518">
        <v>0</v>
      </c>
      <c r="DQ86" s="518">
        <v>0</v>
      </c>
      <c r="DR86" s="518">
        <v>0</v>
      </c>
      <c r="DS86" s="518">
        <v>0</v>
      </c>
      <c r="DT86" s="518">
        <v>0</v>
      </c>
      <c r="DU86" s="518">
        <v>0</v>
      </c>
      <c r="DV86" s="518">
        <v>0</v>
      </c>
      <c r="DW86" s="518">
        <v>0</v>
      </c>
      <c r="DX86" s="518">
        <v>0</v>
      </c>
      <c r="DY86" s="477"/>
      <c r="DZ86" s="517" t="s">
        <v>721</v>
      </c>
      <c r="EA86" s="517" t="s">
        <v>1101</v>
      </c>
      <c r="EB86" s="517" t="s">
        <v>26</v>
      </c>
      <c r="EC86" s="518">
        <v>51</v>
      </c>
      <c r="ED86" s="494" t="str">
        <f t="shared" si="3"/>
        <v>SWUC100251</v>
      </c>
      <c r="EE86" s="518">
        <v>10000</v>
      </c>
      <c r="EF86" s="518">
        <v>10000</v>
      </c>
      <c r="EG86" s="518">
        <v>10000</v>
      </c>
      <c r="EH86" s="518">
        <v>10000</v>
      </c>
      <c r="EI86" s="518">
        <v>10000</v>
      </c>
      <c r="EJ86" s="518">
        <v>10000</v>
      </c>
      <c r="EK86" s="518">
        <v>10000</v>
      </c>
      <c r="EL86" s="518">
        <v>10000</v>
      </c>
      <c r="EM86" s="518">
        <v>10000</v>
      </c>
      <c r="EN86" s="518">
        <v>10000</v>
      </c>
      <c r="EO86" s="518">
        <v>0</v>
      </c>
      <c r="EP86" s="518">
        <v>0</v>
      </c>
      <c r="EQ86" s="518">
        <v>0</v>
      </c>
      <c r="ER86" s="518">
        <v>0</v>
      </c>
      <c r="ES86" s="518">
        <v>0</v>
      </c>
      <c r="ET86" s="518">
        <v>0</v>
      </c>
      <c r="EU86" s="518">
        <v>0</v>
      </c>
      <c r="EV86" s="518">
        <v>0</v>
      </c>
      <c r="EW86" s="518">
        <v>0</v>
      </c>
      <c r="EX86" s="518">
        <v>0</v>
      </c>
      <c r="EY86" s="518">
        <v>0</v>
      </c>
      <c r="EZ86" s="518">
        <v>0</v>
      </c>
      <c r="FA86" s="518">
        <v>0</v>
      </c>
      <c r="FB86" s="518">
        <v>0</v>
      </c>
      <c r="FC86" s="518">
        <v>0</v>
      </c>
      <c r="FD86" s="518">
        <v>0</v>
      </c>
      <c r="FE86" s="518">
        <v>0</v>
      </c>
      <c r="FF86" s="518">
        <v>0</v>
      </c>
      <c r="FG86" s="518">
        <v>0</v>
      </c>
      <c r="FH86" s="518">
        <v>0</v>
      </c>
      <c r="FI86" s="518">
        <v>0</v>
      </c>
      <c r="FJ86" s="518">
        <v>0</v>
      </c>
      <c r="FK86" s="518">
        <v>0</v>
      </c>
      <c r="FL86" s="518">
        <v>0</v>
      </c>
      <c r="FM86" s="518">
        <v>0</v>
      </c>
      <c r="FN86" s="518">
        <v>0</v>
      </c>
      <c r="FO86" s="518">
        <v>0</v>
      </c>
      <c r="FP86" s="518">
        <v>0</v>
      </c>
      <c r="FQ86" s="518">
        <v>0</v>
      </c>
      <c r="FR86" s="518">
        <v>0</v>
      </c>
      <c r="FS86" s="518">
        <v>0</v>
      </c>
      <c r="FT86" s="518">
        <v>0</v>
      </c>
      <c r="FU86" s="518">
        <v>0</v>
      </c>
      <c r="FV86" s="518">
        <v>0</v>
      </c>
      <c r="FW86" s="518">
        <v>0</v>
      </c>
      <c r="FX86" s="518">
        <v>0</v>
      </c>
      <c r="FY86" s="518">
        <v>0</v>
      </c>
      <c r="FZ86" s="518">
        <v>0</v>
      </c>
      <c r="GA86" s="518">
        <v>0</v>
      </c>
      <c r="GB86" s="518">
        <v>0</v>
      </c>
      <c r="GC86" s="518">
        <v>0</v>
      </c>
      <c r="GD86" s="518">
        <v>0</v>
      </c>
      <c r="GE86" s="518">
        <v>0</v>
      </c>
      <c r="GF86" s="518">
        <v>0</v>
      </c>
      <c r="GG86" s="518">
        <v>0</v>
      </c>
      <c r="GH86" s="518">
        <v>0</v>
      </c>
      <c r="GI86" s="518">
        <v>0</v>
      </c>
      <c r="GJ86" s="518">
        <v>0</v>
      </c>
      <c r="GK86" s="518">
        <v>0</v>
      </c>
      <c r="GL86" s="518">
        <v>0</v>
      </c>
      <c r="GM86" s="518">
        <v>0</v>
      </c>
      <c r="GN86" s="518">
        <v>0</v>
      </c>
      <c r="GO86" s="518">
        <v>0</v>
      </c>
      <c r="GP86" s="518">
        <v>0</v>
      </c>
      <c r="GQ86" s="518">
        <v>0</v>
      </c>
      <c r="GR86" s="518">
        <v>0</v>
      </c>
      <c r="GS86" s="518">
        <v>0</v>
      </c>
      <c r="GT86" s="518">
        <v>0</v>
      </c>
      <c r="GU86" s="518">
        <v>0</v>
      </c>
      <c r="GV86" s="518">
        <v>0</v>
      </c>
      <c r="GW86" s="518">
        <v>0</v>
      </c>
      <c r="GX86" s="518">
        <v>0</v>
      </c>
      <c r="GY86" s="518">
        <v>0</v>
      </c>
      <c r="GZ86" s="518">
        <v>0</v>
      </c>
      <c r="HA86" s="518">
        <v>0</v>
      </c>
      <c r="HB86" s="518">
        <v>0</v>
      </c>
      <c r="HC86" s="518">
        <v>0</v>
      </c>
      <c r="HD86" s="518">
        <v>0</v>
      </c>
      <c r="HE86" s="518">
        <v>0</v>
      </c>
      <c r="HF86" s="518">
        <v>0</v>
      </c>
      <c r="HG86" s="518">
        <v>0</v>
      </c>
      <c r="HH86" s="518">
        <v>0</v>
      </c>
      <c r="HI86" s="518">
        <v>0</v>
      </c>
      <c r="HJ86" s="518">
        <v>0</v>
      </c>
      <c r="HK86" s="518">
        <v>0</v>
      </c>
      <c r="HL86" s="518">
        <v>0</v>
      </c>
      <c r="HM86" s="518">
        <v>0</v>
      </c>
      <c r="HN86" s="518">
        <v>0</v>
      </c>
      <c r="HO86" s="518">
        <v>0</v>
      </c>
      <c r="HP86" s="518">
        <v>0</v>
      </c>
      <c r="HQ86" s="518">
        <v>0</v>
      </c>
      <c r="HR86" s="518">
        <v>0</v>
      </c>
      <c r="HS86" s="518">
        <v>0</v>
      </c>
      <c r="HT86" s="518">
        <v>0</v>
      </c>
      <c r="HU86" s="518">
        <v>0</v>
      </c>
      <c r="HV86" s="518">
        <v>0</v>
      </c>
      <c r="HW86" s="518">
        <v>0</v>
      </c>
      <c r="HX86" s="518">
        <v>0</v>
      </c>
      <c r="HY86" s="518">
        <v>0</v>
      </c>
      <c r="HZ86" s="518">
        <v>0</v>
      </c>
      <c r="IA86" s="518">
        <v>0</v>
      </c>
      <c r="IB86" s="518">
        <v>0</v>
      </c>
      <c r="IC86" s="518">
        <v>0</v>
      </c>
      <c r="ID86" s="518">
        <v>0</v>
      </c>
      <c r="IE86" s="518">
        <v>0</v>
      </c>
      <c r="IF86" s="518">
        <v>0</v>
      </c>
      <c r="IG86" s="518">
        <v>0</v>
      </c>
      <c r="IH86" s="518">
        <v>0</v>
      </c>
      <c r="II86" s="518">
        <v>0</v>
      </c>
      <c r="IJ86" s="518">
        <v>0</v>
      </c>
      <c r="IK86" s="518">
        <v>0</v>
      </c>
    </row>
    <row r="87" spans="1:245" ht="16.5" hidden="1">
      <c r="A87" s="517" t="s">
        <v>721</v>
      </c>
      <c r="B87" s="517" t="s">
        <v>1101</v>
      </c>
      <c r="C87" s="517" t="s">
        <v>721</v>
      </c>
      <c r="D87" s="558"/>
      <c r="E87" s="517" t="s">
        <v>721</v>
      </c>
      <c r="F87" s="517" t="s">
        <v>26</v>
      </c>
      <c r="G87" s="558"/>
      <c r="H87" s="518">
        <v>52</v>
      </c>
      <c r="I87" s="558"/>
      <c r="J87" s="494" t="str">
        <f t="shared" si="4"/>
        <v>SWUC100252</v>
      </c>
      <c r="K87" s="518">
        <v>356</v>
      </c>
      <c r="M87" s="517" t="s">
        <v>721</v>
      </c>
      <c r="N87" s="517" t="s">
        <v>1101</v>
      </c>
      <c r="O87" s="517" t="s">
        <v>26</v>
      </c>
      <c r="P87" s="518">
        <v>52</v>
      </c>
      <c r="Q87" s="494" t="str">
        <f t="shared" si="5"/>
        <v>SWUC100252</v>
      </c>
      <c r="R87" s="518">
        <v>0</v>
      </c>
      <c r="S87" s="518">
        <v>29</v>
      </c>
      <c r="T87" s="518">
        <v>57</v>
      </c>
      <c r="U87" s="518">
        <v>86</v>
      </c>
      <c r="V87" s="518">
        <v>115</v>
      </c>
      <c r="W87" s="518">
        <v>154</v>
      </c>
      <c r="X87" s="518">
        <v>197</v>
      </c>
      <c r="Y87" s="518">
        <v>245</v>
      </c>
      <c r="Z87" s="518">
        <v>296</v>
      </c>
      <c r="AA87" s="518">
        <v>0</v>
      </c>
      <c r="AB87" s="518">
        <v>0</v>
      </c>
      <c r="AC87" s="518">
        <v>0</v>
      </c>
      <c r="AD87" s="518">
        <v>0</v>
      </c>
      <c r="AE87" s="518">
        <v>0</v>
      </c>
      <c r="AF87" s="518">
        <v>0</v>
      </c>
      <c r="AG87" s="518">
        <v>0</v>
      </c>
      <c r="AH87" s="518">
        <v>0</v>
      </c>
      <c r="AI87" s="518">
        <v>0</v>
      </c>
      <c r="AJ87" s="518">
        <v>0</v>
      </c>
      <c r="AK87" s="518">
        <v>0</v>
      </c>
      <c r="AL87" s="518">
        <v>0</v>
      </c>
      <c r="AM87" s="518">
        <v>0</v>
      </c>
      <c r="AN87" s="518">
        <v>0</v>
      </c>
      <c r="AO87" s="518">
        <v>0</v>
      </c>
      <c r="AP87" s="518">
        <v>0</v>
      </c>
      <c r="AQ87" s="518">
        <v>0</v>
      </c>
      <c r="AR87" s="518">
        <v>0</v>
      </c>
      <c r="AS87" s="518">
        <v>0</v>
      </c>
      <c r="AT87" s="518">
        <v>0</v>
      </c>
      <c r="AU87" s="518">
        <v>0</v>
      </c>
      <c r="AV87" s="518">
        <v>0</v>
      </c>
      <c r="AW87" s="518">
        <v>0</v>
      </c>
      <c r="AX87" s="518">
        <v>0</v>
      </c>
      <c r="AY87" s="518">
        <v>0</v>
      </c>
      <c r="AZ87" s="518">
        <v>0</v>
      </c>
      <c r="BA87" s="518">
        <v>0</v>
      </c>
      <c r="BB87" s="518">
        <v>0</v>
      </c>
      <c r="BC87" s="518">
        <v>0</v>
      </c>
      <c r="BD87" s="518">
        <v>0</v>
      </c>
      <c r="BE87" s="518">
        <v>0</v>
      </c>
      <c r="BF87" s="518">
        <v>0</v>
      </c>
      <c r="BG87" s="518">
        <v>0</v>
      </c>
      <c r="BH87" s="518">
        <v>0</v>
      </c>
      <c r="BI87" s="518">
        <v>0</v>
      </c>
      <c r="BJ87" s="518">
        <v>0</v>
      </c>
      <c r="BK87" s="518">
        <v>0</v>
      </c>
      <c r="BL87" s="518">
        <v>0</v>
      </c>
      <c r="BM87" s="518">
        <v>0</v>
      </c>
      <c r="BN87" s="518">
        <v>0</v>
      </c>
      <c r="BO87" s="518">
        <v>0</v>
      </c>
      <c r="BP87" s="518">
        <v>0</v>
      </c>
      <c r="BQ87" s="518">
        <v>0</v>
      </c>
      <c r="BR87" s="518">
        <v>0</v>
      </c>
      <c r="BS87" s="518">
        <v>0</v>
      </c>
      <c r="BT87" s="518">
        <v>0</v>
      </c>
      <c r="BU87" s="518">
        <v>0</v>
      </c>
      <c r="BV87" s="518">
        <v>0</v>
      </c>
      <c r="BW87" s="518">
        <v>0</v>
      </c>
      <c r="BX87" s="518">
        <v>0</v>
      </c>
      <c r="BY87" s="518">
        <v>0</v>
      </c>
      <c r="BZ87" s="518">
        <v>0</v>
      </c>
      <c r="CA87" s="518">
        <v>0</v>
      </c>
      <c r="CB87" s="518">
        <v>0</v>
      </c>
      <c r="CC87" s="518">
        <v>0</v>
      </c>
      <c r="CD87" s="518">
        <v>0</v>
      </c>
      <c r="CE87" s="518">
        <v>0</v>
      </c>
      <c r="CF87" s="518">
        <v>0</v>
      </c>
      <c r="CG87" s="518">
        <v>0</v>
      </c>
      <c r="CH87" s="518">
        <v>0</v>
      </c>
      <c r="CI87" s="518">
        <v>0</v>
      </c>
      <c r="CJ87" s="518">
        <v>0</v>
      </c>
      <c r="CK87" s="518">
        <v>0</v>
      </c>
      <c r="CL87" s="518">
        <v>0</v>
      </c>
      <c r="CM87" s="518">
        <v>0</v>
      </c>
      <c r="CN87" s="518">
        <v>0</v>
      </c>
      <c r="CO87" s="518">
        <v>0</v>
      </c>
      <c r="CP87" s="518">
        <v>0</v>
      </c>
      <c r="CQ87" s="518">
        <v>0</v>
      </c>
      <c r="CR87" s="518">
        <v>0</v>
      </c>
      <c r="CS87" s="518">
        <v>0</v>
      </c>
      <c r="CT87" s="518">
        <v>0</v>
      </c>
      <c r="CU87" s="518">
        <v>0</v>
      </c>
      <c r="CV87" s="518">
        <v>0</v>
      </c>
      <c r="CW87" s="518">
        <v>0</v>
      </c>
      <c r="CX87" s="518">
        <v>0</v>
      </c>
      <c r="CY87" s="518">
        <v>0</v>
      </c>
      <c r="CZ87" s="518">
        <v>0</v>
      </c>
      <c r="DA87" s="518">
        <v>0</v>
      </c>
      <c r="DB87" s="518">
        <v>0</v>
      </c>
      <c r="DC87" s="518">
        <v>0</v>
      </c>
      <c r="DD87" s="518">
        <v>0</v>
      </c>
      <c r="DE87" s="518">
        <v>0</v>
      </c>
      <c r="DF87" s="518">
        <v>0</v>
      </c>
      <c r="DG87" s="518">
        <v>0</v>
      </c>
      <c r="DH87" s="518">
        <v>0</v>
      </c>
      <c r="DI87" s="518">
        <v>0</v>
      </c>
      <c r="DJ87" s="518">
        <v>0</v>
      </c>
      <c r="DK87" s="518">
        <v>0</v>
      </c>
      <c r="DL87" s="518">
        <v>0</v>
      </c>
      <c r="DM87" s="518">
        <v>0</v>
      </c>
      <c r="DN87" s="518">
        <v>0</v>
      </c>
      <c r="DO87" s="518">
        <v>0</v>
      </c>
      <c r="DP87" s="518">
        <v>0</v>
      </c>
      <c r="DQ87" s="518">
        <v>0</v>
      </c>
      <c r="DR87" s="518">
        <v>0</v>
      </c>
      <c r="DS87" s="518">
        <v>0</v>
      </c>
      <c r="DT87" s="518">
        <v>0</v>
      </c>
      <c r="DU87" s="518">
        <v>0</v>
      </c>
      <c r="DV87" s="518">
        <v>0</v>
      </c>
      <c r="DW87" s="518">
        <v>0</v>
      </c>
      <c r="DX87" s="518">
        <v>0</v>
      </c>
      <c r="DZ87" s="517" t="s">
        <v>721</v>
      </c>
      <c r="EA87" s="517" t="s">
        <v>1101</v>
      </c>
      <c r="EB87" s="517" t="s">
        <v>26</v>
      </c>
      <c r="EC87" s="518">
        <v>52</v>
      </c>
      <c r="ED87" s="494" t="str">
        <f t="shared" si="3"/>
        <v>SWUC100252</v>
      </c>
      <c r="EE87" s="518">
        <v>10000</v>
      </c>
      <c r="EF87" s="518">
        <v>10000</v>
      </c>
      <c r="EG87" s="518">
        <v>10000</v>
      </c>
      <c r="EH87" s="518">
        <v>10000</v>
      </c>
      <c r="EI87" s="518">
        <v>10000</v>
      </c>
      <c r="EJ87" s="518">
        <v>10000</v>
      </c>
      <c r="EK87" s="518">
        <v>10000</v>
      </c>
      <c r="EL87" s="518">
        <v>10000</v>
      </c>
      <c r="EM87" s="518">
        <v>10000</v>
      </c>
      <c r="EN87" s="518">
        <v>10000</v>
      </c>
      <c r="EO87" s="518">
        <v>0</v>
      </c>
      <c r="EP87" s="518">
        <v>0</v>
      </c>
      <c r="EQ87" s="518">
        <v>0</v>
      </c>
      <c r="ER87" s="518">
        <v>0</v>
      </c>
      <c r="ES87" s="518">
        <v>0</v>
      </c>
      <c r="ET87" s="518">
        <v>0</v>
      </c>
      <c r="EU87" s="518">
        <v>0</v>
      </c>
      <c r="EV87" s="518">
        <v>0</v>
      </c>
      <c r="EW87" s="518">
        <v>0</v>
      </c>
      <c r="EX87" s="518">
        <v>0</v>
      </c>
      <c r="EY87" s="518">
        <v>0</v>
      </c>
      <c r="EZ87" s="518">
        <v>0</v>
      </c>
      <c r="FA87" s="518">
        <v>0</v>
      </c>
      <c r="FB87" s="518">
        <v>0</v>
      </c>
      <c r="FC87" s="518">
        <v>0</v>
      </c>
      <c r="FD87" s="518">
        <v>0</v>
      </c>
      <c r="FE87" s="518">
        <v>0</v>
      </c>
      <c r="FF87" s="518">
        <v>0</v>
      </c>
      <c r="FG87" s="518">
        <v>0</v>
      </c>
      <c r="FH87" s="518">
        <v>0</v>
      </c>
      <c r="FI87" s="518">
        <v>0</v>
      </c>
      <c r="FJ87" s="518">
        <v>0</v>
      </c>
      <c r="FK87" s="518">
        <v>0</v>
      </c>
      <c r="FL87" s="518">
        <v>0</v>
      </c>
      <c r="FM87" s="518">
        <v>0</v>
      </c>
      <c r="FN87" s="518">
        <v>0</v>
      </c>
      <c r="FO87" s="518">
        <v>0</v>
      </c>
      <c r="FP87" s="518">
        <v>0</v>
      </c>
      <c r="FQ87" s="518">
        <v>0</v>
      </c>
      <c r="FR87" s="518">
        <v>0</v>
      </c>
      <c r="FS87" s="518">
        <v>0</v>
      </c>
      <c r="FT87" s="518">
        <v>0</v>
      </c>
      <c r="FU87" s="518">
        <v>0</v>
      </c>
      <c r="FV87" s="518">
        <v>0</v>
      </c>
      <c r="FW87" s="518">
        <v>0</v>
      </c>
      <c r="FX87" s="518">
        <v>0</v>
      </c>
      <c r="FY87" s="518">
        <v>0</v>
      </c>
      <c r="FZ87" s="518">
        <v>0</v>
      </c>
      <c r="GA87" s="518">
        <v>0</v>
      </c>
      <c r="GB87" s="518">
        <v>0</v>
      </c>
      <c r="GC87" s="518">
        <v>0</v>
      </c>
      <c r="GD87" s="518">
        <v>0</v>
      </c>
      <c r="GE87" s="518">
        <v>0</v>
      </c>
      <c r="GF87" s="518">
        <v>0</v>
      </c>
      <c r="GG87" s="518">
        <v>0</v>
      </c>
      <c r="GH87" s="518">
        <v>0</v>
      </c>
      <c r="GI87" s="518">
        <v>0</v>
      </c>
      <c r="GJ87" s="518">
        <v>0</v>
      </c>
      <c r="GK87" s="518">
        <v>0</v>
      </c>
      <c r="GL87" s="518">
        <v>0</v>
      </c>
      <c r="GM87" s="518">
        <v>0</v>
      </c>
      <c r="GN87" s="518">
        <v>0</v>
      </c>
      <c r="GO87" s="518">
        <v>0</v>
      </c>
      <c r="GP87" s="518">
        <v>0</v>
      </c>
      <c r="GQ87" s="518">
        <v>0</v>
      </c>
      <c r="GR87" s="518">
        <v>0</v>
      </c>
      <c r="GS87" s="518">
        <v>0</v>
      </c>
      <c r="GT87" s="518">
        <v>0</v>
      </c>
      <c r="GU87" s="518">
        <v>0</v>
      </c>
      <c r="GV87" s="518">
        <v>0</v>
      </c>
      <c r="GW87" s="518">
        <v>0</v>
      </c>
      <c r="GX87" s="518">
        <v>0</v>
      </c>
      <c r="GY87" s="518">
        <v>0</v>
      </c>
      <c r="GZ87" s="518">
        <v>0</v>
      </c>
      <c r="HA87" s="518">
        <v>0</v>
      </c>
      <c r="HB87" s="518">
        <v>0</v>
      </c>
      <c r="HC87" s="518">
        <v>0</v>
      </c>
      <c r="HD87" s="518">
        <v>0</v>
      </c>
      <c r="HE87" s="518">
        <v>0</v>
      </c>
      <c r="HF87" s="518">
        <v>0</v>
      </c>
      <c r="HG87" s="518">
        <v>0</v>
      </c>
      <c r="HH87" s="518">
        <v>0</v>
      </c>
      <c r="HI87" s="518">
        <v>0</v>
      </c>
      <c r="HJ87" s="518">
        <v>0</v>
      </c>
      <c r="HK87" s="518">
        <v>0</v>
      </c>
      <c r="HL87" s="518">
        <v>0</v>
      </c>
      <c r="HM87" s="518">
        <v>0</v>
      </c>
      <c r="HN87" s="518">
        <v>0</v>
      </c>
      <c r="HO87" s="518">
        <v>0</v>
      </c>
      <c r="HP87" s="518">
        <v>0</v>
      </c>
      <c r="HQ87" s="518">
        <v>0</v>
      </c>
      <c r="HR87" s="518">
        <v>0</v>
      </c>
      <c r="HS87" s="518">
        <v>0</v>
      </c>
      <c r="HT87" s="518">
        <v>0</v>
      </c>
      <c r="HU87" s="518">
        <v>0</v>
      </c>
      <c r="HV87" s="518">
        <v>0</v>
      </c>
      <c r="HW87" s="518">
        <v>0</v>
      </c>
      <c r="HX87" s="518">
        <v>0</v>
      </c>
      <c r="HY87" s="518">
        <v>0</v>
      </c>
      <c r="HZ87" s="518">
        <v>0</v>
      </c>
      <c r="IA87" s="518">
        <v>0</v>
      </c>
      <c r="IB87" s="518">
        <v>0</v>
      </c>
      <c r="IC87" s="518">
        <v>0</v>
      </c>
      <c r="ID87" s="518">
        <v>0</v>
      </c>
      <c r="IE87" s="518">
        <v>0</v>
      </c>
      <c r="IF87" s="518">
        <v>0</v>
      </c>
      <c r="IG87" s="518">
        <v>0</v>
      </c>
      <c r="IH87" s="518">
        <v>0</v>
      </c>
      <c r="II87" s="518">
        <v>0</v>
      </c>
      <c r="IJ87" s="518">
        <v>0</v>
      </c>
      <c r="IK87" s="518">
        <v>0</v>
      </c>
    </row>
    <row r="88" spans="1:245" ht="16.5" hidden="1">
      <c r="A88" s="517" t="s">
        <v>721</v>
      </c>
      <c r="B88" s="517" t="s">
        <v>1101</v>
      </c>
      <c r="C88" s="517" t="s">
        <v>721</v>
      </c>
      <c r="D88" s="558"/>
      <c r="E88" s="517" t="s">
        <v>721</v>
      </c>
      <c r="F88" s="517" t="s">
        <v>26</v>
      </c>
      <c r="G88" s="558"/>
      <c r="H88" s="518">
        <v>53</v>
      </c>
      <c r="I88" s="558"/>
      <c r="J88" s="494" t="str">
        <f t="shared" si="4"/>
        <v>SWUC100253</v>
      </c>
      <c r="K88" s="518">
        <v>375</v>
      </c>
      <c r="M88" s="517" t="s">
        <v>721</v>
      </c>
      <c r="N88" s="517" t="s">
        <v>1101</v>
      </c>
      <c r="O88" s="517" t="s">
        <v>26</v>
      </c>
      <c r="P88" s="518">
        <v>53</v>
      </c>
      <c r="Q88" s="494" t="str">
        <f t="shared" si="5"/>
        <v>SWUC100253</v>
      </c>
      <c r="R88" s="518">
        <v>0</v>
      </c>
      <c r="S88" s="518">
        <v>30</v>
      </c>
      <c r="T88" s="518">
        <v>60</v>
      </c>
      <c r="U88" s="518">
        <v>91</v>
      </c>
      <c r="V88" s="518">
        <v>122</v>
      </c>
      <c r="W88" s="518">
        <v>162</v>
      </c>
      <c r="X88" s="518">
        <v>207</v>
      </c>
      <c r="Y88" s="518">
        <v>258</v>
      </c>
      <c r="Z88" s="518">
        <v>313</v>
      </c>
      <c r="AA88" s="518">
        <v>0</v>
      </c>
      <c r="AB88" s="518">
        <v>0</v>
      </c>
      <c r="AC88" s="518">
        <v>0</v>
      </c>
      <c r="AD88" s="518">
        <v>0</v>
      </c>
      <c r="AE88" s="518">
        <v>0</v>
      </c>
      <c r="AF88" s="518">
        <v>0</v>
      </c>
      <c r="AG88" s="518">
        <v>0</v>
      </c>
      <c r="AH88" s="518">
        <v>0</v>
      </c>
      <c r="AI88" s="518">
        <v>0</v>
      </c>
      <c r="AJ88" s="518">
        <v>0</v>
      </c>
      <c r="AK88" s="518">
        <v>0</v>
      </c>
      <c r="AL88" s="518">
        <v>0</v>
      </c>
      <c r="AM88" s="518">
        <v>0</v>
      </c>
      <c r="AN88" s="518">
        <v>0</v>
      </c>
      <c r="AO88" s="518">
        <v>0</v>
      </c>
      <c r="AP88" s="518">
        <v>0</v>
      </c>
      <c r="AQ88" s="518">
        <v>0</v>
      </c>
      <c r="AR88" s="518">
        <v>0</v>
      </c>
      <c r="AS88" s="518">
        <v>0</v>
      </c>
      <c r="AT88" s="518">
        <v>0</v>
      </c>
      <c r="AU88" s="518">
        <v>0</v>
      </c>
      <c r="AV88" s="518">
        <v>0</v>
      </c>
      <c r="AW88" s="518">
        <v>0</v>
      </c>
      <c r="AX88" s="518">
        <v>0</v>
      </c>
      <c r="AY88" s="518">
        <v>0</v>
      </c>
      <c r="AZ88" s="518">
        <v>0</v>
      </c>
      <c r="BA88" s="518">
        <v>0</v>
      </c>
      <c r="BB88" s="518">
        <v>0</v>
      </c>
      <c r="BC88" s="518">
        <v>0</v>
      </c>
      <c r="BD88" s="518">
        <v>0</v>
      </c>
      <c r="BE88" s="518">
        <v>0</v>
      </c>
      <c r="BF88" s="518">
        <v>0</v>
      </c>
      <c r="BG88" s="518">
        <v>0</v>
      </c>
      <c r="BH88" s="518">
        <v>0</v>
      </c>
      <c r="BI88" s="518">
        <v>0</v>
      </c>
      <c r="BJ88" s="518">
        <v>0</v>
      </c>
      <c r="BK88" s="518">
        <v>0</v>
      </c>
      <c r="BL88" s="518">
        <v>0</v>
      </c>
      <c r="BM88" s="518">
        <v>0</v>
      </c>
      <c r="BN88" s="518">
        <v>0</v>
      </c>
      <c r="BO88" s="518">
        <v>0</v>
      </c>
      <c r="BP88" s="518">
        <v>0</v>
      </c>
      <c r="BQ88" s="518">
        <v>0</v>
      </c>
      <c r="BR88" s="518">
        <v>0</v>
      </c>
      <c r="BS88" s="518">
        <v>0</v>
      </c>
      <c r="BT88" s="518">
        <v>0</v>
      </c>
      <c r="BU88" s="518">
        <v>0</v>
      </c>
      <c r="BV88" s="518">
        <v>0</v>
      </c>
      <c r="BW88" s="518">
        <v>0</v>
      </c>
      <c r="BX88" s="518">
        <v>0</v>
      </c>
      <c r="BY88" s="518">
        <v>0</v>
      </c>
      <c r="BZ88" s="518">
        <v>0</v>
      </c>
      <c r="CA88" s="518">
        <v>0</v>
      </c>
      <c r="CB88" s="518">
        <v>0</v>
      </c>
      <c r="CC88" s="518">
        <v>0</v>
      </c>
      <c r="CD88" s="518">
        <v>0</v>
      </c>
      <c r="CE88" s="518">
        <v>0</v>
      </c>
      <c r="CF88" s="518">
        <v>0</v>
      </c>
      <c r="CG88" s="518">
        <v>0</v>
      </c>
      <c r="CH88" s="518">
        <v>0</v>
      </c>
      <c r="CI88" s="518">
        <v>0</v>
      </c>
      <c r="CJ88" s="518">
        <v>0</v>
      </c>
      <c r="CK88" s="518">
        <v>0</v>
      </c>
      <c r="CL88" s="518">
        <v>0</v>
      </c>
      <c r="CM88" s="518">
        <v>0</v>
      </c>
      <c r="CN88" s="518">
        <v>0</v>
      </c>
      <c r="CO88" s="518">
        <v>0</v>
      </c>
      <c r="CP88" s="518">
        <v>0</v>
      </c>
      <c r="CQ88" s="518">
        <v>0</v>
      </c>
      <c r="CR88" s="518">
        <v>0</v>
      </c>
      <c r="CS88" s="518">
        <v>0</v>
      </c>
      <c r="CT88" s="518">
        <v>0</v>
      </c>
      <c r="CU88" s="518">
        <v>0</v>
      </c>
      <c r="CV88" s="518">
        <v>0</v>
      </c>
      <c r="CW88" s="518">
        <v>0</v>
      </c>
      <c r="CX88" s="518">
        <v>0</v>
      </c>
      <c r="CY88" s="518">
        <v>0</v>
      </c>
      <c r="CZ88" s="518">
        <v>0</v>
      </c>
      <c r="DA88" s="518">
        <v>0</v>
      </c>
      <c r="DB88" s="518">
        <v>0</v>
      </c>
      <c r="DC88" s="518">
        <v>0</v>
      </c>
      <c r="DD88" s="518">
        <v>0</v>
      </c>
      <c r="DE88" s="518">
        <v>0</v>
      </c>
      <c r="DF88" s="518">
        <v>0</v>
      </c>
      <c r="DG88" s="518">
        <v>0</v>
      </c>
      <c r="DH88" s="518">
        <v>0</v>
      </c>
      <c r="DI88" s="518">
        <v>0</v>
      </c>
      <c r="DJ88" s="518">
        <v>0</v>
      </c>
      <c r="DK88" s="518">
        <v>0</v>
      </c>
      <c r="DL88" s="518">
        <v>0</v>
      </c>
      <c r="DM88" s="518">
        <v>0</v>
      </c>
      <c r="DN88" s="518">
        <v>0</v>
      </c>
      <c r="DO88" s="518">
        <v>0</v>
      </c>
      <c r="DP88" s="518">
        <v>0</v>
      </c>
      <c r="DQ88" s="518">
        <v>0</v>
      </c>
      <c r="DR88" s="518">
        <v>0</v>
      </c>
      <c r="DS88" s="518">
        <v>0</v>
      </c>
      <c r="DT88" s="518">
        <v>0</v>
      </c>
      <c r="DU88" s="518">
        <v>0</v>
      </c>
      <c r="DV88" s="518">
        <v>0</v>
      </c>
      <c r="DW88" s="518">
        <v>0</v>
      </c>
      <c r="DX88" s="518">
        <v>0</v>
      </c>
      <c r="DZ88" s="517" t="s">
        <v>721</v>
      </c>
      <c r="EA88" s="517" t="s">
        <v>1101</v>
      </c>
      <c r="EB88" s="517" t="s">
        <v>26</v>
      </c>
      <c r="EC88" s="518">
        <v>53</v>
      </c>
      <c r="ED88" s="494" t="str">
        <f t="shared" si="3"/>
        <v>SWUC100253</v>
      </c>
      <c r="EE88" s="518">
        <v>10000</v>
      </c>
      <c r="EF88" s="518">
        <v>10000</v>
      </c>
      <c r="EG88" s="518">
        <v>10000</v>
      </c>
      <c r="EH88" s="518">
        <v>10000</v>
      </c>
      <c r="EI88" s="518">
        <v>10000</v>
      </c>
      <c r="EJ88" s="518">
        <v>10000</v>
      </c>
      <c r="EK88" s="518">
        <v>10000</v>
      </c>
      <c r="EL88" s="518">
        <v>10000</v>
      </c>
      <c r="EM88" s="518">
        <v>10000</v>
      </c>
      <c r="EN88" s="518">
        <v>10000</v>
      </c>
      <c r="EO88" s="518">
        <v>0</v>
      </c>
      <c r="EP88" s="518">
        <v>0</v>
      </c>
      <c r="EQ88" s="518">
        <v>0</v>
      </c>
      <c r="ER88" s="518">
        <v>0</v>
      </c>
      <c r="ES88" s="518">
        <v>0</v>
      </c>
      <c r="ET88" s="518">
        <v>0</v>
      </c>
      <c r="EU88" s="518">
        <v>0</v>
      </c>
      <c r="EV88" s="518">
        <v>0</v>
      </c>
      <c r="EW88" s="518">
        <v>0</v>
      </c>
      <c r="EX88" s="518">
        <v>0</v>
      </c>
      <c r="EY88" s="518">
        <v>0</v>
      </c>
      <c r="EZ88" s="518">
        <v>0</v>
      </c>
      <c r="FA88" s="518">
        <v>0</v>
      </c>
      <c r="FB88" s="518">
        <v>0</v>
      </c>
      <c r="FC88" s="518">
        <v>0</v>
      </c>
      <c r="FD88" s="518">
        <v>0</v>
      </c>
      <c r="FE88" s="518">
        <v>0</v>
      </c>
      <c r="FF88" s="518">
        <v>0</v>
      </c>
      <c r="FG88" s="518">
        <v>0</v>
      </c>
      <c r="FH88" s="518">
        <v>0</v>
      </c>
      <c r="FI88" s="518">
        <v>0</v>
      </c>
      <c r="FJ88" s="518">
        <v>0</v>
      </c>
      <c r="FK88" s="518">
        <v>0</v>
      </c>
      <c r="FL88" s="518">
        <v>0</v>
      </c>
      <c r="FM88" s="518">
        <v>0</v>
      </c>
      <c r="FN88" s="518">
        <v>0</v>
      </c>
      <c r="FO88" s="518">
        <v>0</v>
      </c>
      <c r="FP88" s="518">
        <v>0</v>
      </c>
      <c r="FQ88" s="518">
        <v>0</v>
      </c>
      <c r="FR88" s="518">
        <v>0</v>
      </c>
      <c r="FS88" s="518">
        <v>0</v>
      </c>
      <c r="FT88" s="518">
        <v>0</v>
      </c>
      <c r="FU88" s="518">
        <v>0</v>
      </c>
      <c r="FV88" s="518">
        <v>0</v>
      </c>
      <c r="FW88" s="518">
        <v>0</v>
      </c>
      <c r="FX88" s="518">
        <v>0</v>
      </c>
      <c r="FY88" s="518">
        <v>0</v>
      </c>
      <c r="FZ88" s="518">
        <v>0</v>
      </c>
      <c r="GA88" s="518">
        <v>0</v>
      </c>
      <c r="GB88" s="518">
        <v>0</v>
      </c>
      <c r="GC88" s="518">
        <v>0</v>
      </c>
      <c r="GD88" s="518">
        <v>0</v>
      </c>
      <c r="GE88" s="518">
        <v>0</v>
      </c>
      <c r="GF88" s="518">
        <v>0</v>
      </c>
      <c r="GG88" s="518">
        <v>0</v>
      </c>
      <c r="GH88" s="518">
        <v>0</v>
      </c>
      <c r="GI88" s="518">
        <v>0</v>
      </c>
      <c r="GJ88" s="518">
        <v>0</v>
      </c>
      <c r="GK88" s="518">
        <v>0</v>
      </c>
      <c r="GL88" s="518">
        <v>0</v>
      </c>
      <c r="GM88" s="518">
        <v>0</v>
      </c>
      <c r="GN88" s="518">
        <v>0</v>
      </c>
      <c r="GO88" s="518">
        <v>0</v>
      </c>
      <c r="GP88" s="518">
        <v>0</v>
      </c>
      <c r="GQ88" s="518">
        <v>0</v>
      </c>
      <c r="GR88" s="518">
        <v>0</v>
      </c>
      <c r="GS88" s="518">
        <v>0</v>
      </c>
      <c r="GT88" s="518">
        <v>0</v>
      </c>
      <c r="GU88" s="518">
        <v>0</v>
      </c>
      <c r="GV88" s="518">
        <v>0</v>
      </c>
      <c r="GW88" s="518">
        <v>0</v>
      </c>
      <c r="GX88" s="518">
        <v>0</v>
      </c>
      <c r="GY88" s="518">
        <v>0</v>
      </c>
      <c r="GZ88" s="518">
        <v>0</v>
      </c>
      <c r="HA88" s="518">
        <v>0</v>
      </c>
      <c r="HB88" s="518">
        <v>0</v>
      </c>
      <c r="HC88" s="518">
        <v>0</v>
      </c>
      <c r="HD88" s="518">
        <v>0</v>
      </c>
      <c r="HE88" s="518">
        <v>0</v>
      </c>
      <c r="HF88" s="518">
        <v>0</v>
      </c>
      <c r="HG88" s="518">
        <v>0</v>
      </c>
      <c r="HH88" s="518">
        <v>0</v>
      </c>
      <c r="HI88" s="518">
        <v>0</v>
      </c>
      <c r="HJ88" s="518">
        <v>0</v>
      </c>
      <c r="HK88" s="518">
        <v>0</v>
      </c>
      <c r="HL88" s="518">
        <v>0</v>
      </c>
      <c r="HM88" s="518">
        <v>0</v>
      </c>
      <c r="HN88" s="518">
        <v>0</v>
      </c>
      <c r="HO88" s="518">
        <v>0</v>
      </c>
      <c r="HP88" s="518">
        <v>0</v>
      </c>
      <c r="HQ88" s="518">
        <v>0</v>
      </c>
      <c r="HR88" s="518">
        <v>0</v>
      </c>
      <c r="HS88" s="518">
        <v>0</v>
      </c>
      <c r="HT88" s="518">
        <v>0</v>
      </c>
      <c r="HU88" s="518">
        <v>0</v>
      </c>
      <c r="HV88" s="518">
        <v>0</v>
      </c>
      <c r="HW88" s="518">
        <v>0</v>
      </c>
      <c r="HX88" s="518">
        <v>0</v>
      </c>
      <c r="HY88" s="518">
        <v>0</v>
      </c>
      <c r="HZ88" s="518">
        <v>0</v>
      </c>
      <c r="IA88" s="518">
        <v>0</v>
      </c>
      <c r="IB88" s="518">
        <v>0</v>
      </c>
      <c r="IC88" s="518">
        <v>0</v>
      </c>
      <c r="ID88" s="518">
        <v>0</v>
      </c>
      <c r="IE88" s="518">
        <v>0</v>
      </c>
      <c r="IF88" s="518">
        <v>0</v>
      </c>
      <c r="IG88" s="518">
        <v>0</v>
      </c>
      <c r="IH88" s="518">
        <v>0</v>
      </c>
      <c r="II88" s="518">
        <v>0</v>
      </c>
      <c r="IJ88" s="518">
        <v>0</v>
      </c>
      <c r="IK88" s="518">
        <v>0</v>
      </c>
    </row>
    <row r="89" spans="1:245" ht="16.5" hidden="1">
      <c r="A89" s="517" t="s">
        <v>721</v>
      </c>
      <c r="B89" s="517" t="s">
        <v>1101</v>
      </c>
      <c r="C89" s="517" t="s">
        <v>721</v>
      </c>
      <c r="D89" s="558"/>
      <c r="E89" s="517" t="s">
        <v>721</v>
      </c>
      <c r="F89" s="517" t="s">
        <v>26</v>
      </c>
      <c r="G89" s="558"/>
      <c r="H89" s="518">
        <v>54</v>
      </c>
      <c r="I89" s="558"/>
      <c r="J89" s="494" t="str">
        <f t="shared" si="4"/>
        <v>SWUC100254</v>
      </c>
      <c r="K89" s="518">
        <v>394</v>
      </c>
      <c r="M89" s="517" t="s">
        <v>721</v>
      </c>
      <c r="N89" s="517" t="s">
        <v>1101</v>
      </c>
      <c r="O89" s="517" t="s">
        <v>26</v>
      </c>
      <c r="P89" s="518">
        <v>54</v>
      </c>
      <c r="Q89" s="494" t="str">
        <f t="shared" si="5"/>
        <v>SWUC100254</v>
      </c>
      <c r="R89" s="518">
        <v>0</v>
      </c>
      <c r="S89" s="518">
        <v>32</v>
      </c>
      <c r="T89" s="518">
        <v>63</v>
      </c>
      <c r="U89" s="518">
        <v>95</v>
      </c>
      <c r="V89" s="518">
        <v>128</v>
      </c>
      <c r="W89" s="518">
        <v>170</v>
      </c>
      <c r="X89" s="518">
        <v>219</v>
      </c>
      <c r="Y89" s="518">
        <v>272</v>
      </c>
      <c r="Z89" s="518">
        <v>330</v>
      </c>
      <c r="AA89" s="518">
        <v>0</v>
      </c>
      <c r="AB89" s="518">
        <v>0</v>
      </c>
      <c r="AC89" s="518">
        <v>0</v>
      </c>
      <c r="AD89" s="518">
        <v>0</v>
      </c>
      <c r="AE89" s="518">
        <v>0</v>
      </c>
      <c r="AF89" s="518">
        <v>0</v>
      </c>
      <c r="AG89" s="518">
        <v>0</v>
      </c>
      <c r="AH89" s="518">
        <v>0</v>
      </c>
      <c r="AI89" s="518">
        <v>0</v>
      </c>
      <c r="AJ89" s="518">
        <v>0</v>
      </c>
      <c r="AK89" s="518">
        <v>0</v>
      </c>
      <c r="AL89" s="518">
        <v>0</v>
      </c>
      <c r="AM89" s="518">
        <v>0</v>
      </c>
      <c r="AN89" s="518">
        <v>0</v>
      </c>
      <c r="AO89" s="518">
        <v>0</v>
      </c>
      <c r="AP89" s="518">
        <v>0</v>
      </c>
      <c r="AQ89" s="518">
        <v>0</v>
      </c>
      <c r="AR89" s="518">
        <v>0</v>
      </c>
      <c r="AS89" s="518">
        <v>0</v>
      </c>
      <c r="AT89" s="518">
        <v>0</v>
      </c>
      <c r="AU89" s="518">
        <v>0</v>
      </c>
      <c r="AV89" s="518">
        <v>0</v>
      </c>
      <c r="AW89" s="518">
        <v>0</v>
      </c>
      <c r="AX89" s="518">
        <v>0</v>
      </c>
      <c r="AY89" s="518">
        <v>0</v>
      </c>
      <c r="AZ89" s="518">
        <v>0</v>
      </c>
      <c r="BA89" s="518">
        <v>0</v>
      </c>
      <c r="BB89" s="518">
        <v>0</v>
      </c>
      <c r="BC89" s="518">
        <v>0</v>
      </c>
      <c r="BD89" s="518">
        <v>0</v>
      </c>
      <c r="BE89" s="518">
        <v>0</v>
      </c>
      <c r="BF89" s="518">
        <v>0</v>
      </c>
      <c r="BG89" s="518">
        <v>0</v>
      </c>
      <c r="BH89" s="518">
        <v>0</v>
      </c>
      <c r="BI89" s="518">
        <v>0</v>
      </c>
      <c r="BJ89" s="518">
        <v>0</v>
      </c>
      <c r="BK89" s="518">
        <v>0</v>
      </c>
      <c r="BL89" s="518">
        <v>0</v>
      </c>
      <c r="BM89" s="518">
        <v>0</v>
      </c>
      <c r="BN89" s="518">
        <v>0</v>
      </c>
      <c r="BO89" s="518">
        <v>0</v>
      </c>
      <c r="BP89" s="518">
        <v>0</v>
      </c>
      <c r="BQ89" s="518">
        <v>0</v>
      </c>
      <c r="BR89" s="518">
        <v>0</v>
      </c>
      <c r="BS89" s="518">
        <v>0</v>
      </c>
      <c r="BT89" s="518">
        <v>0</v>
      </c>
      <c r="BU89" s="518">
        <v>0</v>
      </c>
      <c r="BV89" s="518">
        <v>0</v>
      </c>
      <c r="BW89" s="518">
        <v>0</v>
      </c>
      <c r="BX89" s="518">
        <v>0</v>
      </c>
      <c r="BY89" s="518">
        <v>0</v>
      </c>
      <c r="BZ89" s="518">
        <v>0</v>
      </c>
      <c r="CA89" s="518">
        <v>0</v>
      </c>
      <c r="CB89" s="518">
        <v>0</v>
      </c>
      <c r="CC89" s="518">
        <v>0</v>
      </c>
      <c r="CD89" s="518">
        <v>0</v>
      </c>
      <c r="CE89" s="518">
        <v>0</v>
      </c>
      <c r="CF89" s="518">
        <v>0</v>
      </c>
      <c r="CG89" s="518">
        <v>0</v>
      </c>
      <c r="CH89" s="518">
        <v>0</v>
      </c>
      <c r="CI89" s="518">
        <v>0</v>
      </c>
      <c r="CJ89" s="518">
        <v>0</v>
      </c>
      <c r="CK89" s="518">
        <v>0</v>
      </c>
      <c r="CL89" s="518">
        <v>0</v>
      </c>
      <c r="CM89" s="518">
        <v>0</v>
      </c>
      <c r="CN89" s="518">
        <v>0</v>
      </c>
      <c r="CO89" s="518">
        <v>0</v>
      </c>
      <c r="CP89" s="518">
        <v>0</v>
      </c>
      <c r="CQ89" s="518">
        <v>0</v>
      </c>
      <c r="CR89" s="518">
        <v>0</v>
      </c>
      <c r="CS89" s="518">
        <v>0</v>
      </c>
      <c r="CT89" s="518">
        <v>0</v>
      </c>
      <c r="CU89" s="518">
        <v>0</v>
      </c>
      <c r="CV89" s="518">
        <v>0</v>
      </c>
      <c r="CW89" s="518">
        <v>0</v>
      </c>
      <c r="CX89" s="518">
        <v>0</v>
      </c>
      <c r="CY89" s="518">
        <v>0</v>
      </c>
      <c r="CZ89" s="518">
        <v>0</v>
      </c>
      <c r="DA89" s="518">
        <v>0</v>
      </c>
      <c r="DB89" s="518">
        <v>0</v>
      </c>
      <c r="DC89" s="518">
        <v>0</v>
      </c>
      <c r="DD89" s="518">
        <v>0</v>
      </c>
      <c r="DE89" s="518">
        <v>0</v>
      </c>
      <c r="DF89" s="518">
        <v>0</v>
      </c>
      <c r="DG89" s="518">
        <v>0</v>
      </c>
      <c r="DH89" s="518">
        <v>0</v>
      </c>
      <c r="DI89" s="518">
        <v>0</v>
      </c>
      <c r="DJ89" s="518">
        <v>0</v>
      </c>
      <c r="DK89" s="518">
        <v>0</v>
      </c>
      <c r="DL89" s="518">
        <v>0</v>
      </c>
      <c r="DM89" s="518">
        <v>0</v>
      </c>
      <c r="DN89" s="518">
        <v>0</v>
      </c>
      <c r="DO89" s="518">
        <v>0</v>
      </c>
      <c r="DP89" s="518">
        <v>0</v>
      </c>
      <c r="DQ89" s="518">
        <v>0</v>
      </c>
      <c r="DR89" s="518">
        <v>0</v>
      </c>
      <c r="DS89" s="518">
        <v>0</v>
      </c>
      <c r="DT89" s="518">
        <v>0</v>
      </c>
      <c r="DU89" s="518">
        <v>0</v>
      </c>
      <c r="DV89" s="518">
        <v>0</v>
      </c>
      <c r="DW89" s="518">
        <v>0</v>
      </c>
      <c r="DX89" s="518">
        <v>0</v>
      </c>
      <c r="DY89" s="476"/>
      <c r="DZ89" s="517" t="s">
        <v>721</v>
      </c>
      <c r="EA89" s="517" t="s">
        <v>1101</v>
      </c>
      <c r="EB89" s="517" t="s">
        <v>26</v>
      </c>
      <c r="EC89" s="518">
        <v>54</v>
      </c>
      <c r="ED89" s="494" t="str">
        <f t="shared" si="3"/>
        <v>SWUC100254</v>
      </c>
      <c r="EE89" s="518">
        <v>10000</v>
      </c>
      <c r="EF89" s="518">
        <v>10000</v>
      </c>
      <c r="EG89" s="518">
        <v>10000</v>
      </c>
      <c r="EH89" s="518">
        <v>10000</v>
      </c>
      <c r="EI89" s="518">
        <v>10000</v>
      </c>
      <c r="EJ89" s="518">
        <v>10000</v>
      </c>
      <c r="EK89" s="518">
        <v>10000</v>
      </c>
      <c r="EL89" s="518">
        <v>10000</v>
      </c>
      <c r="EM89" s="518">
        <v>10000</v>
      </c>
      <c r="EN89" s="518">
        <v>10000</v>
      </c>
      <c r="EO89" s="518">
        <v>0</v>
      </c>
      <c r="EP89" s="518">
        <v>0</v>
      </c>
      <c r="EQ89" s="518">
        <v>0</v>
      </c>
      <c r="ER89" s="518">
        <v>0</v>
      </c>
      <c r="ES89" s="518">
        <v>0</v>
      </c>
      <c r="ET89" s="518">
        <v>0</v>
      </c>
      <c r="EU89" s="518">
        <v>0</v>
      </c>
      <c r="EV89" s="518">
        <v>0</v>
      </c>
      <c r="EW89" s="518">
        <v>0</v>
      </c>
      <c r="EX89" s="518">
        <v>0</v>
      </c>
      <c r="EY89" s="518">
        <v>0</v>
      </c>
      <c r="EZ89" s="518">
        <v>0</v>
      </c>
      <c r="FA89" s="518">
        <v>0</v>
      </c>
      <c r="FB89" s="518">
        <v>0</v>
      </c>
      <c r="FC89" s="518">
        <v>0</v>
      </c>
      <c r="FD89" s="518">
        <v>0</v>
      </c>
      <c r="FE89" s="518">
        <v>0</v>
      </c>
      <c r="FF89" s="518">
        <v>0</v>
      </c>
      <c r="FG89" s="518">
        <v>0</v>
      </c>
      <c r="FH89" s="518">
        <v>0</v>
      </c>
      <c r="FI89" s="518">
        <v>0</v>
      </c>
      <c r="FJ89" s="518">
        <v>0</v>
      </c>
      <c r="FK89" s="518">
        <v>0</v>
      </c>
      <c r="FL89" s="518">
        <v>0</v>
      </c>
      <c r="FM89" s="518">
        <v>0</v>
      </c>
      <c r="FN89" s="518">
        <v>0</v>
      </c>
      <c r="FO89" s="518">
        <v>0</v>
      </c>
      <c r="FP89" s="518">
        <v>0</v>
      </c>
      <c r="FQ89" s="518">
        <v>0</v>
      </c>
      <c r="FR89" s="518">
        <v>0</v>
      </c>
      <c r="FS89" s="518">
        <v>0</v>
      </c>
      <c r="FT89" s="518">
        <v>0</v>
      </c>
      <c r="FU89" s="518">
        <v>0</v>
      </c>
      <c r="FV89" s="518">
        <v>0</v>
      </c>
      <c r="FW89" s="518">
        <v>0</v>
      </c>
      <c r="FX89" s="518">
        <v>0</v>
      </c>
      <c r="FY89" s="518">
        <v>0</v>
      </c>
      <c r="FZ89" s="518">
        <v>0</v>
      </c>
      <c r="GA89" s="518">
        <v>0</v>
      </c>
      <c r="GB89" s="518">
        <v>0</v>
      </c>
      <c r="GC89" s="518">
        <v>0</v>
      </c>
      <c r="GD89" s="518">
        <v>0</v>
      </c>
      <c r="GE89" s="518">
        <v>0</v>
      </c>
      <c r="GF89" s="518">
        <v>0</v>
      </c>
      <c r="GG89" s="518">
        <v>0</v>
      </c>
      <c r="GH89" s="518">
        <v>0</v>
      </c>
      <c r="GI89" s="518">
        <v>0</v>
      </c>
      <c r="GJ89" s="518">
        <v>0</v>
      </c>
      <c r="GK89" s="518">
        <v>0</v>
      </c>
      <c r="GL89" s="518">
        <v>0</v>
      </c>
      <c r="GM89" s="518">
        <v>0</v>
      </c>
      <c r="GN89" s="518">
        <v>0</v>
      </c>
      <c r="GO89" s="518">
        <v>0</v>
      </c>
      <c r="GP89" s="518">
        <v>0</v>
      </c>
      <c r="GQ89" s="518">
        <v>0</v>
      </c>
      <c r="GR89" s="518">
        <v>0</v>
      </c>
      <c r="GS89" s="518">
        <v>0</v>
      </c>
      <c r="GT89" s="518">
        <v>0</v>
      </c>
      <c r="GU89" s="518">
        <v>0</v>
      </c>
      <c r="GV89" s="518">
        <v>0</v>
      </c>
      <c r="GW89" s="518">
        <v>0</v>
      </c>
      <c r="GX89" s="518">
        <v>0</v>
      </c>
      <c r="GY89" s="518">
        <v>0</v>
      </c>
      <c r="GZ89" s="518">
        <v>0</v>
      </c>
      <c r="HA89" s="518">
        <v>0</v>
      </c>
      <c r="HB89" s="518">
        <v>0</v>
      </c>
      <c r="HC89" s="518">
        <v>0</v>
      </c>
      <c r="HD89" s="518">
        <v>0</v>
      </c>
      <c r="HE89" s="518">
        <v>0</v>
      </c>
      <c r="HF89" s="518">
        <v>0</v>
      </c>
      <c r="HG89" s="518">
        <v>0</v>
      </c>
      <c r="HH89" s="518">
        <v>0</v>
      </c>
      <c r="HI89" s="518">
        <v>0</v>
      </c>
      <c r="HJ89" s="518">
        <v>0</v>
      </c>
      <c r="HK89" s="518">
        <v>0</v>
      </c>
      <c r="HL89" s="518">
        <v>0</v>
      </c>
      <c r="HM89" s="518">
        <v>0</v>
      </c>
      <c r="HN89" s="518">
        <v>0</v>
      </c>
      <c r="HO89" s="518">
        <v>0</v>
      </c>
      <c r="HP89" s="518">
        <v>0</v>
      </c>
      <c r="HQ89" s="518">
        <v>0</v>
      </c>
      <c r="HR89" s="518">
        <v>0</v>
      </c>
      <c r="HS89" s="518">
        <v>0</v>
      </c>
      <c r="HT89" s="518">
        <v>0</v>
      </c>
      <c r="HU89" s="518">
        <v>0</v>
      </c>
      <c r="HV89" s="518">
        <v>0</v>
      </c>
      <c r="HW89" s="518">
        <v>0</v>
      </c>
      <c r="HX89" s="518">
        <v>0</v>
      </c>
      <c r="HY89" s="518">
        <v>0</v>
      </c>
      <c r="HZ89" s="518">
        <v>0</v>
      </c>
      <c r="IA89" s="518">
        <v>0</v>
      </c>
      <c r="IB89" s="518">
        <v>0</v>
      </c>
      <c r="IC89" s="518">
        <v>0</v>
      </c>
      <c r="ID89" s="518">
        <v>0</v>
      </c>
      <c r="IE89" s="518">
        <v>0</v>
      </c>
      <c r="IF89" s="518">
        <v>0</v>
      </c>
      <c r="IG89" s="518">
        <v>0</v>
      </c>
      <c r="IH89" s="518">
        <v>0</v>
      </c>
      <c r="II89" s="518">
        <v>0</v>
      </c>
      <c r="IJ89" s="518">
        <v>0</v>
      </c>
      <c r="IK89" s="518">
        <v>0</v>
      </c>
    </row>
    <row r="90" spans="1:245" ht="16.5" hidden="1">
      <c r="A90" s="517" t="s">
        <v>721</v>
      </c>
      <c r="B90" s="517" t="s">
        <v>1101</v>
      </c>
      <c r="C90" s="517" t="s">
        <v>721</v>
      </c>
      <c r="D90" s="558"/>
      <c r="E90" s="517" t="s">
        <v>721</v>
      </c>
      <c r="F90" s="517" t="s">
        <v>26</v>
      </c>
      <c r="G90" s="558"/>
      <c r="H90" s="518">
        <v>55</v>
      </c>
      <c r="I90" s="558"/>
      <c r="J90" s="494" t="str">
        <f t="shared" si="4"/>
        <v>SWUC100255</v>
      </c>
      <c r="K90" s="518">
        <v>413</v>
      </c>
      <c r="M90" s="517" t="s">
        <v>721</v>
      </c>
      <c r="N90" s="517" t="s">
        <v>1101</v>
      </c>
      <c r="O90" s="517" t="s">
        <v>26</v>
      </c>
      <c r="P90" s="518">
        <v>55</v>
      </c>
      <c r="Q90" s="494" t="str">
        <f t="shared" si="5"/>
        <v>SWUC100255</v>
      </c>
      <c r="R90" s="518">
        <v>0</v>
      </c>
      <c r="S90" s="518">
        <v>33</v>
      </c>
      <c r="T90" s="518">
        <v>67</v>
      </c>
      <c r="U90" s="518">
        <v>101</v>
      </c>
      <c r="V90" s="518">
        <v>134</v>
      </c>
      <c r="W90" s="518">
        <v>180</v>
      </c>
      <c r="X90" s="518">
        <v>230</v>
      </c>
      <c r="Y90" s="518">
        <v>286</v>
      </c>
      <c r="Z90" s="518">
        <v>346</v>
      </c>
      <c r="AA90" s="518">
        <v>0</v>
      </c>
      <c r="AB90" s="518">
        <v>0</v>
      </c>
      <c r="AC90" s="518">
        <v>0</v>
      </c>
      <c r="AD90" s="518">
        <v>0</v>
      </c>
      <c r="AE90" s="518">
        <v>0</v>
      </c>
      <c r="AF90" s="518">
        <v>0</v>
      </c>
      <c r="AG90" s="518">
        <v>0</v>
      </c>
      <c r="AH90" s="518">
        <v>0</v>
      </c>
      <c r="AI90" s="518">
        <v>0</v>
      </c>
      <c r="AJ90" s="518">
        <v>0</v>
      </c>
      <c r="AK90" s="518">
        <v>0</v>
      </c>
      <c r="AL90" s="518">
        <v>0</v>
      </c>
      <c r="AM90" s="518">
        <v>0</v>
      </c>
      <c r="AN90" s="518">
        <v>0</v>
      </c>
      <c r="AO90" s="518">
        <v>0</v>
      </c>
      <c r="AP90" s="518">
        <v>0</v>
      </c>
      <c r="AQ90" s="518">
        <v>0</v>
      </c>
      <c r="AR90" s="518">
        <v>0</v>
      </c>
      <c r="AS90" s="518">
        <v>0</v>
      </c>
      <c r="AT90" s="518">
        <v>0</v>
      </c>
      <c r="AU90" s="518">
        <v>0</v>
      </c>
      <c r="AV90" s="518">
        <v>0</v>
      </c>
      <c r="AW90" s="518">
        <v>0</v>
      </c>
      <c r="AX90" s="518">
        <v>0</v>
      </c>
      <c r="AY90" s="518">
        <v>0</v>
      </c>
      <c r="AZ90" s="518">
        <v>0</v>
      </c>
      <c r="BA90" s="518">
        <v>0</v>
      </c>
      <c r="BB90" s="518">
        <v>0</v>
      </c>
      <c r="BC90" s="518">
        <v>0</v>
      </c>
      <c r="BD90" s="518">
        <v>0</v>
      </c>
      <c r="BE90" s="518">
        <v>0</v>
      </c>
      <c r="BF90" s="518">
        <v>0</v>
      </c>
      <c r="BG90" s="518">
        <v>0</v>
      </c>
      <c r="BH90" s="518">
        <v>0</v>
      </c>
      <c r="BI90" s="518">
        <v>0</v>
      </c>
      <c r="BJ90" s="518">
        <v>0</v>
      </c>
      <c r="BK90" s="518">
        <v>0</v>
      </c>
      <c r="BL90" s="518">
        <v>0</v>
      </c>
      <c r="BM90" s="518">
        <v>0</v>
      </c>
      <c r="BN90" s="518">
        <v>0</v>
      </c>
      <c r="BO90" s="518">
        <v>0</v>
      </c>
      <c r="BP90" s="518">
        <v>0</v>
      </c>
      <c r="BQ90" s="518">
        <v>0</v>
      </c>
      <c r="BR90" s="518">
        <v>0</v>
      </c>
      <c r="BS90" s="518">
        <v>0</v>
      </c>
      <c r="BT90" s="518">
        <v>0</v>
      </c>
      <c r="BU90" s="518">
        <v>0</v>
      </c>
      <c r="BV90" s="518">
        <v>0</v>
      </c>
      <c r="BW90" s="518">
        <v>0</v>
      </c>
      <c r="BX90" s="518">
        <v>0</v>
      </c>
      <c r="BY90" s="518">
        <v>0</v>
      </c>
      <c r="BZ90" s="518">
        <v>0</v>
      </c>
      <c r="CA90" s="518">
        <v>0</v>
      </c>
      <c r="CB90" s="518">
        <v>0</v>
      </c>
      <c r="CC90" s="518">
        <v>0</v>
      </c>
      <c r="CD90" s="518">
        <v>0</v>
      </c>
      <c r="CE90" s="518">
        <v>0</v>
      </c>
      <c r="CF90" s="518">
        <v>0</v>
      </c>
      <c r="CG90" s="518">
        <v>0</v>
      </c>
      <c r="CH90" s="518">
        <v>0</v>
      </c>
      <c r="CI90" s="518">
        <v>0</v>
      </c>
      <c r="CJ90" s="518">
        <v>0</v>
      </c>
      <c r="CK90" s="518">
        <v>0</v>
      </c>
      <c r="CL90" s="518">
        <v>0</v>
      </c>
      <c r="CM90" s="518">
        <v>0</v>
      </c>
      <c r="CN90" s="518">
        <v>0</v>
      </c>
      <c r="CO90" s="518">
        <v>0</v>
      </c>
      <c r="CP90" s="518">
        <v>0</v>
      </c>
      <c r="CQ90" s="518">
        <v>0</v>
      </c>
      <c r="CR90" s="518">
        <v>0</v>
      </c>
      <c r="CS90" s="518">
        <v>0</v>
      </c>
      <c r="CT90" s="518">
        <v>0</v>
      </c>
      <c r="CU90" s="518">
        <v>0</v>
      </c>
      <c r="CV90" s="518">
        <v>0</v>
      </c>
      <c r="CW90" s="518">
        <v>0</v>
      </c>
      <c r="CX90" s="518">
        <v>0</v>
      </c>
      <c r="CY90" s="518">
        <v>0</v>
      </c>
      <c r="CZ90" s="518">
        <v>0</v>
      </c>
      <c r="DA90" s="518">
        <v>0</v>
      </c>
      <c r="DB90" s="518">
        <v>0</v>
      </c>
      <c r="DC90" s="518">
        <v>0</v>
      </c>
      <c r="DD90" s="518">
        <v>0</v>
      </c>
      <c r="DE90" s="518">
        <v>0</v>
      </c>
      <c r="DF90" s="518">
        <v>0</v>
      </c>
      <c r="DG90" s="518">
        <v>0</v>
      </c>
      <c r="DH90" s="518">
        <v>0</v>
      </c>
      <c r="DI90" s="518">
        <v>0</v>
      </c>
      <c r="DJ90" s="518">
        <v>0</v>
      </c>
      <c r="DK90" s="518">
        <v>0</v>
      </c>
      <c r="DL90" s="518">
        <v>0</v>
      </c>
      <c r="DM90" s="518">
        <v>0</v>
      </c>
      <c r="DN90" s="518">
        <v>0</v>
      </c>
      <c r="DO90" s="518">
        <v>0</v>
      </c>
      <c r="DP90" s="518">
        <v>0</v>
      </c>
      <c r="DQ90" s="518">
        <v>0</v>
      </c>
      <c r="DR90" s="518">
        <v>0</v>
      </c>
      <c r="DS90" s="518">
        <v>0</v>
      </c>
      <c r="DT90" s="518">
        <v>0</v>
      </c>
      <c r="DU90" s="518">
        <v>0</v>
      </c>
      <c r="DV90" s="518">
        <v>0</v>
      </c>
      <c r="DW90" s="518">
        <v>0</v>
      </c>
      <c r="DX90" s="518">
        <v>0</v>
      </c>
      <c r="DY90" s="477"/>
      <c r="DZ90" s="517" t="s">
        <v>721</v>
      </c>
      <c r="EA90" s="517" t="s">
        <v>1101</v>
      </c>
      <c r="EB90" s="517" t="s">
        <v>26</v>
      </c>
      <c r="EC90" s="518">
        <v>55</v>
      </c>
      <c r="ED90" s="494" t="str">
        <f t="shared" si="3"/>
        <v>SWUC100255</v>
      </c>
      <c r="EE90" s="518">
        <v>10000</v>
      </c>
      <c r="EF90" s="518">
        <v>10000</v>
      </c>
      <c r="EG90" s="518">
        <v>10000</v>
      </c>
      <c r="EH90" s="518">
        <v>10000</v>
      </c>
      <c r="EI90" s="518">
        <v>10000</v>
      </c>
      <c r="EJ90" s="518">
        <v>10000</v>
      </c>
      <c r="EK90" s="518">
        <v>10000</v>
      </c>
      <c r="EL90" s="518">
        <v>10000</v>
      </c>
      <c r="EM90" s="518">
        <v>10000</v>
      </c>
      <c r="EN90" s="518">
        <v>10000</v>
      </c>
      <c r="EO90" s="518">
        <v>0</v>
      </c>
      <c r="EP90" s="518">
        <v>0</v>
      </c>
      <c r="EQ90" s="518">
        <v>0</v>
      </c>
      <c r="ER90" s="518">
        <v>0</v>
      </c>
      <c r="ES90" s="518">
        <v>0</v>
      </c>
      <c r="ET90" s="518">
        <v>0</v>
      </c>
      <c r="EU90" s="518">
        <v>0</v>
      </c>
      <c r="EV90" s="518">
        <v>0</v>
      </c>
      <c r="EW90" s="518">
        <v>0</v>
      </c>
      <c r="EX90" s="518">
        <v>0</v>
      </c>
      <c r="EY90" s="518">
        <v>0</v>
      </c>
      <c r="EZ90" s="518">
        <v>0</v>
      </c>
      <c r="FA90" s="518">
        <v>0</v>
      </c>
      <c r="FB90" s="518">
        <v>0</v>
      </c>
      <c r="FC90" s="518">
        <v>0</v>
      </c>
      <c r="FD90" s="518">
        <v>0</v>
      </c>
      <c r="FE90" s="518">
        <v>0</v>
      </c>
      <c r="FF90" s="518">
        <v>0</v>
      </c>
      <c r="FG90" s="518">
        <v>0</v>
      </c>
      <c r="FH90" s="518">
        <v>0</v>
      </c>
      <c r="FI90" s="518">
        <v>0</v>
      </c>
      <c r="FJ90" s="518">
        <v>0</v>
      </c>
      <c r="FK90" s="518">
        <v>0</v>
      </c>
      <c r="FL90" s="518">
        <v>0</v>
      </c>
      <c r="FM90" s="518">
        <v>0</v>
      </c>
      <c r="FN90" s="518">
        <v>0</v>
      </c>
      <c r="FO90" s="518">
        <v>0</v>
      </c>
      <c r="FP90" s="518">
        <v>0</v>
      </c>
      <c r="FQ90" s="518">
        <v>0</v>
      </c>
      <c r="FR90" s="518">
        <v>0</v>
      </c>
      <c r="FS90" s="518">
        <v>0</v>
      </c>
      <c r="FT90" s="518">
        <v>0</v>
      </c>
      <c r="FU90" s="518">
        <v>0</v>
      </c>
      <c r="FV90" s="518">
        <v>0</v>
      </c>
      <c r="FW90" s="518">
        <v>0</v>
      </c>
      <c r="FX90" s="518">
        <v>0</v>
      </c>
      <c r="FY90" s="518">
        <v>0</v>
      </c>
      <c r="FZ90" s="518">
        <v>0</v>
      </c>
      <c r="GA90" s="518">
        <v>0</v>
      </c>
      <c r="GB90" s="518">
        <v>0</v>
      </c>
      <c r="GC90" s="518">
        <v>0</v>
      </c>
      <c r="GD90" s="518">
        <v>0</v>
      </c>
      <c r="GE90" s="518">
        <v>0</v>
      </c>
      <c r="GF90" s="518">
        <v>0</v>
      </c>
      <c r="GG90" s="518">
        <v>0</v>
      </c>
      <c r="GH90" s="518">
        <v>0</v>
      </c>
      <c r="GI90" s="518">
        <v>0</v>
      </c>
      <c r="GJ90" s="518">
        <v>0</v>
      </c>
      <c r="GK90" s="518">
        <v>0</v>
      </c>
      <c r="GL90" s="518">
        <v>0</v>
      </c>
      <c r="GM90" s="518">
        <v>0</v>
      </c>
      <c r="GN90" s="518">
        <v>0</v>
      </c>
      <c r="GO90" s="518">
        <v>0</v>
      </c>
      <c r="GP90" s="518">
        <v>0</v>
      </c>
      <c r="GQ90" s="518">
        <v>0</v>
      </c>
      <c r="GR90" s="518">
        <v>0</v>
      </c>
      <c r="GS90" s="518">
        <v>0</v>
      </c>
      <c r="GT90" s="518">
        <v>0</v>
      </c>
      <c r="GU90" s="518">
        <v>0</v>
      </c>
      <c r="GV90" s="518">
        <v>0</v>
      </c>
      <c r="GW90" s="518">
        <v>0</v>
      </c>
      <c r="GX90" s="518">
        <v>0</v>
      </c>
      <c r="GY90" s="518">
        <v>0</v>
      </c>
      <c r="GZ90" s="518">
        <v>0</v>
      </c>
      <c r="HA90" s="518">
        <v>0</v>
      </c>
      <c r="HB90" s="518">
        <v>0</v>
      </c>
      <c r="HC90" s="518">
        <v>0</v>
      </c>
      <c r="HD90" s="518">
        <v>0</v>
      </c>
      <c r="HE90" s="518">
        <v>0</v>
      </c>
      <c r="HF90" s="518">
        <v>0</v>
      </c>
      <c r="HG90" s="518">
        <v>0</v>
      </c>
      <c r="HH90" s="518">
        <v>0</v>
      </c>
      <c r="HI90" s="518">
        <v>0</v>
      </c>
      <c r="HJ90" s="518">
        <v>0</v>
      </c>
      <c r="HK90" s="518">
        <v>0</v>
      </c>
      <c r="HL90" s="518">
        <v>0</v>
      </c>
      <c r="HM90" s="518">
        <v>0</v>
      </c>
      <c r="HN90" s="518">
        <v>0</v>
      </c>
      <c r="HO90" s="518">
        <v>0</v>
      </c>
      <c r="HP90" s="518">
        <v>0</v>
      </c>
      <c r="HQ90" s="518">
        <v>0</v>
      </c>
      <c r="HR90" s="518">
        <v>0</v>
      </c>
      <c r="HS90" s="518">
        <v>0</v>
      </c>
      <c r="HT90" s="518">
        <v>0</v>
      </c>
      <c r="HU90" s="518">
        <v>0</v>
      </c>
      <c r="HV90" s="518">
        <v>0</v>
      </c>
      <c r="HW90" s="518">
        <v>0</v>
      </c>
      <c r="HX90" s="518">
        <v>0</v>
      </c>
      <c r="HY90" s="518">
        <v>0</v>
      </c>
      <c r="HZ90" s="518">
        <v>0</v>
      </c>
      <c r="IA90" s="518">
        <v>0</v>
      </c>
      <c r="IB90" s="518">
        <v>0</v>
      </c>
      <c r="IC90" s="518">
        <v>0</v>
      </c>
      <c r="ID90" s="518">
        <v>0</v>
      </c>
      <c r="IE90" s="518">
        <v>0</v>
      </c>
      <c r="IF90" s="518">
        <v>0</v>
      </c>
      <c r="IG90" s="518">
        <v>0</v>
      </c>
      <c r="IH90" s="518">
        <v>0</v>
      </c>
      <c r="II90" s="518">
        <v>0</v>
      </c>
      <c r="IJ90" s="518">
        <v>0</v>
      </c>
      <c r="IK90" s="518">
        <v>0</v>
      </c>
    </row>
    <row r="91" spans="1:245" ht="16.5" hidden="1">
      <c r="A91" s="517" t="s">
        <v>721</v>
      </c>
      <c r="B91" s="517" t="s">
        <v>1101</v>
      </c>
      <c r="C91" s="517" t="s">
        <v>721</v>
      </c>
      <c r="D91" s="558"/>
      <c r="E91" s="517" t="s">
        <v>721</v>
      </c>
      <c r="F91" s="517" t="s">
        <v>26</v>
      </c>
      <c r="G91" s="558"/>
      <c r="H91" s="518">
        <v>56</v>
      </c>
      <c r="I91" s="558"/>
      <c r="J91" s="494" t="str">
        <f t="shared" si="4"/>
        <v>SWUC100256</v>
      </c>
      <c r="K91" s="518">
        <v>432</v>
      </c>
      <c r="M91" s="517" t="s">
        <v>721</v>
      </c>
      <c r="N91" s="517" t="s">
        <v>1101</v>
      </c>
      <c r="O91" s="517" t="s">
        <v>26</v>
      </c>
      <c r="P91" s="518">
        <v>56</v>
      </c>
      <c r="Q91" s="494" t="str">
        <f t="shared" si="5"/>
        <v>SWUC100256</v>
      </c>
      <c r="R91" s="518">
        <v>0</v>
      </c>
      <c r="S91" s="518">
        <v>35</v>
      </c>
      <c r="T91" s="518">
        <v>70</v>
      </c>
      <c r="U91" s="518">
        <v>105</v>
      </c>
      <c r="V91" s="518">
        <v>141</v>
      </c>
      <c r="W91" s="518">
        <v>189</v>
      </c>
      <c r="X91" s="518">
        <v>241</v>
      </c>
      <c r="Y91" s="518">
        <v>299</v>
      </c>
      <c r="Z91" s="518">
        <v>361</v>
      </c>
      <c r="AA91" s="518">
        <v>0</v>
      </c>
      <c r="AB91" s="518">
        <v>0</v>
      </c>
      <c r="AC91" s="518">
        <v>0</v>
      </c>
      <c r="AD91" s="518">
        <v>0</v>
      </c>
      <c r="AE91" s="518">
        <v>0</v>
      </c>
      <c r="AF91" s="518">
        <v>0</v>
      </c>
      <c r="AG91" s="518">
        <v>0</v>
      </c>
      <c r="AH91" s="518">
        <v>0</v>
      </c>
      <c r="AI91" s="518">
        <v>0</v>
      </c>
      <c r="AJ91" s="518">
        <v>0</v>
      </c>
      <c r="AK91" s="518">
        <v>0</v>
      </c>
      <c r="AL91" s="518">
        <v>0</v>
      </c>
      <c r="AM91" s="518">
        <v>0</v>
      </c>
      <c r="AN91" s="518">
        <v>0</v>
      </c>
      <c r="AO91" s="518">
        <v>0</v>
      </c>
      <c r="AP91" s="518">
        <v>0</v>
      </c>
      <c r="AQ91" s="518">
        <v>0</v>
      </c>
      <c r="AR91" s="518">
        <v>0</v>
      </c>
      <c r="AS91" s="518">
        <v>0</v>
      </c>
      <c r="AT91" s="518">
        <v>0</v>
      </c>
      <c r="AU91" s="518">
        <v>0</v>
      </c>
      <c r="AV91" s="518">
        <v>0</v>
      </c>
      <c r="AW91" s="518">
        <v>0</v>
      </c>
      <c r="AX91" s="518">
        <v>0</v>
      </c>
      <c r="AY91" s="518">
        <v>0</v>
      </c>
      <c r="AZ91" s="518">
        <v>0</v>
      </c>
      <c r="BA91" s="518">
        <v>0</v>
      </c>
      <c r="BB91" s="518">
        <v>0</v>
      </c>
      <c r="BC91" s="518">
        <v>0</v>
      </c>
      <c r="BD91" s="518">
        <v>0</v>
      </c>
      <c r="BE91" s="518">
        <v>0</v>
      </c>
      <c r="BF91" s="518">
        <v>0</v>
      </c>
      <c r="BG91" s="518">
        <v>0</v>
      </c>
      <c r="BH91" s="518">
        <v>0</v>
      </c>
      <c r="BI91" s="518">
        <v>0</v>
      </c>
      <c r="BJ91" s="518">
        <v>0</v>
      </c>
      <c r="BK91" s="518">
        <v>0</v>
      </c>
      <c r="BL91" s="518">
        <v>0</v>
      </c>
      <c r="BM91" s="518">
        <v>0</v>
      </c>
      <c r="BN91" s="518">
        <v>0</v>
      </c>
      <c r="BO91" s="518">
        <v>0</v>
      </c>
      <c r="BP91" s="518">
        <v>0</v>
      </c>
      <c r="BQ91" s="518">
        <v>0</v>
      </c>
      <c r="BR91" s="518">
        <v>0</v>
      </c>
      <c r="BS91" s="518">
        <v>0</v>
      </c>
      <c r="BT91" s="518">
        <v>0</v>
      </c>
      <c r="BU91" s="518">
        <v>0</v>
      </c>
      <c r="BV91" s="518">
        <v>0</v>
      </c>
      <c r="BW91" s="518">
        <v>0</v>
      </c>
      <c r="BX91" s="518">
        <v>0</v>
      </c>
      <c r="BY91" s="518">
        <v>0</v>
      </c>
      <c r="BZ91" s="518">
        <v>0</v>
      </c>
      <c r="CA91" s="518">
        <v>0</v>
      </c>
      <c r="CB91" s="518">
        <v>0</v>
      </c>
      <c r="CC91" s="518">
        <v>0</v>
      </c>
      <c r="CD91" s="518">
        <v>0</v>
      </c>
      <c r="CE91" s="518">
        <v>0</v>
      </c>
      <c r="CF91" s="518">
        <v>0</v>
      </c>
      <c r="CG91" s="518">
        <v>0</v>
      </c>
      <c r="CH91" s="518">
        <v>0</v>
      </c>
      <c r="CI91" s="518">
        <v>0</v>
      </c>
      <c r="CJ91" s="518">
        <v>0</v>
      </c>
      <c r="CK91" s="518">
        <v>0</v>
      </c>
      <c r="CL91" s="518">
        <v>0</v>
      </c>
      <c r="CM91" s="518">
        <v>0</v>
      </c>
      <c r="CN91" s="518">
        <v>0</v>
      </c>
      <c r="CO91" s="518">
        <v>0</v>
      </c>
      <c r="CP91" s="518">
        <v>0</v>
      </c>
      <c r="CQ91" s="518">
        <v>0</v>
      </c>
      <c r="CR91" s="518">
        <v>0</v>
      </c>
      <c r="CS91" s="518">
        <v>0</v>
      </c>
      <c r="CT91" s="518">
        <v>0</v>
      </c>
      <c r="CU91" s="518">
        <v>0</v>
      </c>
      <c r="CV91" s="518">
        <v>0</v>
      </c>
      <c r="CW91" s="518">
        <v>0</v>
      </c>
      <c r="CX91" s="518">
        <v>0</v>
      </c>
      <c r="CY91" s="518">
        <v>0</v>
      </c>
      <c r="CZ91" s="518">
        <v>0</v>
      </c>
      <c r="DA91" s="518">
        <v>0</v>
      </c>
      <c r="DB91" s="518">
        <v>0</v>
      </c>
      <c r="DC91" s="518">
        <v>0</v>
      </c>
      <c r="DD91" s="518">
        <v>0</v>
      </c>
      <c r="DE91" s="518">
        <v>0</v>
      </c>
      <c r="DF91" s="518">
        <v>0</v>
      </c>
      <c r="DG91" s="518">
        <v>0</v>
      </c>
      <c r="DH91" s="518">
        <v>0</v>
      </c>
      <c r="DI91" s="518">
        <v>0</v>
      </c>
      <c r="DJ91" s="518">
        <v>0</v>
      </c>
      <c r="DK91" s="518">
        <v>0</v>
      </c>
      <c r="DL91" s="518">
        <v>0</v>
      </c>
      <c r="DM91" s="518">
        <v>0</v>
      </c>
      <c r="DN91" s="518">
        <v>0</v>
      </c>
      <c r="DO91" s="518">
        <v>0</v>
      </c>
      <c r="DP91" s="518">
        <v>0</v>
      </c>
      <c r="DQ91" s="518">
        <v>0</v>
      </c>
      <c r="DR91" s="518">
        <v>0</v>
      </c>
      <c r="DS91" s="518">
        <v>0</v>
      </c>
      <c r="DT91" s="518">
        <v>0</v>
      </c>
      <c r="DU91" s="518">
        <v>0</v>
      </c>
      <c r="DV91" s="518">
        <v>0</v>
      </c>
      <c r="DW91" s="518">
        <v>0</v>
      </c>
      <c r="DX91" s="518">
        <v>0</v>
      </c>
      <c r="DY91" s="477"/>
      <c r="DZ91" s="517" t="s">
        <v>721</v>
      </c>
      <c r="EA91" s="517" t="s">
        <v>1101</v>
      </c>
      <c r="EB91" s="517" t="s">
        <v>26</v>
      </c>
      <c r="EC91" s="518">
        <v>56</v>
      </c>
      <c r="ED91" s="494" t="str">
        <f t="shared" si="3"/>
        <v>SWUC100256</v>
      </c>
      <c r="EE91" s="518">
        <v>10000</v>
      </c>
      <c r="EF91" s="518">
        <v>10000</v>
      </c>
      <c r="EG91" s="518">
        <v>10000</v>
      </c>
      <c r="EH91" s="518">
        <v>10000</v>
      </c>
      <c r="EI91" s="518">
        <v>10000</v>
      </c>
      <c r="EJ91" s="518">
        <v>10000</v>
      </c>
      <c r="EK91" s="518">
        <v>10000</v>
      </c>
      <c r="EL91" s="518">
        <v>10000</v>
      </c>
      <c r="EM91" s="518">
        <v>10000</v>
      </c>
      <c r="EN91" s="518">
        <v>10000</v>
      </c>
      <c r="EO91" s="518">
        <v>0</v>
      </c>
      <c r="EP91" s="518">
        <v>0</v>
      </c>
      <c r="EQ91" s="518">
        <v>0</v>
      </c>
      <c r="ER91" s="518">
        <v>0</v>
      </c>
      <c r="ES91" s="518">
        <v>0</v>
      </c>
      <c r="ET91" s="518">
        <v>0</v>
      </c>
      <c r="EU91" s="518">
        <v>0</v>
      </c>
      <c r="EV91" s="518">
        <v>0</v>
      </c>
      <c r="EW91" s="518">
        <v>0</v>
      </c>
      <c r="EX91" s="518">
        <v>0</v>
      </c>
      <c r="EY91" s="518">
        <v>0</v>
      </c>
      <c r="EZ91" s="518">
        <v>0</v>
      </c>
      <c r="FA91" s="518">
        <v>0</v>
      </c>
      <c r="FB91" s="518">
        <v>0</v>
      </c>
      <c r="FC91" s="518">
        <v>0</v>
      </c>
      <c r="FD91" s="518">
        <v>0</v>
      </c>
      <c r="FE91" s="518">
        <v>0</v>
      </c>
      <c r="FF91" s="518">
        <v>0</v>
      </c>
      <c r="FG91" s="518">
        <v>0</v>
      </c>
      <c r="FH91" s="518">
        <v>0</v>
      </c>
      <c r="FI91" s="518">
        <v>0</v>
      </c>
      <c r="FJ91" s="518">
        <v>0</v>
      </c>
      <c r="FK91" s="518">
        <v>0</v>
      </c>
      <c r="FL91" s="518">
        <v>0</v>
      </c>
      <c r="FM91" s="518">
        <v>0</v>
      </c>
      <c r="FN91" s="518">
        <v>0</v>
      </c>
      <c r="FO91" s="518">
        <v>0</v>
      </c>
      <c r="FP91" s="518">
        <v>0</v>
      </c>
      <c r="FQ91" s="518">
        <v>0</v>
      </c>
      <c r="FR91" s="518">
        <v>0</v>
      </c>
      <c r="FS91" s="518">
        <v>0</v>
      </c>
      <c r="FT91" s="518">
        <v>0</v>
      </c>
      <c r="FU91" s="518">
        <v>0</v>
      </c>
      <c r="FV91" s="518">
        <v>0</v>
      </c>
      <c r="FW91" s="518">
        <v>0</v>
      </c>
      <c r="FX91" s="518">
        <v>0</v>
      </c>
      <c r="FY91" s="518">
        <v>0</v>
      </c>
      <c r="FZ91" s="518">
        <v>0</v>
      </c>
      <c r="GA91" s="518">
        <v>0</v>
      </c>
      <c r="GB91" s="518">
        <v>0</v>
      </c>
      <c r="GC91" s="518">
        <v>0</v>
      </c>
      <c r="GD91" s="518">
        <v>0</v>
      </c>
      <c r="GE91" s="518">
        <v>0</v>
      </c>
      <c r="GF91" s="518">
        <v>0</v>
      </c>
      <c r="GG91" s="518">
        <v>0</v>
      </c>
      <c r="GH91" s="518">
        <v>0</v>
      </c>
      <c r="GI91" s="518">
        <v>0</v>
      </c>
      <c r="GJ91" s="518">
        <v>0</v>
      </c>
      <c r="GK91" s="518">
        <v>0</v>
      </c>
      <c r="GL91" s="518">
        <v>0</v>
      </c>
      <c r="GM91" s="518">
        <v>0</v>
      </c>
      <c r="GN91" s="518">
        <v>0</v>
      </c>
      <c r="GO91" s="518">
        <v>0</v>
      </c>
      <c r="GP91" s="518">
        <v>0</v>
      </c>
      <c r="GQ91" s="518">
        <v>0</v>
      </c>
      <c r="GR91" s="518">
        <v>0</v>
      </c>
      <c r="GS91" s="518">
        <v>0</v>
      </c>
      <c r="GT91" s="518">
        <v>0</v>
      </c>
      <c r="GU91" s="518">
        <v>0</v>
      </c>
      <c r="GV91" s="518">
        <v>0</v>
      </c>
      <c r="GW91" s="518">
        <v>0</v>
      </c>
      <c r="GX91" s="518">
        <v>0</v>
      </c>
      <c r="GY91" s="518">
        <v>0</v>
      </c>
      <c r="GZ91" s="518">
        <v>0</v>
      </c>
      <c r="HA91" s="518">
        <v>0</v>
      </c>
      <c r="HB91" s="518">
        <v>0</v>
      </c>
      <c r="HC91" s="518">
        <v>0</v>
      </c>
      <c r="HD91" s="518">
        <v>0</v>
      </c>
      <c r="HE91" s="518">
        <v>0</v>
      </c>
      <c r="HF91" s="518">
        <v>0</v>
      </c>
      <c r="HG91" s="518">
        <v>0</v>
      </c>
      <c r="HH91" s="518">
        <v>0</v>
      </c>
      <c r="HI91" s="518">
        <v>0</v>
      </c>
      <c r="HJ91" s="518">
        <v>0</v>
      </c>
      <c r="HK91" s="518">
        <v>0</v>
      </c>
      <c r="HL91" s="518">
        <v>0</v>
      </c>
      <c r="HM91" s="518">
        <v>0</v>
      </c>
      <c r="HN91" s="518">
        <v>0</v>
      </c>
      <c r="HO91" s="518">
        <v>0</v>
      </c>
      <c r="HP91" s="518">
        <v>0</v>
      </c>
      <c r="HQ91" s="518">
        <v>0</v>
      </c>
      <c r="HR91" s="518">
        <v>0</v>
      </c>
      <c r="HS91" s="518">
        <v>0</v>
      </c>
      <c r="HT91" s="518">
        <v>0</v>
      </c>
      <c r="HU91" s="518">
        <v>0</v>
      </c>
      <c r="HV91" s="518">
        <v>0</v>
      </c>
      <c r="HW91" s="518">
        <v>0</v>
      </c>
      <c r="HX91" s="518">
        <v>0</v>
      </c>
      <c r="HY91" s="518">
        <v>0</v>
      </c>
      <c r="HZ91" s="518">
        <v>0</v>
      </c>
      <c r="IA91" s="518">
        <v>0</v>
      </c>
      <c r="IB91" s="518">
        <v>0</v>
      </c>
      <c r="IC91" s="518">
        <v>0</v>
      </c>
      <c r="ID91" s="518">
        <v>0</v>
      </c>
      <c r="IE91" s="518">
        <v>0</v>
      </c>
      <c r="IF91" s="518">
        <v>0</v>
      </c>
      <c r="IG91" s="518">
        <v>0</v>
      </c>
      <c r="IH91" s="518">
        <v>0</v>
      </c>
      <c r="II91" s="518">
        <v>0</v>
      </c>
      <c r="IJ91" s="518">
        <v>0</v>
      </c>
      <c r="IK91" s="518">
        <v>0</v>
      </c>
    </row>
    <row r="92" spans="1:245" ht="16.5" hidden="1">
      <c r="A92" s="517" t="s">
        <v>721</v>
      </c>
      <c r="B92" s="517" t="s">
        <v>1101</v>
      </c>
      <c r="C92" s="517" t="s">
        <v>721</v>
      </c>
      <c r="D92" s="558"/>
      <c r="E92" s="517" t="s">
        <v>721</v>
      </c>
      <c r="F92" s="517" t="s">
        <v>26</v>
      </c>
      <c r="G92" s="558"/>
      <c r="H92" s="518">
        <v>57</v>
      </c>
      <c r="I92" s="558"/>
      <c r="J92" s="494" t="str">
        <f t="shared" si="4"/>
        <v>SWUC100257</v>
      </c>
      <c r="K92" s="518">
        <v>451</v>
      </c>
      <c r="M92" s="517" t="s">
        <v>721</v>
      </c>
      <c r="N92" s="517" t="s">
        <v>1101</v>
      </c>
      <c r="O92" s="517" t="s">
        <v>26</v>
      </c>
      <c r="P92" s="518">
        <v>57</v>
      </c>
      <c r="Q92" s="494" t="str">
        <f t="shared" si="5"/>
        <v>SWUC100257</v>
      </c>
      <c r="R92" s="518">
        <v>0</v>
      </c>
      <c r="S92" s="518">
        <v>36</v>
      </c>
      <c r="T92" s="518">
        <v>73</v>
      </c>
      <c r="U92" s="518">
        <v>110</v>
      </c>
      <c r="V92" s="518">
        <v>148</v>
      </c>
      <c r="W92" s="518">
        <v>198</v>
      </c>
      <c r="X92" s="518">
        <v>252</v>
      </c>
      <c r="Y92" s="518">
        <v>312</v>
      </c>
      <c r="Z92" s="518">
        <v>377</v>
      </c>
      <c r="AA92" s="518">
        <v>0</v>
      </c>
      <c r="AB92" s="518">
        <v>0</v>
      </c>
      <c r="AC92" s="518">
        <v>0</v>
      </c>
      <c r="AD92" s="518">
        <v>0</v>
      </c>
      <c r="AE92" s="518">
        <v>0</v>
      </c>
      <c r="AF92" s="518">
        <v>0</v>
      </c>
      <c r="AG92" s="518">
        <v>0</v>
      </c>
      <c r="AH92" s="518">
        <v>0</v>
      </c>
      <c r="AI92" s="518">
        <v>0</v>
      </c>
      <c r="AJ92" s="518">
        <v>0</v>
      </c>
      <c r="AK92" s="518">
        <v>0</v>
      </c>
      <c r="AL92" s="518">
        <v>0</v>
      </c>
      <c r="AM92" s="518">
        <v>0</v>
      </c>
      <c r="AN92" s="518">
        <v>0</v>
      </c>
      <c r="AO92" s="518">
        <v>0</v>
      </c>
      <c r="AP92" s="518">
        <v>0</v>
      </c>
      <c r="AQ92" s="518">
        <v>0</v>
      </c>
      <c r="AR92" s="518">
        <v>0</v>
      </c>
      <c r="AS92" s="518">
        <v>0</v>
      </c>
      <c r="AT92" s="518">
        <v>0</v>
      </c>
      <c r="AU92" s="518">
        <v>0</v>
      </c>
      <c r="AV92" s="518">
        <v>0</v>
      </c>
      <c r="AW92" s="518">
        <v>0</v>
      </c>
      <c r="AX92" s="518">
        <v>0</v>
      </c>
      <c r="AY92" s="518">
        <v>0</v>
      </c>
      <c r="AZ92" s="518">
        <v>0</v>
      </c>
      <c r="BA92" s="518">
        <v>0</v>
      </c>
      <c r="BB92" s="518">
        <v>0</v>
      </c>
      <c r="BC92" s="518">
        <v>0</v>
      </c>
      <c r="BD92" s="518">
        <v>0</v>
      </c>
      <c r="BE92" s="518">
        <v>0</v>
      </c>
      <c r="BF92" s="518">
        <v>0</v>
      </c>
      <c r="BG92" s="518">
        <v>0</v>
      </c>
      <c r="BH92" s="518">
        <v>0</v>
      </c>
      <c r="BI92" s="518">
        <v>0</v>
      </c>
      <c r="BJ92" s="518">
        <v>0</v>
      </c>
      <c r="BK92" s="518">
        <v>0</v>
      </c>
      <c r="BL92" s="518">
        <v>0</v>
      </c>
      <c r="BM92" s="518">
        <v>0</v>
      </c>
      <c r="BN92" s="518">
        <v>0</v>
      </c>
      <c r="BO92" s="518">
        <v>0</v>
      </c>
      <c r="BP92" s="518">
        <v>0</v>
      </c>
      <c r="BQ92" s="518">
        <v>0</v>
      </c>
      <c r="BR92" s="518">
        <v>0</v>
      </c>
      <c r="BS92" s="518">
        <v>0</v>
      </c>
      <c r="BT92" s="518">
        <v>0</v>
      </c>
      <c r="BU92" s="518">
        <v>0</v>
      </c>
      <c r="BV92" s="518">
        <v>0</v>
      </c>
      <c r="BW92" s="518">
        <v>0</v>
      </c>
      <c r="BX92" s="518">
        <v>0</v>
      </c>
      <c r="BY92" s="518">
        <v>0</v>
      </c>
      <c r="BZ92" s="518">
        <v>0</v>
      </c>
      <c r="CA92" s="518">
        <v>0</v>
      </c>
      <c r="CB92" s="518">
        <v>0</v>
      </c>
      <c r="CC92" s="518">
        <v>0</v>
      </c>
      <c r="CD92" s="518">
        <v>0</v>
      </c>
      <c r="CE92" s="518">
        <v>0</v>
      </c>
      <c r="CF92" s="518">
        <v>0</v>
      </c>
      <c r="CG92" s="518">
        <v>0</v>
      </c>
      <c r="CH92" s="518">
        <v>0</v>
      </c>
      <c r="CI92" s="518">
        <v>0</v>
      </c>
      <c r="CJ92" s="518">
        <v>0</v>
      </c>
      <c r="CK92" s="518">
        <v>0</v>
      </c>
      <c r="CL92" s="518">
        <v>0</v>
      </c>
      <c r="CM92" s="518">
        <v>0</v>
      </c>
      <c r="CN92" s="518">
        <v>0</v>
      </c>
      <c r="CO92" s="518">
        <v>0</v>
      </c>
      <c r="CP92" s="518">
        <v>0</v>
      </c>
      <c r="CQ92" s="518">
        <v>0</v>
      </c>
      <c r="CR92" s="518">
        <v>0</v>
      </c>
      <c r="CS92" s="518">
        <v>0</v>
      </c>
      <c r="CT92" s="518">
        <v>0</v>
      </c>
      <c r="CU92" s="518">
        <v>0</v>
      </c>
      <c r="CV92" s="518">
        <v>0</v>
      </c>
      <c r="CW92" s="518">
        <v>0</v>
      </c>
      <c r="CX92" s="518">
        <v>0</v>
      </c>
      <c r="CY92" s="518">
        <v>0</v>
      </c>
      <c r="CZ92" s="518">
        <v>0</v>
      </c>
      <c r="DA92" s="518">
        <v>0</v>
      </c>
      <c r="DB92" s="518">
        <v>0</v>
      </c>
      <c r="DC92" s="518">
        <v>0</v>
      </c>
      <c r="DD92" s="518">
        <v>0</v>
      </c>
      <c r="DE92" s="518">
        <v>0</v>
      </c>
      <c r="DF92" s="518">
        <v>0</v>
      </c>
      <c r="DG92" s="518">
        <v>0</v>
      </c>
      <c r="DH92" s="518">
        <v>0</v>
      </c>
      <c r="DI92" s="518">
        <v>0</v>
      </c>
      <c r="DJ92" s="518">
        <v>0</v>
      </c>
      <c r="DK92" s="518">
        <v>0</v>
      </c>
      <c r="DL92" s="518">
        <v>0</v>
      </c>
      <c r="DM92" s="518">
        <v>0</v>
      </c>
      <c r="DN92" s="518">
        <v>0</v>
      </c>
      <c r="DO92" s="518">
        <v>0</v>
      </c>
      <c r="DP92" s="518">
        <v>0</v>
      </c>
      <c r="DQ92" s="518">
        <v>0</v>
      </c>
      <c r="DR92" s="518">
        <v>0</v>
      </c>
      <c r="DS92" s="518">
        <v>0</v>
      </c>
      <c r="DT92" s="518">
        <v>0</v>
      </c>
      <c r="DU92" s="518">
        <v>0</v>
      </c>
      <c r="DV92" s="518">
        <v>0</v>
      </c>
      <c r="DW92" s="518">
        <v>0</v>
      </c>
      <c r="DX92" s="518">
        <v>0</v>
      </c>
      <c r="DY92" s="477"/>
      <c r="DZ92" s="517" t="s">
        <v>721</v>
      </c>
      <c r="EA92" s="517" t="s">
        <v>1101</v>
      </c>
      <c r="EB92" s="517" t="s">
        <v>26</v>
      </c>
      <c r="EC92" s="518">
        <v>57</v>
      </c>
      <c r="ED92" s="494" t="str">
        <f t="shared" si="3"/>
        <v>SWUC100257</v>
      </c>
      <c r="EE92" s="518">
        <v>10000</v>
      </c>
      <c r="EF92" s="518">
        <v>10000</v>
      </c>
      <c r="EG92" s="518">
        <v>10000</v>
      </c>
      <c r="EH92" s="518">
        <v>10000</v>
      </c>
      <c r="EI92" s="518">
        <v>10000</v>
      </c>
      <c r="EJ92" s="518">
        <v>10000</v>
      </c>
      <c r="EK92" s="518">
        <v>10000</v>
      </c>
      <c r="EL92" s="518">
        <v>10000</v>
      </c>
      <c r="EM92" s="518">
        <v>10000</v>
      </c>
      <c r="EN92" s="518">
        <v>10000</v>
      </c>
      <c r="EO92" s="518">
        <v>0</v>
      </c>
      <c r="EP92" s="518">
        <v>0</v>
      </c>
      <c r="EQ92" s="518">
        <v>0</v>
      </c>
      <c r="ER92" s="518">
        <v>0</v>
      </c>
      <c r="ES92" s="518">
        <v>0</v>
      </c>
      <c r="ET92" s="518">
        <v>0</v>
      </c>
      <c r="EU92" s="518">
        <v>0</v>
      </c>
      <c r="EV92" s="518">
        <v>0</v>
      </c>
      <c r="EW92" s="518">
        <v>0</v>
      </c>
      <c r="EX92" s="518">
        <v>0</v>
      </c>
      <c r="EY92" s="518">
        <v>0</v>
      </c>
      <c r="EZ92" s="518">
        <v>0</v>
      </c>
      <c r="FA92" s="518">
        <v>0</v>
      </c>
      <c r="FB92" s="518">
        <v>0</v>
      </c>
      <c r="FC92" s="518">
        <v>0</v>
      </c>
      <c r="FD92" s="518">
        <v>0</v>
      </c>
      <c r="FE92" s="518">
        <v>0</v>
      </c>
      <c r="FF92" s="518">
        <v>0</v>
      </c>
      <c r="FG92" s="518">
        <v>0</v>
      </c>
      <c r="FH92" s="518">
        <v>0</v>
      </c>
      <c r="FI92" s="518">
        <v>0</v>
      </c>
      <c r="FJ92" s="518">
        <v>0</v>
      </c>
      <c r="FK92" s="518">
        <v>0</v>
      </c>
      <c r="FL92" s="518">
        <v>0</v>
      </c>
      <c r="FM92" s="518">
        <v>0</v>
      </c>
      <c r="FN92" s="518">
        <v>0</v>
      </c>
      <c r="FO92" s="518">
        <v>0</v>
      </c>
      <c r="FP92" s="518">
        <v>0</v>
      </c>
      <c r="FQ92" s="518">
        <v>0</v>
      </c>
      <c r="FR92" s="518">
        <v>0</v>
      </c>
      <c r="FS92" s="518">
        <v>0</v>
      </c>
      <c r="FT92" s="518">
        <v>0</v>
      </c>
      <c r="FU92" s="518">
        <v>0</v>
      </c>
      <c r="FV92" s="518">
        <v>0</v>
      </c>
      <c r="FW92" s="518">
        <v>0</v>
      </c>
      <c r="FX92" s="518">
        <v>0</v>
      </c>
      <c r="FY92" s="518">
        <v>0</v>
      </c>
      <c r="FZ92" s="518">
        <v>0</v>
      </c>
      <c r="GA92" s="518">
        <v>0</v>
      </c>
      <c r="GB92" s="518">
        <v>0</v>
      </c>
      <c r="GC92" s="518">
        <v>0</v>
      </c>
      <c r="GD92" s="518">
        <v>0</v>
      </c>
      <c r="GE92" s="518">
        <v>0</v>
      </c>
      <c r="GF92" s="518">
        <v>0</v>
      </c>
      <c r="GG92" s="518">
        <v>0</v>
      </c>
      <c r="GH92" s="518">
        <v>0</v>
      </c>
      <c r="GI92" s="518">
        <v>0</v>
      </c>
      <c r="GJ92" s="518">
        <v>0</v>
      </c>
      <c r="GK92" s="518">
        <v>0</v>
      </c>
      <c r="GL92" s="518">
        <v>0</v>
      </c>
      <c r="GM92" s="518">
        <v>0</v>
      </c>
      <c r="GN92" s="518">
        <v>0</v>
      </c>
      <c r="GO92" s="518">
        <v>0</v>
      </c>
      <c r="GP92" s="518">
        <v>0</v>
      </c>
      <c r="GQ92" s="518">
        <v>0</v>
      </c>
      <c r="GR92" s="518">
        <v>0</v>
      </c>
      <c r="GS92" s="518">
        <v>0</v>
      </c>
      <c r="GT92" s="518">
        <v>0</v>
      </c>
      <c r="GU92" s="518">
        <v>0</v>
      </c>
      <c r="GV92" s="518">
        <v>0</v>
      </c>
      <c r="GW92" s="518">
        <v>0</v>
      </c>
      <c r="GX92" s="518">
        <v>0</v>
      </c>
      <c r="GY92" s="518">
        <v>0</v>
      </c>
      <c r="GZ92" s="518">
        <v>0</v>
      </c>
      <c r="HA92" s="518">
        <v>0</v>
      </c>
      <c r="HB92" s="518">
        <v>0</v>
      </c>
      <c r="HC92" s="518">
        <v>0</v>
      </c>
      <c r="HD92" s="518">
        <v>0</v>
      </c>
      <c r="HE92" s="518">
        <v>0</v>
      </c>
      <c r="HF92" s="518">
        <v>0</v>
      </c>
      <c r="HG92" s="518">
        <v>0</v>
      </c>
      <c r="HH92" s="518">
        <v>0</v>
      </c>
      <c r="HI92" s="518">
        <v>0</v>
      </c>
      <c r="HJ92" s="518">
        <v>0</v>
      </c>
      <c r="HK92" s="518">
        <v>0</v>
      </c>
      <c r="HL92" s="518">
        <v>0</v>
      </c>
      <c r="HM92" s="518">
        <v>0</v>
      </c>
      <c r="HN92" s="518">
        <v>0</v>
      </c>
      <c r="HO92" s="518">
        <v>0</v>
      </c>
      <c r="HP92" s="518">
        <v>0</v>
      </c>
      <c r="HQ92" s="518">
        <v>0</v>
      </c>
      <c r="HR92" s="518">
        <v>0</v>
      </c>
      <c r="HS92" s="518">
        <v>0</v>
      </c>
      <c r="HT92" s="518">
        <v>0</v>
      </c>
      <c r="HU92" s="518">
        <v>0</v>
      </c>
      <c r="HV92" s="518">
        <v>0</v>
      </c>
      <c r="HW92" s="518">
        <v>0</v>
      </c>
      <c r="HX92" s="518">
        <v>0</v>
      </c>
      <c r="HY92" s="518">
        <v>0</v>
      </c>
      <c r="HZ92" s="518">
        <v>0</v>
      </c>
      <c r="IA92" s="518">
        <v>0</v>
      </c>
      <c r="IB92" s="518">
        <v>0</v>
      </c>
      <c r="IC92" s="518">
        <v>0</v>
      </c>
      <c r="ID92" s="518">
        <v>0</v>
      </c>
      <c r="IE92" s="518">
        <v>0</v>
      </c>
      <c r="IF92" s="518">
        <v>0</v>
      </c>
      <c r="IG92" s="518">
        <v>0</v>
      </c>
      <c r="IH92" s="518">
        <v>0</v>
      </c>
      <c r="II92" s="518">
        <v>0</v>
      </c>
      <c r="IJ92" s="518">
        <v>0</v>
      </c>
      <c r="IK92" s="518">
        <v>0</v>
      </c>
    </row>
    <row r="93" spans="1:245" ht="16.5" hidden="1">
      <c r="A93" s="517" t="s">
        <v>721</v>
      </c>
      <c r="B93" s="517" t="s">
        <v>1101</v>
      </c>
      <c r="C93" s="517" t="s">
        <v>721</v>
      </c>
      <c r="D93" s="558"/>
      <c r="E93" s="517" t="s">
        <v>721</v>
      </c>
      <c r="F93" s="517" t="s">
        <v>26</v>
      </c>
      <c r="G93" s="558"/>
      <c r="H93" s="518">
        <v>58</v>
      </c>
      <c r="I93" s="558"/>
      <c r="J93" s="494" t="str">
        <f t="shared" si="4"/>
        <v>SWUC100258</v>
      </c>
      <c r="K93" s="518">
        <v>470</v>
      </c>
      <c r="M93" s="517" t="s">
        <v>721</v>
      </c>
      <c r="N93" s="517" t="s">
        <v>1101</v>
      </c>
      <c r="O93" s="517" t="s">
        <v>26</v>
      </c>
      <c r="P93" s="518">
        <v>58</v>
      </c>
      <c r="Q93" s="494" t="str">
        <f t="shared" si="5"/>
        <v>SWUC100258</v>
      </c>
      <c r="R93" s="518">
        <v>0</v>
      </c>
      <c r="S93" s="518">
        <v>38</v>
      </c>
      <c r="T93" s="518">
        <v>77</v>
      </c>
      <c r="U93" s="518">
        <v>116</v>
      </c>
      <c r="V93" s="518">
        <v>155</v>
      </c>
      <c r="W93" s="518">
        <v>207</v>
      </c>
      <c r="X93" s="518">
        <v>264</v>
      </c>
      <c r="Y93" s="518">
        <v>328</v>
      </c>
      <c r="Z93" s="518">
        <v>395</v>
      </c>
      <c r="AA93" s="518">
        <v>0</v>
      </c>
      <c r="AB93" s="518">
        <v>0</v>
      </c>
      <c r="AC93" s="518">
        <v>0</v>
      </c>
      <c r="AD93" s="518">
        <v>0</v>
      </c>
      <c r="AE93" s="518">
        <v>0</v>
      </c>
      <c r="AF93" s="518">
        <v>0</v>
      </c>
      <c r="AG93" s="518">
        <v>0</v>
      </c>
      <c r="AH93" s="518">
        <v>0</v>
      </c>
      <c r="AI93" s="518">
        <v>0</v>
      </c>
      <c r="AJ93" s="518">
        <v>0</v>
      </c>
      <c r="AK93" s="518">
        <v>0</v>
      </c>
      <c r="AL93" s="518">
        <v>0</v>
      </c>
      <c r="AM93" s="518">
        <v>0</v>
      </c>
      <c r="AN93" s="518">
        <v>0</v>
      </c>
      <c r="AO93" s="518">
        <v>0</v>
      </c>
      <c r="AP93" s="518">
        <v>0</v>
      </c>
      <c r="AQ93" s="518">
        <v>0</v>
      </c>
      <c r="AR93" s="518">
        <v>0</v>
      </c>
      <c r="AS93" s="518">
        <v>0</v>
      </c>
      <c r="AT93" s="518">
        <v>0</v>
      </c>
      <c r="AU93" s="518">
        <v>0</v>
      </c>
      <c r="AV93" s="518">
        <v>0</v>
      </c>
      <c r="AW93" s="518">
        <v>0</v>
      </c>
      <c r="AX93" s="518">
        <v>0</v>
      </c>
      <c r="AY93" s="518">
        <v>0</v>
      </c>
      <c r="AZ93" s="518">
        <v>0</v>
      </c>
      <c r="BA93" s="518">
        <v>0</v>
      </c>
      <c r="BB93" s="518">
        <v>0</v>
      </c>
      <c r="BC93" s="518">
        <v>0</v>
      </c>
      <c r="BD93" s="518">
        <v>0</v>
      </c>
      <c r="BE93" s="518">
        <v>0</v>
      </c>
      <c r="BF93" s="518">
        <v>0</v>
      </c>
      <c r="BG93" s="518">
        <v>0</v>
      </c>
      <c r="BH93" s="518">
        <v>0</v>
      </c>
      <c r="BI93" s="518">
        <v>0</v>
      </c>
      <c r="BJ93" s="518">
        <v>0</v>
      </c>
      <c r="BK93" s="518">
        <v>0</v>
      </c>
      <c r="BL93" s="518">
        <v>0</v>
      </c>
      <c r="BM93" s="518">
        <v>0</v>
      </c>
      <c r="BN93" s="518">
        <v>0</v>
      </c>
      <c r="BO93" s="518">
        <v>0</v>
      </c>
      <c r="BP93" s="518">
        <v>0</v>
      </c>
      <c r="BQ93" s="518">
        <v>0</v>
      </c>
      <c r="BR93" s="518">
        <v>0</v>
      </c>
      <c r="BS93" s="518">
        <v>0</v>
      </c>
      <c r="BT93" s="518">
        <v>0</v>
      </c>
      <c r="BU93" s="518">
        <v>0</v>
      </c>
      <c r="BV93" s="518">
        <v>0</v>
      </c>
      <c r="BW93" s="518">
        <v>0</v>
      </c>
      <c r="BX93" s="518">
        <v>0</v>
      </c>
      <c r="BY93" s="518">
        <v>0</v>
      </c>
      <c r="BZ93" s="518">
        <v>0</v>
      </c>
      <c r="CA93" s="518">
        <v>0</v>
      </c>
      <c r="CB93" s="518">
        <v>0</v>
      </c>
      <c r="CC93" s="518">
        <v>0</v>
      </c>
      <c r="CD93" s="518">
        <v>0</v>
      </c>
      <c r="CE93" s="518">
        <v>0</v>
      </c>
      <c r="CF93" s="518">
        <v>0</v>
      </c>
      <c r="CG93" s="518">
        <v>0</v>
      </c>
      <c r="CH93" s="518">
        <v>0</v>
      </c>
      <c r="CI93" s="518">
        <v>0</v>
      </c>
      <c r="CJ93" s="518">
        <v>0</v>
      </c>
      <c r="CK93" s="518">
        <v>0</v>
      </c>
      <c r="CL93" s="518">
        <v>0</v>
      </c>
      <c r="CM93" s="518">
        <v>0</v>
      </c>
      <c r="CN93" s="518">
        <v>0</v>
      </c>
      <c r="CO93" s="518">
        <v>0</v>
      </c>
      <c r="CP93" s="518">
        <v>0</v>
      </c>
      <c r="CQ93" s="518">
        <v>0</v>
      </c>
      <c r="CR93" s="518">
        <v>0</v>
      </c>
      <c r="CS93" s="518">
        <v>0</v>
      </c>
      <c r="CT93" s="518">
        <v>0</v>
      </c>
      <c r="CU93" s="518">
        <v>0</v>
      </c>
      <c r="CV93" s="518">
        <v>0</v>
      </c>
      <c r="CW93" s="518">
        <v>0</v>
      </c>
      <c r="CX93" s="518">
        <v>0</v>
      </c>
      <c r="CY93" s="518">
        <v>0</v>
      </c>
      <c r="CZ93" s="518">
        <v>0</v>
      </c>
      <c r="DA93" s="518">
        <v>0</v>
      </c>
      <c r="DB93" s="518">
        <v>0</v>
      </c>
      <c r="DC93" s="518">
        <v>0</v>
      </c>
      <c r="DD93" s="518">
        <v>0</v>
      </c>
      <c r="DE93" s="518">
        <v>0</v>
      </c>
      <c r="DF93" s="518">
        <v>0</v>
      </c>
      <c r="DG93" s="518">
        <v>0</v>
      </c>
      <c r="DH93" s="518">
        <v>0</v>
      </c>
      <c r="DI93" s="518">
        <v>0</v>
      </c>
      <c r="DJ93" s="518">
        <v>0</v>
      </c>
      <c r="DK93" s="518">
        <v>0</v>
      </c>
      <c r="DL93" s="518">
        <v>0</v>
      </c>
      <c r="DM93" s="518">
        <v>0</v>
      </c>
      <c r="DN93" s="518">
        <v>0</v>
      </c>
      <c r="DO93" s="518">
        <v>0</v>
      </c>
      <c r="DP93" s="518">
        <v>0</v>
      </c>
      <c r="DQ93" s="518">
        <v>0</v>
      </c>
      <c r="DR93" s="518">
        <v>0</v>
      </c>
      <c r="DS93" s="518">
        <v>0</v>
      </c>
      <c r="DT93" s="518">
        <v>0</v>
      </c>
      <c r="DU93" s="518">
        <v>0</v>
      </c>
      <c r="DV93" s="518">
        <v>0</v>
      </c>
      <c r="DW93" s="518">
        <v>0</v>
      </c>
      <c r="DX93" s="518">
        <v>0</v>
      </c>
      <c r="DY93" s="477"/>
      <c r="DZ93" s="517" t="s">
        <v>721</v>
      </c>
      <c r="EA93" s="517" t="s">
        <v>1101</v>
      </c>
      <c r="EB93" s="517" t="s">
        <v>26</v>
      </c>
      <c r="EC93" s="518">
        <v>58</v>
      </c>
      <c r="ED93" s="494" t="str">
        <f t="shared" si="3"/>
        <v>SWUC100258</v>
      </c>
      <c r="EE93" s="518">
        <v>10000</v>
      </c>
      <c r="EF93" s="518">
        <v>10000</v>
      </c>
      <c r="EG93" s="518">
        <v>10000</v>
      </c>
      <c r="EH93" s="518">
        <v>10000</v>
      </c>
      <c r="EI93" s="518">
        <v>10000</v>
      </c>
      <c r="EJ93" s="518">
        <v>10000</v>
      </c>
      <c r="EK93" s="518">
        <v>10000</v>
      </c>
      <c r="EL93" s="518">
        <v>10000</v>
      </c>
      <c r="EM93" s="518">
        <v>10000</v>
      </c>
      <c r="EN93" s="518">
        <v>10000</v>
      </c>
      <c r="EO93" s="518">
        <v>0</v>
      </c>
      <c r="EP93" s="518">
        <v>0</v>
      </c>
      <c r="EQ93" s="518">
        <v>0</v>
      </c>
      <c r="ER93" s="518">
        <v>0</v>
      </c>
      <c r="ES93" s="518">
        <v>0</v>
      </c>
      <c r="ET93" s="518">
        <v>0</v>
      </c>
      <c r="EU93" s="518">
        <v>0</v>
      </c>
      <c r="EV93" s="518">
        <v>0</v>
      </c>
      <c r="EW93" s="518">
        <v>0</v>
      </c>
      <c r="EX93" s="518">
        <v>0</v>
      </c>
      <c r="EY93" s="518">
        <v>0</v>
      </c>
      <c r="EZ93" s="518">
        <v>0</v>
      </c>
      <c r="FA93" s="518">
        <v>0</v>
      </c>
      <c r="FB93" s="518">
        <v>0</v>
      </c>
      <c r="FC93" s="518">
        <v>0</v>
      </c>
      <c r="FD93" s="518">
        <v>0</v>
      </c>
      <c r="FE93" s="518">
        <v>0</v>
      </c>
      <c r="FF93" s="518">
        <v>0</v>
      </c>
      <c r="FG93" s="518">
        <v>0</v>
      </c>
      <c r="FH93" s="518">
        <v>0</v>
      </c>
      <c r="FI93" s="518">
        <v>0</v>
      </c>
      <c r="FJ93" s="518">
        <v>0</v>
      </c>
      <c r="FK93" s="518">
        <v>0</v>
      </c>
      <c r="FL93" s="518">
        <v>0</v>
      </c>
      <c r="FM93" s="518">
        <v>0</v>
      </c>
      <c r="FN93" s="518">
        <v>0</v>
      </c>
      <c r="FO93" s="518">
        <v>0</v>
      </c>
      <c r="FP93" s="518">
        <v>0</v>
      </c>
      <c r="FQ93" s="518">
        <v>0</v>
      </c>
      <c r="FR93" s="518">
        <v>0</v>
      </c>
      <c r="FS93" s="518">
        <v>0</v>
      </c>
      <c r="FT93" s="518">
        <v>0</v>
      </c>
      <c r="FU93" s="518">
        <v>0</v>
      </c>
      <c r="FV93" s="518">
        <v>0</v>
      </c>
      <c r="FW93" s="518">
        <v>0</v>
      </c>
      <c r="FX93" s="518">
        <v>0</v>
      </c>
      <c r="FY93" s="518">
        <v>0</v>
      </c>
      <c r="FZ93" s="518">
        <v>0</v>
      </c>
      <c r="GA93" s="518">
        <v>0</v>
      </c>
      <c r="GB93" s="518">
        <v>0</v>
      </c>
      <c r="GC93" s="518">
        <v>0</v>
      </c>
      <c r="GD93" s="518">
        <v>0</v>
      </c>
      <c r="GE93" s="518">
        <v>0</v>
      </c>
      <c r="GF93" s="518">
        <v>0</v>
      </c>
      <c r="GG93" s="518">
        <v>0</v>
      </c>
      <c r="GH93" s="518">
        <v>0</v>
      </c>
      <c r="GI93" s="518">
        <v>0</v>
      </c>
      <c r="GJ93" s="518">
        <v>0</v>
      </c>
      <c r="GK93" s="518">
        <v>0</v>
      </c>
      <c r="GL93" s="518">
        <v>0</v>
      </c>
      <c r="GM93" s="518">
        <v>0</v>
      </c>
      <c r="GN93" s="518">
        <v>0</v>
      </c>
      <c r="GO93" s="518">
        <v>0</v>
      </c>
      <c r="GP93" s="518">
        <v>0</v>
      </c>
      <c r="GQ93" s="518">
        <v>0</v>
      </c>
      <c r="GR93" s="518">
        <v>0</v>
      </c>
      <c r="GS93" s="518">
        <v>0</v>
      </c>
      <c r="GT93" s="518">
        <v>0</v>
      </c>
      <c r="GU93" s="518">
        <v>0</v>
      </c>
      <c r="GV93" s="518">
        <v>0</v>
      </c>
      <c r="GW93" s="518">
        <v>0</v>
      </c>
      <c r="GX93" s="518">
        <v>0</v>
      </c>
      <c r="GY93" s="518">
        <v>0</v>
      </c>
      <c r="GZ93" s="518">
        <v>0</v>
      </c>
      <c r="HA93" s="518">
        <v>0</v>
      </c>
      <c r="HB93" s="518">
        <v>0</v>
      </c>
      <c r="HC93" s="518">
        <v>0</v>
      </c>
      <c r="HD93" s="518">
        <v>0</v>
      </c>
      <c r="HE93" s="518">
        <v>0</v>
      </c>
      <c r="HF93" s="518">
        <v>0</v>
      </c>
      <c r="HG93" s="518">
        <v>0</v>
      </c>
      <c r="HH93" s="518">
        <v>0</v>
      </c>
      <c r="HI93" s="518">
        <v>0</v>
      </c>
      <c r="HJ93" s="518">
        <v>0</v>
      </c>
      <c r="HK93" s="518">
        <v>0</v>
      </c>
      <c r="HL93" s="518">
        <v>0</v>
      </c>
      <c r="HM93" s="518">
        <v>0</v>
      </c>
      <c r="HN93" s="518">
        <v>0</v>
      </c>
      <c r="HO93" s="518">
        <v>0</v>
      </c>
      <c r="HP93" s="518">
        <v>0</v>
      </c>
      <c r="HQ93" s="518">
        <v>0</v>
      </c>
      <c r="HR93" s="518">
        <v>0</v>
      </c>
      <c r="HS93" s="518">
        <v>0</v>
      </c>
      <c r="HT93" s="518">
        <v>0</v>
      </c>
      <c r="HU93" s="518">
        <v>0</v>
      </c>
      <c r="HV93" s="518">
        <v>0</v>
      </c>
      <c r="HW93" s="518">
        <v>0</v>
      </c>
      <c r="HX93" s="518">
        <v>0</v>
      </c>
      <c r="HY93" s="518">
        <v>0</v>
      </c>
      <c r="HZ93" s="518">
        <v>0</v>
      </c>
      <c r="IA93" s="518">
        <v>0</v>
      </c>
      <c r="IB93" s="518">
        <v>0</v>
      </c>
      <c r="IC93" s="518">
        <v>0</v>
      </c>
      <c r="ID93" s="518">
        <v>0</v>
      </c>
      <c r="IE93" s="518">
        <v>0</v>
      </c>
      <c r="IF93" s="518">
        <v>0</v>
      </c>
      <c r="IG93" s="518">
        <v>0</v>
      </c>
      <c r="IH93" s="518">
        <v>0</v>
      </c>
      <c r="II93" s="518">
        <v>0</v>
      </c>
      <c r="IJ93" s="518">
        <v>0</v>
      </c>
      <c r="IK93" s="518">
        <v>0</v>
      </c>
    </row>
    <row r="94" spans="1:245" ht="16.5" hidden="1">
      <c r="A94" s="517" t="s">
        <v>721</v>
      </c>
      <c r="B94" s="517" t="s">
        <v>1101</v>
      </c>
      <c r="C94" s="517" t="s">
        <v>721</v>
      </c>
      <c r="D94" s="558"/>
      <c r="E94" s="517" t="s">
        <v>721</v>
      </c>
      <c r="F94" s="517" t="s">
        <v>26</v>
      </c>
      <c r="G94" s="558"/>
      <c r="H94" s="518">
        <v>59</v>
      </c>
      <c r="I94" s="558"/>
      <c r="J94" s="494" t="str">
        <f t="shared" si="4"/>
        <v>SWUC100259</v>
      </c>
      <c r="K94" s="518">
        <v>489</v>
      </c>
      <c r="M94" s="517" t="s">
        <v>721</v>
      </c>
      <c r="N94" s="517" t="s">
        <v>1101</v>
      </c>
      <c r="O94" s="517" t="s">
        <v>26</v>
      </c>
      <c r="P94" s="518">
        <v>59</v>
      </c>
      <c r="Q94" s="494" t="str">
        <f t="shared" si="5"/>
        <v>SWUC100259</v>
      </c>
      <c r="R94" s="518">
        <v>0</v>
      </c>
      <c r="S94" s="518">
        <v>41</v>
      </c>
      <c r="T94" s="518">
        <v>82</v>
      </c>
      <c r="U94" s="518">
        <v>122</v>
      </c>
      <c r="V94" s="518">
        <v>164</v>
      </c>
      <c r="W94" s="518">
        <v>218</v>
      </c>
      <c r="X94" s="518">
        <v>278</v>
      </c>
      <c r="Y94" s="518">
        <v>343</v>
      </c>
      <c r="Z94" s="518">
        <v>412</v>
      </c>
      <c r="AA94" s="518">
        <v>0</v>
      </c>
      <c r="AB94" s="518">
        <v>0</v>
      </c>
      <c r="AC94" s="518">
        <v>0</v>
      </c>
      <c r="AD94" s="518">
        <v>0</v>
      </c>
      <c r="AE94" s="518">
        <v>0</v>
      </c>
      <c r="AF94" s="518">
        <v>0</v>
      </c>
      <c r="AG94" s="518">
        <v>0</v>
      </c>
      <c r="AH94" s="518">
        <v>0</v>
      </c>
      <c r="AI94" s="518">
        <v>0</v>
      </c>
      <c r="AJ94" s="518">
        <v>0</v>
      </c>
      <c r="AK94" s="518">
        <v>0</v>
      </c>
      <c r="AL94" s="518">
        <v>0</v>
      </c>
      <c r="AM94" s="518">
        <v>0</v>
      </c>
      <c r="AN94" s="518">
        <v>0</v>
      </c>
      <c r="AO94" s="518">
        <v>0</v>
      </c>
      <c r="AP94" s="518">
        <v>0</v>
      </c>
      <c r="AQ94" s="518">
        <v>0</v>
      </c>
      <c r="AR94" s="518">
        <v>0</v>
      </c>
      <c r="AS94" s="518">
        <v>0</v>
      </c>
      <c r="AT94" s="518">
        <v>0</v>
      </c>
      <c r="AU94" s="518">
        <v>0</v>
      </c>
      <c r="AV94" s="518">
        <v>0</v>
      </c>
      <c r="AW94" s="518">
        <v>0</v>
      </c>
      <c r="AX94" s="518">
        <v>0</v>
      </c>
      <c r="AY94" s="518">
        <v>0</v>
      </c>
      <c r="AZ94" s="518">
        <v>0</v>
      </c>
      <c r="BA94" s="518">
        <v>0</v>
      </c>
      <c r="BB94" s="518">
        <v>0</v>
      </c>
      <c r="BC94" s="518">
        <v>0</v>
      </c>
      <c r="BD94" s="518">
        <v>0</v>
      </c>
      <c r="BE94" s="518">
        <v>0</v>
      </c>
      <c r="BF94" s="518">
        <v>0</v>
      </c>
      <c r="BG94" s="518">
        <v>0</v>
      </c>
      <c r="BH94" s="518">
        <v>0</v>
      </c>
      <c r="BI94" s="518">
        <v>0</v>
      </c>
      <c r="BJ94" s="518">
        <v>0</v>
      </c>
      <c r="BK94" s="518">
        <v>0</v>
      </c>
      <c r="BL94" s="518">
        <v>0</v>
      </c>
      <c r="BM94" s="518">
        <v>0</v>
      </c>
      <c r="BN94" s="518">
        <v>0</v>
      </c>
      <c r="BO94" s="518">
        <v>0</v>
      </c>
      <c r="BP94" s="518">
        <v>0</v>
      </c>
      <c r="BQ94" s="518">
        <v>0</v>
      </c>
      <c r="BR94" s="518">
        <v>0</v>
      </c>
      <c r="BS94" s="518">
        <v>0</v>
      </c>
      <c r="BT94" s="518">
        <v>0</v>
      </c>
      <c r="BU94" s="518">
        <v>0</v>
      </c>
      <c r="BV94" s="518">
        <v>0</v>
      </c>
      <c r="BW94" s="518">
        <v>0</v>
      </c>
      <c r="BX94" s="518">
        <v>0</v>
      </c>
      <c r="BY94" s="518">
        <v>0</v>
      </c>
      <c r="BZ94" s="518">
        <v>0</v>
      </c>
      <c r="CA94" s="518">
        <v>0</v>
      </c>
      <c r="CB94" s="518">
        <v>0</v>
      </c>
      <c r="CC94" s="518">
        <v>0</v>
      </c>
      <c r="CD94" s="518">
        <v>0</v>
      </c>
      <c r="CE94" s="518">
        <v>0</v>
      </c>
      <c r="CF94" s="518">
        <v>0</v>
      </c>
      <c r="CG94" s="518">
        <v>0</v>
      </c>
      <c r="CH94" s="518">
        <v>0</v>
      </c>
      <c r="CI94" s="518">
        <v>0</v>
      </c>
      <c r="CJ94" s="518">
        <v>0</v>
      </c>
      <c r="CK94" s="518">
        <v>0</v>
      </c>
      <c r="CL94" s="518">
        <v>0</v>
      </c>
      <c r="CM94" s="518">
        <v>0</v>
      </c>
      <c r="CN94" s="518">
        <v>0</v>
      </c>
      <c r="CO94" s="518">
        <v>0</v>
      </c>
      <c r="CP94" s="518">
        <v>0</v>
      </c>
      <c r="CQ94" s="518">
        <v>0</v>
      </c>
      <c r="CR94" s="518">
        <v>0</v>
      </c>
      <c r="CS94" s="518">
        <v>0</v>
      </c>
      <c r="CT94" s="518">
        <v>0</v>
      </c>
      <c r="CU94" s="518">
        <v>0</v>
      </c>
      <c r="CV94" s="518">
        <v>0</v>
      </c>
      <c r="CW94" s="518">
        <v>0</v>
      </c>
      <c r="CX94" s="518">
        <v>0</v>
      </c>
      <c r="CY94" s="518">
        <v>0</v>
      </c>
      <c r="CZ94" s="518">
        <v>0</v>
      </c>
      <c r="DA94" s="518">
        <v>0</v>
      </c>
      <c r="DB94" s="518">
        <v>0</v>
      </c>
      <c r="DC94" s="518">
        <v>0</v>
      </c>
      <c r="DD94" s="518">
        <v>0</v>
      </c>
      <c r="DE94" s="518">
        <v>0</v>
      </c>
      <c r="DF94" s="518">
        <v>0</v>
      </c>
      <c r="DG94" s="518">
        <v>0</v>
      </c>
      <c r="DH94" s="518">
        <v>0</v>
      </c>
      <c r="DI94" s="518">
        <v>0</v>
      </c>
      <c r="DJ94" s="518">
        <v>0</v>
      </c>
      <c r="DK94" s="518">
        <v>0</v>
      </c>
      <c r="DL94" s="518">
        <v>0</v>
      </c>
      <c r="DM94" s="518">
        <v>0</v>
      </c>
      <c r="DN94" s="518">
        <v>0</v>
      </c>
      <c r="DO94" s="518">
        <v>0</v>
      </c>
      <c r="DP94" s="518">
        <v>0</v>
      </c>
      <c r="DQ94" s="518">
        <v>0</v>
      </c>
      <c r="DR94" s="518">
        <v>0</v>
      </c>
      <c r="DS94" s="518">
        <v>0</v>
      </c>
      <c r="DT94" s="518">
        <v>0</v>
      </c>
      <c r="DU94" s="518">
        <v>0</v>
      </c>
      <c r="DV94" s="518">
        <v>0</v>
      </c>
      <c r="DW94" s="518">
        <v>0</v>
      </c>
      <c r="DX94" s="518">
        <v>0</v>
      </c>
      <c r="DY94" s="477"/>
      <c r="DZ94" s="517" t="s">
        <v>721</v>
      </c>
      <c r="EA94" s="517" t="s">
        <v>1101</v>
      </c>
      <c r="EB94" s="517" t="s">
        <v>26</v>
      </c>
      <c r="EC94" s="518">
        <v>59</v>
      </c>
      <c r="ED94" s="494" t="str">
        <f t="shared" si="3"/>
        <v>SWUC100259</v>
      </c>
      <c r="EE94" s="518">
        <v>10000</v>
      </c>
      <c r="EF94" s="518">
        <v>10000</v>
      </c>
      <c r="EG94" s="518">
        <v>10000</v>
      </c>
      <c r="EH94" s="518">
        <v>10000</v>
      </c>
      <c r="EI94" s="518">
        <v>10000</v>
      </c>
      <c r="EJ94" s="518">
        <v>10000</v>
      </c>
      <c r="EK94" s="518">
        <v>10000</v>
      </c>
      <c r="EL94" s="518">
        <v>10000</v>
      </c>
      <c r="EM94" s="518">
        <v>10000</v>
      </c>
      <c r="EN94" s="518">
        <v>10000</v>
      </c>
      <c r="EO94" s="518">
        <v>0</v>
      </c>
      <c r="EP94" s="518">
        <v>0</v>
      </c>
      <c r="EQ94" s="518">
        <v>0</v>
      </c>
      <c r="ER94" s="518">
        <v>0</v>
      </c>
      <c r="ES94" s="518">
        <v>0</v>
      </c>
      <c r="ET94" s="518">
        <v>0</v>
      </c>
      <c r="EU94" s="518">
        <v>0</v>
      </c>
      <c r="EV94" s="518">
        <v>0</v>
      </c>
      <c r="EW94" s="518">
        <v>0</v>
      </c>
      <c r="EX94" s="518">
        <v>0</v>
      </c>
      <c r="EY94" s="518">
        <v>0</v>
      </c>
      <c r="EZ94" s="518">
        <v>0</v>
      </c>
      <c r="FA94" s="518">
        <v>0</v>
      </c>
      <c r="FB94" s="518">
        <v>0</v>
      </c>
      <c r="FC94" s="518">
        <v>0</v>
      </c>
      <c r="FD94" s="518">
        <v>0</v>
      </c>
      <c r="FE94" s="518">
        <v>0</v>
      </c>
      <c r="FF94" s="518">
        <v>0</v>
      </c>
      <c r="FG94" s="518">
        <v>0</v>
      </c>
      <c r="FH94" s="518">
        <v>0</v>
      </c>
      <c r="FI94" s="518">
        <v>0</v>
      </c>
      <c r="FJ94" s="518">
        <v>0</v>
      </c>
      <c r="FK94" s="518">
        <v>0</v>
      </c>
      <c r="FL94" s="518">
        <v>0</v>
      </c>
      <c r="FM94" s="518">
        <v>0</v>
      </c>
      <c r="FN94" s="518">
        <v>0</v>
      </c>
      <c r="FO94" s="518">
        <v>0</v>
      </c>
      <c r="FP94" s="518">
        <v>0</v>
      </c>
      <c r="FQ94" s="518">
        <v>0</v>
      </c>
      <c r="FR94" s="518">
        <v>0</v>
      </c>
      <c r="FS94" s="518">
        <v>0</v>
      </c>
      <c r="FT94" s="518">
        <v>0</v>
      </c>
      <c r="FU94" s="518">
        <v>0</v>
      </c>
      <c r="FV94" s="518">
        <v>0</v>
      </c>
      <c r="FW94" s="518">
        <v>0</v>
      </c>
      <c r="FX94" s="518">
        <v>0</v>
      </c>
      <c r="FY94" s="518">
        <v>0</v>
      </c>
      <c r="FZ94" s="518">
        <v>0</v>
      </c>
      <c r="GA94" s="518">
        <v>0</v>
      </c>
      <c r="GB94" s="518">
        <v>0</v>
      </c>
      <c r="GC94" s="518">
        <v>0</v>
      </c>
      <c r="GD94" s="518">
        <v>0</v>
      </c>
      <c r="GE94" s="518">
        <v>0</v>
      </c>
      <c r="GF94" s="518">
        <v>0</v>
      </c>
      <c r="GG94" s="518">
        <v>0</v>
      </c>
      <c r="GH94" s="518">
        <v>0</v>
      </c>
      <c r="GI94" s="518">
        <v>0</v>
      </c>
      <c r="GJ94" s="518">
        <v>0</v>
      </c>
      <c r="GK94" s="518">
        <v>0</v>
      </c>
      <c r="GL94" s="518">
        <v>0</v>
      </c>
      <c r="GM94" s="518">
        <v>0</v>
      </c>
      <c r="GN94" s="518">
        <v>0</v>
      </c>
      <c r="GO94" s="518">
        <v>0</v>
      </c>
      <c r="GP94" s="518">
        <v>0</v>
      </c>
      <c r="GQ94" s="518">
        <v>0</v>
      </c>
      <c r="GR94" s="518">
        <v>0</v>
      </c>
      <c r="GS94" s="518">
        <v>0</v>
      </c>
      <c r="GT94" s="518">
        <v>0</v>
      </c>
      <c r="GU94" s="518">
        <v>0</v>
      </c>
      <c r="GV94" s="518">
        <v>0</v>
      </c>
      <c r="GW94" s="518">
        <v>0</v>
      </c>
      <c r="GX94" s="518">
        <v>0</v>
      </c>
      <c r="GY94" s="518">
        <v>0</v>
      </c>
      <c r="GZ94" s="518">
        <v>0</v>
      </c>
      <c r="HA94" s="518">
        <v>0</v>
      </c>
      <c r="HB94" s="518">
        <v>0</v>
      </c>
      <c r="HC94" s="518">
        <v>0</v>
      </c>
      <c r="HD94" s="518">
        <v>0</v>
      </c>
      <c r="HE94" s="518">
        <v>0</v>
      </c>
      <c r="HF94" s="518">
        <v>0</v>
      </c>
      <c r="HG94" s="518">
        <v>0</v>
      </c>
      <c r="HH94" s="518">
        <v>0</v>
      </c>
      <c r="HI94" s="518">
        <v>0</v>
      </c>
      <c r="HJ94" s="518">
        <v>0</v>
      </c>
      <c r="HK94" s="518">
        <v>0</v>
      </c>
      <c r="HL94" s="518">
        <v>0</v>
      </c>
      <c r="HM94" s="518">
        <v>0</v>
      </c>
      <c r="HN94" s="518">
        <v>0</v>
      </c>
      <c r="HO94" s="518">
        <v>0</v>
      </c>
      <c r="HP94" s="518">
        <v>0</v>
      </c>
      <c r="HQ94" s="518">
        <v>0</v>
      </c>
      <c r="HR94" s="518">
        <v>0</v>
      </c>
      <c r="HS94" s="518">
        <v>0</v>
      </c>
      <c r="HT94" s="518">
        <v>0</v>
      </c>
      <c r="HU94" s="518">
        <v>0</v>
      </c>
      <c r="HV94" s="518">
        <v>0</v>
      </c>
      <c r="HW94" s="518">
        <v>0</v>
      </c>
      <c r="HX94" s="518">
        <v>0</v>
      </c>
      <c r="HY94" s="518">
        <v>0</v>
      </c>
      <c r="HZ94" s="518">
        <v>0</v>
      </c>
      <c r="IA94" s="518">
        <v>0</v>
      </c>
      <c r="IB94" s="518">
        <v>0</v>
      </c>
      <c r="IC94" s="518">
        <v>0</v>
      </c>
      <c r="ID94" s="518">
        <v>0</v>
      </c>
      <c r="IE94" s="518">
        <v>0</v>
      </c>
      <c r="IF94" s="518">
        <v>0</v>
      </c>
      <c r="IG94" s="518">
        <v>0</v>
      </c>
      <c r="IH94" s="518">
        <v>0</v>
      </c>
      <c r="II94" s="518">
        <v>0</v>
      </c>
      <c r="IJ94" s="518">
        <v>0</v>
      </c>
      <c r="IK94" s="518">
        <v>0</v>
      </c>
    </row>
    <row r="95" spans="1:245" ht="16.5" hidden="1">
      <c r="A95" s="517" t="s">
        <v>721</v>
      </c>
      <c r="B95" s="517" t="s">
        <v>1101</v>
      </c>
      <c r="C95" s="517" t="s">
        <v>721</v>
      </c>
      <c r="D95" s="558"/>
      <c r="E95" s="517" t="s">
        <v>721</v>
      </c>
      <c r="F95" s="517" t="s">
        <v>26</v>
      </c>
      <c r="G95" s="558"/>
      <c r="H95" s="518">
        <v>60</v>
      </c>
      <c r="I95" s="558"/>
      <c r="J95" s="494" t="str">
        <f t="shared" si="4"/>
        <v>SWUC100260</v>
      </c>
      <c r="K95" s="518">
        <v>512</v>
      </c>
      <c r="M95" s="517" t="s">
        <v>721</v>
      </c>
      <c r="N95" s="517" t="s">
        <v>1101</v>
      </c>
      <c r="O95" s="517" t="s">
        <v>26</v>
      </c>
      <c r="P95" s="518">
        <v>60</v>
      </c>
      <c r="Q95" s="494" t="str">
        <f t="shared" si="5"/>
        <v>SWUC100260</v>
      </c>
      <c r="R95" s="518">
        <v>0</v>
      </c>
      <c r="S95" s="518">
        <v>43</v>
      </c>
      <c r="T95" s="518">
        <v>86</v>
      </c>
      <c r="U95" s="518">
        <v>129</v>
      </c>
      <c r="V95" s="518">
        <v>173</v>
      </c>
      <c r="W95" s="518">
        <v>230</v>
      </c>
      <c r="X95" s="518">
        <v>293</v>
      </c>
      <c r="Y95" s="518">
        <v>361</v>
      </c>
      <c r="Z95" s="518">
        <v>433</v>
      </c>
      <c r="AA95" s="518">
        <v>0</v>
      </c>
      <c r="AB95" s="518">
        <v>0</v>
      </c>
      <c r="AC95" s="518">
        <v>0</v>
      </c>
      <c r="AD95" s="518">
        <v>0</v>
      </c>
      <c r="AE95" s="518">
        <v>0</v>
      </c>
      <c r="AF95" s="518">
        <v>0</v>
      </c>
      <c r="AG95" s="518">
        <v>0</v>
      </c>
      <c r="AH95" s="518">
        <v>0</v>
      </c>
      <c r="AI95" s="518">
        <v>0</v>
      </c>
      <c r="AJ95" s="518">
        <v>0</v>
      </c>
      <c r="AK95" s="518">
        <v>0</v>
      </c>
      <c r="AL95" s="518">
        <v>0</v>
      </c>
      <c r="AM95" s="518">
        <v>0</v>
      </c>
      <c r="AN95" s="518">
        <v>0</v>
      </c>
      <c r="AO95" s="518">
        <v>0</v>
      </c>
      <c r="AP95" s="518">
        <v>0</v>
      </c>
      <c r="AQ95" s="518">
        <v>0</v>
      </c>
      <c r="AR95" s="518">
        <v>0</v>
      </c>
      <c r="AS95" s="518">
        <v>0</v>
      </c>
      <c r="AT95" s="518">
        <v>0</v>
      </c>
      <c r="AU95" s="518">
        <v>0</v>
      </c>
      <c r="AV95" s="518">
        <v>0</v>
      </c>
      <c r="AW95" s="518">
        <v>0</v>
      </c>
      <c r="AX95" s="518">
        <v>0</v>
      </c>
      <c r="AY95" s="518">
        <v>0</v>
      </c>
      <c r="AZ95" s="518">
        <v>0</v>
      </c>
      <c r="BA95" s="518">
        <v>0</v>
      </c>
      <c r="BB95" s="518">
        <v>0</v>
      </c>
      <c r="BC95" s="518">
        <v>0</v>
      </c>
      <c r="BD95" s="518">
        <v>0</v>
      </c>
      <c r="BE95" s="518">
        <v>0</v>
      </c>
      <c r="BF95" s="518">
        <v>0</v>
      </c>
      <c r="BG95" s="518">
        <v>0</v>
      </c>
      <c r="BH95" s="518">
        <v>0</v>
      </c>
      <c r="BI95" s="518">
        <v>0</v>
      </c>
      <c r="BJ95" s="518">
        <v>0</v>
      </c>
      <c r="BK95" s="518">
        <v>0</v>
      </c>
      <c r="BL95" s="518">
        <v>0</v>
      </c>
      <c r="BM95" s="518">
        <v>0</v>
      </c>
      <c r="BN95" s="518">
        <v>0</v>
      </c>
      <c r="BO95" s="518">
        <v>0</v>
      </c>
      <c r="BP95" s="518">
        <v>0</v>
      </c>
      <c r="BQ95" s="518">
        <v>0</v>
      </c>
      <c r="BR95" s="518">
        <v>0</v>
      </c>
      <c r="BS95" s="518">
        <v>0</v>
      </c>
      <c r="BT95" s="518">
        <v>0</v>
      </c>
      <c r="BU95" s="518">
        <v>0</v>
      </c>
      <c r="BV95" s="518">
        <v>0</v>
      </c>
      <c r="BW95" s="518">
        <v>0</v>
      </c>
      <c r="BX95" s="518">
        <v>0</v>
      </c>
      <c r="BY95" s="518">
        <v>0</v>
      </c>
      <c r="BZ95" s="518">
        <v>0</v>
      </c>
      <c r="CA95" s="518">
        <v>0</v>
      </c>
      <c r="CB95" s="518">
        <v>0</v>
      </c>
      <c r="CC95" s="518">
        <v>0</v>
      </c>
      <c r="CD95" s="518">
        <v>0</v>
      </c>
      <c r="CE95" s="518">
        <v>0</v>
      </c>
      <c r="CF95" s="518">
        <v>0</v>
      </c>
      <c r="CG95" s="518">
        <v>0</v>
      </c>
      <c r="CH95" s="518">
        <v>0</v>
      </c>
      <c r="CI95" s="518">
        <v>0</v>
      </c>
      <c r="CJ95" s="518">
        <v>0</v>
      </c>
      <c r="CK95" s="518">
        <v>0</v>
      </c>
      <c r="CL95" s="518">
        <v>0</v>
      </c>
      <c r="CM95" s="518">
        <v>0</v>
      </c>
      <c r="CN95" s="518">
        <v>0</v>
      </c>
      <c r="CO95" s="518">
        <v>0</v>
      </c>
      <c r="CP95" s="518">
        <v>0</v>
      </c>
      <c r="CQ95" s="518">
        <v>0</v>
      </c>
      <c r="CR95" s="518">
        <v>0</v>
      </c>
      <c r="CS95" s="518">
        <v>0</v>
      </c>
      <c r="CT95" s="518">
        <v>0</v>
      </c>
      <c r="CU95" s="518">
        <v>0</v>
      </c>
      <c r="CV95" s="518">
        <v>0</v>
      </c>
      <c r="CW95" s="518">
        <v>0</v>
      </c>
      <c r="CX95" s="518">
        <v>0</v>
      </c>
      <c r="CY95" s="518">
        <v>0</v>
      </c>
      <c r="CZ95" s="518">
        <v>0</v>
      </c>
      <c r="DA95" s="518">
        <v>0</v>
      </c>
      <c r="DB95" s="518">
        <v>0</v>
      </c>
      <c r="DC95" s="518">
        <v>0</v>
      </c>
      <c r="DD95" s="518">
        <v>0</v>
      </c>
      <c r="DE95" s="518">
        <v>0</v>
      </c>
      <c r="DF95" s="518">
        <v>0</v>
      </c>
      <c r="DG95" s="518">
        <v>0</v>
      </c>
      <c r="DH95" s="518">
        <v>0</v>
      </c>
      <c r="DI95" s="518">
        <v>0</v>
      </c>
      <c r="DJ95" s="518">
        <v>0</v>
      </c>
      <c r="DK95" s="518">
        <v>0</v>
      </c>
      <c r="DL95" s="518">
        <v>0</v>
      </c>
      <c r="DM95" s="518">
        <v>0</v>
      </c>
      <c r="DN95" s="518">
        <v>0</v>
      </c>
      <c r="DO95" s="518">
        <v>0</v>
      </c>
      <c r="DP95" s="518">
        <v>0</v>
      </c>
      <c r="DQ95" s="518">
        <v>0</v>
      </c>
      <c r="DR95" s="518">
        <v>0</v>
      </c>
      <c r="DS95" s="518">
        <v>0</v>
      </c>
      <c r="DT95" s="518">
        <v>0</v>
      </c>
      <c r="DU95" s="518">
        <v>0</v>
      </c>
      <c r="DV95" s="518">
        <v>0</v>
      </c>
      <c r="DW95" s="518">
        <v>0</v>
      </c>
      <c r="DX95" s="518">
        <v>0</v>
      </c>
      <c r="DY95" s="477"/>
      <c r="DZ95" s="517" t="s">
        <v>721</v>
      </c>
      <c r="EA95" s="517" t="s">
        <v>1101</v>
      </c>
      <c r="EB95" s="517" t="s">
        <v>26</v>
      </c>
      <c r="EC95" s="518">
        <v>60</v>
      </c>
      <c r="ED95" s="494" t="str">
        <f t="shared" si="3"/>
        <v>SWUC100260</v>
      </c>
      <c r="EE95" s="518">
        <v>10000</v>
      </c>
      <c r="EF95" s="518">
        <v>10000</v>
      </c>
      <c r="EG95" s="518">
        <v>10000</v>
      </c>
      <c r="EH95" s="518">
        <v>10000</v>
      </c>
      <c r="EI95" s="518">
        <v>10000</v>
      </c>
      <c r="EJ95" s="518">
        <v>10000</v>
      </c>
      <c r="EK95" s="518">
        <v>10000</v>
      </c>
      <c r="EL95" s="518">
        <v>10000</v>
      </c>
      <c r="EM95" s="518">
        <v>10000</v>
      </c>
      <c r="EN95" s="518">
        <v>10000</v>
      </c>
      <c r="EO95" s="518">
        <v>0</v>
      </c>
      <c r="EP95" s="518">
        <v>0</v>
      </c>
      <c r="EQ95" s="518">
        <v>0</v>
      </c>
      <c r="ER95" s="518">
        <v>0</v>
      </c>
      <c r="ES95" s="518">
        <v>0</v>
      </c>
      <c r="ET95" s="518">
        <v>0</v>
      </c>
      <c r="EU95" s="518">
        <v>0</v>
      </c>
      <c r="EV95" s="518">
        <v>0</v>
      </c>
      <c r="EW95" s="518">
        <v>0</v>
      </c>
      <c r="EX95" s="518">
        <v>0</v>
      </c>
      <c r="EY95" s="518">
        <v>0</v>
      </c>
      <c r="EZ95" s="518">
        <v>0</v>
      </c>
      <c r="FA95" s="518">
        <v>0</v>
      </c>
      <c r="FB95" s="518">
        <v>0</v>
      </c>
      <c r="FC95" s="518">
        <v>0</v>
      </c>
      <c r="FD95" s="518">
        <v>0</v>
      </c>
      <c r="FE95" s="518">
        <v>0</v>
      </c>
      <c r="FF95" s="518">
        <v>0</v>
      </c>
      <c r="FG95" s="518">
        <v>0</v>
      </c>
      <c r="FH95" s="518">
        <v>0</v>
      </c>
      <c r="FI95" s="518">
        <v>0</v>
      </c>
      <c r="FJ95" s="518">
        <v>0</v>
      </c>
      <c r="FK95" s="518">
        <v>0</v>
      </c>
      <c r="FL95" s="518">
        <v>0</v>
      </c>
      <c r="FM95" s="518">
        <v>0</v>
      </c>
      <c r="FN95" s="518">
        <v>0</v>
      </c>
      <c r="FO95" s="518">
        <v>0</v>
      </c>
      <c r="FP95" s="518">
        <v>0</v>
      </c>
      <c r="FQ95" s="518">
        <v>0</v>
      </c>
      <c r="FR95" s="518">
        <v>0</v>
      </c>
      <c r="FS95" s="518">
        <v>0</v>
      </c>
      <c r="FT95" s="518">
        <v>0</v>
      </c>
      <c r="FU95" s="518">
        <v>0</v>
      </c>
      <c r="FV95" s="518">
        <v>0</v>
      </c>
      <c r="FW95" s="518">
        <v>0</v>
      </c>
      <c r="FX95" s="518">
        <v>0</v>
      </c>
      <c r="FY95" s="518">
        <v>0</v>
      </c>
      <c r="FZ95" s="518">
        <v>0</v>
      </c>
      <c r="GA95" s="518">
        <v>0</v>
      </c>
      <c r="GB95" s="518">
        <v>0</v>
      </c>
      <c r="GC95" s="518">
        <v>0</v>
      </c>
      <c r="GD95" s="518">
        <v>0</v>
      </c>
      <c r="GE95" s="518">
        <v>0</v>
      </c>
      <c r="GF95" s="518">
        <v>0</v>
      </c>
      <c r="GG95" s="518">
        <v>0</v>
      </c>
      <c r="GH95" s="518">
        <v>0</v>
      </c>
      <c r="GI95" s="518">
        <v>0</v>
      </c>
      <c r="GJ95" s="518">
        <v>0</v>
      </c>
      <c r="GK95" s="518">
        <v>0</v>
      </c>
      <c r="GL95" s="518">
        <v>0</v>
      </c>
      <c r="GM95" s="518">
        <v>0</v>
      </c>
      <c r="GN95" s="518">
        <v>0</v>
      </c>
      <c r="GO95" s="518">
        <v>0</v>
      </c>
      <c r="GP95" s="518">
        <v>0</v>
      </c>
      <c r="GQ95" s="518">
        <v>0</v>
      </c>
      <c r="GR95" s="518">
        <v>0</v>
      </c>
      <c r="GS95" s="518">
        <v>0</v>
      </c>
      <c r="GT95" s="518">
        <v>0</v>
      </c>
      <c r="GU95" s="518">
        <v>0</v>
      </c>
      <c r="GV95" s="518">
        <v>0</v>
      </c>
      <c r="GW95" s="518">
        <v>0</v>
      </c>
      <c r="GX95" s="518">
        <v>0</v>
      </c>
      <c r="GY95" s="518">
        <v>0</v>
      </c>
      <c r="GZ95" s="518">
        <v>0</v>
      </c>
      <c r="HA95" s="518">
        <v>0</v>
      </c>
      <c r="HB95" s="518">
        <v>0</v>
      </c>
      <c r="HC95" s="518">
        <v>0</v>
      </c>
      <c r="HD95" s="518">
        <v>0</v>
      </c>
      <c r="HE95" s="518">
        <v>0</v>
      </c>
      <c r="HF95" s="518">
        <v>0</v>
      </c>
      <c r="HG95" s="518">
        <v>0</v>
      </c>
      <c r="HH95" s="518">
        <v>0</v>
      </c>
      <c r="HI95" s="518">
        <v>0</v>
      </c>
      <c r="HJ95" s="518">
        <v>0</v>
      </c>
      <c r="HK95" s="518">
        <v>0</v>
      </c>
      <c r="HL95" s="518">
        <v>0</v>
      </c>
      <c r="HM95" s="518">
        <v>0</v>
      </c>
      <c r="HN95" s="518">
        <v>0</v>
      </c>
      <c r="HO95" s="518">
        <v>0</v>
      </c>
      <c r="HP95" s="518">
        <v>0</v>
      </c>
      <c r="HQ95" s="518">
        <v>0</v>
      </c>
      <c r="HR95" s="518">
        <v>0</v>
      </c>
      <c r="HS95" s="518">
        <v>0</v>
      </c>
      <c r="HT95" s="518">
        <v>0</v>
      </c>
      <c r="HU95" s="518">
        <v>0</v>
      </c>
      <c r="HV95" s="518">
        <v>0</v>
      </c>
      <c r="HW95" s="518">
        <v>0</v>
      </c>
      <c r="HX95" s="518">
        <v>0</v>
      </c>
      <c r="HY95" s="518">
        <v>0</v>
      </c>
      <c r="HZ95" s="518">
        <v>0</v>
      </c>
      <c r="IA95" s="518">
        <v>0</v>
      </c>
      <c r="IB95" s="518">
        <v>0</v>
      </c>
      <c r="IC95" s="518">
        <v>0</v>
      </c>
      <c r="ID95" s="518">
        <v>0</v>
      </c>
      <c r="IE95" s="518">
        <v>0</v>
      </c>
      <c r="IF95" s="518">
        <v>0</v>
      </c>
      <c r="IG95" s="518">
        <v>0</v>
      </c>
      <c r="IH95" s="518">
        <v>0</v>
      </c>
      <c r="II95" s="518">
        <v>0</v>
      </c>
      <c r="IJ95" s="518">
        <v>0</v>
      </c>
      <c r="IK95" s="518">
        <v>0</v>
      </c>
    </row>
    <row r="96" spans="1:245" ht="16.5" hidden="1">
      <c r="A96" s="517" t="s">
        <v>721</v>
      </c>
      <c r="B96" s="517" t="s">
        <v>1101</v>
      </c>
      <c r="C96" s="517" t="s">
        <v>721</v>
      </c>
      <c r="D96" s="558"/>
      <c r="E96" s="517" t="s">
        <v>721</v>
      </c>
      <c r="F96" s="517" t="s">
        <v>26</v>
      </c>
      <c r="G96" s="558"/>
      <c r="H96" s="518">
        <v>61</v>
      </c>
      <c r="I96" s="558"/>
      <c r="J96" s="494" t="str">
        <f t="shared" si="4"/>
        <v>SWUC100261</v>
      </c>
      <c r="K96" s="518">
        <v>545</v>
      </c>
      <c r="M96" s="517" t="s">
        <v>721</v>
      </c>
      <c r="N96" s="517" t="s">
        <v>1101</v>
      </c>
      <c r="O96" s="517" t="s">
        <v>26</v>
      </c>
      <c r="P96" s="518">
        <v>61</v>
      </c>
      <c r="Q96" s="494" t="str">
        <f t="shared" si="5"/>
        <v>SWUC100261</v>
      </c>
      <c r="R96" s="518">
        <v>0</v>
      </c>
      <c r="S96" s="518">
        <v>46</v>
      </c>
      <c r="T96" s="518">
        <v>92</v>
      </c>
      <c r="U96" s="518">
        <v>137</v>
      </c>
      <c r="V96" s="518">
        <v>184</v>
      </c>
      <c r="W96" s="518">
        <v>245</v>
      </c>
      <c r="X96" s="518">
        <v>310</v>
      </c>
      <c r="Y96" s="518">
        <v>381</v>
      </c>
      <c r="Z96" s="518">
        <v>455</v>
      </c>
      <c r="AA96" s="518">
        <v>0</v>
      </c>
      <c r="AB96" s="518">
        <v>0</v>
      </c>
      <c r="AC96" s="518">
        <v>0</v>
      </c>
      <c r="AD96" s="518">
        <v>0</v>
      </c>
      <c r="AE96" s="518">
        <v>0</v>
      </c>
      <c r="AF96" s="518">
        <v>0</v>
      </c>
      <c r="AG96" s="518">
        <v>0</v>
      </c>
      <c r="AH96" s="518">
        <v>0</v>
      </c>
      <c r="AI96" s="518">
        <v>0</v>
      </c>
      <c r="AJ96" s="518">
        <v>0</v>
      </c>
      <c r="AK96" s="518">
        <v>0</v>
      </c>
      <c r="AL96" s="518">
        <v>0</v>
      </c>
      <c r="AM96" s="518">
        <v>0</v>
      </c>
      <c r="AN96" s="518">
        <v>0</v>
      </c>
      <c r="AO96" s="518">
        <v>0</v>
      </c>
      <c r="AP96" s="518">
        <v>0</v>
      </c>
      <c r="AQ96" s="518">
        <v>0</v>
      </c>
      <c r="AR96" s="518">
        <v>0</v>
      </c>
      <c r="AS96" s="518">
        <v>0</v>
      </c>
      <c r="AT96" s="518">
        <v>0</v>
      </c>
      <c r="AU96" s="518">
        <v>0</v>
      </c>
      <c r="AV96" s="518">
        <v>0</v>
      </c>
      <c r="AW96" s="518">
        <v>0</v>
      </c>
      <c r="AX96" s="518">
        <v>0</v>
      </c>
      <c r="AY96" s="518">
        <v>0</v>
      </c>
      <c r="AZ96" s="518">
        <v>0</v>
      </c>
      <c r="BA96" s="518">
        <v>0</v>
      </c>
      <c r="BB96" s="518">
        <v>0</v>
      </c>
      <c r="BC96" s="518">
        <v>0</v>
      </c>
      <c r="BD96" s="518">
        <v>0</v>
      </c>
      <c r="BE96" s="518">
        <v>0</v>
      </c>
      <c r="BF96" s="518">
        <v>0</v>
      </c>
      <c r="BG96" s="518">
        <v>0</v>
      </c>
      <c r="BH96" s="518">
        <v>0</v>
      </c>
      <c r="BI96" s="518">
        <v>0</v>
      </c>
      <c r="BJ96" s="518">
        <v>0</v>
      </c>
      <c r="BK96" s="518">
        <v>0</v>
      </c>
      <c r="BL96" s="518">
        <v>0</v>
      </c>
      <c r="BM96" s="518">
        <v>0</v>
      </c>
      <c r="BN96" s="518">
        <v>0</v>
      </c>
      <c r="BO96" s="518">
        <v>0</v>
      </c>
      <c r="BP96" s="518">
        <v>0</v>
      </c>
      <c r="BQ96" s="518">
        <v>0</v>
      </c>
      <c r="BR96" s="518">
        <v>0</v>
      </c>
      <c r="BS96" s="518">
        <v>0</v>
      </c>
      <c r="BT96" s="518">
        <v>0</v>
      </c>
      <c r="BU96" s="518">
        <v>0</v>
      </c>
      <c r="BV96" s="518">
        <v>0</v>
      </c>
      <c r="BW96" s="518">
        <v>0</v>
      </c>
      <c r="BX96" s="518">
        <v>0</v>
      </c>
      <c r="BY96" s="518">
        <v>0</v>
      </c>
      <c r="BZ96" s="518">
        <v>0</v>
      </c>
      <c r="CA96" s="518">
        <v>0</v>
      </c>
      <c r="CB96" s="518">
        <v>0</v>
      </c>
      <c r="CC96" s="518">
        <v>0</v>
      </c>
      <c r="CD96" s="518">
        <v>0</v>
      </c>
      <c r="CE96" s="518">
        <v>0</v>
      </c>
      <c r="CF96" s="518">
        <v>0</v>
      </c>
      <c r="CG96" s="518">
        <v>0</v>
      </c>
      <c r="CH96" s="518">
        <v>0</v>
      </c>
      <c r="CI96" s="518">
        <v>0</v>
      </c>
      <c r="CJ96" s="518">
        <v>0</v>
      </c>
      <c r="CK96" s="518">
        <v>0</v>
      </c>
      <c r="CL96" s="518">
        <v>0</v>
      </c>
      <c r="CM96" s="518">
        <v>0</v>
      </c>
      <c r="CN96" s="518">
        <v>0</v>
      </c>
      <c r="CO96" s="518">
        <v>0</v>
      </c>
      <c r="CP96" s="518">
        <v>0</v>
      </c>
      <c r="CQ96" s="518">
        <v>0</v>
      </c>
      <c r="CR96" s="518">
        <v>0</v>
      </c>
      <c r="CS96" s="518">
        <v>0</v>
      </c>
      <c r="CT96" s="518">
        <v>0</v>
      </c>
      <c r="CU96" s="518">
        <v>0</v>
      </c>
      <c r="CV96" s="518">
        <v>0</v>
      </c>
      <c r="CW96" s="518">
        <v>0</v>
      </c>
      <c r="CX96" s="518">
        <v>0</v>
      </c>
      <c r="CY96" s="518">
        <v>0</v>
      </c>
      <c r="CZ96" s="518">
        <v>0</v>
      </c>
      <c r="DA96" s="518">
        <v>0</v>
      </c>
      <c r="DB96" s="518">
        <v>0</v>
      </c>
      <c r="DC96" s="518">
        <v>0</v>
      </c>
      <c r="DD96" s="518">
        <v>0</v>
      </c>
      <c r="DE96" s="518">
        <v>0</v>
      </c>
      <c r="DF96" s="518">
        <v>0</v>
      </c>
      <c r="DG96" s="518">
        <v>0</v>
      </c>
      <c r="DH96" s="518">
        <v>0</v>
      </c>
      <c r="DI96" s="518">
        <v>0</v>
      </c>
      <c r="DJ96" s="518">
        <v>0</v>
      </c>
      <c r="DK96" s="518">
        <v>0</v>
      </c>
      <c r="DL96" s="518">
        <v>0</v>
      </c>
      <c r="DM96" s="518">
        <v>0</v>
      </c>
      <c r="DN96" s="518">
        <v>0</v>
      </c>
      <c r="DO96" s="518">
        <v>0</v>
      </c>
      <c r="DP96" s="518">
        <v>0</v>
      </c>
      <c r="DQ96" s="518">
        <v>0</v>
      </c>
      <c r="DR96" s="518">
        <v>0</v>
      </c>
      <c r="DS96" s="518">
        <v>0</v>
      </c>
      <c r="DT96" s="518">
        <v>0</v>
      </c>
      <c r="DU96" s="518">
        <v>0</v>
      </c>
      <c r="DV96" s="518">
        <v>0</v>
      </c>
      <c r="DW96" s="518">
        <v>0</v>
      </c>
      <c r="DX96" s="518">
        <v>0</v>
      </c>
      <c r="DY96" s="477"/>
      <c r="DZ96" s="517" t="s">
        <v>721</v>
      </c>
      <c r="EA96" s="517" t="s">
        <v>1101</v>
      </c>
      <c r="EB96" s="517" t="s">
        <v>26</v>
      </c>
      <c r="EC96" s="518">
        <v>61</v>
      </c>
      <c r="ED96" s="494" t="str">
        <f t="shared" si="3"/>
        <v>SWUC100261</v>
      </c>
      <c r="EE96" s="518">
        <v>10000</v>
      </c>
      <c r="EF96" s="518">
        <v>10000</v>
      </c>
      <c r="EG96" s="518">
        <v>10000</v>
      </c>
      <c r="EH96" s="518">
        <v>10000</v>
      </c>
      <c r="EI96" s="518">
        <v>10000</v>
      </c>
      <c r="EJ96" s="518">
        <v>10000</v>
      </c>
      <c r="EK96" s="518">
        <v>10000</v>
      </c>
      <c r="EL96" s="518">
        <v>10000</v>
      </c>
      <c r="EM96" s="518">
        <v>10000</v>
      </c>
      <c r="EN96" s="518">
        <v>10000</v>
      </c>
      <c r="EO96" s="518">
        <v>0</v>
      </c>
      <c r="EP96" s="518">
        <v>0</v>
      </c>
      <c r="EQ96" s="518">
        <v>0</v>
      </c>
      <c r="ER96" s="518">
        <v>0</v>
      </c>
      <c r="ES96" s="518">
        <v>0</v>
      </c>
      <c r="ET96" s="518">
        <v>0</v>
      </c>
      <c r="EU96" s="518">
        <v>0</v>
      </c>
      <c r="EV96" s="518">
        <v>0</v>
      </c>
      <c r="EW96" s="518">
        <v>0</v>
      </c>
      <c r="EX96" s="518">
        <v>0</v>
      </c>
      <c r="EY96" s="518">
        <v>0</v>
      </c>
      <c r="EZ96" s="518">
        <v>0</v>
      </c>
      <c r="FA96" s="518">
        <v>0</v>
      </c>
      <c r="FB96" s="518">
        <v>0</v>
      </c>
      <c r="FC96" s="518">
        <v>0</v>
      </c>
      <c r="FD96" s="518">
        <v>0</v>
      </c>
      <c r="FE96" s="518">
        <v>0</v>
      </c>
      <c r="FF96" s="518">
        <v>0</v>
      </c>
      <c r="FG96" s="518">
        <v>0</v>
      </c>
      <c r="FH96" s="518">
        <v>0</v>
      </c>
      <c r="FI96" s="518">
        <v>0</v>
      </c>
      <c r="FJ96" s="518">
        <v>0</v>
      </c>
      <c r="FK96" s="518">
        <v>0</v>
      </c>
      <c r="FL96" s="518">
        <v>0</v>
      </c>
      <c r="FM96" s="518">
        <v>0</v>
      </c>
      <c r="FN96" s="518">
        <v>0</v>
      </c>
      <c r="FO96" s="518">
        <v>0</v>
      </c>
      <c r="FP96" s="518">
        <v>0</v>
      </c>
      <c r="FQ96" s="518">
        <v>0</v>
      </c>
      <c r="FR96" s="518">
        <v>0</v>
      </c>
      <c r="FS96" s="518">
        <v>0</v>
      </c>
      <c r="FT96" s="518">
        <v>0</v>
      </c>
      <c r="FU96" s="518">
        <v>0</v>
      </c>
      <c r="FV96" s="518">
        <v>0</v>
      </c>
      <c r="FW96" s="518">
        <v>0</v>
      </c>
      <c r="FX96" s="518">
        <v>0</v>
      </c>
      <c r="FY96" s="518">
        <v>0</v>
      </c>
      <c r="FZ96" s="518">
        <v>0</v>
      </c>
      <c r="GA96" s="518">
        <v>0</v>
      </c>
      <c r="GB96" s="518">
        <v>0</v>
      </c>
      <c r="GC96" s="518">
        <v>0</v>
      </c>
      <c r="GD96" s="518">
        <v>0</v>
      </c>
      <c r="GE96" s="518">
        <v>0</v>
      </c>
      <c r="GF96" s="518">
        <v>0</v>
      </c>
      <c r="GG96" s="518">
        <v>0</v>
      </c>
      <c r="GH96" s="518">
        <v>0</v>
      </c>
      <c r="GI96" s="518">
        <v>0</v>
      </c>
      <c r="GJ96" s="518">
        <v>0</v>
      </c>
      <c r="GK96" s="518">
        <v>0</v>
      </c>
      <c r="GL96" s="518">
        <v>0</v>
      </c>
      <c r="GM96" s="518">
        <v>0</v>
      </c>
      <c r="GN96" s="518">
        <v>0</v>
      </c>
      <c r="GO96" s="518">
        <v>0</v>
      </c>
      <c r="GP96" s="518">
        <v>0</v>
      </c>
      <c r="GQ96" s="518">
        <v>0</v>
      </c>
      <c r="GR96" s="518">
        <v>0</v>
      </c>
      <c r="GS96" s="518">
        <v>0</v>
      </c>
      <c r="GT96" s="518">
        <v>0</v>
      </c>
      <c r="GU96" s="518">
        <v>0</v>
      </c>
      <c r="GV96" s="518">
        <v>0</v>
      </c>
      <c r="GW96" s="518">
        <v>0</v>
      </c>
      <c r="GX96" s="518">
        <v>0</v>
      </c>
      <c r="GY96" s="518">
        <v>0</v>
      </c>
      <c r="GZ96" s="518">
        <v>0</v>
      </c>
      <c r="HA96" s="518">
        <v>0</v>
      </c>
      <c r="HB96" s="518">
        <v>0</v>
      </c>
      <c r="HC96" s="518">
        <v>0</v>
      </c>
      <c r="HD96" s="518">
        <v>0</v>
      </c>
      <c r="HE96" s="518">
        <v>0</v>
      </c>
      <c r="HF96" s="518">
        <v>0</v>
      </c>
      <c r="HG96" s="518">
        <v>0</v>
      </c>
      <c r="HH96" s="518">
        <v>0</v>
      </c>
      <c r="HI96" s="518">
        <v>0</v>
      </c>
      <c r="HJ96" s="518">
        <v>0</v>
      </c>
      <c r="HK96" s="518">
        <v>0</v>
      </c>
      <c r="HL96" s="518">
        <v>0</v>
      </c>
      <c r="HM96" s="518">
        <v>0</v>
      </c>
      <c r="HN96" s="518">
        <v>0</v>
      </c>
      <c r="HO96" s="518">
        <v>0</v>
      </c>
      <c r="HP96" s="518">
        <v>0</v>
      </c>
      <c r="HQ96" s="518">
        <v>0</v>
      </c>
      <c r="HR96" s="518">
        <v>0</v>
      </c>
      <c r="HS96" s="518">
        <v>0</v>
      </c>
      <c r="HT96" s="518">
        <v>0</v>
      </c>
      <c r="HU96" s="518">
        <v>0</v>
      </c>
      <c r="HV96" s="518">
        <v>0</v>
      </c>
      <c r="HW96" s="518">
        <v>0</v>
      </c>
      <c r="HX96" s="518">
        <v>0</v>
      </c>
      <c r="HY96" s="518">
        <v>0</v>
      </c>
      <c r="HZ96" s="518">
        <v>0</v>
      </c>
      <c r="IA96" s="518">
        <v>0</v>
      </c>
      <c r="IB96" s="518">
        <v>0</v>
      </c>
      <c r="IC96" s="518">
        <v>0</v>
      </c>
      <c r="ID96" s="518">
        <v>0</v>
      </c>
      <c r="IE96" s="518">
        <v>0</v>
      </c>
      <c r="IF96" s="518">
        <v>0</v>
      </c>
      <c r="IG96" s="518">
        <v>0</v>
      </c>
      <c r="IH96" s="518">
        <v>0</v>
      </c>
      <c r="II96" s="518">
        <v>0</v>
      </c>
      <c r="IJ96" s="518">
        <v>0</v>
      </c>
      <c r="IK96" s="518">
        <v>0</v>
      </c>
    </row>
    <row r="97" spans="1:245" ht="16.5" hidden="1">
      <c r="A97" s="517"/>
      <c r="B97" s="517"/>
      <c r="C97" s="517"/>
      <c r="D97" s="517"/>
      <c r="E97" s="517"/>
      <c r="F97" s="517"/>
      <c r="G97" s="558"/>
      <c r="H97" s="518"/>
      <c r="I97" s="558"/>
      <c r="J97" s="494"/>
      <c r="K97" s="518"/>
      <c r="ED97" s="494"/>
    </row>
    <row r="98" spans="1:245" ht="16.5" hidden="1">
      <c r="A98" s="517"/>
      <c r="B98" s="517"/>
      <c r="C98" s="517"/>
      <c r="D98" s="517"/>
      <c r="E98" s="517"/>
      <c r="F98" s="517"/>
      <c r="G98" s="558"/>
      <c r="H98" s="518"/>
      <c r="I98" s="558"/>
      <c r="J98" s="494"/>
      <c r="K98" s="518"/>
      <c r="ED98" s="494"/>
    </row>
    <row r="99" spans="1:245" ht="16.5" hidden="1">
      <c r="A99" s="517"/>
      <c r="B99" s="517"/>
      <c r="C99" s="517"/>
      <c r="D99" s="517"/>
      <c r="E99" s="517"/>
      <c r="F99" s="517"/>
      <c r="G99" s="558"/>
      <c r="H99" s="518"/>
      <c r="I99" s="558"/>
      <c r="J99" s="494"/>
      <c r="K99" s="518"/>
      <c r="M99" s="474" t="s">
        <v>955</v>
      </c>
      <c r="Q99" s="494" t="str">
        <f t="shared" ref="Q99:Q162" si="6">N99&amp;TEXT(O99,"00")&amp;TEXT(P99,"00")</f>
        <v>0000</v>
      </c>
      <c r="DZ99" s="474" t="s">
        <v>1057</v>
      </c>
      <c r="ED99" s="494" t="str">
        <f t="shared" ref="ED99:ED162" si="7">EA99&amp;TEXT(EB99,"00")&amp;TEXT(EC99,"00")</f>
        <v>0000</v>
      </c>
    </row>
    <row r="100" spans="1:245" ht="24" hidden="1">
      <c r="A100" s="517"/>
      <c r="B100" s="517"/>
      <c r="C100" s="517"/>
      <c r="D100" s="517"/>
      <c r="E100" s="517"/>
      <c r="F100" s="517"/>
      <c r="G100" s="558"/>
      <c r="H100" s="518"/>
      <c r="I100" s="558"/>
      <c r="J100" s="494"/>
      <c r="K100" s="518"/>
      <c r="M100" s="516" t="s">
        <v>163</v>
      </c>
      <c r="N100" s="516" t="s">
        <v>20</v>
      </c>
      <c r="O100" s="516" t="s">
        <v>24</v>
      </c>
      <c r="P100" s="516" t="s">
        <v>21</v>
      </c>
      <c r="Q100" s="494" t="str">
        <f t="shared" si="6"/>
        <v>商品代號性別年齡</v>
      </c>
      <c r="R100" s="516" t="s">
        <v>844</v>
      </c>
      <c r="S100" s="516" t="s">
        <v>845</v>
      </c>
      <c r="T100" s="516" t="s">
        <v>846</v>
      </c>
      <c r="U100" s="516" t="s">
        <v>847</v>
      </c>
      <c r="V100" s="516" t="s">
        <v>848</v>
      </c>
      <c r="W100" s="516" t="s">
        <v>849</v>
      </c>
      <c r="X100" s="516" t="s">
        <v>850</v>
      </c>
      <c r="Y100" s="516" t="s">
        <v>851</v>
      </c>
      <c r="Z100" s="516" t="s">
        <v>852</v>
      </c>
      <c r="AA100" s="516" t="s">
        <v>853</v>
      </c>
      <c r="AB100" s="516" t="s">
        <v>854</v>
      </c>
      <c r="AC100" s="516" t="s">
        <v>855</v>
      </c>
      <c r="AD100" s="516" t="s">
        <v>856</v>
      </c>
      <c r="AE100" s="516" t="s">
        <v>857</v>
      </c>
      <c r="AF100" s="516" t="s">
        <v>858</v>
      </c>
      <c r="AG100" s="516" t="s">
        <v>859</v>
      </c>
      <c r="AH100" s="516" t="s">
        <v>860</v>
      </c>
      <c r="AI100" s="516" t="s">
        <v>861</v>
      </c>
      <c r="AJ100" s="516" t="s">
        <v>862</v>
      </c>
      <c r="AK100" s="516" t="s">
        <v>863</v>
      </c>
      <c r="AL100" s="516" t="s">
        <v>864</v>
      </c>
      <c r="AM100" s="516" t="s">
        <v>865</v>
      </c>
      <c r="AN100" s="516" t="s">
        <v>866</v>
      </c>
      <c r="AO100" s="516" t="s">
        <v>867</v>
      </c>
      <c r="AP100" s="516" t="s">
        <v>868</v>
      </c>
      <c r="AQ100" s="516" t="s">
        <v>869</v>
      </c>
      <c r="AR100" s="516" t="s">
        <v>870</v>
      </c>
      <c r="AS100" s="516" t="s">
        <v>871</v>
      </c>
      <c r="AT100" s="516" t="s">
        <v>872</v>
      </c>
      <c r="AU100" s="516" t="s">
        <v>873</v>
      </c>
      <c r="AV100" s="516" t="s">
        <v>874</v>
      </c>
      <c r="AW100" s="516" t="s">
        <v>875</v>
      </c>
      <c r="AX100" s="516" t="s">
        <v>876</v>
      </c>
      <c r="AY100" s="516" t="s">
        <v>877</v>
      </c>
      <c r="AZ100" s="516" t="s">
        <v>878</v>
      </c>
      <c r="BA100" s="516" t="s">
        <v>879</v>
      </c>
      <c r="BB100" s="516" t="s">
        <v>880</v>
      </c>
      <c r="BC100" s="516" t="s">
        <v>881</v>
      </c>
      <c r="BD100" s="516" t="s">
        <v>882</v>
      </c>
      <c r="BE100" s="516" t="s">
        <v>883</v>
      </c>
      <c r="BF100" s="516" t="s">
        <v>884</v>
      </c>
      <c r="BG100" s="516" t="s">
        <v>885</v>
      </c>
      <c r="BH100" s="516" t="s">
        <v>886</v>
      </c>
      <c r="BI100" s="516" t="s">
        <v>887</v>
      </c>
      <c r="BJ100" s="516" t="s">
        <v>888</v>
      </c>
      <c r="BK100" s="516" t="s">
        <v>889</v>
      </c>
      <c r="BL100" s="516" t="s">
        <v>890</v>
      </c>
      <c r="BM100" s="516" t="s">
        <v>891</v>
      </c>
      <c r="BN100" s="516" t="s">
        <v>892</v>
      </c>
      <c r="BO100" s="516" t="s">
        <v>893</v>
      </c>
      <c r="BP100" s="516" t="s">
        <v>894</v>
      </c>
      <c r="BQ100" s="516" t="s">
        <v>895</v>
      </c>
      <c r="BR100" s="516" t="s">
        <v>896</v>
      </c>
      <c r="BS100" s="516" t="s">
        <v>897</v>
      </c>
      <c r="BT100" s="516" t="s">
        <v>898</v>
      </c>
      <c r="BU100" s="516" t="s">
        <v>899</v>
      </c>
      <c r="BV100" s="516" t="s">
        <v>900</v>
      </c>
      <c r="BW100" s="516" t="s">
        <v>901</v>
      </c>
      <c r="BX100" s="516" t="s">
        <v>902</v>
      </c>
      <c r="BY100" s="516" t="s">
        <v>903</v>
      </c>
      <c r="BZ100" s="516" t="s">
        <v>904</v>
      </c>
      <c r="CA100" s="516" t="s">
        <v>905</v>
      </c>
      <c r="CB100" s="516" t="s">
        <v>906</v>
      </c>
      <c r="CC100" s="516" t="s">
        <v>907</v>
      </c>
      <c r="CD100" s="516" t="s">
        <v>908</v>
      </c>
      <c r="CE100" s="516" t="s">
        <v>909</v>
      </c>
      <c r="CF100" s="516" t="s">
        <v>910</v>
      </c>
      <c r="CG100" s="516" t="s">
        <v>911</v>
      </c>
      <c r="CH100" s="516" t="s">
        <v>912</v>
      </c>
      <c r="CI100" s="516" t="s">
        <v>913</v>
      </c>
      <c r="CJ100" s="516" t="s">
        <v>914</v>
      </c>
      <c r="CK100" s="516" t="s">
        <v>915</v>
      </c>
      <c r="CL100" s="516" t="s">
        <v>916</v>
      </c>
      <c r="CM100" s="516" t="s">
        <v>917</v>
      </c>
      <c r="CN100" s="516" t="s">
        <v>918</v>
      </c>
      <c r="CO100" s="516" t="s">
        <v>919</v>
      </c>
      <c r="CP100" s="516" t="s">
        <v>920</v>
      </c>
      <c r="CQ100" s="516" t="s">
        <v>921</v>
      </c>
      <c r="CR100" s="516" t="s">
        <v>922</v>
      </c>
      <c r="CS100" s="516" t="s">
        <v>923</v>
      </c>
      <c r="CT100" s="516" t="s">
        <v>924</v>
      </c>
      <c r="CU100" s="516" t="s">
        <v>925</v>
      </c>
      <c r="CV100" s="516" t="s">
        <v>926</v>
      </c>
      <c r="CW100" s="516" t="s">
        <v>927</v>
      </c>
      <c r="CX100" s="516" t="s">
        <v>928</v>
      </c>
      <c r="CY100" s="516" t="s">
        <v>929</v>
      </c>
      <c r="CZ100" s="516" t="s">
        <v>930</v>
      </c>
      <c r="DA100" s="516" t="s">
        <v>931</v>
      </c>
      <c r="DB100" s="516" t="s">
        <v>932</v>
      </c>
      <c r="DC100" s="516" t="s">
        <v>933</v>
      </c>
      <c r="DD100" s="516" t="s">
        <v>934</v>
      </c>
      <c r="DE100" s="516" t="s">
        <v>935</v>
      </c>
      <c r="DF100" s="516" t="s">
        <v>936</v>
      </c>
      <c r="DG100" s="516" t="s">
        <v>937</v>
      </c>
      <c r="DH100" s="516" t="s">
        <v>938</v>
      </c>
      <c r="DI100" s="516" t="s">
        <v>939</v>
      </c>
      <c r="DJ100" s="516" t="s">
        <v>940</v>
      </c>
      <c r="DK100" s="516" t="s">
        <v>941</v>
      </c>
      <c r="DL100" s="516" t="s">
        <v>942</v>
      </c>
      <c r="DM100" s="516" t="s">
        <v>943</v>
      </c>
      <c r="DN100" s="516" t="s">
        <v>944</v>
      </c>
      <c r="DO100" s="516" t="s">
        <v>945</v>
      </c>
      <c r="DP100" s="516" t="s">
        <v>946</v>
      </c>
      <c r="DQ100" s="516" t="s">
        <v>947</v>
      </c>
      <c r="DR100" s="516" t="s">
        <v>948</v>
      </c>
      <c r="DS100" s="516" t="s">
        <v>949</v>
      </c>
      <c r="DT100" s="516" t="s">
        <v>950</v>
      </c>
      <c r="DU100" s="516" t="s">
        <v>951</v>
      </c>
      <c r="DV100" s="516" t="s">
        <v>952</v>
      </c>
      <c r="DW100" s="516" t="s">
        <v>953</v>
      </c>
      <c r="DX100" s="516" t="s">
        <v>954</v>
      </c>
      <c r="DZ100" s="516" t="s">
        <v>163</v>
      </c>
      <c r="EA100" s="516" t="s">
        <v>20</v>
      </c>
      <c r="EB100" s="516" t="s">
        <v>24</v>
      </c>
      <c r="EC100" s="516" t="s">
        <v>21</v>
      </c>
      <c r="ED100" s="494" t="str">
        <f t="shared" si="7"/>
        <v>商品代號性別年齡</v>
      </c>
      <c r="EE100" s="516" t="s">
        <v>844</v>
      </c>
      <c r="EF100" s="516" t="s">
        <v>845</v>
      </c>
      <c r="EG100" s="516" t="s">
        <v>846</v>
      </c>
      <c r="EH100" s="516" t="s">
        <v>847</v>
      </c>
      <c r="EI100" s="516" t="s">
        <v>848</v>
      </c>
      <c r="EJ100" s="516" t="s">
        <v>849</v>
      </c>
      <c r="EK100" s="516" t="s">
        <v>850</v>
      </c>
      <c r="EL100" s="516" t="s">
        <v>851</v>
      </c>
      <c r="EM100" s="516" t="s">
        <v>852</v>
      </c>
      <c r="EN100" s="516" t="s">
        <v>853</v>
      </c>
      <c r="EO100" s="516" t="s">
        <v>854</v>
      </c>
      <c r="EP100" s="516" t="s">
        <v>855</v>
      </c>
      <c r="EQ100" s="516" t="s">
        <v>856</v>
      </c>
      <c r="ER100" s="516" t="s">
        <v>857</v>
      </c>
      <c r="ES100" s="516" t="s">
        <v>858</v>
      </c>
      <c r="ET100" s="516" t="s">
        <v>859</v>
      </c>
      <c r="EU100" s="516" t="s">
        <v>860</v>
      </c>
      <c r="EV100" s="516" t="s">
        <v>861</v>
      </c>
      <c r="EW100" s="516" t="s">
        <v>862</v>
      </c>
      <c r="EX100" s="516" t="s">
        <v>863</v>
      </c>
      <c r="EY100" s="516" t="s">
        <v>864</v>
      </c>
      <c r="EZ100" s="516" t="s">
        <v>865</v>
      </c>
      <c r="FA100" s="516" t="s">
        <v>866</v>
      </c>
      <c r="FB100" s="516" t="s">
        <v>867</v>
      </c>
      <c r="FC100" s="516" t="s">
        <v>868</v>
      </c>
      <c r="FD100" s="516" t="s">
        <v>869</v>
      </c>
      <c r="FE100" s="516" t="s">
        <v>870</v>
      </c>
      <c r="FF100" s="516" t="s">
        <v>871</v>
      </c>
      <c r="FG100" s="516" t="s">
        <v>872</v>
      </c>
      <c r="FH100" s="516" t="s">
        <v>873</v>
      </c>
      <c r="FI100" s="516" t="s">
        <v>874</v>
      </c>
      <c r="FJ100" s="516" t="s">
        <v>875</v>
      </c>
      <c r="FK100" s="516" t="s">
        <v>876</v>
      </c>
      <c r="FL100" s="516" t="s">
        <v>877</v>
      </c>
      <c r="FM100" s="516" t="s">
        <v>878</v>
      </c>
      <c r="FN100" s="516" t="s">
        <v>879</v>
      </c>
      <c r="FO100" s="516" t="s">
        <v>880</v>
      </c>
      <c r="FP100" s="516" t="s">
        <v>881</v>
      </c>
      <c r="FQ100" s="516" t="s">
        <v>882</v>
      </c>
      <c r="FR100" s="516" t="s">
        <v>883</v>
      </c>
      <c r="FS100" s="516" t="s">
        <v>884</v>
      </c>
      <c r="FT100" s="516" t="s">
        <v>885</v>
      </c>
      <c r="FU100" s="516" t="s">
        <v>886</v>
      </c>
      <c r="FV100" s="516" t="s">
        <v>887</v>
      </c>
      <c r="FW100" s="516" t="s">
        <v>888</v>
      </c>
      <c r="FX100" s="516" t="s">
        <v>889</v>
      </c>
      <c r="FY100" s="516" t="s">
        <v>890</v>
      </c>
      <c r="FZ100" s="516" t="s">
        <v>891</v>
      </c>
      <c r="GA100" s="516" t="s">
        <v>892</v>
      </c>
      <c r="GB100" s="516" t="s">
        <v>893</v>
      </c>
      <c r="GC100" s="516" t="s">
        <v>894</v>
      </c>
      <c r="GD100" s="516" t="s">
        <v>895</v>
      </c>
      <c r="GE100" s="516" t="s">
        <v>896</v>
      </c>
      <c r="GF100" s="516" t="s">
        <v>897</v>
      </c>
      <c r="GG100" s="516" t="s">
        <v>898</v>
      </c>
      <c r="GH100" s="516" t="s">
        <v>899</v>
      </c>
      <c r="GI100" s="516" t="s">
        <v>900</v>
      </c>
      <c r="GJ100" s="516" t="s">
        <v>901</v>
      </c>
      <c r="GK100" s="516" t="s">
        <v>902</v>
      </c>
      <c r="GL100" s="516" t="s">
        <v>903</v>
      </c>
      <c r="GM100" s="516" t="s">
        <v>904</v>
      </c>
      <c r="GN100" s="516" t="s">
        <v>905</v>
      </c>
      <c r="GO100" s="516" t="s">
        <v>906</v>
      </c>
      <c r="GP100" s="516" t="s">
        <v>907</v>
      </c>
      <c r="GQ100" s="516" t="s">
        <v>908</v>
      </c>
      <c r="GR100" s="516" t="s">
        <v>909</v>
      </c>
      <c r="GS100" s="516" t="s">
        <v>910</v>
      </c>
      <c r="GT100" s="516" t="s">
        <v>911</v>
      </c>
      <c r="GU100" s="516" t="s">
        <v>912</v>
      </c>
      <c r="GV100" s="516" t="s">
        <v>913</v>
      </c>
      <c r="GW100" s="516" t="s">
        <v>914</v>
      </c>
      <c r="GX100" s="516" t="s">
        <v>915</v>
      </c>
      <c r="GY100" s="516" t="s">
        <v>916</v>
      </c>
      <c r="GZ100" s="516" t="s">
        <v>917</v>
      </c>
      <c r="HA100" s="516" t="s">
        <v>918</v>
      </c>
      <c r="HB100" s="516" t="s">
        <v>919</v>
      </c>
      <c r="HC100" s="516" t="s">
        <v>920</v>
      </c>
      <c r="HD100" s="516" t="s">
        <v>921</v>
      </c>
      <c r="HE100" s="516" t="s">
        <v>922</v>
      </c>
      <c r="HF100" s="516" t="s">
        <v>923</v>
      </c>
      <c r="HG100" s="516" t="s">
        <v>924</v>
      </c>
      <c r="HH100" s="516" t="s">
        <v>925</v>
      </c>
      <c r="HI100" s="516" t="s">
        <v>926</v>
      </c>
      <c r="HJ100" s="516" t="s">
        <v>927</v>
      </c>
      <c r="HK100" s="516" t="s">
        <v>928</v>
      </c>
      <c r="HL100" s="516" t="s">
        <v>929</v>
      </c>
      <c r="HM100" s="516" t="s">
        <v>930</v>
      </c>
      <c r="HN100" s="516" t="s">
        <v>931</v>
      </c>
      <c r="HO100" s="516" t="s">
        <v>932</v>
      </c>
      <c r="HP100" s="516" t="s">
        <v>933</v>
      </c>
      <c r="HQ100" s="516" t="s">
        <v>934</v>
      </c>
      <c r="HR100" s="516" t="s">
        <v>935</v>
      </c>
      <c r="HS100" s="516" t="s">
        <v>936</v>
      </c>
      <c r="HT100" s="516" t="s">
        <v>937</v>
      </c>
      <c r="HU100" s="516" t="s">
        <v>938</v>
      </c>
      <c r="HV100" s="516" t="s">
        <v>939</v>
      </c>
      <c r="HW100" s="516" t="s">
        <v>940</v>
      </c>
      <c r="HX100" s="516" t="s">
        <v>941</v>
      </c>
      <c r="HY100" s="516" t="s">
        <v>942</v>
      </c>
      <c r="HZ100" s="516" t="s">
        <v>943</v>
      </c>
      <c r="IA100" s="516" t="s">
        <v>944</v>
      </c>
      <c r="IB100" s="516" t="s">
        <v>945</v>
      </c>
      <c r="IC100" s="516" t="s">
        <v>946</v>
      </c>
      <c r="ID100" s="516" t="s">
        <v>947</v>
      </c>
      <c r="IE100" s="516" t="s">
        <v>948</v>
      </c>
      <c r="IF100" s="516" t="s">
        <v>949</v>
      </c>
      <c r="IG100" s="516" t="s">
        <v>950</v>
      </c>
      <c r="IH100" s="516" t="s">
        <v>951</v>
      </c>
      <c r="II100" s="516" t="s">
        <v>952</v>
      </c>
      <c r="IJ100" s="516" t="s">
        <v>953</v>
      </c>
      <c r="IK100" s="516" t="s">
        <v>954</v>
      </c>
    </row>
    <row r="101" spans="1:245" ht="16.5" hidden="1">
      <c r="A101" s="517"/>
      <c r="B101" s="517"/>
      <c r="C101" s="517"/>
      <c r="D101" s="517"/>
      <c r="E101" s="517"/>
      <c r="F101" s="517"/>
      <c r="G101" s="558"/>
      <c r="H101" s="518"/>
      <c r="I101" s="558"/>
      <c r="J101" s="494"/>
      <c r="K101" s="518"/>
      <c r="M101" s="517" t="s">
        <v>721</v>
      </c>
      <c r="N101" s="517" t="s">
        <v>1101</v>
      </c>
      <c r="O101" s="517" t="s">
        <v>25</v>
      </c>
      <c r="P101" s="518">
        <v>15</v>
      </c>
      <c r="Q101" s="494" t="str">
        <f t="shared" si="6"/>
        <v>SWUC100115</v>
      </c>
      <c r="R101" s="518">
        <v>44.5</v>
      </c>
      <c r="S101" s="518">
        <v>10000</v>
      </c>
      <c r="T101" s="518">
        <v>10000</v>
      </c>
      <c r="U101" s="518">
        <v>10000</v>
      </c>
      <c r="V101" s="518">
        <v>10000</v>
      </c>
      <c r="W101" s="518">
        <v>10000</v>
      </c>
      <c r="X101" s="518">
        <v>10000</v>
      </c>
      <c r="Y101" s="518">
        <v>10000</v>
      </c>
      <c r="Z101" s="518">
        <v>10000</v>
      </c>
      <c r="AA101" s="518">
        <v>10000</v>
      </c>
      <c r="AB101" s="518">
        <v>0</v>
      </c>
      <c r="AC101" s="518">
        <v>0</v>
      </c>
      <c r="AD101" s="518">
        <v>0</v>
      </c>
      <c r="AE101" s="518">
        <v>0</v>
      </c>
      <c r="AF101" s="518">
        <v>0</v>
      </c>
      <c r="AG101" s="518">
        <v>0</v>
      </c>
      <c r="AH101" s="518">
        <v>0</v>
      </c>
      <c r="AI101" s="518">
        <v>0</v>
      </c>
      <c r="AJ101" s="518">
        <v>0</v>
      </c>
      <c r="AK101" s="518">
        <v>0</v>
      </c>
      <c r="AL101" s="518">
        <v>0</v>
      </c>
      <c r="AM101" s="518">
        <v>0</v>
      </c>
      <c r="AN101" s="518">
        <v>0</v>
      </c>
      <c r="AO101" s="518">
        <v>0</v>
      </c>
      <c r="AP101" s="518">
        <v>0</v>
      </c>
      <c r="AQ101" s="518">
        <v>0</v>
      </c>
      <c r="AR101" s="518">
        <v>0</v>
      </c>
      <c r="AS101" s="518">
        <v>0</v>
      </c>
      <c r="AT101" s="518">
        <v>0</v>
      </c>
      <c r="AU101" s="518">
        <v>0</v>
      </c>
      <c r="AV101" s="518">
        <v>0</v>
      </c>
      <c r="AW101" s="518">
        <v>0</v>
      </c>
      <c r="AX101" s="518">
        <v>0</v>
      </c>
      <c r="AY101" s="518">
        <v>0</v>
      </c>
      <c r="AZ101" s="518">
        <v>0</v>
      </c>
      <c r="BA101" s="518">
        <v>0</v>
      </c>
      <c r="BB101" s="518">
        <v>0</v>
      </c>
      <c r="BC101" s="518">
        <v>0</v>
      </c>
      <c r="BD101" s="518">
        <v>0</v>
      </c>
      <c r="BE101" s="518">
        <v>0</v>
      </c>
      <c r="BF101" s="518">
        <v>0</v>
      </c>
      <c r="BG101" s="518">
        <v>0</v>
      </c>
      <c r="BH101" s="518">
        <v>0</v>
      </c>
      <c r="BI101" s="518">
        <v>0</v>
      </c>
      <c r="BJ101" s="518">
        <v>0</v>
      </c>
      <c r="BK101" s="518">
        <v>0</v>
      </c>
      <c r="BL101" s="518">
        <v>0</v>
      </c>
      <c r="BM101" s="518">
        <v>0</v>
      </c>
      <c r="BN101" s="518">
        <v>0</v>
      </c>
      <c r="BO101" s="518">
        <v>0</v>
      </c>
      <c r="BP101" s="518">
        <v>0</v>
      </c>
      <c r="BQ101" s="518">
        <v>0</v>
      </c>
      <c r="BR101" s="518">
        <v>0</v>
      </c>
      <c r="BS101" s="518">
        <v>0</v>
      </c>
      <c r="BT101" s="518">
        <v>0</v>
      </c>
      <c r="BU101" s="518">
        <v>0</v>
      </c>
      <c r="BV101" s="518">
        <v>0</v>
      </c>
      <c r="BW101" s="518">
        <v>0</v>
      </c>
      <c r="BX101" s="518">
        <v>0</v>
      </c>
      <c r="BY101" s="518">
        <v>0</v>
      </c>
      <c r="BZ101" s="518">
        <v>0</v>
      </c>
      <c r="CA101" s="518">
        <v>0</v>
      </c>
      <c r="CB101" s="518">
        <v>0</v>
      </c>
      <c r="CC101" s="518">
        <v>0</v>
      </c>
      <c r="CD101" s="518">
        <v>0</v>
      </c>
      <c r="CE101" s="518">
        <v>0</v>
      </c>
      <c r="CF101" s="518">
        <v>0</v>
      </c>
      <c r="CG101" s="518">
        <v>0</v>
      </c>
      <c r="CH101" s="518">
        <v>0</v>
      </c>
      <c r="CI101" s="518">
        <v>0</v>
      </c>
      <c r="CJ101" s="518">
        <v>0</v>
      </c>
      <c r="CK101" s="518">
        <v>0</v>
      </c>
      <c r="CL101" s="518">
        <v>0</v>
      </c>
      <c r="CM101" s="518">
        <v>0</v>
      </c>
      <c r="CN101" s="518">
        <v>0</v>
      </c>
      <c r="CO101" s="518">
        <v>0</v>
      </c>
      <c r="CP101" s="518">
        <v>0</v>
      </c>
      <c r="CQ101" s="518">
        <v>0</v>
      </c>
      <c r="CR101" s="518">
        <v>0</v>
      </c>
      <c r="CS101" s="518">
        <v>0</v>
      </c>
      <c r="CT101" s="518">
        <v>0</v>
      </c>
      <c r="CU101" s="518">
        <v>0</v>
      </c>
      <c r="CV101" s="518">
        <v>0</v>
      </c>
      <c r="CW101" s="518">
        <v>0</v>
      </c>
      <c r="CX101" s="518">
        <v>0</v>
      </c>
      <c r="CY101" s="518">
        <v>0</v>
      </c>
      <c r="CZ101" s="518">
        <v>0</v>
      </c>
      <c r="DA101" s="518">
        <v>0</v>
      </c>
      <c r="DB101" s="518">
        <v>0</v>
      </c>
      <c r="DC101" s="518">
        <v>0</v>
      </c>
      <c r="DD101" s="518">
        <v>0</v>
      </c>
      <c r="DE101" s="518">
        <v>0</v>
      </c>
      <c r="DF101" s="518">
        <v>0</v>
      </c>
      <c r="DG101" s="518">
        <v>0</v>
      </c>
      <c r="DH101" s="518">
        <v>0</v>
      </c>
      <c r="DI101" s="518">
        <v>0</v>
      </c>
      <c r="DJ101" s="518">
        <v>0</v>
      </c>
      <c r="DK101" s="518">
        <v>0</v>
      </c>
      <c r="DL101" s="518">
        <v>0</v>
      </c>
      <c r="DM101" s="518">
        <v>0</v>
      </c>
      <c r="DN101" s="518">
        <v>0</v>
      </c>
      <c r="DO101" s="518">
        <v>0</v>
      </c>
      <c r="DP101" s="518">
        <v>0</v>
      </c>
      <c r="DQ101" s="518">
        <v>0</v>
      </c>
      <c r="DR101" s="518">
        <v>0</v>
      </c>
      <c r="DS101" s="518">
        <v>0</v>
      </c>
      <c r="DT101" s="518">
        <v>0</v>
      </c>
      <c r="DU101" s="518">
        <v>0</v>
      </c>
      <c r="DV101" s="518">
        <v>0</v>
      </c>
      <c r="DW101" s="518">
        <v>0</v>
      </c>
      <c r="DX101" s="518">
        <v>0</v>
      </c>
      <c r="DZ101" s="517" t="s">
        <v>721</v>
      </c>
      <c r="EA101" s="517" t="s">
        <v>1101</v>
      </c>
      <c r="EB101" s="517" t="s">
        <v>25</v>
      </c>
      <c r="EC101" s="518">
        <v>15</v>
      </c>
      <c r="ED101" s="494" t="str">
        <f t="shared" si="7"/>
        <v>SWUC100115</v>
      </c>
      <c r="EE101" s="518">
        <v>44.5</v>
      </c>
      <c r="EF101" s="518">
        <v>2000</v>
      </c>
      <c r="EG101" s="518">
        <v>2000</v>
      </c>
      <c r="EH101" s="518">
        <v>2000</v>
      </c>
      <c r="EI101" s="518">
        <v>2000</v>
      </c>
      <c r="EJ101" s="518">
        <v>2000</v>
      </c>
      <c r="EK101" s="518">
        <v>2000</v>
      </c>
      <c r="EL101" s="518">
        <v>2000</v>
      </c>
      <c r="EM101" s="518">
        <v>2000</v>
      </c>
      <c r="EN101" s="518">
        <v>2000</v>
      </c>
      <c r="EO101" s="518">
        <v>0</v>
      </c>
      <c r="EP101" s="518">
        <v>0</v>
      </c>
      <c r="EQ101" s="518">
        <v>0</v>
      </c>
      <c r="ER101" s="518">
        <v>0</v>
      </c>
      <c r="ES101" s="518">
        <v>0</v>
      </c>
      <c r="ET101" s="518">
        <v>0</v>
      </c>
      <c r="EU101" s="518">
        <v>0</v>
      </c>
      <c r="EV101" s="518">
        <v>0</v>
      </c>
      <c r="EW101" s="518">
        <v>0</v>
      </c>
      <c r="EX101" s="518">
        <v>0</v>
      </c>
      <c r="EY101" s="518">
        <v>0</v>
      </c>
      <c r="EZ101" s="518">
        <v>0</v>
      </c>
      <c r="FA101" s="518">
        <v>0</v>
      </c>
      <c r="FB101" s="518">
        <v>0</v>
      </c>
      <c r="FC101" s="518">
        <v>0</v>
      </c>
      <c r="FD101" s="518">
        <v>0</v>
      </c>
      <c r="FE101" s="518">
        <v>0</v>
      </c>
      <c r="FF101" s="518">
        <v>0</v>
      </c>
      <c r="FG101" s="518">
        <v>0</v>
      </c>
      <c r="FH101" s="518">
        <v>0</v>
      </c>
      <c r="FI101" s="518">
        <v>0</v>
      </c>
      <c r="FJ101" s="518">
        <v>0</v>
      </c>
      <c r="FK101" s="518">
        <v>0</v>
      </c>
      <c r="FL101" s="518">
        <v>0</v>
      </c>
      <c r="FM101" s="518">
        <v>0</v>
      </c>
      <c r="FN101" s="518">
        <v>0</v>
      </c>
      <c r="FO101" s="518">
        <v>0</v>
      </c>
      <c r="FP101" s="518">
        <v>0</v>
      </c>
      <c r="FQ101" s="518">
        <v>0</v>
      </c>
      <c r="FR101" s="518">
        <v>0</v>
      </c>
      <c r="FS101" s="518">
        <v>0</v>
      </c>
      <c r="FT101" s="518">
        <v>0</v>
      </c>
      <c r="FU101" s="518">
        <v>0</v>
      </c>
      <c r="FV101" s="518">
        <v>0</v>
      </c>
      <c r="FW101" s="518">
        <v>0</v>
      </c>
      <c r="FX101" s="518">
        <v>0</v>
      </c>
      <c r="FY101" s="518">
        <v>0</v>
      </c>
      <c r="FZ101" s="518">
        <v>0</v>
      </c>
      <c r="GA101" s="518">
        <v>0</v>
      </c>
      <c r="GB101" s="518">
        <v>0</v>
      </c>
      <c r="GC101" s="518">
        <v>0</v>
      </c>
      <c r="GD101" s="518">
        <v>0</v>
      </c>
      <c r="GE101" s="518">
        <v>0</v>
      </c>
      <c r="GF101" s="518">
        <v>0</v>
      </c>
      <c r="GG101" s="518">
        <v>0</v>
      </c>
      <c r="GH101" s="518">
        <v>0</v>
      </c>
      <c r="GI101" s="518">
        <v>0</v>
      </c>
      <c r="GJ101" s="518">
        <v>0</v>
      </c>
      <c r="GK101" s="518">
        <v>0</v>
      </c>
      <c r="GL101" s="518">
        <v>0</v>
      </c>
      <c r="GM101" s="518">
        <v>0</v>
      </c>
      <c r="GN101" s="518">
        <v>0</v>
      </c>
      <c r="GO101" s="518">
        <v>0</v>
      </c>
      <c r="GP101" s="518">
        <v>0</v>
      </c>
      <c r="GQ101" s="518">
        <v>0</v>
      </c>
      <c r="GR101" s="518">
        <v>0</v>
      </c>
      <c r="GS101" s="518">
        <v>0</v>
      </c>
      <c r="GT101" s="518">
        <v>0</v>
      </c>
      <c r="GU101" s="518">
        <v>0</v>
      </c>
      <c r="GV101" s="518">
        <v>0</v>
      </c>
      <c r="GW101" s="518">
        <v>0</v>
      </c>
      <c r="GX101" s="518">
        <v>0</v>
      </c>
      <c r="GY101" s="518">
        <v>0</v>
      </c>
      <c r="GZ101" s="518">
        <v>0</v>
      </c>
      <c r="HA101" s="518">
        <v>0</v>
      </c>
      <c r="HB101" s="518">
        <v>0</v>
      </c>
      <c r="HC101" s="518">
        <v>0</v>
      </c>
      <c r="HD101" s="518">
        <v>0</v>
      </c>
      <c r="HE101" s="518">
        <v>0</v>
      </c>
      <c r="HF101" s="518">
        <v>0</v>
      </c>
      <c r="HG101" s="518">
        <v>0</v>
      </c>
      <c r="HH101" s="518">
        <v>0</v>
      </c>
      <c r="HI101" s="518">
        <v>0</v>
      </c>
      <c r="HJ101" s="518">
        <v>0</v>
      </c>
      <c r="HK101" s="518">
        <v>0</v>
      </c>
      <c r="HL101" s="518">
        <v>0</v>
      </c>
      <c r="HM101" s="518">
        <v>0</v>
      </c>
      <c r="HN101" s="518">
        <v>0</v>
      </c>
      <c r="HO101" s="518">
        <v>0</v>
      </c>
      <c r="HP101" s="518">
        <v>0</v>
      </c>
      <c r="HQ101" s="518">
        <v>0</v>
      </c>
      <c r="HR101" s="518">
        <v>0</v>
      </c>
      <c r="HS101" s="518">
        <v>0</v>
      </c>
      <c r="HT101" s="518">
        <v>0</v>
      </c>
      <c r="HU101" s="518">
        <v>0</v>
      </c>
      <c r="HV101" s="518">
        <v>0</v>
      </c>
      <c r="HW101" s="518">
        <v>0</v>
      </c>
      <c r="HX101" s="518">
        <v>0</v>
      </c>
      <c r="HY101" s="518">
        <v>0</v>
      </c>
      <c r="HZ101" s="518">
        <v>0</v>
      </c>
      <c r="IA101" s="518">
        <v>0</v>
      </c>
      <c r="IB101" s="518">
        <v>0</v>
      </c>
      <c r="IC101" s="518">
        <v>0</v>
      </c>
      <c r="ID101" s="518">
        <v>0</v>
      </c>
      <c r="IE101" s="518">
        <v>0</v>
      </c>
      <c r="IF101" s="518">
        <v>0</v>
      </c>
      <c r="IG101" s="518">
        <v>0</v>
      </c>
      <c r="IH101" s="518">
        <v>0</v>
      </c>
      <c r="II101" s="518">
        <v>0</v>
      </c>
      <c r="IJ101" s="518">
        <v>0</v>
      </c>
      <c r="IK101" s="518">
        <v>0</v>
      </c>
    </row>
    <row r="102" spans="1:245" ht="16.5" hidden="1">
      <c r="A102" s="517"/>
      <c r="B102" s="517"/>
      <c r="C102" s="517"/>
      <c r="D102" s="517"/>
      <c r="E102" s="517"/>
      <c r="F102" s="517"/>
      <c r="G102" s="558"/>
      <c r="H102" s="518"/>
      <c r="I102" s="558"/>
      <c r="J102" s="494"/>
      <c r="K102" s="518"/>
      <c r="M102" s="517" t="s">
        <v>721</v>
      </c>
      <c r="N102" s="517" t="s">
        <v>1101</v>
      </c>
      <c r="O102" s="517" t="s">
        <v>25</v>
      </c>
      <c r="P102" s="518">
        <v>16</v>
      </c>
      <c r="Q102" s="494" t="str">
        <f t="shared" si="6"/>
        <v>SWUC100116</v>
      </c>
      <c r="R102" s="518">
        <v>46.6</v>
      </c>
      <c r="S102" s="518">
        <v>10000</v>
      </c>
      <c r="T102" s="518">
        <v>10000</v>
      </c>
      <c r="U102" s="518">
        <v>10000</v>
      </c>
      <c r="V102" s="518">
        <v>10000</v>
      </c>
      <c r="W102" s="518">
        <v>10000</v>
      </c>
      <c r="X102" s="518">
        <v>10000</v>
      </c>
      <c r="Y102" s="518">
        <v>10000</v>
      </c>
      <c r="Z102" s="518">
        <v>10000</v>
      </c>
      <c r="AA102" s="518">
        <v>10000</v>
      </c>
      <c r="AB102" s="518">
        <v>0</v>
      </c>
      <c r="AC102" s="518">
        <v>0</v>
      </c>
      <c r="AD102" s="518">
        <v>0</v>
      </c>
      <c r="AE102" s="518">
        <v>0</v>
      </c>
      <c r="AF102" s="518">
        <v>0</v>
      </c>
      <c r="AG102" s="518">
        <v>0</v>
      </c>
      <c r="AH102" s="518">
        <v>0</v>
      </c>
      <c r="AI102" s="518">
        <v>0</v>
      </c>
      <c r="AJ102" s="518">
        <v>0</v>
      </c>
      <c r="AK102" s="518">
        <v>0</v>
      </c>
      <c r="AL102" s="518">
        <v>0</v>
      </c>
      <c r="AM102" s="518">
        <v>0</v>
      </c>
      <c r="AN102" s="518">
        <v>0</v>
      </c>
      <c r="AO102" s="518">
        <v>0</v>
      </c>
      <c r="AP102" s="518">
        <v>0</v>
      </c>
      <c r="AQ102" s="518">
        <v>0</v>
      </c>
      <c r="AR102" s="518">
        <v>0</v>
      </c>
      <c r="AS102" s="518">
        <v>0</v>
      </c>
      <c r="AT102" s="518">
        <v>0</v>
      </c>
      <c r="AU102" s="518">
        <v>0</v>
      </c>
      <c r="AV102" s="518">
        <v>0</v>
      </c>
      <c r="AW102" s="518">
        <v>0</v>
      </c>
      <c r="AX102" s="518">
        <v>0</v>
      </c>
      <c r="AY102" s="518">
        <v>0</v>
      </c>
      <c r="AZ102" s="518">
        <v>0</v>
      </c>
      <c r="BA102" s="518">
        <v>0</v>
      </c>
      <c r="BB102" s="518">
        <v>0</v>
      </c>
      <c r="BC102" s="518">
        <v>0</v>
      </c>
      <c r="BD102" s="518">
        <v>0</v>
      </c>
      <c r="BE102" s="518">
        <v>0</v>
      </c>
      <c r="BF102" s="518">
        <v>0</v>
      </c>
      <c r="BG102" s="518">
        <v>0</v>
      </c>
      <c r="BH102" s="518">
        <v>0</v>
      </c>
      <c r="BI102" s="518">
        <v>0</v>
      </c>
      <c r="BJ102" s="518">
        <v>0</v>
      </c>
      <c r="BK102" s="518">
        <v>0</v>
      </c>
      <c r="BL102" s="518">
        <v>0</v>
      </c>
      <c r="BM102" s="518">
        <v>0</v>
      </c>
      <c r="BN102" s="518">
        <v>0</v>
      </c>
      <c r="BO102" s="518">
        <v>0</v>
      </c>
      <c r="BP102" s="518">
        <v>0</v>
      </c>
      <c r="BQ102" s="518">
        <v>0</v>
      </c>
      <c r="BR102" s="518">
        <v>0</v>
      </c>
      <c r="BS102" s="518">
        <v>0</v>
      </c>
      <c r="BT102" s="518">
        <v>0</v>
      </c>
      <c r="BU102" s="518">
        <v>0</v>
      </c>
      <c r="BV102" s="518">
        <v>0</v>
      </c>
      <c r="BW102" s="518">
        <v>0</v>
      </c>
      <c r="BX102" s="518">
        <v>0</v>
      </c>
      <c r="BY102" s="518">
        <v>0</v>
      </c>
      <c r="BZ102" s="518">
        <v>0</v>
      </c>
      <c r="CA102" s="518">
        <v>0</v>
      </c>
      <c r="CB102" s="518">
        <v>0</v>
      </c>
      <c r="CC102" s="518">
        <v>0</v>
      </c>
      <c r="CD102" s="518">
        <v>0</v>
      </c>
      <c r="CE102" s="518">
        <v>0</v>
      </c>
      <c r="CF102" s="518">
        <v>0</v>
      </c>
      <c r="CG102" s="518">
        <v>0</v>
      </c>
      <c r="CH102" s="518">
        <v>0</v>
      </c>
      <c r="CI102" s="518">
        <v>0</v>
      </c>
      <c r="CJ102" s="518">
        <v>0</v>
      </c>
      <c r="CK102" s="518">
        <v>0</v>
      </c>
      <c r="CL102" s="518">
        <v>0</v>
      </c>
      <c r="CM102" s="518">
        <v>0</v>
      </c>
      <c r="CN102" s="518">
        <v>0</v>
      </c>
      <c r="CO102" s="518">
        <v>0</v>
      </c>
      <c r="CP102" s="518">
        <v>0</v>
      </c>
      <c r="CQ102" s="518">
        <v>0</v>
      </c>
      <c r="CR102" s="518">
        <v>0</v>
      </c>
      <c r="CS102" s="518">
        <v>0</v>
      </c>
      <c r="CT102" s="518">
        <v>0</v>
      </c>
      <c r="CU102" s="518">
        <v>0</v>
      </c>
      <c r="CV102" s="518">
        <v>0</v>
      </c>
      <c r="CW102" s="518">
        <v>0</v>
      </c>
      <c r="CX102" s="518">
        <v>0</v>
      </c>
      <c r="CY102" s="518">
        <v>0</v>
      </c>
      <c r="CZ102" s="518">
        <v>0</v>
      </c>
      <c r="DA102" s="518">
        <v>0</v>
      </c>
      <c r="DB102" s="518">
        <v>0</v>
      </c>
      <c r="DC102" s="518">
        <v>0</v>
      </c>
      <c r="DD102" s="518">
        <v>0</v>
      </c>
      <c r="DE102" s="518">
        <v>0</v>
      </c>
      <c r="DF102" s="518">
        <v>0</v>
      </c>
      <c r="DG102" s="518">
        <v>0</v>
      </c>
      <c r="DH102" s="518">
        <v>0</v>
      </c>
      <c r="DI102" s="518">
        <v>0</v>
      </c>
      <c r="DJ102" s="518">
        <v>0</v>
      </c>
      <c r="DK102" s="518">
        <v>0</v>
      </c>
      <c r="DL102" s="518">
        <v>0</v>
      </c>
      <c r="DM102" s="518">
        <v>0</v>
      </c>
      <c r="DN102" s="518">
        <v>0</v>
      </c>
      <c r="DO102" s="518">
        <v>0</v>
      </c>
      <c r="DP102" s="518">
        <v>0</v>
      </c>
      <c r="DQ102" s="518">
        <v>0</v>
      </c>
      <c r="DR102" s="518">
        <v>0</v>
      </c>
      <c r="DS102" s="518">
        <v>0</v>
      </c>
      <c r="DT102" s="518">
        <v>0</v>
      </c>
      <c r="DU102" s="518">
        <v>0</v>
      </c>
      <c r="DV102" s="518">
        <v>0</v>
      </c>
      <c r="DW102" s="518">
        <v>0</v>
      </c>
      <c r="DX102" s="518">
        <v>0</v>
      </c>
      <c r="DZ102" s="517" t="s">
        <v>721</v>
      </c>
      <c r="EA102" s="517" t="s">
        <v>1101</v>
      </c>
      <c r="EB102" s="517" t="s">
        <v>25</v>
      </c>
      <c r="EC102" s="518">
        <v>16</v>
      </c>
      <c r="ED102" s="494" t="str">
        <f t="shared" si="7"/>
        <v>SWUC100116</v>
      </c>
      <c r="EE102" s="518">
        <v>46.6</v>
      </c>
      <c r="EF102" s="518">
        <v>2000</v>
      </c>
      <c r="EG102" s="518">
        <v>2000</v>
      </c>
      <c r="EH102" s="518">
        <v>2000</v>
      </c>
      <c r="EI102" s="518">
        <v>2000</v>
      </c>
      <c r="EJ102" s="518">
        <v>2000</v>
      </c>
      <c r="EK102" s="518">
        <v>2000</v>
      </c>
      <c r="EL102" s="518">
        <v>2000</v>
      </c>
      <c r="EM102" s="518">
        <v>2000</v>
      </c>
      <c r="EN102" s="518">
        <v>2000</v>
      </c>
      <c r="EO102" s="518">
        <v>0</v>
      </c>
      <c r="EP102" s="518">
        <v>0</v>
      </c>
      <c r="EQ102" s="518">
        <v>0</v>
      </c>
      <c r="ER102" s="518">
        <v>0</v>
      </c>
      <c r="ES102" s="518">
        <v>0</v>
      </c>
      <c r="ET102" s="518">
        <v>0</v>
      </c>
      <c r="EU102" s="518">
        <v>0</v>
      </c>
      <c r="EV102" s="518">
        <v>0</v>
      </c>
      <c r="EW102" s="518">
        <v>0</v>
      </c>
      <c r="EX102" s="518">
        <v>0</v>
      </c>
      <c r="EY102" s="518">
        <v>0</v>
      </c>
      <c r="EZ102" s="518">
        <v>0</v>
      </c>
      <c r="FA102" s="518">
        <v>0</v>
      </c>
      <c r="FB102" s="518">
        <v>0</v>
      </c>
      <c r="FC102" s="518">
        <v>0</v>
      </c>
      <c r="FD102" s="518">
        <v>0</v>
      </c>
      <c r="FE102" s="518">
        <v>0</v>
      </c>
      <c r="FF102" s="518">
        <v>0</v>
      </c>
      <c r="FG102" s="518">
        <v>0</v>
      </c>
      <c r="FH102" s="518">
        <v>0</v>
      </c>
      <c r="FI102" s="518">
        <v>0</v>
      </c>
      <c r="FJ102" s="518">
        <v>0</v>
      </c>
      <c r="FK102" s="518">
        <v>0</v>
      </c>
      <c r="FL102" s="518">
        <v>0</v>
      </c>
      <c r="FM102" s="518">
        <v>0</v>
      </c>
      <c r="FN102" s="518">
        <v>0</v>
      </c>
      <c r="FO102" s="518">
        <v>0</v>
      </c>
      <c r="FP102" s="518">
        <v>0</v>
      </c>
      <c r="FQ102" s="518">
        <v>0</v>
      </c>
      <c r="FR102" s="518">
        <v>0</v>
      </c>
      <c r="FS102" s="518">
        <v>0</v>
      </c>
      <c r="FT102" s="518">
        <v>0</v>
      </c>
      <c r="FU102" s="518">
        <v>0</v>
      </c>
      <c r="FV102" s="518">
        <v>0</v>
      </c>
      <c r="FW102" s="518">
        <v>0</v>
      </c>
      <c r="FX102" s="518">
        <v>0</v>
      </c>
      <c r="FY102" s="518">
        <v>0</v>
      </c>
      <c r="FZ102" s="518">
        <v>0</v>
      </c>
      <c r="GA102" s="518">
        <v>0</v>
      </c>
      <c r="GB102" s="518">
        <v>0</v>
      </c>
      <c r="GC102" s="518">
        <v>0</v>
      </c>
      <c r="GD102" s="518">
        <v>0</v>
      </c>
      <c r="GE102" s="518">
        <v>0</v>
      </c>
      <c r="GF102" s="518">
        <v>0</v>
      </c>
      <c r="GG102" s="518">
        <v>0</v>
      </c>
      <c r="GH102" s="518">
        <v>0</v>
      </c>
      <c r="GI102" s="518">
        <v>0</v>
      </c>
      <c r="GJ102" s="518">
        <v>0</v>
      </c>
      <c r="GK102" s="518">
        <v>0</v>
      </c>
      <c r="GL102" s="518">
        <v>0</v>
      </c>
      <c r="GM102" s="518">
        <v>0</v>
      </c>
      <c r="GN102" s="518">
        <v>0</v>
      </c>
      <c r="GO102" s="518">
        <v>0</v>
      </c>
      <c r="GP102" s="518">
        <v>0</v>
      </c>
      <c r="GQ102" s="518">
        <v>0</v>
      </c>
      <c r="GR102" s="518">
        <v>0</v>
      </c>
      <c r="GS102" s="518">
        <v>0</v>
      </c>
      <c r="GT102" s="518">
        <v>0</v>
      </c>
      <c r="GU102" s="518">
        <v>0</v>
      </c>
      <c r="GV102" s="518">
        <v>0</v>
      </c>
      <c r="GW102" s="518">
        <v>0</v>
      </c>
      <c r="GX102" s="518">
        <v>0</v>
      </c>
      <c r="GY102" s="518">
        <v>0</v>
      </c>
      <c r="GZ102" s="518">
        <v>0</v>
      </c>
      <c r="HA102" s="518">
        <v>0</v>
      </c>
      <c r="HB102" s="518">
        <v>0</v>
      </c>
      <c r="HC102" s="518">
        <v>0</v>
      </c>
      <c r="HD102" s="518">
        <v>0</v>
      </c>
      <c r="HE102" s="518">
        <v>0</v>
      </c>
      <c r="HF102" s="518">
        <v>0</v>
      </c>
      <c r="HG102" s="518">
        <v>0</v>
      </c>
      <c r="HH102" s="518">
        <v>0</v>
      </c>
      <c r="HI102" s="518">
        <v>0</v>
      </c>
      <c r="HJ102" s="518">
        <v>0</v>
      </c>
      <c r="HK102" s="518">
        <v>0</v>
      </c>
      <c r="HL102" s="518">
        <v>0</v>
      </c>
      <c r="HM102" s="518">
        <v>0</v>
      </c>
      <c r="HN102" s="518">
        <v>0</v>
      </c>
      <c r="HO102" s="518">
        <v>0</v>
      </c>
      <c r="HP102" s="518">
        <v>0</v>
      </c>
      <c r="HQ102" s="518">
        <v>0</v>
      </c>
      <c r="HR102" s="518">
        <v>0</v>
      </c>
      <c r="HS102" s="518">
        <v>0</v>
      </c>
      <c r="HT102" s="518">
        <v>0</v>
      </c>
      <c r="HU102" s="518">
        <v>0</v>
      </c>
      <c r="HV102" s="518">
        <v>0</v>
      </c>
      <c r="HW102" s="518">
        <v>0</v>
      </c>
      <c r="HX102" s="518">
        <v>0</v>
      </c>
      <c r="HY102" s="518">
        <v>0</v>
      </c>
      <c r="HZ102" s="518">
        <v>0</v>
      </c>
      <c r="IA102" s="518">
        <v>0</v>
      </c>
      <c r="IB102" s="518">
        <v>0</v>
      </c>
      <c r="IC102" s="518">
        <v>0</v>
      </c>
      <c r="ID102" s="518">
        <v>0</v>
      </c>
      <c r="IE102" s="518">
        <v>0</v>
      </c>
      <c r="IF102" s="518">
        <v>0</v>
      </c>
      <c r="IG102" s="518">
        <v>0</v>
      </c>
      <c r="IH102" s="518">
        <v>0</v>
      </c>
      <c r="II102" s="518">
        <v>0</v>
      </c>
      <c r="IJ102" s="518">
        <v>0</v>
      </c>
      <c r="IK102" s="518">
        <v>0</v>
      </c>
    </row>
    <row r="103" spans="1:245" ht="16.5" hidden="1">
      <c r="A103" s="517"/>
      <c r="B103" s="517"/>
      <c r="C103" s="517"/>
      <c r="D103" s="517"/>
      <c r="E103" s="517"/>
      <c r="F103" s="517"/>
      <c r="G103" s="558"/>
      <c r="H103" s="518"/>
      <c r="I103" s="558"/>
      <c r="J103" s="494"/>
      <c r="K103" s="518"/>
      <c r="M103" s="517" t="s">
        <v>721</v>
      </c>
      <c r="N103" s="517" t="s">
        <v>1101</v>
      </c>
      <c r="O103" s="517" t="s">
        <v>25</v>
      </c>
      <c r="P103" s="518">
        <v>17</v>
      </c>
      <c r="Q103" s="494" t="str">
        <f t="shared" si="6"/>
        <v>SWUC100117</v>
      </c>
      <c r="R103" s="518">
        <v>50.9</v>
      </c>
      <c r="S103" s="518">
        <v>10000</v>
      </c>
      <c r="T103" s="518">
        <v>10000</v>
      </c>
      <c r="U103" s="518">
        <v>10000</v>
      </c>
      <c r="V103" s="518">
        <v>10000</v>
      </c>
      <c r="W103" s="518">
        <v>10000</v>
      </c>
      <c r="X103" s="518">
        <v>10000</v>
      </c>
      <c r="Y103" s="518">
        <v>10000</v>
      </c>
      <c r="Z103" s="518">
        <v>10000</v>
      </c>
      <c r="AA103" s="518">
        <v>10000</v>
      </c>
      <c r="AB103" s="518">
        <v>0</v>
      </c>
      <c r="AC103" s="518">
        <v>0</v>
      </c>
      <c r="AD103" s="518">
        <v>0</v>
      </c>
      <c r="AE103" s="518">
        <v>0</v>
      </c>
      <c r="AF103" s="518">
        <v>0</v>
      </c>
      <c r="AG103" s="518">
        <v>0</v>
      </c>
      <c r="AH103" s="518">
        <v>0</v>
      </c>
      <c r="AI103" s="518">
        <v>0</v>
      </c>
      <c r="AJ103" s="518">
        <v>0</v>
      </c>
      <c r="AK103" s="518">
        <v>0</v>
      </c>
      <c r="AL103" s="518">
        <v>0</v>
      </c>
      <c r="AM103" s="518">
        <v>0</v>
      </c>
      <c r="AN103" s="518">
        <v>0</v>
      </c>
      <c r="AO103" s="518">
        <v>0</v>
      </c>
      <c r="AP103" s="518">
        <v>0</v>
      </c>
      <c r="AQ103" s="518">
        <v>0</v>
      </c>
      <c r="AR103" s="518">
        <v>0</v>
      </c>
      <c r="AS103" s="518">
        <v>0</v>
      </c>
      <c r="AT103" s="518">
        <v>0</v>
      </c>
      <c r="AU103" s="518">
        <v>0</v>
      </c>
      <c r="AV103" s="518">
        <v>0</v>
      </c>
      <c r="AW103" s="518">
        <v>0</v>
      </c>
      <c r="AX103" s="518">
        <v>0</v>
      </c>
      <c r="AY103" s="518">
        <v>0</v>
      </c>
      <c r="AZ103" s="518">
        <v>0</v>
      </c>
      <c r="BA103" s="518">
        <v>0</v>
      </c>
      <c r="BB103" s="518">
        <v>0</v>
      </c>
      <c r="BC103" s="518">
        <v>0</v>
      </c>
      <c r="BD103" s="518">
        <v>0</v>
      </c>
      <c r="BE103" s="518">
        <v>0</v>
      </c>
      <c r="BF103" s="518">
        <v>0</v>
      </c>
      <c r="BG103" s="518">
        <v>0</v>
      </c>
      <c r="BH103" s="518">
        <v>0</v>
      </c>
      <c r="BI103" s="518">
        <v>0</v>
      </c>
      <c r="BJ103" s="518">
        <v>0</v>
      </c>
      <c r="BK103" s="518">
        <v>0</v>
      </c>
      <c r="BL103" s="518">
        <v>0</v>
      </c>
      <c r="BM103" s="518">
        <v>0</v>
      </c>
      <c r="BN103" s="518">
        <v>0</v>
      </c>
      <c r="BO103" s="518">
        <v>0</v>
      </c>
      <c r="BP103" s="518">
        <v>0</v>
      </c>
      <c r="BQ103" s="518">
        <v>0</v>
      </c>
      <c r="BR103" s="518">
        <v>0</v>
      </c>
      <c r="BS103" s="518">
        <v>0</v>
      </c>
      <c r="BT103" s="518">
        <v>0</v>
      </c>
      <c r="BU103" s="518">
        <v>0</v>
      </c>
      <c r="BV103" s="518">
        <v>0</v>
      </c>
      <c r="BW103" s="518">
        <v>0</v>
      </c>
      <c r="BX103" s="518">
        <v>0</v>
      </c>
      <c r="BY103" s="518">
        <v>0</v>
      </c>
      <c r="BZ103" s="518">
        <v>0</v>
      </c>
      <c r="CA103" s="518">
        <v>0</v>
      </c>
      <c r="CB103" s="518">
        <v>0</v>
      </c>
      <c r="CC103" s="518">
        <v>0</v>
      </c>
      <c r="CD103" s="518">
        <v>0</v>
      </c>
      <c r="CE103" s="518">
        <v>0</v>
      </c>
      <c r="CF103" s="518">
        <v>0</v>
      </c>
      <c r="CG103" s="518">
        <v>0</v>
      </c>
      <c r="CH103" s="518">
        <v>0</v>
      </c>
      <c r="CI103" s="518">
        <v>0</v>
      </c>
      <c r="CJ103" s="518">
        <v>0</v>
      </c>
      <c r="CK103" s="518">
        <v>0</v>
      </c>
      <c r="CL103" s="518">
        <v>0</v>
      </c>
      <c r="CM103" s="518">
        <v>0</v>
      </c>
      <c r="CN103" s="518">
        <v>0</v>
      </c>
      <c r="CO103" s="518">
        <v>0</v>
      </c>
      <c r="CP103" s="518">
        <v>0</v>
      </c>
      <c r="CQ103" s="518">
        <v>0</v>
      </c>
      <c r="CR103" s="518">
        <v>0</v>
      </c>
      <c r="CS103" s="518">
        <v>0</v>
      </c>
      <c r="CT103" s="518">
        <v>0</v>
      </c>
      <c r="CU103" s="518">
        <v>0</v>
      </c>
      <c r="CV103" s="518">
        <v>0</v>
      </c>
      <c r="CW103" s="518">
        <v>0</v>
      </c>
      <c r="CX103" s="518">
        <v>0</v>
      </c>
      <c r="CY103" s="518">
        <v>0</v>
      </c>
      <c r="CZ103" s="518">
        <v>0</v>
      </c>
      <c r="DA103" s="518">
        <v>0</v>
      </c>
      <c r="DB103" s="518">
        <v>0</v>
      </c>
      <c r="DC103" s="518">
        <v>0</v>
      </c>
      <c r="DD103" s="518">
        <v>0</v>
      </c>
      <c r="DE103" s="518">
        <v>0</v>
      </c>
      <c r="DF103" s="518">
        <v>0</v>
      </c>
      <c r="DG103" s="518">
        <v>0</v>
      </c>
      <c r="DH103" s="518">
        <v>0</v>
      </c>
      <c r="DI103" s="518">
        <v>0</v>
      </c>
      <c r="DJ103" s="518">
        <v>0</v>
      </c>
      <c r="DK103" s="518">
        <v>0</v>
      </c>
      <c r="DL103" s="518">
        <v>0</v>
      </c>
      <c r="DM103" s="518">
        <v>0</v>
      </c>
      <c r="DN103" s="518">
        <v>0</v>
      </c>
      <c r="DO103" s="518">
        <v>0</v>
      </c>
      <c r="DP103" s="518">
        <v>0</v>
      </c>
      <c r="DQ103" s="518">
        <v>0</v>
      </c>
      <c r="DR103" s="518">
        <v>0</v>
      </c>
      <c r="DS103" s="518">
        <v>0</v>
      </c>
      <c r="DT103" s="518">
        <v>0</v>
      </c>
      <c r="DU103" s="518">
        <v>0</v>
      </c>
      <c r="DV103" s="518">
        <v>0</v>
      </c>
      <c r="DW103" s="518">
        <v>0</v>
      </c>
      <c r="DX103" s="518">
        <v>0</v>
      </c>
      <c r="DZ103" s="517" t="s">
        <v>721</v>
      </c>
      <c r="EA103" s="517" t="s">
        <v>1101</v>
      </c>
      <c r="EB103" s="517" t="s">
        <v>25</v>
      </c>
      <c r="EC103" s="518">
        <v>17</v>
      </c>
      <c r="ED103" s="494" t="str">
        <f t="shared" si="7"/>
        <v>SWUC100117</v>
      </c>
      <c r="EE103" s="518">
        <v>50.9</v>
      </c>
      <c r="EF103" s="518">
        <v>2000</v>
      </c>
      <c r="EG103" s="518">
        <v>2000</v>
      </c>
      <c r="EH103" s="518">
        <v>2000</v>
      </c>
      <c r="EI103" s="518">
        <v>2000</v>
      </c>
      <c r="EJ103" s="518">
        <v>2000</v>
      </c>
      <c r="EK103" s="518">
        <v>2000</v>
      </c>
      <c r="EL103" s="518">
        <v>2000</v>
      </c>
      <c r="EM103" s="518">
        <v>2000</v>
      </c>
      <c r="EN103" s="518">
        <v>2000</v>
      </c>
      <c r="EO103" s="518">
        <v>0</v>
      </c>
      <c r="EP103" s="518">
        <v>0</v>
      </c>
      <c r="EQ103" s="518">
        <v>0</v>
      </c>
      <c r="ER103" s="518">
        <v>0</v>
      </c>
      <c r="ES103" s="518">
        <v>0</v>
      </c>
      <c r="ET103" s="518">
        <v>0</v>
      </c>
      <c r="EU103" s="518">
        <v>0</v>
      </c>
      <c r="EV103" s="518">
        <v>0</v>
      </c>
      <c r="EW103" s="518">
        <v>0</v>
      </c>
      <c r="EX103" s="518">
        <v>0</v>
      </c>
      <c r="EY103" s="518">
        <v>0</v>
      </c>
      <c r="EZ103" s="518">
        <v>0</v>
      </c>
      <c r="FA103" s="518">
        <v>0</v>
      </c>
      <c r="FB103" s="518">
        <v>0</v>
      </c>
      <c r="FC103" s="518">
        <v>0</v>
      </c>
      <c r="FD103" s="518">
        <v>0</v>
      </c>
      <c r="FE103" s="518">
        <v>0</v>
      </c>
      <c r="FF103" s="518">
        <v>0</v>
      </c>
      <c r="FG103" s="518">
        <v>0</v>
      </c>
      <c r="FH103" s="518">
        <v>0</v>
      </c>
      <c r="FI103" s="518">
        <v>0</v>
      </c>
      <c r="FJ103" s="518">
        <v>0</v>
      </c>
      <c r="FK103" s="518">
        <v>0</v>
      </c>
      <c r="FL103" s="518">
        <v>0</v>
      </c>
      <c r="FM103" s="518">
        <v>0</v>
      </c>
      <c r="FN103" s="518">
        <v>0</v>
      </c>
      <c r="FO103" s="518">
        <v>0</v>
      </c>
      <c r="FP103" s="518">
        <v>0</v>
      </c>
      <c r="FQ103" s="518">
        <v>0</v>
      </c>
      <c r="FR103" s="518">
        <v>0</v>
      </c>
      <c r="FS103" s="518">
        <v>0</v>
      </c>
      <c r="FT103" s="518">
        <v>0</v>
      </c>
      <c r="FU103" s="518">
        <v>0</v>
      </c>
      <c r="FV103" s="518">
        <v>0</v>
      </c>
      <c r="FW103" s="518">
        <v>0</v>
      </c>
      <c r="FX103" s="518">
        <v>0</v>
      </c>
      <c r="FY103" s="518">
        <v>0</v>
      </c>
      <c r="FZ103" s="518">
        <v>0</v>
      </c>
      <c r="GA103" s="518">
        <v>0</v>
      </c>
      <c r="GB103" s="518">
        <v>0</v>
      </c>
      <c r="GC103" s="518">
        <v>0</v>
      </c>
      <c r="GD103" s="518">
        <v>0</v>
      </c>
      <c r="GE103" s="518">
        <v>0</v>
      </c>
      <c r="GF103" s="518">
        <v>0</v>
      </c>
      <c r="GG103" s="518">
        <v>0</v>
      </c>
      <c r="GH103" s="518">
        <v>0</v>
      </c>
      <c r="GI103" s="518">
        <v>0</v>
      </c>
      <c r="GJ103" s="518">
        <v>0</v>
      </c>
      <c r="GK103" s="518">
        <v>0</v>
      </c>
      <c r="GL103" s="518">
        <v>0</v>
      </c>
      <c r="GM103" s="518">
        <v>0</v>
      </c>
      <c r="GN103" s="518">
        <v>0</v>
      </c>
      <c r="GO103" s="518">
        <v>0</v>
      </c>
      <c r="GP103" s="518">
        <v>0</v>
      </c>
      <c r="GQ103" s="518">
        <v>0</v>
      </c>
      <c r="GR103" s="518">
        <v>0</v>
      </c>
      <c r="GS103" s="518">
        <v>0</v>
      </c>
      <c r="GT103" s="518">
        <v>0</v>
      </c>
      <c r="GU103" s="518">
        <v>0</v>
      </c>
      <c r="GV103" s="518">
        <v>0</v>
      </c>
      <c r="GW103" s="518">
        <v>0</v>
      </c>
      <c r="GX103" s="518">
        <v>0</v>
      </c>
      <c r="GY103" s="518">
        <v>0</v>
      </c>
      <c r="GZ103" s="518">
        <v>0</v>
      </c>
      <c r="HA103" s="518">
        <v>0</v>
      </c>
      <c r="HB103" s="518">
        <v>0</v>
      </c>
      <c r="HC103" s="518">
        <v>0</v>
      </c>
      <c r="HD103" s="518">
        <v>0</v>
      </c>
      <c r="HE103" s="518">
        <v>0</v>
      </c>
      <c r="HF103" s="518">
        <v>0</v>
      </c>
      <c r="HG103" s="518">
        <v>0</v>
      </c>
      <c r="HH103" s="518">
        <v>0</v>
      </c>
      <c r="HI103" s="518">
        <v>0</v>
      </c>
      <c r="HJ103" s="518">
        <v>0</v>
      </c>
      <c r="HK103" s="518">
        <v>0</v>
      </c>
      <c r="HL103" s="518">
        <v>0</v>
      </c>
      <c r="HM103" s="518">
        <v>0</v>
      </c>
      <c r="HN103" s="518">
        <v>0</v>
      </c>
      <c r="HO103" s="518">
        <v>0</v>
      </c>
      <c r="HP103" s="518">
        <v>0</v>
      </c>
      <c r="HQ103" s="518">
        <v>0</v>
      </c>
      <c r="HR103" s="518">
        <v>0</v>
      </c>
      <c r="HS103" s="518">
        <v>0</v>
      </c>
      <c r="HT103" s="518">
        <v>0</v>
      </c>
      <c r="HU103" s="518">
        <v>0</v>
      </c>
      <c r="HV103" s="518">
        <v>0</v>
      </c>
      <c r="HW103" s="518">
        <v>0</v>
      </c>
      <c r="HX103" s="518">
        <v>0</v>
      </c>
      <c r="HY103" s="518">
        <v>0</v>
      </c>
      <c r="HZ103" s="518">
        <v>0</v>
      </c>
      <c r="IA103" s="518">
        <v>0</v>
      </c>
      <c r="IB103" s="518">
        <v>0</v>
      </c>
      <c r="IC103" s="518">
        <v>0</v>
      </c>
      <c r="ID103" s="518">
        <v>0</v>
      </c>
      <c r="IE103" s="518">
        <v>0</v>
      </c>
      <c r="IF103" s="518">
        <v>0</v>
      </c>
      <c r="IG103" s="518">
        <v>0</v>
      </c>
      <c r="IH103" s="518">
        <v>0</v>
      </c>
      <c r="II103" s="518">
        <v>0</v>
      </c>
      <c r="IJ103" s="518">
        <v>0</v>
      </c>
      <c r="IK103" s="518">
        <v>0</v>
      </c>
    </row>
    <row r="104" spans="1:245" ht="16.5" hidden="1">
      <c r="A104" s="517"/>
      <c r="B104" s="517"/>
      <c r="C104" s="517"/>
      <c r="D104" s="517"/>
      <c r="E104" s="517"/>
      <c r="F104" s="517"/>
      <c r="G104" s="558"/>
      <c r="H104" s="518"/>
      <c r="I104" s="558"/>
      <c r="J104" s="494"/>
      <c r="K104" s="518"/>
      <c r="M104" s="517" t="s">
        <v>721</v>
      </c>
      <c r="N104" s="517" t="s">
        <v>1101</v>
      </c>
      <c r="O104" s="517" t="s">
        <v>25</v>
      </c>
      <c r="P104" s="518">
        <v>18</v>
      </c>
      <c r="Q104" s="494" t="str">
        <f t="shared" si="6"/>
        <v>SWUC100118</v>
      </c>
      <c r="R104" s="518">
        <v>55.1</v>
      </c>
      <c r="S104" s="518">
        <v>10000</v>
      </c>
      <c r="T104" s="518">
        <v>10000</v>
      </c>
      <c r="U104" s="518">
        <v>10000</v>
      </c>
      <c r="V104" s="518">
        <v>10000</v>
      </c>
      <c r="W104" s="518">
        <v>10000</v>
      </c>
      <c r="X104" s="518">
        <v>10000</v>
      </c>
      <c r="Y104" s="518">
        <v>10000</v>
      </c>
      <c r="Z104" s="518">
        <v>10000</v>
      </c>
      <c r="AA104" s="518">
        <v>10000</v>
      </c>
      <c r="AB104" s="518">
        <v>0</v>
      </c>
      <c r="AC104" s="518">
        <v>0</v>
      </c>
      <c r="AD104" s="518">
        <v>0</v>
      </c>
      <c r="AE104" s="518">
        <v>0</v>
      </c>
      <c r="AF104" s="518">
        <v>0</v>
      </c>
      <c r="AG104" s="518">
        <v>0</v>
      </c>
      <c r="AH104" s="518">
        <v>0</v>
      </c>
      <c r="AI104" s="518">
        <v>0</v>
      </c>
      <c r="AJ104" s="518">
        <v>0</v>
      </c>
      <c r="AK104" s="518">
        <v>0</v>
      </c>
      <c r="AL104" s="518">
        <v>0</v>
      </c>
      <c r="AM104" s="518">
        <v>0</v>
      </c>
      <c r="AN104" s="518">
        <v>0</v>
      </c>
      <c r="AO104" s="518">
        <v>0</v>
      </c>
      <c r="AP104" s="518">
        <v>0</v>
      </c>
      <c r="AQ104" s="518">
        <v>0</v>
      </c>
      <c r="AR104" s="518">
        <v>0</v>
      </c>
      <c r="AS104" s="518">
        <v>0</v>
      </c>
      <c r="AT104" s="518">
        <v>0</v>
      </c>
      <c r="AU104" s="518">
        <v>0</v>
      </c>
      <c r="AV104" s="518">
        <v>0</v>
      </c>
      <c r="AW104" s="518">
        <v>0</v>
      </c>
      <c r="AX104" s="518">
        <v>0</v>
      </c>
      <c r="AY104" s="518">
        <v>0</v>
      </c>
      <c r="AZ104" s="518">
        <v>0</v>
      </c>
      <c r="BA104" s="518">
        <v>0</v>
      </c>
      <c r="BB104" s="518">
        <v>0</v>
      </c>
      <c r="BC104" s="518">
        <v>0</v>
      </c>
      <c r="BD104" s="518">
        <v>0</v>
      </c>
      <c r="BE104" s="518">
        <v>0</v>
      </c>
      <c r="BF104" s="518">
        <v>0</v>
      </c>
      <c r="BG104" s="518">
        <v>0</v>
      </c>
      <c r="BH104" s="518">
        <v>0</v>
      </c>
      <c r="BI104" s="518">
        <v>0</v>
      </c>
      <c r="BJ104" s="518">
        <v>0</v>
      </c>
      <c r="BK104" s="518">
        <v>0</v>
      </c>
      <c r="BL104" s="518">
        <v>0</v>
      </c>
      <c r="BM104" s="518">
        <v>0</v>
      </c>
      <c r="BN104" s="518">
        <v>0</v>
      </c>
      <c r="BO104" s="518">
        <v>0</v>
      </c>
      <c r="BP104" s="518">
        <v>0</v>
      </c>
      <c r="BQ104" s="518">
        <v>0</v>
      </c>
      <c r="BR104" s="518">
        <v>0</v>
      </c>
      <c r="BS104" s="518">
        <v>0</v>
      </c>
      <c r="BT104" s="518">
        <v>0</v>
      </c>
      <c r="BU104" s="518">
        <v>0</v>
      </c>
      <c r="BV104" s="518">
        <v>0</v>
      </c>
      <c r="BW104" s="518">
        <v>0</v>
      </c>
      <c r="BX104" s="518">
        <v>0</v>
      </c>
      <c r="BY104" s="518">
        <v>0</v>
      </c>
      <c r="BZ104" s="518">
        <v>0</v>
      </c>
      <c r="CA104" s="518">
        <v>0</v>
      </c>
      <c r="CB104" s="518">
        <v>0</v>
      </c>
      <c r="CC104" s="518">
        <v>0</v>
      </c>
      <c r="CD104" s="518">
        <v>0</v>
      </c>
      <c r="CE104" s="518">
        <v>0</v>
      </c>
      <c r="CF104" s="518">
        <v>0</v>
      </c>
      <c r="CG104" s="518">
        <v>0</v>
      </c>
      <c r="CH104" s="518">
        <v>0</v>
      </c>
      <c r="CI104" s="518">
        <v>0</v>
      </c>
      <c r="CJ104" s="518">
        <v>0</v>
      </c>
      <c r="CK104" s="518">
        <v>0</v>
      </c>
      <c r="CL104" s="518">
        <v>0</v>
      </c>
      <c r="CM104" s="518">
        <v>0</v>
      </c>
      <c r="CN104" s="518">
        <v>0</v>
      </c>
      <c r="CO104" s="518">
        <v>0</v>
      </c>
      <c r="CP104" s="518">
        <v>0</v>
      </c>
      <c r="CQ104" s="518">
        <v>0</v>
      </c>
      <c r="CR104" s="518">
        <v>0</v>
      </c>
      <c r="CS104" s="518">
        <v>0</v>
      </c>
      <c r="CT104" s="518">
        <v>0</v>
      </c>
      <c r="CU104" s="518">
        <v>0</v>
      </c>
      <c r="CV104" s="518">
        <v>0</v>
      </c>
      <c r="CW104" s="518">
        <v>0</v>
      </c>
      <c r="CX104" s="518">
        <v>0</v>
      </c>
      <c r="CY104" s="518">
        <v>0</v>
      </c>
      <c r="CZ104" s="518">
        <v>0</v>
      </c>
      <c r="DA104" s="518">
        <v>0</v>
      </c>
      <c r="DB104" s="518">
        <v>0</v>
      </c>
      <c r="DC104" s="518">
        <v>0</v>
      </c>
      <c r="DD104" s="518">
        <v>0</v>
      </c>
      <c r="DE104" s="518">
        <v>0</v>
      </c>
      <c r="DF104" s="518">
        <v>0</v>
      </c>
      <c r="DG104" s="518">
        <v>0</v>
      </c>
      <c r="DH104" s="518">
        <v>0</v>
      </c>
      <c r="DI104" s="518">
        <v>0</v>
      </c>
      <c r="DJ104" s="518">
        <v>0</v>
      </c>
      <c r="DK104" s="518">
        <v>0</v>
      </c>
      <c r="DL104" s="518">
        <v>0</v>
      </c>
      <c r="DM104" s="518">
        <v>0</v>
      </c>
      <c r="DN104" s="518">
        <v>0</v>
      </c>
      <c r="DO104" s="518">
        <v>0</v>
      </c>
      <c r="DP104" s="518">
        <v>0</v>
      </c>
      <c r="DQ104" s="518">
        <v>0</v>
      </c>
      <c r="DR104" s="518">
        <v>0</v>
      </c>
      <c r="DS104" s="518">
        <v>0</v>
      </c>
      <c r="DT104" s="518">
        <v>0</v>
      </c>
      <c r="DU104" s="518">
        <v>0</v>
      </c>
      <c r="DV104" s="518">
        <v>0</v>
      </c>
      <c r="DW104" s="518">
        <v>0</v>
      </c>
      <c r="DX104" s="518">
        <v>0</v>
      </c>
      <c r="DZ104" s="517" t="s">
        <v>721</v>
      </c>
      <c r="EA104" s="517" t="s">
        <v>1101</v>
      </c>
      <c r="EB104" s="517" t="s">
        <v>25</v>
      </c>
      <c r="EC104" s="518">
        <v>18</v>
      </c>
      <c r="ED104" s="494" t="str">
        <f t="shared" si="7"/>
        <v>SWUC100118</v>
      </c>
      <c r="EE104" s="518">
        <v>55.1</v>
      </c>
      <c r="EF104" s="518">
        <v>2000</v>
      </c>
      <c r="EG104" s="518">
        <v>2000</v>
      </c>
      <c r="EH104" s="518">
        <v>2000</v>
      </c>
      <c r="EI104" s="518">
        <v>2000</v>
      </c>
      <c r="EJ104" s="518">
        <v>2000</v>
      </c>
      <c r="EK104" s="518">
        <v>2000</v>
      </c>
      <c r="EL104" s="518">
        <v>2000</v>
      </c>
      <c r="EM104" s="518">
        <v>2000</v>
      </c>
      <c r="EN104" s="518">
        <v>2000</v>
      </c>
      <c r="EO104" s="518">
        <v>0</v>
      </c>
      <c r="EP104" s="518">
        <v>0</v>
      </c>
      <c r="EQ104" s="518">
        <v>0</v>
      </c>
      <c r="ER104" s="518">
        <v>0</v>
      </c>
      <c r="ES104" s="518">
        <v>0</v>
      </c>
      <c r="ET104" s="518">
        <v>0</v>
      </c>
      <c r="EU104" s="518">
        <v>0</v>
      </c>
      <c r="EV104" s="518">
        <v>0</v>
      </c>
      <c r="EW104" s="518">
        <v>0</v>
      </c>
      <c r="EX104" s="518">
        <v>0</v>
      </c>
      <c r="EY104" s="518">
        <v>0</v>
      </c>
      <c r="EZ104" s="518">
        <v>0</v>
      </c>
      <c r="FA104" s="518">
        <v>0</v>
      </c>
      <c r="FB104" s="518">
        <v>0</v>
      </c>
      <c r="FC104" s="518">
        <v>0</v>
      </c>
      <c r="FD104" s="518">
        <v>0</v>
      </c>
      <c r="FE104" s="518">
        <v>0</v>
      </c>
      <c r="FF104" s="518">
        <v>0</v>
      </c>
      <c r="FG104" s="518">
        <v>0</v>
      </c>
      <c r="FH104" s="518">
        <v>0</v>
      </c>
      <c r="FI104" s="518">
        <v>0</v>
      </c>
      <c r="FJ104" s="518">
        <v>0</v>
      </c>
      <c r="FK104" s="518">
        <v>0</v>
      </c>
      <c r="FL104" s="518">
        <v>0</v>
      </c>
      <c r="FM104" s="518">
        <v>0</v>
      </c>
      <c r="FN104" s="518">
        <v>0</v>
      </c>
      <c r="FO104" s="518">
        <v>0</v>
      </c>
      <c r="FP104" s="518">
        <v>0</v>
      </c>
      <c r="FQ104" s="518">
        <v>0</v>
      </c>
      <c r="FR104" s="518">
        <v>0</v>
      </c>
      <c r="FS104" s="518">
        <v>0</v>
      </c>
      <c r="FT104" s="518">
        <v>0</v>
      </c>
      <c r="FU104" s="518">
        <v>0</v>
      </c>
      <c r="FV104" s="518">
        <v>0</v>
      </c>
      <c r="FW104" s="518">
        <v>0</v>
      </c>
      <c r="FX104" s="518">
        <v>0</v>
      </c>
      <c r="FY104" s="518">
        <v>0</v>
      </c>
      <c r="FZ104" s="518">
        <v>0</v>
      </c>
      <c r="GA104" s="518">
        <v>0</v>
      </c>
      <c r="GB104" s="518">
        <v>0</v>
      </c>
      <c r="GC104" s="518">
        <v>0</v>
      </c>
      <c r="GD104" s="518">
        <v>0</v>
      </c>
      <c r="GE104" s="518">
        <v>0</v>
      </c>
      <c r="GF104" s="518">
        <v>0</v>
      </c>
      <c r="GG104" s="518">
        <v>0</v>
      </c>
      <c r="GH104" s="518">
        <v>0</v>
      </c>
      <c r="GI104" s="518">
        <v>0</v>
      </c>
      <c r="GJ104" s="518">
        <v>0</v>
      </c>
      <c r="GK104" s="518">
        <v>0</v>
      </c>
      <c r="GL104" s="518">
        <v>0</v>
      </c>
      <c r="GM104" s="518">
        <v>0</v>
      </c>
      <c r="GN104" s="518">
        <v>0</v>
      </c>
      <c r="GO104" s="518">
        <v>0</v>
      </c>
      <c r="GP104" s="518">
        <v>0</v>
      </c>
      <c r="GQ104" s="518">
        <v>0</v>
      </c>
      <c r="GR104" s="518">
        <v>0</v>
      </c>
      <c r="GS104" s="518">
        <v>0</v>
      </c>
      <c r="GT104" s="518">
        <v>0</v>
      </c>
      <c r="GU104" s="518">
        <v>0</v>
      </c>
      <c r="GV104" s="518">
        <v>0</v>
      </c>
      <c r="GW104" s="518">
        <v>0</v>
      </c>
      <c r="GX104" s="518">
        <v>0</v>
      </c>
      <c r="GY104" s="518">
        <v>0</v>
      </c>
      <c r="GZ104" s="518">
        <v>0</v>
      </c>
      <c r="HA104" s="518">
        <v>0</v>
      </c>
      <c r="HB104" s="518">
        <v>0</v>
      </c>
      <c r="HC104" s="518">
        <v>0</v>
      </c>
      <c r="HD104" s="518">
        <v>0</v>
      </c>
      <c r="HE104" s="518">
        <v>0</v>
      </c>
      <c r="HF104" s="518">
        <v>0</v>
      </c>
      <c r="HG104" s="518">
        <v>0</v>
      </c>
      <c r="HH104" s="518">
        <v>0</v>
      </c>
      <c r="HI104" s="518">
        <v>0</v>
      </c>
      <c r="HJ104" s="518">
        <v>0</v>
      </c>
      <c r="HK104" s="518">
        <v>0</v>
      </c>
      <c r="HL104" s="518">
        <v>0</v>
      </c>
      <c r="HM104" s="518">
        <v>0</v>
      </c>
      <c r="HN104" s="518">
        <v>0</v>
      </c>
      <c r="HO104" s="518">
        <v>0</v>
      </c>
      <c r="HP104" s="518">
        <v>0</v>
      </c>
      <c r="HQ104" s="518">
        <v>0</v>
      </c>
      <c r="HR104" s="518">
        <v>0</v>
      </c>
      <c r="HS104" s="518">
        <v>0</v>
      </c>
      <c r="HT104" s="518">
        <v>0</v>
      </c>
      <c r="HU104" s="518">
        <v>0</v>
      </c>
      <c r="HV104" s="518">
        <v>0</v>
      </c>
      <c r="HW104" s="518">
        <v>0</v>
      </c>
      <c r="HX104" s="518">
        <v>0</v>
      </c>
      <c r="HY104" s="518">
        <v>0</v>
      </c>
      <c r="HZ104" s="518">
        <v>0</v>
      </c>
      <c r="IA104" s="518">
        <v>0</v>
      </c>
      <c r="IB104" s="518">
        <v>0</v>
      </c>
      <c r="IC104" s="518">
        <v>0</v>
      </c>
      <c r="ID104" s="518">
        <v>0</v>
      </c>
      <c r="IE104" s="518">
        <v>0</v>
      </c>
      <c r="IF104" s="518">
        <v>0</v>
      </c>
      <c r="IG104" s="518">
        <v>0</v>
      </c>
      <c r="IH104" s="518">
        <v>0</v>
      </c>
      <c r="II104" s="518">
        <v>0</v>
      </c>
      <c r="IJ104" s="518">
        <v>0</v>
      </c>
      <c r="IK104" s="518">
        <v>0</v>
      </c>
    </row>
    <row r="105" spans="1:245" ht="16.5" hidden="1">
      <c r="A105" s="517"/>
      <c r="B105" s="517"/>
      <c r="C105" s="517"/>
      <c r="D105" s="517"/>
      <c r="E105" s="517"/>
      <c r="F105" s="517"/>
      <c r="G105" s="558"/>
      <c r="H105" s="518"/>
      <c r="I105" s="558"/>
      <c r="J105" s="494"/>
      <c r="K105" s="518"/>
      <c r="M105" s="517" t="s">
        <v>721</v>
      </c>
      <c r="N105" s="517" t="s">
        <v>1101</v>
      </c>
      <c r="O105" s="517" t="s">
        <v>25</v>
      </c>
      <c r="P105" s="518">
        <v>19</v>
      </c>
      <c r="Q105" s="494" t="str">
        <f t="shared" si="6"/>
        <v>SWUC100119</v>
      </c>
      <c r="R105" s="518">
        <v>59.4</v>
      </c>
      <c r="S105" s="518">
        <v>10000</v>
      </c>
      <c r="T105" s="518">
        <v>10000</v>
      </c>
      <c r="U105" s="518">
        <v>10000</v>
      </c>
      <c r="V105" s="518">
        <v>10000</v>
      </c>
      <c r="W105" s="518">
        <v>10000</v>
      </c>
      <c r="X105" s="518">
        <v>10000</v>
      </c>
      <c r="Y105" s="518">
        <v>10000</v>
      </c>
      <c r="Z105" s="518">
        <v>10000</v>
      </c>
      <c r="AA105" s="518">
        <v>10000</v>
      </c>
      <c r="AB105" s="518">
        <v>0</v>
      </c>
      <c r="AC105" s="518">
        <v>0</v>
      </c>
      <c r="AD105" s="518">
        <v>0</v>
      </c>
      <c r="AE105" s="518">
        <v>0</v>
      </c>
      <c r="AF105" s="518">
        <v>0</v>
      </c>
      <c r="AG105" s="518">
        <v>0</v>
      </c>
      <c r="AH105" s="518">
        <v>0</v>
      </c>
      <c r="AI105" s="518">
        <v>0</v>
      </c>
      <c r="AJ105" s="518">
        <v>0</v>
      </c>
      <c r="AK105" s="518">
        <v>0</v>
      </c>
      <c r="AL105" s="518">
        <v>0</v>
      </c>
      <c r="AM105" s="518">
        <v>0</v>
      </c>
      <c r="AN105" s="518">
        <v>0</v>
      </c>
      <c r="AO105" s="518">
        <v>0</v>
      </c>
      <c r="AP105" s="518">
        <v>0</v>
      </c>
      <c r="AQ105" s="518">
        <v>0</v>
      </c>
      <c r="AR105" s="518">
        <v>0</v>
      </c>
      <c r="AS105" s="518">
        <v>0</v>
      </c>
      <c r="AT105" s="518">
        <v>0</v>
      </c>
      <c r="AU105" s="518">
        <v>0</v>
      </c>
      <c r="AV105" s="518">
        <v>0</v>
      </c>
      <c r="AW105" s="518">
        <v>0</v>
      </c>
      <c r="AX105" s="518">
        <v>0</v>
      </c>
      <c r="AY105" s="518">
        <v>0</v>
      </c>
      <c r="AZ105" s="518">
        <v>0</v>
      </c>
      <c r="BA105" s="518">
        <v>0</v>
      </c>
      <c r="BB105" s="518">
        <v>0</v>
      </c>
      <c r="BC105" s="518">
        <v>0</v>
      </c>
      <c r="BD105" s="518">
        <v>0</v>
      </c>
      <c r="BE105" s="518">
        <v>0</v>
      </c>
      <c r="BF105" s="518">
        <v>0</v>
      </c>
      <c r="BG105" s="518">
        <v>0</v>
      </c>
      <c r="BH105" s="518">
        <v>0</v>
      </c>
      <c r="BI105" s="518">
        <v>0</v>
      </c>
      <c r="BJ105" s="518">
        <v>0</v>
      </c>
      <c r="BK105" s="518">
        <v>0</v>
      </c>
      <c r="BL105" s="518">
        <v>0</v>
      </c>
      <c r="BM105" s="518">
        <v>0</v>
      </c>
      <c r="BN105" s="518">
        <v>0</v>
      </c>
      <c r="BO105" s="518">
        <v>0</v>
      </c>
      <c r="BP105" s="518">
        <v>0</v>
      </c>
      <c r="BQ105" s="518">
        <v>0</v>
      </c>
      <c r="BR105" s="518">
        <v>0</v>
      </c>
      <c r="BS105" s="518">
        <v>0</v>
      </c>
      <c r="BT105" s="518">
        <v>0</v>
      </c>
      <c r="BU105" s="518">
        <v>0</v>
      </c>
      <c r="BV105" s="518">
        <v>0</v>
      </c>
      <c r="BW105" s="518">
        <v>0</v>
      </c>
      <c r="BX105" s="518">
        <v>0</v>
      </c>
      <c r="BY105" s="518">
        <v>0</v>
      </c>
      <c r="BZ105" s="518">
        <v>0</v>
      </c>
      <c r="CA105" s="518">
        <v>0</v>
      </c>
      <c r="CB105" s="518">
        <v>0</v>
      </c>
      <c r="CC105" s="518">
        <v>0</v>
      </c>
      <c r="CD105" s="518">
        <v>0</v>
      </c>
      <c r="CE105" s="518">
        <v>0</v>
      </c>
      <c r="CF105" s="518">
        <v>0</v>
      </c>
      <c r="CG105" s="518">
        <v>0</v>
      </c>
      <c r="CH105" s="518">
        <v>0</v>
      </c>
      <c r="CI105" s="518">
        <v>0</v>
      </c>
      <c r="CJ105" s="518">
        <v>0</v>
      </c>
      <c r="CK105" s="518">
        <v>0</v>
      </c>
      <c r="CL105" s="518">
        <v>0</v>
      </c>
      <c r="CM105" s="518">
        <v>0</v>
      </c>
      <c r="CN105" s="518">
        <v>0</v>
      </c>
      <c r="CO105" s="518">
        <v>0</v>
      </c>
      <c r="CP105" s="518">
        <v>0</v>
      </c>
      <c r="CQ105" s="518">
        <v>0</v>
      </c>
      <c r="CR105" s="518">
        <v>0</v>
      </c>
      <c r="CS105" s="518">
        <v>0</v>
      </c>
      <c r="CT105" s="518">
        <v>0</v>
      </c>
      <c r="CU105" s="518">
        <v>0</v>
      </c>
      <c r="CV105" s="518">
        <v>0</v>
      </c>
      <c r="CW105" s="518">
        <v>0</v>
      </c>
      <c r="CX105" s="518">
        <v>0</v>
      </c>
      <c r="CY105" s="518">
        <v>0</v>
      </c>
      <c r="CZ105" s="518">
        <v>0</v>
      </c>
      <c r="DA105" s="518">
        <v>0</v>
      </c>
      <c r="DB105" s="518">
        <v>0</v>
      </c>
      <c r="DC105" s="518">
        <v>0</v>
      </c>
      <c r="DD105" s="518">
        <v>0</v>
      </c>
      <c r="DE105" s="518">
        <v>0</v>
      </c>
      <c r="DF105" s="518">
        <v>0</v>
      </c>
      <c r="DG105" s="518">
        <v>0</v>
      </c>
      <c r="DH105" s="518">
        <v>0</v>
      </c>
      <c r="DI105" s="518">
        <v>0</v>
      </c>
      <c r="DJ105" s="518">
        <v>0</v>
      </c>
      <c r="DK105" s="518">
        <v>0</v>
      </c>
      <c r="DL105" s="518">
        <v>0</v>
      </c>
      <c r="DM105" s="518">
        <v>0</v>
      </c>
      <c r="DN105" s="518">
        <v>0</v>
      </c>
      <c r="DO105" s="518">
        <v>0</v>
      </c>
      <c r="DP105" s="518">
        <v>0</v>
      </c>
      <c r="DQ105" s="518">
        <v>0</v>
      </c>
      <c r="DR105" s="518">
        <v>0</v>
      </c>
      <c r="DS105" s="518">
        <v>0</v>
      </c>
      <c r="DT105" s="518">
        <v>0</v>
      </c>
      <c r="DU105" s="518">
        <v>0</v>
      </c>
      <c r="DV105" s="518">
        <v>0</v>
      </c>
      <c r="DW105" s="518">
        <v>0</v>
      </c>
      <c r="DX105" s="518">
        <v>0</v>
      </c>
      <c r="DZ105" s="517" t="s">
        <v>721</v>
      </c>
      <c r="EA105" s="517" t="s">
        <v>1101</v>
      </c>
      <c r="EB105" s="517" t="s">
        <v>25</v>
      </c>
      <c r="EC105" s="518">
        <v>19</v>
      </c>
      <c r="ED105" s="494" t="str">
        <f t="shared" si="7"/>
        <v>SWUC100119</v>
      </c>
      <c r="EE105" s="518">
        <v>59.4</v>
      </c>
      <c r="EF105" s="518">
        <v>2000</v>
      </c>
      <c r="EG105" s="518">
        <v>2000</v>
      </c>
      <c r="EH105" s="518">
        <v>2000</v>
      </c>
      <c r="EI105" s="518">
        <v>2000</v>
      </c>
      <c r="EJ105" s="518">
        <v>2000</v>
      </c>
      <c r="EK105" s="518">
        <v>2000</v>
      </c>
      <c r="EL105" s="518">
        <v>2000</v>
      </c>
      <c r="EM105" s="518">
        <v>2000</v>
      </c>
      <c r="EN105" s="518">
        <v>2000</v>
      </c>
      <c r="EO105" s="518">
        <v>0</v>
      </c>
      <c r="EP105" s="518">
        <v>0</v>
      </c>
      <c r="EQ105" s="518">
        <v>0</v>
      </c>
      <c r="ER105" s="518">
        <v>0</v>
      </c>
      <c r="ES105" s="518">
        <v>0</v>
      </c>
      <c r="ET105" s="518">
        <v>0</v>
      </c>
      <c r="EU105" s="518">
        <v>0</v>
      </c>
      <c r="EV105" s="518">
        <v>0</v>
      </c>
      <c r="EW105" s="518">
        <v>0</v>
      </c>
      <c r="EX105" s="518">
        <v>0</v>
      </c>
      <c r="EY105" s="518">
        <v>0</v>
      </c>
      <c r="EZ105" s="518">
        <v>0</v>
      </c>
      <c r="FA105" s="518">
        <v>0</v>
      </c>
      <c r="FB105" s="518">
        <v>0</v>
      </c>
      <c r="FC105" s="518">
        <v>0</v>
      </c>
      <c r="FD105" s="518">
        <v>0</v>
      </c>
      <c r="FE105" s="518">
        <v>0</v>
      </c>
      <c r="FF105" s="518">
        <v>0</v>
      </c>
      <c r="FG105" s="518">
        <v>0</v>
      </c>
      <c r="FH105" s="518">
        <v>0</v>
      </c>
      <c r="FI105" s="518">
        <v>0</v>
      </c>
      <c r="FJ105" s="518">
        <v>0</v>
      </c>
      <c r="FK105" s="518">
        <v>0</v>
      </c>
      <c r="FL105" s="518">
        <v>0</v>
      </c>
      <c r="FM105" s="518">
        <v>0</v>
      </c>
      <c r="FN105" s="518">
        <v>0</v>
      </c>
      <c r="FO105" s="518">
        <v>0</v>
      </c>
      <c r="FP105" s="518">
        <v>0</v>
      </c>
      <c r="FQ105" s="518">
        <v>0</v>
      </c>
      <c r="FR105" s="518">
        <v>0</v>
      </c>
      <c r="FS105" s="518">
        <v>0</v>
      </c>
      <c r="FT105" s="518">
        <v>0</v>
      </c>
      <c r="FU105" s="518">
        <v>0</v>
      </c>
      <c r="FV105" s="518">
        <v>0</v>
      </c>
      <c r="FW105" s="518">
        <v>0</v>
      </c>
      <c r="FX105" s="518">
        <v>0</v>
      </c>
      <c r="FY105" s="518">
        <v>0</v>
      </c>
      <c r="FZ105" s="518">
        <v>0</v>
      </c>
      <c r="GA105" s="518">
        <v>0</v>
      </c>
      <c r="GB105" s="518">
        <v>0</v>
      </c>
      <c r="GC105" s="518">
        <v>0</v>
      </c>
      <c r="GD105" s="518">
        <v>0</v>
      </c>
      <c r="GE105" s="518">
        <v>0</v>
      </c>
      <c r="GF105" s="518">
        <v>0</v>
      </c>
      <c r="GG105" s="518">
        <v>0</v>
      </c>
      <c r="GH105" s="518">
        <v>0</v>
      </c>
      <c r="GI105" s="518">
        <v>0</v>
      </c>
      <c r="GJ105" s="518">
        <v>0</v>
      </c>
      <c r="GK105" s="518">
        <v>0</v>
      </c>
      <c r="GL105" s="518">
        <v>0</v>
      </c>
      <c r="GM105" s="518">
        <v>0</v>
      </c>
      <c r="GN105" s="518">
        <v>0</v>
      </c>
      <c r="GO105" s="518">
        <v>0</v>
      </c>
      <c r="GP105" s="518">
        <v>0</v>
      </c>
      <c r="GQ105" s="518">
        <v>0</v>
      </c>
      <c r="GR105" s="518">
        <v>0</v>
      </c>
      <c r="GS105" s="518">
        <v>0</v>
      </c>
      <c r="GT105" s="518">
        <v>0</v>
      </c>
      <c r="GU105" s="518">
        <v>0</v>
      </c>
      <c r="GV105" s="518">
        <v>0</v>
      </c>
      <c r="GW105" s="518">
        <v>0</v>
      </c>
      <c r="GX105" s="518">
        <v>0</v>
      </c>
      <c r="GY105" s="518">
        <v>0</v>
      </c>
      <c r="GZ105" s="518">
        <v>0</v>
      </c>
      <c r="HA105" s="518">
        <v>0</v>
      </c>
      <c r="HB105" s="518">
        <v>0</v>
      </c>
      <c r="HC105" s="518">
        <v>0</v>
      </c>
      <c r="HD105" s="518">
        <v>0</v>
      </c>
      <c r="HE105" s="518">
        <v>0</v>
      </c>
      <c r="HF105" s="518">
        <v>0</v>
      </c>
      <c r="HG105" s="518">
        <v>0</v>
      </c>
      <c r="HH105" s="518">
        <v>0</v>
      </c>
      <c r="HI105" s="518">
        <v>0</v>
      </c>
      <c r="HJ105" s="518">
        <v>0</v>
      </c>
      <c r="HK105" s="518">
        <v>0</v>
      </c>
      <c r="HL105" s="518">
        <v>0</v>
      </c>
      <c r="HM105" s="518">
        <v>0</v>
      </c>
      <c r="HN105" s="518">
        <v>0</v>
      </c>
      <c r="HO105" s="518">
        <v>0</v>
      </c>
      <c r="HP105" s="518">
        <v>0</v>
      </c>
      <c r="HQ105" s="518">
        <v>0</v>
      </c>
      <c r="HR105" s="518">
        <v>0</v>
      </c>
      <c r="HS105" s="518">
        <v>0</v>
      </c>
      <c r="HT105" s="518">
        <v>0</v>
      </c>
      <c r="HU105" s="518">
        <v>0</v>
      </c>
      <c r="HV105" s="518">
        <v>0</v>
      </c>
      <c r="HW105" s="518">
        <v>0</v>
      </c>
      <c r="HX105" s="518">
        <v>0</v>
      </c>
      <c r="HY105" s="518">
        <v>0</v>
      </c>
      <c r="HZ105" s="518">
        <v>0</v>
      </c>
      <c r="IA105" s="518">
        <v>0</v>
      </c>
      <c r="IB105" s="518">
        <v>0</v>
      </c>
      <c r="IC105" s="518">
        <v>0</v>
      </c>
      <c r="ID105" s="518">
        <v>0</v>
      </c>
      <c r="IE105" s="518">
        <v>0</v>
      </c>
      <c r="IF105" s="518">
        <v>0</v>
      </c>
      <c r="IG105" s="518">
        <v>0</v>
      </c>
      <c r="IH105" s="518">
        <v>0</v>
      </c>
      <c r="II105" s="518">
        <v>0</v>
      </c>
      <c r="IJ105" s="518">
        <v>0</v>
      </c>
      <c r="IK105" s="518">
        <v>0</v>
      </c>
    </row>
    <row r="106" spans="1:245" ht="16.5" hidden="1">
      <c r="A106" s="517"/>
      <c r="B106" s="517"/>
      <c r="C106" s="517"/>
      <c r="D106" s="517"/>
      <c r="E106" s="517"/>
      <c r="F106" s="517"/>
      <c r="G106" s="558"/>
      <c r="H106" s="518"/>
      <c r="I106" s="558"/>
      <c r="J106" s="494"/>
      <c r="K106" s="518"/>
      <c r="M106" s="517" t="s">
        <v>721</v>
      </c>
      <c r="N106" s="517" t="s">
        <v>1101</v>
      </c>
      <c r="O106" s="517" t="s">
        <v>25</v>
      </c>
      <c r="P106" s="518">
        <v>20</v>
      </c>
      <c r="Q106" s="494" t="str">
        <f t="shared" si="6"/>
        <v>SWUC100120</v>
      </c>
      <c r="R106" s="518">
        <v>61.5</v>
      </c>
      <c r="S106" s="518">
        <v>10000</v>
      </c>
      <c r="T106" s="518">
        <v>10000</v>
      </c>
      <c r="U106" s="518">
        <v>10000</v>
      </c>
      <c r="V106" s="518">
        <v>10000</v>
      </c>
      <c r="W106" s="518">
        <v>10000</v>
      </c>
      <c r="X106" s="518">
        <v>10000</v>
      </c>
      <c r="Y106" s="518">
        <v>10000</v>
      </c>
      <c r="Z106" s="518">
        <v>10000</v>
      </c>
      <c r="AA106" s="518">
        <v>10000</v>
      </c>
      <c r="AB106" s="518">
        <v>0</v>
      </c>
      <c r="AC106" s="518">
        <v>0</v>
      </c>
      <c r="AD106" s="518">
        <v>0</v>
      </c>
      <c r="AE106" s="518">
        <v>0</v>
      </c>
      <c r="AF106" s="518">
        <v>0</v>
      </c>
      <c r="AG106" s="518">
        <v>0</v>
      </c>
      <c r="AH106" s="518">
        <v>0</v>
      </c>
      <c r="AI106" s="518">
        <v>0</v>
      </c>
      <c r="AJ106" s="518">
        <v>0</v>
      </c>
      <c r="AK106" s="518">
        <v>0</v>
      </c>
      <c r="AL106" s="518">
        <v>0</v>
      </c>
      <c r="AM106" s="518">
        <v>0</v>
      </c>
      <c r="AN106" s="518">
        <v>0</v>
      </c>
      <c r="AO106" s="518">
        <v>0</v>
      </c>
      <c r="AP106" s="518">
        <v>0</v>
      </c>
      <c r="AQ106" s="518">
        <v>0</v>
      </c>
      <c r="AR106" s="518">
        <v>0</v>
      </c>
      <c r="AS106" s="518">
        <v>0</v>
      </c>
      <c r="AT106" s="518">
        <v>0</v>
      </c>
      <c r="AU106" s="518">
        <v>0</v>
      </c>
      <c r="AV106" s="518">
        <v>0</v>
      </c>
      <c r="AW106" s="518">
        <v>0</v>
      </c>
      <c r="AX106" s="518">
        <v>0</v>
      </c>
      <c r="AY106" s="518">
        <v>0</v>
      </c>
      <c r="AZ106" s="518">
        <v>0</v>
      </c>
      <c r="BA106" s="518">
        <v>0</v>
      </c>
      <c r="BB106" s="518">
        <v>0</v>
      </c>
      <c r="BC106" s="518">
        <v>0</v>
      </c>
      <c r="BD106" s="518">
        <v>0</v>
      </c>
      <c r="BE106" s="518">
        <v>0</v>
      </c>
      <c r="BF106" s="518">
        <v>0</v>
      </c>
      <c r="BG106" s="518">
        <v>0</v>
      </c>
      <c r="BH106" s="518">
        <v>0</v>
      </c>
      <c r="BI106" s="518">
        <v>0</v>
      </c>
      <c r="BJ106" s="518">
        <v>0</v>
      </c>
      <c r="BK106" s="518">
        <v>0</v>
      </c>
      <c r="BL106" s="518">
        <v>0</v>
      </c>
      <c r="BM106" s="518">
        <v>0</v>
      </c>
      <c r="BN106" s="518">
        <v>0</v>
      </c>
      <c r="BO106" s="518">
        <v>0</v>
      </c>
      <c r="BP106" s="518">
        <v>0</v>
      </c>
      <c r="BQ106" s="518">
        <v>0</v>
      </c>
      <c r="BR106" s="518">
        <v>0</v>
      </c>
      <c r="BS106" s="518">
        <v>0</v>
      </c>
      <c r="BT106" s="518">
        <v>0</v>
      </c>
      <c r="BU106" s="518">
        <v>0</v>
      </c>
      <c r="BV106" s="518">
        <v>0</v>
      </c>
      <c r="BW106" s="518">
        <v>0</v>
      </c>
      <c r="BX106" s="518">
        <v>0</v>
      </c>
      <c r="BY106" s="518">
        <v>0</v>
      </c>
      <c r="BZ106" s="518">
        <v>0</v>
      </c>
      <c r="CA106" s="518">
        <v>0</v>
      </c>
      <c r="CB106" s="518">
        <v>0</v>
      </c>
      <c r="CC106" s="518">
        <v>0</v>
      </c>
      <c r="CD106" s="518">
        <v>0</v>
      </c>
      <c r="CE106" s="518">
        <v>0</v>
      </c>
      <c r="CF106" s="518">
        <v>0</v>
      </c>
      <c r="CG106" s="518">
        <v>0</v>
      </c>
      <c r="CH106" s="518">
        <v>0</v>
      </c>
      <c r="CI106" s="518">
        <v>0</v>
      </c>
      <c r="CJ106" s="518">
        <v>0</v>
      </c>
      <c r="CK106" s="518">
        <v>0</v>
      </c>
      <c r="CL106" s="518">
        <v>0</v>
      </c>
      <c r="CM106" s="518">
        <v>0</v>
      </c>
      <c r="CN106" s="518">
        <v>0</v>
      </c>
      <c r="CO106" s="518">
        <v>0</v>
      </c>
      <c r="CP106" s="518">
        <v>0</v>
      </c>
      <c r="CQ106" s="518">
        <v>0</v>
      </c>
      <c r="CR106" s="518">
        <v>0</v>
      </c>
      <c r="CS106" s="518">
        <v>0</v>
      </c>
      <c r="CT106" s="518">
        <v>0</v>
      </c>
      <c r="CU106" s="518">
        <v>0</v>
      </c>
      <c r="CV106" s="518">
        <v>0</v>
      </c>
      <c r="CW106" s="518">
        <v>0</v>
      </c>
      <c r="CX106" s="518">
        <v>0</v>
      </c>
      <c r="CY106" s="518">
        <v>0</v>
      </c>
      <c r="CZ106" s="518">
        <v>0</v>
      </c>
      <c r="DA106" s="518">
        <v>0</v>
      </c>
      <c r="DB106" s="518">
        <v>0</v>
      </c>
      <c r="DC106" s="518">
        <v>0</v>
      </c>
      <c r="DD106" s="518">
        <v>0</v>
      </c>
      <c r="DE106" s="518">
        <v>0</v>
      </c>
      <c r="DF106" s="518">
        <v>0</v>
      </c>
      <c r="DG106" s="518">
        <v>0</v>
      </c>
      <c r="DH106" s="518">
        <v>0</v>
      </c>
      <c r="DI106" s="518">
        <v>0</v>
      </c>
      <c r="DJ106" s="518">
        <v>0</v>
      </c>
      <c r="DK106" s="518">
        <v>0</v>
      </c>
      <c r="DL106" s="518">
        <v>0</v>
      </c>
      <c r="DM106" s="518">
        <v>0</v>
      </c>
      <c r="DN106" s="518">
        <v>0</v>
      </c>
      <c r="DO106" s="518">
        <v>0</v>
      </c>
      <c r="DP106" s="518">
        <v>0</v>
      </c>
      <c r="DQ106" s="518">
        <v>0</v>
      </c>
      <c r="DR106" s="518">
        <v>0</v>
      </c>
      <c r="DS106" s="518">
        <v>0</v>
      </c>
      <c r="DT106" s="518">
        <v>0</v>
      </c>
      <c r="DU106" s="518">
        <v>0</v>
      </c>
      <c r="DV106" s="518">
        <v>0</v>
      </c>
      <c r="DW106" s="518">
        <v>0</v>
      </c>
      <c r="DX106" s="518">
        <v>0</v>
      </c>
      <c r="DZ106" s="517" t="s">
        <v>721</v>
      </c>
      <c r="EA106" s="517" t="s">
        <v>1101</v>
      </c>
      <c r="EB106" s="517" t="s">
        <v>25</v>
      </c>
      <c r="EC106" s="518">
        <v>20</v>
      </c>
      <c r="ED106" s="494" t="str">
        <f t="shared" si="7"/>
        <v>SWUC100120</v>
      </c>
      <c r="EE106" s="518">
        <v>61.5</v>
      </c>
      <c r="EF106" s="518">
        <v>2000</v>
      </c>
      <c r="EG106" s="518">
        <v>2000</v>
      </c>
      <c r="EH106" s="518">
        <v>2000</v>
      </c>
      <c r="EI106" s="518">
        <v>2000</v>
      </c>
      <c r="EJ106" s="518">
        <v>2000</v>
      </c>
      <c r="EK106" s="518">
        <v>2000</v>
      </c>
      <c r="EL106" s="518">
        <v>2000</v>
      </c>
      <c r="EM106" s="518">
        <v>2000</v>
      </c>
      <c r="EN106" s="518">
        <v>2000</v>
      </c>
      <c r="EO106" s="518">
        <v>0</v>
      </c>
      <c r="EP106" s="518">
        <v>0</v>
      </c>
      <c r="EQ106" s="518">
        <v>0</v>
      </c>
      <c r="ER106" s="518">
        <v>0</v>
      </c>
      <c r="ES106" s="518">
        <v>0</v>
      </c>
      <c r="ET106" s="518">
        <v>0</v>
      </c>
      <c r="EU106" s="518">
        <v>0</v>
      </c>
      <c r="EV106" s="518">
        <v>0</v>
      </c>
      <c r="EW106" s="518">
        <v>0</v>
      </c>
      <c r="EX106" s="518">
        <v>0</v>
      </c>
      <c r="EY106" s="518">
        <v>0</v>
      </c>
      <c r="EZ106" s="518">
        <v>0</v>
      </c>
      <c r="FA106" s="518">
        <v>0</v>
      </c>
      <c r="FB106" s="518">
        <v>0</v>
      </c>
      <c r="FC106" s="518">
        <v>0</v>
      </c>
      <c r="FD106" s="518">
        <v>0</v>
      </c>
      <c r="FE106" s="518">
        <v>0</v>
      </c>
      <c r="FF106" s="518">
        <v>0</v>
      </c>
      <c r="FG106" s="518">
        <v>0</v>
      </c>
      <c r="FH106" s="518">
        <v>0</v>
      </c>
      <c r="FI106" s="518">
        <v>0</v>
      </c>
      <c r="FJ106" s="518">
        <v>0</v>
      </c>
      <c r="FK106" s="518">
        <v>0</v>
      </c>
      <c r="FL106" s="518">
        <v>0</v>
      </c>
      <c r="FM106" s="518">
        <v>0</v>
      </c>
      <c r="FN106" s="518">
        <v>0</v>
      </c>
      <c r="FO106" s="518">
        <v>0</v>
      </c>
      <c r="FP106" s="518">
        <v>0</v>
      </c>
      <c r="FQ106" s="518">
        <v>0</v>
      </c>
      <c r="FR106" s="518">
        <v>0</v>
      </c>
      <c r="FS106" s="518">
        <v>0</v>
      </c>
      <c r="FT106" s="518">
        <v>0</v>
      </c>
      <c r="FU106" s="518">
        <v>0</v>
      </c>
      <c r="FV106" s="518">
        <v>0</v>
      </c>
      <c r="FW106" s="518">
        <v>0</v>
      </c>
      <c r="FX106" s="518">
        <v>0</v>
      </c>
      <c r="FY106" s="518">
        <v>0</v>
      </c>
      <c r="FZ106" s="518">
        <v>0</v>
      </c>
      <c r="GA106" s="518">
        <v>0</v>
      </c>
      <c r="GB106" s="518">
        <v>0</v>
      </c>
      <c r="GC106" s="518">
        <v>0</v>
      </c>
      <c r="GD106" s="518">
        <v>0</v>
      </c>
      <c r="GE106" s="518">
        <v>0</v>
      </c>
      <c r="GF106" s="518">
        <v>0</v>
      </c>
      <c r="GG106" s="518">
        <v>0</v>
      </c>
      <c r="GH106" s="518">
        <v>0</v>
      </c>
      <c r="GI106" s="518">
        <v>0</v>
      </c>
      <c r="GJ106" s="518">
        <v>0</v>
      </c>
      <c r="GK106" s="518">
        <v>0</v>
      </c>
      <c r="GL106" s="518">
        <v>0</v>
      </c>
      <c r="GM106" s="518">
        <v>0</v>
      </c>
      <c r="GN106" s="518">
        <v>0</v>
      </c>
      <c r="GO106" s="518">
        <v>0</v>
      </c>
      <c r="GP106" s="518">
        <v>0</v>
      </c>
      <c r="GQ106" s="518">
        <v>0</v>
      </c>
      <c r="GR106" s="518">
        <v>0</v>
      </c>
      <c r="GS106" s="518">
        <v>0</v>
      </c>
      <c r="GT106" s="518">
        <v>0</v>
      </c>
      <c r="GU106" s="518">
        <v>0</v>
      </c>
      <c r="GV106" s="518">
        <v>0</v>
      </c>
      <c r="GW106" s="518">
        <v>0</v>
      </c>
      <c r="GX106" s="518">
        <v>0</v>
      </c>
      <c r="GY106" s="518">
        <v>0</v>
      </c>
      <c r="GZ106" s="518">
        <v>0</v>
      </c>
      <c r="HA106" s="518">
        <v>0</v>
      </c>
      <c r="HB106" s="518">
        <v>0</v>
      </c>
      <c r="HC106" s="518">
        <v>0</v>
      </c>
      <c r="HD106" s="518">
        <v>0</v>
      </c>
      <c r="HE106" s="518">
        <v>0</v>
      </c>
      <c r="HF106" s="518">
        <v>0</v>
      </c>
      <c r="HG106" s="518">
        <v>0</v>
      </c>
      <c r="HH106" s="518">
        <v>0</v>
      </c>
      <c r="HI106" s="518">
        <v>0</v>
      </c>
      <c r="HJ106" s="518">
        <v>0</v>
      </c>
      <c r="HK106" s="518">
        <v>0</v>
      </c>
      <c r="HL106" s="518">
        <v>0</v>
      </c>
      <c r="HM106" s="518">
        <v>0</v>
      </c>
      <c r="HN106" s="518">
        <v>0</v>
      </c>
      <c r="HO106" s="518">
        <v>0</v>
      </c>
      <c r="HP106" s="518">
        <v>0</v>
      </c>
      <c r="HQ106" s="518">
        <v>0</v>
      </c>
      <c r="HR106" s="518">
        <v>0</v>
      </c>
      <c r="HS106" s="518">
        <v>0</v>
      </c>
      <c r="HT106" s="518">
        <v>0</v>
      </c>
      <c r="HU106" s="518">
        <v>0</v>
      </c>
      <c r="HV106" s="518">
        <v>0</v>
      </c>
      <c r="HW106" s="518">
        <v>0</v>
      </c>
      <c r="HX106" s="518">
        <v>0</v>
      </c>
      <c r="HY106" s="518">
        <v>0</v>
      </c>
      <c r="HZ106" s="518">
        <v>0</v>
      </c>
      <c r="IA106" s="518">
        <v>0</v>
      </c>
      <c r="IB106" s="518">
        <v>0</v>
      </c>
      <c r="IC106" s="518">
        <v>0</v>
      </c>
      <c r="ID106" s="518">
        <v>0</v>
      </c>
      <c r="IE106" s="518">
        <v>0</v>
      </c>
      <c r="IF106" s="518">
        <v>0</v>
      </c>
      <c r="IG106" s="518">
        <v>0</v>
      </c>
      <c r="IH106" s="518">
        <v>0</v>
      </c>
      <c r="II106" s="518">
        <v>0</v>
      </c>
      <c r="IJ106" s="518">
        <v>0</v>
      </c>
      <c r="IK106" s="518">
        <v>0</v>
      </c>
    </row>
    <row r="107" spans="1:245" ht="16.5" hidden="1">
      <c r="A107" s="517"/>
      <c r="B107" s="517"/>
      <c r="C107" s="517"/>
      <c r="D107" s="517"/>
      <c r="E107" s="517"/>
      <c r="F107" s="517"/>
      <c r="G107" s="558"/>
      <c r="H107" s="518"/>
      <c r="I107" s="558"/>
      <c r="J107" s="494"/>
      <c r="K107" s="518"/>
      <c r="M107" s="517" t="s">
        <v>721</v>
      </c>
      <c r="N107" s="517" t="s">
        <v>1101</v>
      </c>
      <c r="O107" s="517" t="s">
        <v>25</v>
      </c>
      <c r="P107" s="518">
        <v>21</v>
      </c>
      <c r="Q107" s="494" t="str">
        <f t="shared" si="6"/>
        <v>SWUC100121</v>
      </c>
      <c r="R107" s="518">
        <v>64.7</v>
      </c>
      <c r="S107" s="518">
        <v>10000</v>
      </c>
      <c r="T107" s="518">
        <v>10000</v>
      </c>
      <c r="U107" s="518">
        <v>10000</v>
      </c>
      <c r="V107" s="518">
        <v>10000</v>
      </c>
      <c r="W107" s="518">
        <v>10000</v>
      </c>
      <c r="X107" s="518">
        <v>10000</v>
      </c>
      <c r="Y107" s="518">
        <v>10000</v>
      </c>
      <c r="Z107" s="518">
        <v>10000</v>
      </c>
      <c r="AA107" s="518">
        <v>10000</v>
      </c>
      <c r="AB107" s="518">
        <v>0</v>
      </c>
      <c r="AC107" s="518">
        <v>0</v>
      </c>
      <c r="AD107" s="518">
        <v>0</v>
      </c>
      <c r="AE107" s="518">
        <v>0</v>
      </c>
      <c r="AF107" s="518">
        <v>0</v>
      </c>
      <c r="AG107" s="518">
        <v>0</v>
      </c>
      <c r="AH107" s="518">
        <v>0</v>
      </c>
      <c r="AI107" s="518">
        <v>0</v>
      </c>
      <c r="AJ107" s="518">
        <v>0</v>
      </c>
      <c r="AK107" s="518">
        <v>0</v>
      </c>
      <c r="AL107" s="518">
        <v>0</v>
      </c>
      <c r="AM107" s="518">
        <v>0</v>
      </c>
      <c r="AN107" s="518">
        <v>0</v>
      </c>
      <c r="AO107" s="518">
        <v>0</v>
      </c>
      <c r="AP107" s="518">
        <v>0</v>
      </c>
      <c r="AQ107" s="518">
        <v>0</v>
      </c>
      <c r="AR107" s="518">
        <v>0</v>
      </c>
      <c r="AS107" s="518">
        <v>0</v>
      </c>
      <c r="AT107" s="518">
        <v>0</v>
      </c>
      <c r="AU107" s="518">
        <v>0</v>
      </c>
      <c r="AV107" s="518">
        <v>0</v>
      </c>
      <c r="AW107" s="518">
        <v>0</v>
      </c>
      <c r="AX107" s="518">
        <v>0</v>
      </c>
      <c r="AY107" s="518">
        <v>0</v>
      </c>
      <c r="AZ107" s="518">
        <v>0</v>
      </c>
      <c r="BA107" s="518">
        <v>0</v>
      </c>
      <c r="BB107" s="518">
        <v>0</v>
      </c>
      <c r="BC107" s="518">
        <v>0</v>
      </c>
      <c r="BD107" s="518">
        <v>0</v>
      </c>
      <c r="BE107" s="518">
        <v>0</v>
      </c>
      <c r="BF107" s="518">
        <v>0</v>
      </c>
      <c r="BG107" s="518">
        <v>0</v>
      </c>
      <c r="BH107" s="518">
        <v>0</v>
      </c>
      <c r="BI107" s="518">
        <v>0</v>
      </c>
      <c r="BJ107" s="518">
        <v>0</v>
      </c>
      <c r="BK107" s="518">
        <v>0</v>
      </c>
      <c r="BL107" s="518">
        <v>0</v>
      </c>
      <c r="BM107" s="518">
        <v>0</v>
      </c>
      <c r="BN107" s="518">
        <v>0</v>
      </c>
      <c r="BO107" s="518">
        <v>0</v>
      </c>
      <c r="BP107" s="518">
        <v>0</v>
      </c>
      <c r="BQ107" s="518">
        <v>0</v>
      </c>
      <c r="BR107" s="518">
        <v>0</v>
      </c>
      <c r="BS107" s="518">
        <v>0</v>
      </c>
      <c r="BT107" s="518">
        <v>0</v>
      </c>
      <c r="BU107" s="518">
        <v>0</v>
      </c>
      <c r="BV107" s="518">
        <v>0</v>
      </c>
      <c r="BW107" s="518">
        <v>0</v>
      </c>
      <c r="BX107" s="518">
        <v>0</v>
      </c>
      <c r="BY107" s="518">
        <v>0</v>
      </c>
      <c r="BZ107" s="518">
        <v>0</v>
      </c>
      <c r="CA107" s="518">
        <v>0</v>
      </c>
      <c r="CB107" s="518">
        <v>0</v>
      </c>
      <c r="CC107" s="518">
        <v>0</v>
      </c>
      <c r="CD107" s="518">
        <v>0</v>
      </c>
      <c r="CE107" s="518">
        <v>0</v>
      </c>
      <c r="CF107" s="518">
        <v>0</v>
      </c>
      <c r="CG107" s="518">
        <v>0</v>
      </c>
      <c r="CH107" s="518">
        <v>0</v>
      </c>
      <c r="CI107" s="518">
        <v>0</v>
      </c>
      <c r="CJ107" s="518">
        <v>0</v>
      </c>
      <c r="CK107" s="518">
        <v>0</v>
      </c>
      <c r="CL107" s="518">
        <v>0</v>
      </c>
      <c r="CM107" s="518">
        <v>0</v>
      </c>
      <c r="CN107" s="518">
        <v>0</v>
      </c>
      <c r="CO107" s="518">
        <v>0</v>
      </c>
      <c r="CP107" s="518">
        <v>0</v>
      </c>
      <c r="CQ107" s="518">
        <v>0</v>
      </c>
      <c r="CR107" s="518">
        <v>0</v>
      </c>
      <c r="CS107" s="518">
        <v>0</v>
      </c>
      <c r="CT107" s="518">
        <v>0</v>
      </c>
      <c r="CU107" s="518">
        <v>0</v>
      </c>
      <c r="CV107" s="518">
        <v>0</v>
      </c>
      <c r="CW107" s="518">
        <v>0</v>
      </c>
      <c r="CX107" s="518">
        <v>0</v>
      </c>
      <c r="CY107" s="518">
        <v>0</v>
      </c>
      <c r="CZ107" s="518">
        <v>0</v>
      </c>
      <c r="DA107" s="518">
        <v>0</v>
      </c>
      <c r="DB107" s="518">
        <v>0</v>
      </c>
      <c r="DC107" s="518">
        <v>0</v>
      </c>
      <c r="DD107" s="518">
        <v>0</v>
      </c>
      <c r="DE107" s="518">
        <v>0</v>
      </c>
      <c r="DF107" s="518">
        <v>0</v>
      </c>
      <c r="DG107" s="518">
        <v>0</v>
      </c>
      <c r="DH107" s="518">
        <v>0</v>
      </c>
      <c r="DI107" s="518">
        <v>0</v>
      </c>
      <c r="DJ107" s="518">
        <v>0</v>
      </c>
      <c r="DK107" s="518">
        <v>0</v>
      </c>
      <c r="DL107" s="518">
        <v>0</v>
      </c>
      <c r="DM107" s="518">
        <v>0</v>
      </c>
      <c r="DN107" s="518">
        <v>0</v>
      </c>
      <c r="DO107" s="518">
        <v>0</v>
      </c>
      <c r="DP107" s="518">
        <v>0</v>
      </c>
      <c r="DQ107" s="518">
        <v>0</v>
      </c>
      <c r="DR107" s="518">
        <v>0</v>
      </c>
      <c r="DS107" s="518">
        <v>0</v>
      </c>
      <c r="DT107" s="518">
        <v>0</v>
      </c>
      <c r="DU107" s="518">
        <v>0</v>
      </c>
      <c r="DV107" s="518">
        <v>0</v>
      </c>
      <c r="DW107" s="518">
        <v>0</v>
      </c>
      <c r="DX107" s="518">
        <v>0</v>
      </c>
      <c r="DZ107" s="517" t="s">
        <v>721</v>
      </c>
      <c r="EA107" s="517" t="s">
        <v>1101</v>
      </c>
      <c r="EB107" s="517" t="s">
        <v>25</v>
      </c>
      <c r="EC107" s="518">
        <v>21</v>
      </c>
      <c r="ED107" s="494" t="str">
        <f t="shared" si="7"/>
        <v>SWUC100121</v>
      </c>
      <c r="EE107" s="518">
        <v>64.7</v>
      </c>
      <c r="EF107" s="518">
        <v>2000</v>
      </c>
      <c r="EG107" s="518">
        <v>2000</v>
      </c>
      <c r="EH107" s="518">
        <v>2000</v>
      </c>
      <c r="EI107" s="518">
        <v>2000</v>
      </c>
      <c r="EJ107" s="518">
        <v>2000</v>
      </c>
      <c r="EK107" s="518">
        <v>2000</v>
      </c>
      <c r="EL107" s="518">
        <v>2000</v>
      </c>
      <c r="EM107" s="518">
        <v>2000</v>
      </c>
      <c r="EN107" s="518">
        <v>2000</v>
      </c>
      <c r="EO107" s="518">
        <v>0</v>
      </c>
      <c r="EP107" s="518">
        <v>0</v>
      </c>
      <c r="EQ107" s="518">
        <v>0</v>
      </c>
      <c r="ER107" s="518">
        <v>0</v>
      </c>
      <c r="ES107" s="518">
        <v>0</v>
      </c>
      <c r="ET107" s="518">
        <v>0</v>
      </c>
      <c r="EU107" s="518">
        <v>0</v>
      </c>
      <c r="EV107" s="518">
        <v>0</v>
      </c>
      <c r="EW107" s="518">
        <v>0</v>
      </c>
      <c r="EX107" s="518">
        <v>0</v>
      </c>
      <c r="EY107" s="518">
        <v>0</v>
      </c>
      <c r="EZ107" s="518">
        <v>0</v>
      </c>
      <c r="FA107" s="518">
        <v>0</v>
      </c>
      <c r="FB107" s="518">
        <v>0</v>
      </c>
      <c r="FC107" s="518">
        <v>0</v>
      </c>
      <c r="FD107" s="518">
        <v>0</v>
      </c>
      <c r="FE107" s="518">
        <v>0</v>
      </c>
      <c r="FF107" s="518">
        <v>0</v>
      </c>
      <c r="FG107" s="518">
        <v>0</v>
      </c>
      <c r="FH107" s="518">
        <v>0</v>
      </c>
      <c r="FI107" s="518">
        <v>0</v>
      </c>
      <c r="FJ107" s="518">
        <v>0</v>
      </c>
      <c r="FK107" s="518">
        <v>0</v>
      </c>
      <c r="FL107" s="518">
        <v>0</v>
      </c>
      <c r="FM107" s="518">
        <v>0</v>
      </c>
      <c r="FN107" s="518">
        <v>0</v>
      </c>
      <c r="FO107" s="518">
        <v>0</v>
      </c>
      <c r="FP107" s="518">
        <v>0</v>
      </c>
      <c r="FQ107" s="518">
        <v>0</v>
      </c>
      <c r="FR107" s="518">
        <v>0</v>
      </c>
      <c r="FS107" s="518">
        <v>0</v>
      </c>
      <c r="FT107" s="518">
        <v>0</v>
      </c>
      <c r="FU107" s="518">
        <v>0</v>
      </c>
      <c r="FV107" s="518">
        <v>0</v>
      </c>
      <c r="FW107" s="518">
        <v>0</v>
      </c>
      <c r="FX107" s="518">
        <v>0</v>
      </c>
      <c r="FY107" s="518">
        <v>0</v>
      </c>
      <c r="FZ107" s="518">
        <v>0</v>
      </c>
      <c r="GA107" s="518">
        <v>0</v>
      </c>
      <c r="GB107" s="518">
        <v>0</v>
      </c>
      <c r="GC107" s="518">
        <v>0</v>
      </c>
      <c r="GD107" s="518">
        <v>0</v>
      </c>
      <c r="GE107" s="518">
        <v>0</v>
      </c>
      <c r="GF107" s="518">
        <v>0</v>
      </c>
      <c r="GG107" s="518">
        <v>0</v>
      </c>
      <c r="GH107" s="518">
        <v>0</v>
      </c>
      <c r="GI107" s="518">
        <v>0</v>
      </c>
      <c r="GJ107" s="518">
        <v>0</v>
      </c>
      <c r="GK107" s="518">
        <v>0</v>
      </c>
      <c r="GL107" s="518">
        <v>0</v>
      </c>
      <c r="GM107" s="518">
        <v>0</v>
      </c>
      <c r="GN107" s="518">
        <v>0</v>
      </c>
      <c r="GO107" s="518">
        <v>0</v>
      </c>
      <c r="GP107" s="518">
        <v>0</v>
      </c>
      <c r="GQ107" s="518">
        <v>0</v>
      </c>
      <c r="GR107" s="518">
        <v>0</v>
      </c>
      <c r="GS107" s="518">
        <v>0</v>
      </c>
      <c r="GT107" s="518">
        <v>0</v>
      </c>
      <c r="GU107" s="518">
        <v>0</v>
      </c>
      <c r="GV107" s="518">
        <v>0</v>
      </c>
      <c r="GW107" s="518">
        <v>0</v>
      </c>
      <c r="GX107" s="518">
        <v>0</v>
      </c>
      <c r="GY107" s="518">
        <v>0</v>
      </c>
      <c r="GZ107" s="518">
        <v>0</v>
      </c>
      <c r="HA107" s="518">
        <v>0</v>
      </c>
      <c r="HB107" s="518">
        <v>0</v>
      </c>
      <c r="HC107" s="518">
        <v>0</v>
      </c>
      <c r="HD107" s="518">
        <v>0</v>
      </c>
      <c r="HE107" s="518">
        <v>0</v>
      </c>
      <c r="HF107" s="518">
        <v>0</v>
      </c>
      <c r="HG107" s="518">
        <v>0</v>
      </c>
      <c r="HH107" s="518">
        <v>0</v>
      </c>
      <c r="HI107" s="518">
        <v>0</v>
      </c>
      <c r="HJ107" s="518">
        <v>0</v>
      </c>
      <c r="HK107" s="518">
        <v>0</v>
      </c>
      <c r="HL107" s="518">
        <v>0</v>
      </c>
      <c r="HM107" s="518">
        <v>0</v>
      </c>
      <c r="HN107" s="518">
        <v>0</v>
      </c>
      <c r="HO107" s="518">
        <v>0</v>
      </c>
      <c r="HP107" s="518">
        <v>0</v>
      </c>
      <c r="HQ107" s="518">
        <v>0</v>
      </c>
      <c r="HR107" s="518">
        <v>0</v>
      </c>
      <c r="HS107" s="518">
        <v>0</v>
      </c>
      <c r="HT107" s="518">
        <v>0</v>
      </c>
      <c r="HU107" s="518">
        <v>0</v>
      </c>
      <c r="HV107" s="518">
        <v>0</v>
      </c>
      <c r="HW107" s="518">
        <v>0</v>
      </c>
      <c r="HX107" s="518">
        <v>0</v>
      </c>
      <c r="HY107" s="518">
        <v>0</v>
      </c>
      <c r="HZ107" s="518">
        <v>0</v>
      </c>
      <c r="IA107" s="518">
        <v>0</v>
      </c>
      <c r="IB107" s="518">
        <v>0</v>
      </c>
      <c r="IC107" s="518">
        <v>0</v>
      </c>
      <c r="ID107" s="518">
        <v>0</v>
      </c>
      <c r="IE107" s="518">
        <v>0</v>
      </c>
      <c r="IF107" s="518">
        <v>0</v>
      </c>
      <c r="IG107" s="518">
        <v>0</v>
      </c>
      <c r="IH107" s="518">
        <v>0</v>
      </c>
      <c r="II107" s="518">
        <v>0</v>
      </c>
      <c r="IJ107" s="518">
        <v>0</v>
      </c>
      <c r="IK107" s="518">
        <v>0</v>
      </c>
    </row>
    <row r="108" spans="1:245" ht="16.5" hidden="1">
      <c r="A108" s="517"/>
      <c r="B108" s="517"/>
      <c r="C108" s="517"/>
      <c r="D108" s="517"/>
      <c r="E108" s="517"/>
      <c r="F108" s="517"/>
      <c r="G108" s="558"/>
      <c r="H108" s="518"/>
      <c r="I108" s="558"/>
      <c r="J108" s="494"/>
      <c r="K108" s="518"/>
      <c r="M108" s="517" t="s">
        <v>721</v>
      </c>
      <c r="N108" s="517" t="s">
        <v>1101</v>
      </c>
      <c r="O108" s="517" t="s">
        <v>25</v>
      </c>
      <c r="P108" s="518">
        <v>22</v>
      </c>
      <c r="Q108" s="494" t="str">
        <f t="shared" si="6"/>
        <v>SWUC100122</v>
      </c>
      <c r="R108" s="518">
        <v>67.8</v>
      </c>
      <c r="S108" s="518">
        <v>10000</v>
      </c>
      <c r="T108" s="518">
        <v>10000</v>
      </c>
      <c r="U108" s="518">
        <v>10000</v>
      </c>
      <c r="V108" s="518">
        <v>10000</v>
      </c>
      <c r="W108" s="518">
        <v>10000</v>
      </c>
      <c r="X108" s="518">
        <v>10000</v>
      </c>
      <c r="Y108" s="518">
        <v>10000</v>
      </c>
      <c r="Z108" s="518">
        <v>10000</v>
      </c>
      <c r="AA108" s="518">
        <v>10000</v>
      </c>
      <c r="AB108" s="518">
        <v>0</v>
      </c>
      <c r="AC108" s="518">
        <v>0</v>
      </c>
      <c r="AD108" s="518">
        <v>0</v>
      </c>
      <c r="AE108" s="518">
        <v>0</v>
      </c>
      <c r="AF108" s="518">
        <v>0</v>
      </c>
      <c r="AG108" s="518">
        <v>0</v>
      </c>
      <c r="AH108" s="518">
        <v>0</v>
      </c>
      <c r="AI108" s="518">
        <v>0</v>
      </c>
      <c r="AJ108" s="518">
        <v>0</v>
      </c>
      <c r="AK108" s="518">
        <v>0</v>
      </c>
      <c r="AL108" s="518">
        <v>0</v>
      </c>
      <c r="AM108" s="518">
        <v>0</v>
      </c>
      <c r="AN108" s="518">
        <v>0</v>
      </c>
      <c r="AO108" s="518">
        <v>0</v>
      </c>
      <c r="AP108" s="518">
        <v>0</v>
      </c>
      <c r="AQ108" s="518">
        <v>0</v>
      </c>
      <c r="AR108" s="518">
        <v>0</v>
      </c>
      <c r="AS108" s="518">
        <v>0</v>
      </c>
      <c r="AT108" s="518">
        <v>0</v>
      </c>
      <c r="AU108" s="518">
        <v>0</v>
      </c>
      <c r="AV108" s="518">
        <v>0</v>
      </c>
      <c r="AW108" s="518">
        <v>0</v>
      </c>
      <c r="AX108" s="518">
        <v>0</v>
      </c>
      <c r="AY108" s="518">
        <v>0</v>
      </c>
      <c r="AZ108" s="518">
        <v>0</v>
      </c>
      <c r="BA108" s="518">
        <v>0</v>
      </c>
      <c r="BB108" s="518">
        <v>0</v>
      </c>
      <c r="BC108" s="518">
        <v>0</v>
      </c>
      <c r="BD108" s="518">
        <v>0</v>
      </c>
      <c r="BE108" s="518">
        <v>0</v>
      </c>
      <c r="BF108" s="518">
        <v>0</v>
      </c>
      <c r="BG108" s="518">
        <v>0</v>
      </c>
      <c r="BH108" s="518">
        <v>0</v>
      </c>
      <c r="BI108" s="518">
        <v>0</v>
      </c>
      <c r="BJ108" s="518">
        <v>0</v>
      </c>
      <c r="BK108" s="518">
        <v>0</v>
      </c>
      <c r="BL108" s="518">
        <v>0</v>
      </c>
      <c r="BM108" s="518">
        <v>0</v>
      </c>
      <c r="BN108" s="518">
        <v>0</v>
      </c>
      <c r="BO108" s="518">
        <v>0</v>
      </c>
      <c r="BP108" s="518">
        <v>0</v>
      </c>
      <c r="BQ108" s="518">
        <v>0</v>
      </c>
      <c r="BR108" s="518">
        <v>0</v>
      </c>
      <c r="BS108" s="518">
        <v>0</v>
      </c>
      <c r="BT108" s="518">
        <v>0</v>
      </c>
      <c r="BU108" s="518">
        <v>0</v>
      </c>
      <c r="BV108" s="518">
        <v>0</v>
      </c>
      <c r="BW108" s="518">
        <v>0</v>
      </c>
      <c r="BX108" s="518">
        <v>0</v>
      </c>
      <c r="BY108" s="518">
        <v>0</v>
      </c>
      <c r="BZ108" s="518">
        <v>0</v>
      </c>
      <c r="CA108" s="518">
        <v>0</v>
      </c>
      <c r="CB108" s="518">
        <v>0</v>
      </c>
      <c r="CC108" s="518">
        <v>0</v>
      </c>
      <c r="CD108" s="518">
        <v>0</v>
      </c>
      <c r="CE108" s="518">
        <v>0</v>
      </c>
      <c r="CF108" s="518">
        <v>0</v>
      </c>
      <c r="CG108" s="518">
        <v>0</v>
      </c>
      <c r="CH108" s="518">
        <v>0</v>
      </c>
      <c r="CI108" s="518">
        <v>0</v>
      </c>
      <c r="CJ108" s="518">
        <v>0</v>
      </c>
      <c r="CK108" s="518">
        <v>0</v>
      </c>
      <c r="CL108" s="518">
        <v>0</v>
      </c>
      <c r="CM108" s="518">
        <v>0</v>
      </c>
      <c r="CN108" s="518">
        <v>0</v>
      </c>
      <c r="CO108" s="518">
        <v>0</v>
      </c>
      <c r="CP108" s="518">
        <v>0</v>
      </c>
      <c r="CQ108" s="518">
        <v>0</v>
      </c>
      <c r="CR108" s="518">
        <v>0</v>
      </c>
      <c r="CS108" s="518">
        <v>0</v>
      </c>
      <c r="CT108" s="518">
        <v>0</v>
      </c>
      <c r="CU108" s="518">
        <v>0</v>
      </c>
      <c r="CV108" s="518">
        <v>0</v>
      </c>
      <c r="CW108" s="518">
        <v>0</v>
      </c>
      <c r="CX108" s="518">
        <v>0</v>
      </c>
      <c r="CY108" s="518">
        <v>0</v>
      </c>
      <c r="CZ108" s="518">
        <v>0</v>
      </c>
      <c r="DA108" s="518">
        <v>0</v>
      </c>
      <c r="DB108" s="518">
        <v>0</v>
      </c>
      <c r="DC108" s="518">
        <v>0</v>
      </c>
      <c r="DD108" s="518">
        <v>0</v>
      </c>
      <c r="DE108" s="518">
        <v>0</v>
      </c>
      <c r="DF108" s="518">
        <v>0</v>
      </c>
      <c r="DG108" s="518">
        <v>0</v>
      </c>
      <c r="DH108" s="518">
        <v>0</v>
      </c>
      <c r="DI108" s="518">
        <v>0</v>
      </c>
      <c r="DJ108" s="518">
        <v>0</v>
      </c>
      <c r="DK108" s="518">
        <v>0</v>
      </c>
      <c r="DL108" s="518">
        <v>0</v>
      </c>
      <c r="DM108" s="518">
        <v>0</v>
      </c>
      <c r="DN108" s="518">
        <v>0</v>
      </c>
      <c r="DO108" s="518">
        <v>0</v>
      </c>
      <c r="DP108" s="518">
        <v>0</v>
      </c>
      <c r="DQ108" s="518">
        <v>0</v>
      </c>
      <c r="DR108" s="518">
        <v>0</v>
      </c>
      <c r="DS108" s="518">
        <v>0</v>
      </c>
      <c r="DT108" s="518">
        <v>0</v>
      </c>
      <c r="DU108" s="518">
        <v>0</v>
      </c>
      <c r="DV108" s="518">
        <v>0</v>
      </c>
      <c r="DW108" s="518">
        <v>0</v>
      </c>
      <c r="DX108" s="518">
        <v>0</v>
      </c>
      <c r="DZ108" s="517" t="s">
        <v>721</v>
      </c>
      <c r="EA108" s="517" t="s">
        <v>1101</v>
      </c>
      <c r="EB108" s="517" t="s">
        <v>25</v>
      </c>
      <c r="EC108" s="518">
        <v>22</v>
      </c>
      <c r="ED108" s="494" t="str">
        <f t="shared" si="7"/>
        <v>SWUC100122</v>
      </c>
      <c r="EE108" s="518">
        <v>67.8</v>
      </c>
      <c r="EF108" s="518">
        <v>2000</v>
      </c>
      <c r="EG108" s="518">
        <v>2000</v>
      </c>
      <c r="EH108" s="518">
        <v>2000</v>
      </c>
      <c r="EI108" s="518">
        <v>2000</v>
      </c>
      <c r="EJ108" s="518">
        <v>2000</v>
      </c>
      <c r="EK108" s="518">
        <v>2000</v>
      </c>
      <c r="EL108" s="518">
        <v>2000</v>
      </c>
      <c r="EM108" s="518">
        <v>2000</v>
      </c>
      <c r="EN108" s="518">
        <v>2000</v>
      </c>
      <c r="EO108" s="518">
        <v>0</v>
      </c>
      <c r="EP108" s="518">
        <v>0</v>
      </c>
      <c r="EQ108" s="518">
        <v>0</v>
      </c>
      <c r="ER108" s="518">
        <v>0</v>
      </c>
      <c r="ES108" s="518">
        <v>0</v>
      </c>
      <c r="ET108" s="518">
        <v>0</v>
      </c>
      <c r="EU108" s="518">
        <v>0</v>
      </c>
      <c r="EV108" s="518">
        <v>0</v>
      </c>
      <c r="EW108" s="518">
        <v>0</v>
      </c>
      <c r="EX108" s="518">
        <v>0</v>
      </c>
      <c r="EY108" s="518">
        <v>0</v>
      </c>
      <c r="EZ108" s="518">
        <v>0</v>
      </c>
      <c r="FA108" s="518">
        <v>0</v>
      </c>
      <c r="FB108" s="518">
        <v>0</v>
      </c>
      <c r="FC108" s="518">
        <v>0</v>
      </c>
      <c r="FD108" s="518">
        <v>0</v>
      </c>
      <c r="FE108" s="518">
        <v>0</v>
      </c>
      <c r="FF108" s="518">
        <v>0</v>
      </c>
      <c r="FG108" s="518">
        <v>0</v>
      </c>
      <c r="FH108" s="518">
        <v>0</v>
      </c>
      <c r="FI108" s="518">
        <v>0</v>
      </c>
      <c r="FJ108" s="518">
        <v>0</v>
      </c>
      <c r="FK108" s="518">
        <v>0</v>
      </c>
      <c r="FL108" s="518">
        <v>0</v>
      </c>
      <c r="FM108" s="518">
        <v>0</v>
      </c>
      <c r="FN108" s="518">
        <v>0</v>
      </c>
      <c r="FO108" s="518">
        <v>0</v>
      </c>
      <c r="FP108" s="518">
        <v>0</v>
      </c>
      <c r="FQ108" s="518">
        <v>0</v>
      </c>
      <c r="FR108" s="518">
        <v>0</v>
      </c>
      <c r="FS108" s="518">
        <v>0</v>
      </c>
      <c r="FT108" s="518">
        <v>0</v>
      </c>
      <c r="FU108" s="518">
        <v>0</v>
      </c>
      <c r="FV108" s="518">
        <v>0</v>
      </c>
      <c r="FW108" s="518">
        <v>0</v>
      </c>
      <c r="FX108" s="518">
        <v>0</v>
      </c>
      <c r="FY108" s="518">
        <v>0</v>
      </c>
      <c r="FZ108" s="518">
        <v>0</v>
      </c>
      <c r="GA108" s="518">
        <v>0</v>
      </c>
      <c r="GB108" s="518">
        <v>0</v>
      </c>
      <c r="GC108" s="518">
        <v>0</v>
      </c>
      <c r="GD108" s="518">
        <v>0</v>
      </c>
      <c r="GE108" s="518">
        <v>0</v>
      </c>
      <c r="GF108" s="518">
        <v>0</v>
      </c>
      <c r="GG108" s="518">
        <v>0</v>
      </c>
      <c r="GH108" s="518">
        <v>0</v>
      </c>
      <c r="GI108" s="518">
        <v>0</v>
      </c>
      <c r="GJ108" s="518">
        <v>0</v>
      </c>
      <c r="GK108" s="518">
        <v>0</v>
      </c>
      <c r="GL108" s="518">
        <v>0</v>
      </c>
      <c r="GM108" s="518">
        <v>0</v>
      </c>
      <c r="GN108" s="518">
        <v>0</v>
      </c>
      <c r="GO108" s="518">
        <v>0</v>
      </c>
      <c r="GP108" s="518">
        <v>0</v>
      </c>
      <c r="GQ108" s="518">
        <v>0</v>
      </c>
      <c r="GR108" s="518">
        <v>0</v>
      </c>
      <c r="GS108" s="518">
        <v>0</v>
      </c>
      <c r="GT108" s="518">
        <v>0</v>
      </c>
      <c r="GU108" s="518">
        <v>0</v>
      </c>
      <c r="GV108" s="518">
        <v>0</v>
      </c>
      <c r="GW108" s="518">
        <v>0</v>
      </c>
      <c r="GX108" s="518">
        <v>0</v>
      </c>
      <c r="GY108" s="518">
        <v>0</v>
      </c>
      <c r="GZ108" s="518">
        <v>0</v>
      </c>
      <c r="HA108" s="518">
        <v>0</v>
      </c>
      <c r="HB108" s="518">
        <v>0</v>
      </c>
      <c r="HC108" s="518">
        <v>0</v>
      </c>
      <c r="HD108" s="518">
        <v>0</v>
      </c>
      <c r="HE108" s="518">
        <v>0</v>
      </c>
      <c r="HF108" s="518">
        <v>0</v>
      </c>
      <c r="HG108" s="518">
        <v>0</v>
      </c>
      <c r="HH108" s="518">
        <v>0</v>
      </c>
      <c r="HI108" s="518">
        <v>0</v>
      </c>
      <c r="HJ108" s="518">
        <v>0</v>
      </c>
      <c r="HK108" s="518">
        <v>0</v>
      </c>
      <c r="HL108" s="518">
        <v>0</v>
      </c>
      <c r="HM108" s="518">
        <v>0</v>
      </c>
      <c r="HN108" s="518">
        <v>0</v>
      </c>
      <c r="HO108" s="518">
        <v>0</v>
      </c>
      <c r="HP108" s="518">
        <v>0</v>
      </c>
      <c r="HQ108" s="518">
        <v>0</v>
      </c>
      <c r="HR108" s="518">
        <v>0</v>
      </c>
      <c r="HS108" s="518">
        <v>0</v>
      </c>
      <c r="HT108" s="518">
        <v>0</v>
      </c>
      <c r="HU108" s="518">
        <v>0</v>
      </c>
      <c r="HV108" s="518">
        <v>0</v>
      </c>
      <c r="HW108" s="518">
        <v>0</v>
      </c>
      <c r="HX108" s="518">
        <v>0</v>
      </c>
      <c r="HY108" s="518">
        <v>0</v>
      </c>
      <c r="HZ108" s="518">
        <v>0</v>
      </c>
      <c r="IA108" s="518">
        <v>0</v>
      </c>
      <c r="IB108" s="518">
        <v>0</v>
      </c>
      <c r="IC108" s="518">
        <v>0</v>
      </c>
      <c r="ID108" s="518">
        <v>0</v>
      </c>
      <c r="IE108" s="518">
        <v>0</v>
      </c>
      <c r="IF108" s="518">
        <v>0</v>
      </c>
      <c r="IG108" s="518">
        <v>0</v>
      </c>
      <c r="IH108" s="518">
        <v>0</v>
      </c>
      <c r="II108" s="518">
        <v>0</v>
      </c>
      <c r="IJ108" s="518">
        <v>0</v>
      </c>
      <c r="IK108" s="518">
        <v>0</v>
      </c>
    </row>
    <row r="109" spans="1:245" ht="16.5" hidden="1">
      <c r="A109" s="517"/>
      <c r="B109" s="517"/>
      <c r="C109" s="517"/>
      <c r="D109" s="517"/>
      <c r="E109" s="517"/>
      <c r="F109" s="517"/>
      <c r="G109" s="558"/>
      <c r="H109" s="518"/>
      <c r="I109" s="558"/>
      <c r="J109" s="494"/>
      <c r="K109" s="518"/>
      <c r="M109" s="517" t="s">
        <v>721</v>
      </c>
      <c r="N109" s="517" t="s">
        <v>1101</v>
      </c>
      <c r="O109" s="517" t="s">
        <v>25</v>
      </c>
      <c r="P109" s="518">
        <v>23</v>
      </c>
      <c r="Q109" s="494" t="str">
        <f t="shared" si="6"/>
        <v>SWUC100123</v>
      </c>
      <c r="R109" s="518">
        <v>71</v>
      </c>
      <c r="S109" s="518">
        <v>10000</v>
      </c>
      <c r="T109" s="518">
        <v>10000</v>
      </c>
      <c r="U109" s="518">
        <v>10000</v>
      </c>
      <c r="V109" s="518">
        <v>10000</v>
      </c>
      <c r="W109" s="518">
        <v>10000</v>
      </c>
      <c r="X109" s="518">
        <v>10000</v>
      </c>
      <c r="Y109" s="518">
        <v>10000</v>
      </c>
      <c r="Z109" s="518">
        <v>10000</v>
      </c>
      <c r="AA109" s="518">
        <v>10000</v>
      </c>
      <c r="AB109" s="518">
        <v>0</v>
      </c>
      <c r="AC109" s="518">
        <v>0</v>
      </c>
      <c r="AD109" s="518">
        <v>0</v>
      </c>
      <c r="AE109" s="518">
        <v>0</v>
      </c>
      <c r="AF109" s="518">
        <v>0</v>
      </c>
      <c r="AG109" s="518">
        <v>0</v>
      </c>
      <c r="AH109" s="518">
        <v>0</v>
      </c>
      <c r="AI109" s="518">
        <v>0</v>
      </c>
      <c r="AJ109" s="518">
        <v>0</v>
      </c>
      <c r="AK109" s="518">
        <v>0</v>
      </c>
      <c r="AL109" s="518">
        <v>0</v>
      </c>
      <c r="AM109" s="518">
        <v>0</v>
      </c>
      <c r="AN109" s="518">
        <v>0</v>
      </c>
      <c r="AO109" s="518">
        <v>0</v>
      </c>
      <c r="AP109" s="518">
        <v>0</v>
      </c>
      <c r="AQ109" s="518">
        <v>0</v>
      </c>
      <c r="AR109" s="518">
        <v>0</v>
      </c>
      <c r="AS109" s="518">
        <v>0</v>
      </c>
      <c r="AT109" s="518">
        <v>0</v>
      </c>
      <c r="AU109" s="518">
        <v>0</v>
      </c>
      <c r="AV109" s="518">
        <v>0</v>
      </c>
      <c r="AW109" s="518">
        <v>0</v>
      </c>
      <c r="AX109" s="518">
        <v>0</v>
      </c>
      <c r="AY109" s="518">
        <v>0</v>
      </c>
      <c r="AZ109" s="518">
        <v>0</v>
      </c>
      <c r="BA109" s="518">
        <v>0</v>
      </c>
      <c r="BB109" s="518">
        <v>0</v>
      </c>
      <c r="BC109" s="518">
        <v>0</v>
      </c>
      <c r="BD109" s="518">
        <v>0</v>
      </c>
      <c r="BE109" s="518">
        <v>0</v>
      </c>
      <c r="BF109" s="518">
        <v>0</v>
      </c>
      <c r="BG109" s="518">
        <v>0</v>
      </c>
      <c r="BH109" s="518">
        <v>0</v>
      </c>
      <c r="BI109" s="518">
        <v>0</v>
      </c>
      <c r="BJ109" s="518">
        <v>0</v>
      </c>
      <c r="BK109" s="518">
        <v>0</v>
      </c>
      <c r="BL109" s="518">
        <v>0</v>
      </c>
      <c r="BM109" s="518">
        <v>0</v>
      </c>
      <c r="BN109" s="518">
        <v>0</v>
      </c>
      <c r="BO109" s="518">
        <v>0</v>
      </c>
      <c r="BP109" s="518">
        <v>0</v>
      </c>
      <c r="BQ109" s="518">
        <v>0</v>
      </c>
      <c r="BR109" s="518">
        <v>0</v>
      </c>
      <c r="BS109" s="518">
        <v>0</v>
      </c>
      <c r="BT109" s="518">
        <v>0</v>
      </c>
      <c r="BU109" s="518">
        <v>0</v>
      </c>
      <c r="BV109" s="518">
        <v>0</v>
      </c>
      <c r="BW109" s="518">
        <v>0</v>
      </c>
      <c r="BX109" s="518">
        <v>0</v>
      </c>
      <c r="BY109" s="518">
        <v>0</v>
      </c>
      <c r="BZ109" s="518">
        <v>0</v>
      </c>
      <c r="CA109" s="518">
        <v>0</v>
      </c>
      <c r="CB109" s="518">
        <v>0</v>
      </c>
      <c r="CC109" s="518">
        <v>0</v>
      </c>
      <c r="CD109" s="518">
        <v>0</v>
      </c>
      <c r="CE109" s="518">
        <v>0</v>
      </c>
      <c r="CF109" s="518">
        <v>0</v>
      </c>
      <c r="CG109" s="518">
        <v>0</v>
      </c>
      <c r="CH109" s="518">
        <v>0</v>
      </c>
      <c r="CI109" s="518">
        <v>0</v>
      </c>
      <c r="CJ109" s="518">
        <v>0</v>
      </c>
      <c r="CK109" s="518">
        <v>0</v>
      </c>
      <c r="CL109" s="518">
        <v>0</v>
      </c>
      <c r="CM109" s="518">
        <v>0</v>
      </c>
      <c r="CN109" s="518">
        <v>0</v>
      </c>
      <c r="CO109" s="518">
        <v>0</v>
      </c>
      <c r="CP109" s="518">
        <v>0</v>
      </c>
      <c r="CQ109" s="518">
        <v>0</v>
      </c>
      <c r="CR109" s="518">
        <v>0</v>
      </c>
      <c r="CS109" s="518">
        <v>0</v>
      </c>
      <c r="CT109" s="518">
        <v>0</v>
      </c>
      <c r="CU109" s="518">
        <v>0</v>
      </c>
      <c r="CV109" s="518">
        <v>0</v>
      </c>
      <c r="CW109" s="518">
        <v>0</v>
      </c>
      <c r="CX109" s="518">
        <v>0</v>
      </c>
      <c r="CY109" s="518">
        <v>0</v>
      </c>
      <c r="CZ109" s="518">
        <v>0</v>
      </c>
      <c r="DA109" s="518">
        <v>0</v>
      </c>
      <c r="DB109" s="518">
        <v>0</v>
      </c>
      <c r="DC109" s="518">
        <v>0</v>
      </c>
      <c r="DD109" s="518">
        <v>0</v>
      </c>
      <c r="DE109" s="518">
        <v>0</v>
      </c>
      <c r="DF109" s="518">
        <v>0</v>
      </c>
      <c r="DG109" s="518">
        <v>0</v>
      </c>
      <c r="DH109" s="518">
        <v>0</v>
      </c>
      <c r="DI109" s="518">
        <v>0</v>
      </c>
      <c r="DJ109" s="518">
        <v>0</v>
      </c>
      <c r="DK109" s="518">
        <v>0</v>
      </c>
      <c r="DL109" s="518">
        <v>0</v>
      </c>
      <c r="DM109" s="518">
        <v>0</v>
      </c>
      <c r="DN109" s="518">
        <v>0</v>
      </c>
      <c r="DO109" s="518">
        <v>0</v>
      </c>
      <c r="DP109" s="518">
        <v>0</v>
      </c>
      <c r="DQ109" s="518">
        <v>0</v>
      </c>
      <c r="DR109" s="518">
        <v>0</v>
      </c>
      <c r="DS109" s="518">
        <v>0</v>
      </c>
      <c r="DT109" s="518">
        <v>0</v>
      </c>
      <c r="DU109" s="518">
        <v>0</v>
      </c>
      <c r="DV109" s="518">
        <v>0</v>
      </c>
      <c r="DW109" s="518">
        <v>0</v>
      </c>
      <c r="DX109" s="518">
        <v>0</v>
      </c>
      <c r="DZ109" s="517" t="s">
        <v>721</v>
      </c>
      <c r="EA109" s="517" t="s">
        <v>1101</v>
      </c>
      <c r="EB109" s="517" t="s">
        <v>25</v>
      </c>
      <c r="EC109" s="518">
        <v>23</v>
      </c>
      <c r="ED109" s="494" t="str">
        <f t="shared" si="7"/>
        <v>SWUC100123</v>
      </c>
      <c r="EE109" s="518">
        <v>71</v>
      </c>
      <c r="EF109" s="518">
        <v>2000</v>
      </c>
      <c r="EG109" s="518">
        <v>2000</v>
      </c>
      <c r="EH109" s="518">
        <v>2000</v>
      </c>
      <c r="EI109" s="518">
        <v>2000</v>
      </c>
      <c r="EJ109" s="518">
        <v>2000</v>
      </c>
      <c r="EK109" s="518">
        <v>2000</v>
      </c>
      <c r="EL109" s="518">
        <v>2000</v>
      </c>
      <c r="EM109" s="518">
        <v>2000</v>
      </c>
      <c r="EN109" s="518">
        <v>2000</v>
      </c>
      <c r="EO109" s="518">
        <v>0</v>
      </c>
      <c r="EP109" s="518">
        <v>0</v>
      </c>
      <c r="EQ109" s="518">
        <v>0</v>
      </c>
      <c r="ER109" s="518">
        <v>0</v>
      </c>
      <c r="ES109" s="518">
        <v>0</v>
      </c>
      <c r="ET109" s="518">
        <v>0</v>
      </c>
      <c r="EU109" s="518">
        <v>0</v>
      </c>
      <c r="EV109" s="518">
        <v>0</v>
      </c>
      <c r="EW109" s="518">
        <v>0</v>
      </c>
      <c r="EX109" s="518">
        <v>0</v>
      </c>
      <c r="EY109" s="518">
        <v>0</v>
      </c>
      <c r="EZ109" s="518">
        <v>0</v>
      </c>
      <c r="FA109" s="518">
        <v>0</v>
      </c>
      <c r="FB109" s="518">
        <v>0</v>
      </c>
      <c r="FC109" s="518">
        <v>0</v>
      </c>
      <c r="FD109" s="518">
        <v>0</v>
      </c>
      <c r="FE109" s="518">
        <v>0</v>
      </c>
      <c r="FF109" s="518">
        <v>0</v>
      </c>
      <c r="FG109" s="518">
        <v>0</v>
      </c>
      <c r="FH109" s="518">
        <v>0</v>
      </c>
      <c r="FI109" s="518">
        <v>0</v>
      </c>
      <c r="FJ109" s="518">
        <v>0</v>
      </c>
      <c r="FK109" s="518">
        <v>0</v>
      </c>
      <c r="FL109" s="518">
        <v>0</v>
      </c>
      <c r="FM109" s="518">
        <v>0</v>
      </c>
      <c r="FN109" s="518">
        <v>0</v>
      </c>
      <c r="FO109" s="518">
        <v>0</v>
      </c>
      <c r="FP109" s="518">
        <v>0</v>
      </c>
      <c r="FQ109" s="518">
        <v>0</v>
      </c>
      <c r="FR109" s="518">
        <v>0</v>
      </c>
      <c r="FS109" s="518">
        <v>0</v>
      </c>
      <c r="FT109" s="518">
        <v>0</v>
      </c>
      <c r="FU109" s="518">
        <v>0</v>
      </c>
      <c r="FV109" s="518">
        <v>0</v>
      </c>
      <c r="FW109" s="518">
        <v>0</v>
      </c>
      <c r="FX109" s="518">
        <v>0</v>
      </c>
      <c r="FY109" s="518">
        <v>0</v>
      </c>
      <c r="FZ109" s="518">
        <v>0</v>
      </c>
      <c r="GA109" s="518">
        <v>0</v>
      </c>
      <c r="GB109" s="518">
        <v>0</v>
      </c>
      <c r="GC109" s="518">
        <v>0</v>
      </c>
      <c r="GD109" s="518">
        <v>0</v>
      </c>
      <c r="GE109" s="518">
        <v>0</v>
      </c>
      <c r="GF109" s="518">
        <v>0</v>
      </c>
      <c r="GG109" s="518">
        <v>0</v>
      </c>
      <c r="GH109" s="518">
        <v>0</v>
      </c>
      <c r="GI109" s="518">
        <v>0</v>
      </c>
      <c r="GJ109" s="518">
        <v>0</v>
      </c>
      <c r="GK109" s="518">
        <v>0</v>
      </c>
      <c r="GL109" s="518">
        <v>0</v>
      </c>
      <c r="GM109" s="518">
        <v>0</v>
      </c>
      <c r="GN109" s="518">
        <v>0</v>
      </c>
      <c r="GO109" s="518">
        <v>0</v>
      </c>
      <c r="GP109" s="518">
        <v>0</v>
      </c>
      <c r="GQ109" s="518">
        <v>0</v>
      </c>
      <c r="GR109" s="518">
        <v>0</v>
      </c>
      <c r="GS109" s="518">
        <v>0</v>
      </c>
      <c r="GT109" s="518">
        <v>0</v>
      </c>
      <c r="GU109" s="518">
        <v>0</v>
      </c>
      <c r="GV109" s="518">
        <v>0</v>
      </c>
      <c r="GW109" s="518">
        <v>0</v>
      </c>
      <c r="GX109" s="518">
        <v>0</v>
      </c>
      <c r="GY109" s="518">
        <v>0</v>
      </c>
      <c r="GZ109" s="518">
        <v>0</v>
      </c>
      <c r="HA109" s="518">
        <v>0</v>
      </c>
      <c r="HB109" s="518">
        <v>0</v>
      </c>
      <c r="HC109" s="518">
        <v>0</v>
      </c>
      <c r="HD109" s="518">
        <v>0</v>
      </c>
      <c r="HE109" s="518">
        <v>0</v>
      </c>
      <c r="HF109" s="518">
        <v>0</v>
      </c>
      <c r="HG109" s="518">
        <v>0</v>
      </c>
      <c r="HH109" s="518">
        <v>0</v>
      </c>
      <c r="HI109" s="518">
        <v>0</v>
      </c>
      <c r="HJ109" s="518">
        <v>0</v>
      </c>
      <c r="HK109" s="518">
        <v>0</v>
      </c>
      <c r="HL109" s="518">
        <v>0</v>
      </c>
      <c r="HM109" s="518">
        <v>0</v>
      </c>
      <c r="HN109" s="518">
        <v>0</v>
      </c>
      <c r="HO109" s="518">
        <v>0</v>
      </c>
      <c r="HP109" s="518">
        <v>0</v>
      </c>
      <c r="HQ109" s="518">
        <v>0</v>
      </c>
      <c r="HR109" s="518">
        <v>0</v>
      </c>
      <c r="HS109" s="518">
        <v>0</v>
      </c>
      <c r="HT109" s="518">
        <v>0</v>
      </c>
      <c r="HU109" s="518">
        <v>0</v>
      </c>
      <c r="HV109" s="518">
        <v>0</v>
      </c>
      <c r="HW109" s="518">
        <v>0</v>
      </c>
      <c r="HX109" s="518">
        <v>0</v>
      </c>
      <c r="HY109" s="518">
        <v>0</v>
      </c>
      <c r="HZ109" s="518">
        <v>0</v>
      </c>
      <c r="IA109" s="518">
        <v>0</v>
      </c>
      <c r="IB109" s="518">
        <v>0</v>
      </c>
      <c r="IC109" s="518">
        <v>0</v>
      </c>
      <c r="ID109" s="518">
        <v>0</v>
      </c>
      <c r="IE109" s="518">
        <v>0</v>
      </c>
      <c r="IF109" s="518">
        <v>0</v>
      </c>
      <c r="IG109" s="518">
        <v>0</v>
      </c>
      <c r="IH109" s="518">
        <v>0</v>
      </c>
      <c r="II109" s="518">
        <v>0</v>
      </c>
      <c r="IJ109" s="518">
        <v>0</v>
      </c>
      <c r="IK109" s="518">
        <v>0</v>
      </c>
    </row>
    <row r="110" spans="1:245" ht="16.5" hidden="1">
      <c r="A110" s="517"/>
      <c r="B110" s="517"/>
      <c r="C110" s="517"/>
      <c r="D110" s="517"/>
      <c r="E110" s="517"/>
      <c r="F110" s="517"/>
      <c r="G110" s="558"/>
      <c r="H110" s="518"/>
      <c r="I110" s="558"/>
      <c r="J110" s="494"/>
      <c r="K110" s="518"/>
      <c r="M110" s="517" t="s">
        <v>721</v>
      </c>
      <c r="N110" s="517" t="s">
        <v>1101</v>
      </c>
      <c r="O110" s="517" t="s">
        <v>25</v>
      </c>
      <c r="P110" s="518">
        <v>24</v>
      </c>
      <c r="Q110" s="494" t="str">
        <f t="shared" si="6"/>
        <v>SWUC100124</v>
      </c>
      <c r="R110" s="518">
        <v>74.2</v>
      </c>
      <c r="S110" s="518">
        <v>10000</v>
      </c>
      <c r="T110" s="518">
        <v>10000</v>
      </c>
      <c r="U110" s="518">
        <v>10000</v>
      </c>
      <c r="V110" s="518">
        <v>10000</v>
      </c>
      <c r="W110" s="518">
        <v>10000</v>
      </c>
      <c r="X110" s="518">
        <v>10000</v>
      </c>
      <c r="Y110" s="518">
        <v>10000</v>
      </c>
      <c r="Z110" s="518">
        <v>10000</v>
      </c>
      <c r="AA110" s="518">
        <v>10000</v>
      </c>
      <c r="AB110" s="518">
        <v>0</v>
      </c>
      <c r="AC110" s="518">
        <v>0</v>
      </c>
      <c r="AD110" s="518">
        <v>0</v>
      </c>
      <c r="AE110" s="518">
        <v>0</v>
      </c>
      <c r="AF110" s="518">
        <v>0</v>
      </c>
      <c r="AG110" s="518">
        <v>0</v>
      </c>
      <c r="AH110" s="518">
        <v>0</v>
      </c>
      <c r="AI110" s="518">
        <v>0</v>
      </c>
      <c r="AJ110" s="518">
        <v>0</v>
      </c>
      <c r="AK110" s="518">
        <v>0</v>
      </c>
      <c r="AL110" s="518">
        <v>0</v>
      </c>
      <c r="AM110" s="518">
        <v>0</v>
      </c>
      <c r="AN110" s="518">
        <v>0</v>
      </c>
      <c r="AO110" s="518">
        <v>0</v>
      </c>
      <c r="AP110" s="518">
        <v>0</v>
      </c>
      <c r="AQ110" s="518">
        <v>0</v>
      </c>
      <c r="AR110" s="518">
        <v>0</v>
      </c>
      <c r="AS110" s="518">
        <v>0</v>
      </c>
      <c r="AT110" s="518">
        <v>0</v>
      </c>
      <c r="AU110" s="518">
        <v>0</v>
      </c>
      <c r="AV110" s="518">
        <v>0</v>
      </c>
      <c r="AW110" s="518">
        <v>0</v>
      </c>
      <c r="AX110" s="518">
        <v>0</v>
      </c>
      <c r="AY110" s="518">
        <v>0</v>
      </c>
      <c r="AZ110" s="518">
        <v>0</v>
      </c>
      <c r="BA110" s="518">
        <v>0</v>
      </c>
      <c r="BB110" s="518">
        <v>0</v>
      </c>
      <c r="BC110" s="518">
        <v>0</v>
      </c>
      <c r="BD110" s="518">
        <v>0</v>
      </c>
      <c r="BE110" s="518">
        <v>0</v>
      </c>
      <c r="BF110" s="518">
        <v>0</v>
      </c>
      <c r="BG110" s="518">
        <v>0</v>
      </c>
      <c r="BH110" s="518">
        <v>0</v>
      </c>
      <c r="BI110" s="518">
        <v>0</v>
      </c>
      <c r="BJ110" s="518">
        <v>0</v>
      </c>
      <c r="BK110" s="518">
        <v>0</v>
      </c>
      <c r="BL110" s="518">
        <v>0</v>
      </c>
      <c r="BM110" s="518">
        <v>0</v>
      </c>
      <c r="BN110" s="518">
        <v>0</v>
      </c>
      <c r="BO110" s="518">
        <v>0</v>
      </c>
      <c r="BP110" s="518">
        <v>0</v>
      </c>
      <c r="BQ110" s="518">
        <v>0</v>
      </c>
      <c r="BR110" s="518">
        <v>0</v>
      </c>
      <c r="BS110" s="518">
        <v>0</v>
      </c>
      <c r="BT110" s="518">
        <v>0</v>
      </c>
      <c r="BU110" s="518">
        <v>0</v>
      </c>
      <c r="BV110" s="518">
        <v>0</v>
      </c>
      <c r="BW110" s="518">
        <v>0</v>
      </c>
      <c r="BX110" s="518">
        <v>0</v>
      </c>
      <c r="BY110" s="518">
        <v>0</v>
      </c>
      <c r="BZ110" s="518">
        <v>0</v>
      </c>
      <c r="CA110" s="518">
        <v>0</v>
      </c>
      <c r="CB110" s="518">
        <v>0</v>
      </c>
      <c r="CC110" s="518">
        <v>0</v>
      </c>
      <c r="CD110" s="518">
        <v>0</v>
      </c>
      <c r="CE110" s="518">
        <v>0</v>
      </c>
      <c r="CF110" s="518">
        <v>0</v>
      </c>
      <c r="CG110" s="518">
        <v>0</v>
      </c>
      <c r="CH110" s="518">
        <v>0</v>
      </c>
      <c r="CI110" s="518">
        <v>0</v>
      </c>
      <c r="CJ110" s="518">
        <v>0</v>
      </c>
      <c r="CK110" s="518">
        <v>0</v>
      </c>
      <c r="CL110" s="518">
        <v>0</v>
      </c>
      <c r="CM110" s="518">
        <v>0</v>
      </c>
      <c r="CN110" s="518">
        <v>0</v>
      </c>
      <c r="CO110" s="518">
        <v>0</v>
      </c>
      <c r="CP110" s="518">
        <v>0</v>
      </c>
      <c r="CQ110" s="518">
        <v>0</v>
      </c>
      <c r="CR110" s="518">
        <v>0</v>
      </c>
      <c r="CS110" s="518">
        <v>0</v>
      </c>
      <c r="CT110" s="518">
        <v>0</v>
      </c>
      <c r="CU110" s="518">
        <v>0</v>
      </c>
      <c r="CV110" s="518">
        <v>0</v>
      </c>
      <c r="CW110" s="518">
        <v>0</v>
      </c>
      <c r="CX110" s="518">
        <v>0</v>
      </c>
      <c r="CY110" s="518">
        <v>0</v>
      </c>
      <c r="CZ110" s="518">
        <v>0</v>
      </c>
      <c r="DA110" s="518">
        <v>0</v>
      </c>
      <c r="DB110" s="518">
        <v>0</v>
      </c>
      <c r="DC110" s="518">
        <v>0</v>
      </c>
      <c r="DD110" s="518">
        <v>0</v>
      </c>
      <c r="DE110" s="518">
        <v>0</v>
      </c>
      <c r="DF110" s="518">
        <v>0</v>
      </c>
      <c r="DG110" s="518">
        <v>0</v>
      </c>
      <c r="DH110" s="518">
        <v>0</v>
      </c>
      <c r="DI110" s="518">
        <v>0</v>
      </c>
      <c r="DJ110" s="518">
        <v>0</v>
      </c>
      <c r="DK110" s="518">
        <v>0</v>
      </c>
      <c r="DL110" s="518">
        <v>0</v>
      </c>
      <c r="DM110" s="518">
        <v>0</v>
      </c>
      <c r="DN110" s="518">
        <v>0</v>
      </c>
      <c r="DO110" s="518">
        <v>0</v>
      </c>
      <c r="DP110" s="518">
        <v>0</v>
      </c>
      <c r="DQ110" s="518">
        <v>0</v>
      </c>
      <c r="DR110" s="518">
        <v>0</v>
      </c>
      <c r="DS110" s="518">
        <v>0</v>
      </c>
      <c r="DT110" s="518">
        <v>0</v>
      </c>
      <c r="DU110" s="518">
        <v>0</v>
      </c>
      <c r="DV110" s="518">
        <v>0</v>
      </c>
      <c r="DW110" s="518">
        <v>0</v>
      </c>
      <c r="DX110" s="518">
        <v>0</v>
      </c>
      <c r="DZ110" s="517" t="s">
        <v>721</v>
      </c>
      <c r="EA110" s="517" t="s">
        <v>1101</v>
      </c>
      <c r="EB110" s="517" t="s">
        <v>25</v>
      </c>
      <c r="EC110" s="518">
        <v>24</v>
      </c>
      <c r="ED110" s="494" t="str">
        <f t="shared" si="7"/>
        <v>SWUC100124</v>
      </c>
      <c r="EE110" s="518">
        <v>74.2</v>
      </c>
      <c r="EF110" s="518">
        <v>2000</v>
      </c>
      <c r="EG110" s="518">
        <v>2000</v>
      </c>
      <c r="EH110" s="518">
        <v>2000</v>
      </c>
      <c r="EI110" s="518">
        <v>2000</v>
      </c>
      <c r="EJ110" s="518">
        <v>2000</v>
      </c>
      <c r="EK110" s="518">
        <v>2000</v>
      </c>
      <c r="EL110" s="518">
        <v>2000</v>
      </c>
      <c r="EM110" s="518">
        <v>2000</v>
      </c>
      <c r="EN110" s="518">
        <v>2000</v>
      </c>
      <c r="EO110" s="518">
        <v>0</v>
      </c>
      <c r="EP110" s="518">
        <v>0</v>
      </c>
      <c r="EQ110" s="518">
        <v>0</v>
      </c>
      <c r="ER110" s="518">
        <v>0</v>
      </c>
      <c r="ES110" s="518">
        <v>0</v>
      </c>
      <c r="ET110" s="518">
        <v>0</v>
      </c>
      <c r="EU110" s="518">
        <v>0</v>
      </c>
      <c r="EV110" s="518">
        <v>0</v>
      </c>
      <c r="EW110" s="518">
        <v>0</v>
      </c>
      <c r="EX110" s="518">
        <v>0</v>
      </c>
      <c r="EY110" s="518">
        <v>0</v>
      </c>
      <c r="EZ110" s="518">
        <v>0</v>
      </c>
      <c r="FA110" s="518">
        <v>0</v>
      </c>
      <c r="FB110" s="518">
        <v>0</v>
      </c>
      <c r="FC110" s="518">
        <v>0</v>
      </c>
      <c r="FD110" s="518">
        <v>0</v>
      </c>
      <c r="FE110" s="518">
        <v>0</v>
      </c>
      <c r="FF110" s="518">
        <v>0</v>
      </c>
      <c r="FG110" s="518">
        <v>0</v>
      </c>
      <c r="FH110" s="518">
        <v>0</v>
      </c>
      <c r="FI110" s="518">
        <v>0</v>
      </c>
      <c r="FJ110" s="518">
        <v>0</v>
      </c>
      <c r="FK110" s="518">
        <v>0</v>
      </c>
      <c r="FL110" s="518">
        <v>0</v>
      </c>
      <c r="FM110" s="518">
        <v>0</v>
      </c>
      <c r="FN110" s="518">
        <v>0</v>
      </c>
      <c r="FO110" s="518">
        <v>0</v>
      </c>
      <c r="FP110" s="518">
        <v>0</v>
      </c>
      <c r="FQ110" s="518">
        <v>0</v>
      </c>
      <c r="FR110" s="518">
        <v>0</v>
      </c>
      <c r="FS110" s="518">
        <v>0</v>
      </c>
      <c r="FT110" s="518">
        <v>0</v>
      </c>
      <c r="FU110" s="518">
        <v>0</v>
      </c>
      <c r="FV110" s="518">
        <v>0</v>
      </c>
      <c r="FW110" s="518">
        <v>0</v>
      </c>
      <c r="FX110" s="518">
        <v>0</v>
      </c>
      <c r="FY110" s="518">
        <v>0</v>
      </c>
      <c r="FZ110" s="518">
        <v>0</v>
      </c>
      <c r="GA110" s="518">
        <v>0</v>
      </c>
      <c r="GB110" s="518">
        <v>0</v>
      </c>
      <c r="GC110" s="518">
        <v>0</v>
      </c>
      <c r="GD110" s="518">
        <v>0</v>
      </c>
      <c r="GE110" s="518">
        <v>0</v>
      </c>
      <c r="GF110" s="518">
        <v>0</v>
      </c>
      <c r="GG110" s="518">
        <v>0</v>
      </c>
      <c r="GH110" s="518">
        <v>0</v>
      </c>
      <c r="GI110" s="518">
        <v>0</v>
      </c>
      <c r="GJ110" s="518">
        <v>0</v>
      </c>
      <c r="GK110" s="518">
        <v>0</v>
      </c>
      <c r="GL110" s="518">
        <v>0</v>
      </c>
      <c r="GM110" s="518">
        <v>0</v>
      </c>
      <c r="GN110" s="518">
        <v>0</v>
      </c>
      <c r="GO110" s="518">
        <v>0</v>
      </c>
      <c r="GP110" s="518">
        <v>0</v>
      </c>
      <c r="GQ110" s="518">
        <v>0</v>
      </c>
      <c r="GR110" s="518">
        <v>0</v>
      </c>
      <c r="GS110" s="518">
        <v>0</v>
      </c>
      <c r="GT110" s="518">
        <v>0</v>
      </c>
      <c r="GU110" s="518">
        <v>0</v>
      </c>
      <c r="GV110" s="518">
        <v>0</v>
      </c>
      <c r="GW110" s="518">
        <v>0</v>
      </c>
      <c r="GX110" s="518">
        <v>0</v>
      </c>
      <c r="GY110" s="518">
        <v>0</v>
      </c>
      <c r="GZ110" s="518">
        <v>0</v>
      </c>
      <c r="HA110" s="518">
        <v>0</v>
      </c>
      <c r="HB110" s="518">
        <v>0</v>
      </c>
      <c r="HC110" s="518">
        <v>0</v>
      </c>
      <c r="HD110" s="518">
        <v>0</v>
      </c>
      <c r="HE110" s="518">
        <v>0</v>
      </c>
      <c r="HF110" s="518">
        <v>0</v>
      </c>
      <c r="HG110" s="518">
        <v>0</v>
      </c>
      <c r="HH110" s="518">
        <v>0</v>
      </c>
      <c r="HI110" s="518">
        <v>0</v>
      </c>
      <c r="HJ110" s="518">
        <v>0</v>
      </c>
      <c r="HK110" s="518">
        <v>0</v>
      </c>
      <c r="HL110" s="518">
        <v>0</v>
      </c>
      <c r="HM110" s="518">
        <v>0</v>
      </c>
      <c r="HN110" s="518">
        <v>0</v>
      </c>
      <c r="HO110" s="518">
        <v>0</v>
      </c>
      <c r="HP110" s="518">
        <v>0</v>
      </c>
      <c r="HQ110" s="518">
        <v>0</v>
      </c>
      <c r="HR110" s="518">
        <v>0</v>
      </c>
      <c r="HS110" s="518">
        <v>0</v>
      </c>
      <c r="HT110" s="518">
        <v>0</v>
      </c>
      <c r="HU110" s="518">
        <v>0</v>
      </c>
      <c r="HV110" s="518">
        <v>0</v>
      </c>
      <c r="HW110" s="518">
        <v>0</v>
      </c>
      <c r="HX110" s="518">
        <v>0</v>
      </c>
      <c r="HY110" s="518">
        <v>0</v>
      </c>
      <c r="HZ110" s="518">
        <v>0</v>
      </c>
      <c r="IA110" s="518">
        <v>0</v>
      </c>
      <c r="IB110" s="518">
        <v>0</v>
      </c>
      <c r="IC110" s="518">
        <v>0</v>
      </c>
      <c r="ID110" s="518">
        <v>0</v>
      </c>
      <c r="IE110" s="518">
        <v>0</v>
      </c>
      <c r="IF110" s="518">
        <v>0</v>
      </c>
      <c r="IG110" s="518">
        <v>0</v>
      </c>
      <c r="IH110" s="518">
        <v>0</v>
      </c>
      <c r="II110" s="518">
        <v>0</v>
      </c>
      <c r="IJ110" s="518">
        <v>0</v>
      </c>
      <c r="IK110" s="518">
        <v>0</v>
      </c>
    </row>
    <row r="111" spans="1:245" ht="16.5" hidden="1">
      <c r="A111" s="517"/>
      <c r="B111" s="517"/>
      <c r="C111" s="517"/>
      <c r="D111" s="517"/>
      <c r="E111" s="517"/>
      <c r="F111" s="517"/>
      <c r="G111" s="558"/>
      <c r="H111" s="518"/>
      <c r="I111" s="558"/>
      <c r="J111" s="494"/>
      <c r="K111" s="518"/>
      <c r="M111" s="517" t="s">
        <v>721</v>
      </c>
      <c r="N111" s="517" t="s">
        <v>1101</v>
      </c>
      <c r="O111" s="517" t="s">
        <v>25</v>
      </c>
      <c r="P111" s="518">
        <v>25</v>
      </c>
      <c r="Q111" s="494" t="str">
        <f t="shared" si="6"/>
        <v>SWUC100125</v>
      </c>
      <c r="R111" s="518">
        <v>77.400000000000006</v>
      </c>
      <c r="S111" s="518">
        <v>10000</v>
      </c>
      <c r="T111" s="518">
        <v>10000</v>
      </c>
      <c r="U111" s="518">
        <v>10000</v>
      </c>
      <c r="V111" s="518">
        <v>10000</v>
      </c>
      <c r="W111" s="518">
        <v>10000</v>
      </c>
      <c r="X111" s="518">
        <v>10000</v>
      </c>
      <c r="Y111" s="518">
        <v>10000</v>
      </c>
      <c r="Z111" s="518">
        <v>10000</v>
      </c>
      <c r="AA111" s="518">
        <v>10000</v>
      </c>
      <c r="AB111" s="518">
        <v>0</v>
      </c>
      <c r="AC111" s="518">
        <v>0</v>
      </c>
      <c r="AD111" s="518">
        <v>0</v>
      </c>
      <c r="AE111" s="518">
        <v>0</v>
      </c>
      <c r="AF111" s="518">
        <v>0</v>
      </c>
      <c r="AG111" s="518">
        <v>0</v>
      </c>
      <c r="AH111" s="518">
        <v>0</v>
      </c>
      <c r="AI111" s="518">
        <v>0</v>
      </c>
      <c r="AJ111" s="518">
        <v>0</v>
      </c>
      <c r="AK111" s="518">
        <v>0</v>
      </c>
      <c r="AL111" s="518">
        <v>0</v>
      </c>
      <c r="AM111" s="518">
        <v>0</v>
      </c>
      <c r="AN111" s="518">
        <v>0</v>
      </c>
      <c r="AO111" s="518">
        <v>0</v>
      </c>
      <c r="AP111" s="518">
        <v>0</v>
      </c>
      <c r="AQ111" s="518">
        <v>0</v>
      </c>
      <c r="AR111" s="518">
        <v>0</v>
      </c>
      <c r="AS111" s="518">
        <v>0</v>
      </c>
      <c r="AT111" s="518">
        <v>0</v>
      </c>
      <c r="AU111" s="518">
        <v>0</v>
      </c>
      <c r="AV111" s="518">
        <v>0</v>
      </c>
      <c r="AW111" s="518">
        <v>0</v>
      </c>
      <c r="AX111" s="518">
        <v>0</v>
      </c>
      <c r="AY111" s="518">
        <v>0</v>
      </c>
      <c r="AZ111" s="518">
        <v>0</v>
      </c>
      <c r="BA111" s="518">
        <v>0</v>
      </c>
      <c r="BB111" s="518">
        <v>0</v>
      </c>
      <c r="BC111" s="518">
        <v>0</v>
      </c>
      <c r="BD111" s="518">
        <v>0</v>
      </c>
      <c r="BE111" s="518">
        <v>0</v>
      </c>
      <c r="BF111" s="518">
        <v>0</v>
      </c>
      <c r="BG111" s="518">
        <v>0</v>
      </c>
      <c r="BH111" s="518">
        <v>0</v>
      </c>
      <c r="BI111" s="518">
        <v>0</v>
      </c>
      <c r="BJ111" s="518">
        <v>0</v>
      </c>
      <c r="BK111" s="518">
        <v>0</v>
      </c>
      <c r="BL111" s="518">
        <v>0</v>
      </c>
      <c r="BM111" s="518">
        <v>0</v>
      </c>
      <c r="BN111" s="518">
        <v>0</v>
      </c>
      <c r="BO111" s="518">
        <v>0</v>
      </c>
      <c r="BP111" s="518">
        <v>0</v>
      </c>
      <c r="BQ111" s="518">
        <v>0</v>
      </c>
      <c r="BR111" s="518">
        <v>0</v>
      </c>
      <c r="BS111" s="518">
        <v>0</v>
      </c>
      <c r="BT111" s="518">
        <v>0</v>
      </c>
      <c r="BU111" s="518">
        <v>0</v>
      </c>
      <c r="BV111" s="518">
        <v>0</v>
      </c>
      <c r="BW111" s="518">
        <v>0</v>
      </c>
      <c r="BX111" s="518">
        <v>0</v>
      </c>
      <c r="BY111" s="518">
        <v>0</v>
      </c>
      <c r="BZ111" s="518">
        <v>0</v>
      </c>
      <c r="CA111" s="518">
        <v>0</v>
      </c>
      <c r="CB111" s="518">
        <v>0</v>
      </c>
      <c r="CC111" s="518">
        <v>0</v>
      </c>
      <c r="CD111" s="518">
        <v>0</v>
      </c>
      <c r="CE111" s="518">
        <v>0</v>
      </c>
      <c r="CF111" s="518">
        <v>0</v>
      </c>
      <c r="CG111" s="518">
        <v>0</v>
      </c>
      <c r="CH111" s="518">
        <v>0</v>
      </c>
      <c r="CI111" s="518">
        <v>0</v>
      </c>
      <c r="CJ111" s="518">
        <v>0</v>
      </c>
      <c r="CK111" s="518">
        <v>0</v>
      </c>
      <c r="CL111" s="518">
        <v>0</v>
      </c>
      <c r="CM111" s="518">
        <v>0</v>
      </c>
      <c r="CN111" s="518">
        <v>0</v>
      </c>
      <c r="CO111" s="518">
        <v>0</v>
      </c>
      <c r="CP111" s="518">
        <v>0</v>
      </c>
      <c r="CQ111" s="518">
        <v>0</v>
      </c>
      <c r="CR111" s="518">
        <v>0</v>
      </c>
      <c r="CS111" s="518">
        <v>0</v>
      </c>
      <c r="CT111" s="518">
        <v>0</v>
      </c>
      <c r="CU111" s="518">
        <v>0</v>
      </c>
      <c r="CV111" s="518">
        <v>0</v>
      </c>
      <c r="CW111" s="518">
        <v>0</v>
      </c>
      <c r="CX111" s="518">
        <v>0</v>
      </c>
      <c r="CY111" s="518">
        <v>0</v>
      </c>
      <c r="CZ111" s="518">
        <v>0</v>
      </c>
      <c r="DA111" s="518">
        <v>0</v>
      </c>
      <c r="DB111" s="518">
        <v>0</v>
      </c>
      <c r="DC111" s="518">
        <v>0</v>
      </c>
      <c r="DD111" s="518">
        <v>0</v>
      </c>
      <c r="DE111" s="518">
        <v>0</v>
      </c>
      <c r="DF111" s="518">
        <v>0</v>
      </c>
      <c r="DG111" s="518">
        <v>0</v>
      </c>
      <c r="DH111" s="518">
        <v>0</v>
      </c>
      <c r="DI111" s="518">
        <v>0</v>
      </c>
      <c r="DJ111" s="518">
        <v>0</v>
      </c>
      <c r="DK111" s="518">
        <v>0</v>
      </c>
      <c r="DL111" s="518">
        <v>0</v>
      </c>
      <c r="DM111" s="518">
        <v>0</v>
      </c>
      <c r="DN111" s="518">
        <v>0</v>
      </c>
      <c r="DO111" s="518">
        <v>0</v>
      </c>
      <c r="DP111" s="518">
        <v>0</v>
      </c>
      <c r="DQ111" s="518">
        <v>0</v>
      </c>
      <c r="DR111" s="518">
        <v>0</v>
      </c>
      <c r="DS111" s="518">
        <v>0</v>
      </c>
      <c r="DT111" s="518">
        <v>0</v>
      </c>
      <c r="DU111" s="518">
        <v>0</v>
      </c>
      <c r="DV111" s="518">
        <v>0</v>
      </c>
      <c r="DW111" s="518">
        <v>0</v>
      </c>
      <c r="DX111" s="518">
        <v>0</v>
      </c>
      <c r="DZ111" s="517" t="s">
        <v>721</v>
      </c>
      <c r="EA111" s="517" t="s">
        <v>1101</v>
      </c>
      <c r="EB111" s="517" t="s">
        <v>25</v>
      </c>
      <c r="EC111" s="518">
        <v>25</v>
      </c>
      <c r="ED111" s="494" t="str">
        <f t="shared" si="7"/>
        <v>SWUC100125</v>
      </c>
      <c r="EE111" s="518">
        <v>77.400000000000006</v>
      </c>
      <c r="EF111" s="518">
        <v>2000</v>
      </c>
      <c r="EG111" s="518">
        <v>2000</v>
      </c>
      <c r="EH111" s="518">
        <v>2000</v>
      </c>
      <c r="EI111" s="518">
        <v>2000</v>
      </c>
      <c r="EJ111" s="518">
        <v>2000</v>
      </c>
      <c r="EK111" s="518">
        <v>2000</v>
      </c>
      <c r="EL111" s="518">
        <v>2000</v>
      </c>
      <c r="EM111" s="518">
        <v>2000</v>
      </c>
      <c r="EN111" s="518">
        <v>2000</v>
      </c>
      <c r="EO111" s="518">
        <v>0</v>
      </c>
      <c r="EP111" s="518">
        <v>0</v>
      </c>
      <c r="EQ111" s="518">
        <v>0</v>
      </c>
      <c r="ER111" s="518">
        <v>0</v>
      </c>
      <c r="ES111" s="518">
        <v>0</v>
      </c>
      <c r="ET111" s="518">
        <v>0</v>
      </c>
      <c r="EU111" s="518">
        <v>0</v>
      </c>
      <c r="EV111" s="518">
        <v>0</v>
      </c>
      <c r="EW111" s="518">
        <v>0</v>
      </c>
      <c r="EX111" s="518">
        <v>0</v>
      </c>
      <c r="EY111" s="518">
        <v>0</v>
      </c>
      <c r="EZ111" s="518">
        <v>0</v>
      </c>
      <c r="FA111" s="518">
        <v>0</v>
      </c>
      <c r="FB111" s="518">
        <v>0</v>
      </c>
      <c r="FC111" s="518">
        <v>0</v>
      </c>
      <c r="FD111" s="518">
        <v>0</v>
      </c>
      <c r="FE111" s="518">
        <v>0</v>
      </c>
      <c r="FF111" s="518">
        <v>0</v>
      </c>
      <c r="FG111" s="518">
        <v>0</v>
      </c>
      <c r="FH111" s="518">
        <v>0</v>
      </c>
      <c r="FI111" s="518">
        <v>0</v>
      </c>
      <c r="FJ111" s="518">
        <v>0</v>
      </c>
      <c r="FK111" s="518">
        <v>0</v>
      </c>
      <c r="FL111" s="518">
        <v>0</v>
      </c>
      <c r="FM111" s="518">
        <v>0</v>
      </c>
      <c r="FN111" s="518">
        <v>0</v>
      </c>
      <c r="FO111" s="518">
        <v>0</v>
      </c>
      <c r="FP111" s="518">
        <v>0</v>
      </c>
      <c r="FQ111" s="518">
        <v>0</v>
      </c>
      <c r="FR111" s="518">
        <v>0</v>
      </c>
      <c r="FS111" s="518">
        <v>0</v>
      </c>
      <c r="FT111" s="518">
        <v>0</v>
      </c>
      <c r="FU111" s="518">
        <v>0</v>
      </c>
      <c r="FV111" s="518">
        <v>0</v>
      </c>
      <c r="FW111" s="518">
        <v>0</v>
      </c>
      <c r="FX111" s="518">
        <v>0</v>
      </c>
      <c r="FY111" s="518">
        <v>0</v>
      </c>
      <c r="FZ111" s="518">
        <v>0</v>
      </c>
      <c r="GA111" s="518">
        <v>0</v>
      </c>
      <c r="GB111" s="518">
        <v>0</v>
      </c>
      <c r="GC111" s="518">
        <v>0</v>
      </c>
      <c r="GD111" s="518">
        <v>0</v>
      </c>
      <c r="GE111" s="518">
        <v>0</v>
      </c>
      <c r="GF111" s="518">
        <v>0</v>
      </c>
      <c r="GG111" s="518">
        <v>0</v>
      </c>
      <c r="GH111" s="518">
        <v>0</v>
      </c>
      <c r="GI111" s="518">
        <v>0</v>
      </c>
      <c r="GJ111" s="518">
        <v>0</v>
      </c>
      <c r="GK111" s="518">
        <v>0</v>
      </c>
      <c r="GL111" s="518">
        <v>0</v>
      </c>
      <c r="GM111" s="518">
        <v>0</v>
      </c>
      <c r="GN111" s="518">
        <v>0</v>
      </c>
      <c r="GO111" s="518">
        <v>0</v>
      </c>
      <c r="GP111" s="518">
        <v>0</v>
      </c>
      <c r="GQ111" s="518">
        <v>0</v>
      </c>
      <c r="GR111" s="518">
        <v>0</v>
      </c>
      <c r="GS111" s="518">
        <v>0</v>
      </c>
      <c r="GT111" s="518">
        <v>0</v>
      </c>
      <c r="GU111" s="518">
        <v>0</v>
      </c>
      <c r="GV111" s="518">
        <v>0</v>
      </c>
      <c r="GW111" s="518">
        <v>0</v>
      </c>
      <c r="GX111" s="518">
        <v>0</v>
      </c>
      <c r="GY111" s="518">
        <v>0</v>
      </c>
      <c r="GZ111" s="518">
        <v>0</v>
      </c>
      <c r="HA111" s="518">
        <v>0</v>
      </c>
      <c r="HB111" s="518">
        <v>0</v>
      </c>
      <c r="HC111" s="518">
        <v>0</v>
      </c>
      <c r="HD111" s="518">
        <v>0</v>
      </c>
      <c r="HE111" s="518">
        <v>0</v>
      </c>
      <c r="HF111" s="518">
        <v>0</v>
      </c>
      <c r="HG111" s="518">
        <v>0</v>
      </c>
      <c r="HH111" s="518">
        <v>0</v>
      </c>
      <c r="HI111" s="518">
        <v>0</v>
      </c>
      <c r="HJ111" s="518">
        <v>0</v>
      </c>
      <c r="HK111" s="518">
        <v>0</v>
      </c>
      <c r="HL111" s="518">
        <v>0</v>
      </c>
      <c r="HM111" s="518">
        <v>0</v>
      </c>
      <c r="HN111" s="518">
        <v>0</v>
      </c>
      <c r="HO111" s="518">
        <v>0</v>
      </c>
      <c r="HP111" s="518">
        <v>0</v>
      </c>
      <c r="HQ111" s="518">
        <v>0</v>
      </c>
      <c r="HR111" s="518">
        <v>0</v>
      </c>
      <c r="HS111" s="518">
        <v>0</v>
      </c>
      <c r="HT111" s="518">
        <v>0</v>
      </c>
      <c r="HU111" s="518">
        <v>0</v>
      </c>
      <c r="HV111" s="518">
        <v>0</v>
      </c>
      <c r="HW111" s="518">
        <v>0</v>
      </c>
      <c r="HX111" s="518">
        <v>0</v>
      </c>
      <c r="HY111" s="518">
        <v>0</v>
      </c>
      <c r="HZ111" s="518">
        <v>0</v>
      </c>
      <c r="IA111" s="518">
        <v>0</v>
      </c>
      <c r="IB111" s="518">
        <v>0</v>
      </c>
      <c r="IC111" s="518">
        <v>0</v>
      </c>
      <c r="ID111" s="518">
        <v>0</v>
      </c>
      <c r="IE111" s="518">
        <v>0</v>
      </c>
      <c r="IF111" s="518">
        <v>0</v>
      </c>
      <c r="IG111" s="518">
        <v>0</v>
      </c>
      <c r="IH111" s="518">
        <v>0</v>
      </c>
      <c r="II111" s="518">
        <v>0</v>
      </c>
      <c r="IJ111" s="518">
        <v>0</v>
      </c>
      <c r="IK111" s="518">
        <v>0</v>
      </c>
    </row>
    <row r="112" spans="1:245" ht="16.5" hidden="1">
      <c r="A112" s="517"/>
      <c r="B112" s="517"/>
      <c r="C112" s="517"/>
      <c r="D112" s="517"/>
      <c r="E112" s="517"/>
      <c r="F112" s="517"/>
      <c r="G112" s="558"/>
      <c r="H112" s="518"/>
      <c r="I112" s="558"/>
      <c r="J112" s="494"/>
      <c r="K112" s="518"/>
      <c r="M112" s="517" t="s">
        <v>721</v>
      </c>
      <c r="N112" s="517" t="s">
        <v>1101</v>
      </c>
      <c r="O112" s="517" t="s">
        <v>25</v>
      </c>
      <c r="P112" s="518">
        <v>26</v>
      </c>
      <c r="Q112" s="494" t="str">
        <f t="shared" si="6"/>
        <v>SWUC100126</v>
      </c>
      <c r="R112" s="518">
        <v>80.599999999999994</v>
      </c>
      <c r="S112" s="518">
        <v>10000</v>
      </c>
      <c r="T112" s="518">
        <v>10000</v>
      </c>
      <c r="U112" s="518">
        <v>10000</v>
      </c>
      <c r="V112" s="518">
        <v>10000</v>
      </c>
      <c r="W112" s="518">
        <v>10000</v>
      </c>
      <c r="X112" s="518">
        <v>10000</v>
      </c>
      <c r="Y112" s="518">
        <v>10000</v>
      </c>
      <c r="Z112" s="518">
        <v>10000</v>
      </c>
      <c r="AA112" s="518">
        <v>10000</v>
      </c>
      <c r="AB112" s="518">
        <v>0</v>
      </c>
      <c r="AC112" s="518">
        <v>0</v>
      </c>
      <c r="AD112" s="518">
        <v>0</v>
      </c>
      <c r="AE112" s="518">
        <v>0</v>
      </c>
      <c r="AF112" s="518">
        <v>0</v>
      </c>
      <c r="AG112" s="518">
        <v>0</v>
      </c>
      <c r="AH112" s="518">
        <v>0</v>
      </c>
      <c r="AI112" s="518">
        <v>0</v>
      </c>
      <c r="AJ112" s="518">
        <v>0</v>
      </c>
      <c r="AK112" s="518">
        <v>0</v>
      </c>
      <c r="AL112" s="518">
        <v>0</v>
      </c>
      <c r="AM112" s="518">
        <v>0</v>
      </c>
      <c r="AN112" s="518">
        <v>0</v>
      </c>
      <c r="AO112" s="518">
        <v>0</v>
      </c>
      <c r="AP112" s="518">
        <v>0</v>
      </c>
      <c r="AQ112" s="518">
        <v>0</v>
      </c>
      <c r="AR112" s="518">
        <v>0</v>
      </c>
      <c r="AS112" s="518">
        <v>0</v>
      </c>
      <c r="AT112" s="518">
        <v>0</v>
      </c>
      <c r="AU112" s="518">
        <v>0</v>
      </c>
      <c r="AV112" s="518">
        <v>0</v>
      </c>
      <c r="AW112" s="518">
        <v>0</v>
      </c>
      <c r="AX112" s="518">
        <v>0</v>
      </c>
      <c r="AY112" s="518">
        <v>0</v>
      </c>
      <c r="AZ112" s="518">
        <v>0</v>
      </c>
      <c r="BA112" s="518">
        <v>0</v>
      </c>
      <c r="BB112" s="518">
        <v>0</v>
      </c>
      <c r="BC112" s="518">
        <v>0</v>
      </c>
      <c r="BD112" s="518">
        <v>0</v>
      </c>
      <c r="BE112" s="518">
        <v>0</v>
      </c>
      <c r="BF112" s="518">
        <v>0</v>
      </c>
      <c r="BG112" s="518">
        <v>0</v>
      </c>
      <c r="BH112" s="518">
        <v>0</v>
      </c>
      <c r="BI112" s="518">
        <v>0</v>
      </c>
      <c r="BJ112" s="518">
        <v>0</v>
      </c>
      <c r="BK112" s="518">
        <v>0</v>
      </c>
      <c r="BL112" s="518">
        <v>0</v>
      </c>
      <c r="BM112" s="518">
        <v>0</v>
      </c>
      <c r="BN112" s="518">
        <v>0</v>
      </c>
      <c r="BO112" s="518">
        <v>0</v>
      </c>
      <c r="BP112" s="518">
        <v>0</v>
      </c>
      <c r="BQ112" s="518">
        <v>0</v>
      </c>
      <c r="BR112" s="518">
        <v>0</v>
      </c>
      <c r="BS112" s="518">
        <v>0</v>
      </c>
      <c r="BT112" s="518">
        <v>0</v>
      </c>
      <c r="BU112" s="518">
        <v>0</v>
      </c>
      <c r="BV112" s="518">
        <v>0</v>
      </c>
      <c r="BW112" s="518">
        <v>0</v>
      </c>
      <c r="BX112" s="518">
        <v>0</v>
      </c>
      <c r="BY112" s="518">
        <v>0</v>
      </c>
      <c r="BZ112" s="518">
        <v>0</v>
      </c>
      <c r="CA112" s="518">
        <v>0</v>
      </c>
      <c r="CB112" s="518">
        <v>0</v>
      </c>
      <c r="CC112" s="518">
        <v>0</v>
      </c>
      <c r="CD112" s="518">
        <v>0</v>
      </c>
      <c r="CE112" s="518">
        <v>0</v>
      </c>
      <c r="CF112" s="518">
        <v>0</v>
      </c>
      <c r="CG112" s="518">
        <v>0</v>
      </c>
      <c r="CH112" s="518">
        <v>0</v>
      </c>
      <c r="CI112" s="518">
        <v>0</v>
      </c>
      <c r="CJ112" s="518">
        <v>0</v>
      </c>
      <c r="CK112" s="518">
        <v>0</v>
      </c>
      <c r="CL112" s="518">
        <v>0</v>
      </c>
      <c r="CM112" s="518">
        <v>0</v>
      </c>
      <c r="CN112" s="518">
        <v>0</v>
      </c>
      <c r="CO112" s="518">
        <v>0</v>
      </c>
      <c r="CP112" s="518">
        <v>0</v>
      </c>
      <c r="CQ112" s="518">
        <v>0</v>
      </c>
      <c r="CR112" s="518">
        <v>0</v>
      </c>
      <c r="CS112" s="518">
        <v>0</v>
      </c>
      <c r="CT112" s="518">
        <v>0</v>
      </c>
      <c r="CU112" s="518">
        <v>0</v>
      </c>
      <c r="CV112" s="518">
        <v>0</v>
      </c>
      <c r="CW112" s="518">
        <v>0</v>
      </c>
      <c r="CX112" s="518">
        <v>0</v>
      </c>
      <c r="CY112" s="518">
        <v>0</v>
      </c>
      <c r="CZ112" s="518">
        <v>0</v>
      </c>
      <c r="DA112" s="518">
        <v>0</v>
      </c>
      <c r="DB112" s="518">
        <v>0</v>
      </c>
      <c r="DC112" s="518">
        <v>0</v>
      </c>
      <c r="DD112" s="518">
        <v>0</v>
      </c>
      <c r="DE112" s="518">
        <v>0</v>
      </c>
      <c r="DF112" s="518">
        <v>0</v>
      </c>
      <c r="DG112" s="518">
        <v>0</v>
      </c>
      <c r="DH112" s="518">
        <v>0</v>
      </c>
      <c r="DI112" s="518">
        <v>0</v>
      </c>
      <c r="DJ112" s="518">
        <v>0</v>
      </c>
      <c r="DK112" s="518">
        <v>0</v>
      </c>
      <c r="DL112" s="518">
        <v>0</v>
      </c>
      <c r="DM112" s="518">
        <v>0</v>
      </c>
      <c r="DN112" s="518">
        <v>0</v>
      </c>
      <c r="DO112" s="518">
        <v>0</v>
      </c>
      <c r="DP112" s="518">
        <v>0</v>
      </c>
      <c r="DQ112" s="518">
        <v>0</v>
      </c>
      <c r="DR112" s="518">
        <v>0</v>
      </c>
      <c r="DS112" s="518">
        <v>0</v>
      </c>
      <c r="DT112" s="518">
        <v>0</v>
      </c>
      <c r="DU112" s="518">
        <v>0</v>
      </c>
      <c r="DV112" s="518">
        <v>0</v>
      </c>
      <c r="DW112" s="518">
        <v>0</v>
      </c>
      <c r="DX112" s="518">
        <v>0</v>
      </c>
      <c r="DZ112" s="517" t="s">
        <v>721</v>
      </c>
      <c r="EA112" s="517" t="s">
        <v>1101</v>
      </c>
      <c r="EB112" s="517" t="s">
        <v>25</v>
      </c>
      <c r="EC112" s="518">
        <v>26</v>
      </c>
      <c r="ED112" s="494" t="str">
        <f t="shared" si="7"/>
        <v>SWUC100126</v>
      </c>
      <c r="EE112" s="518">
        <v>80.599999999999994</v>
      </c>
      <c r="EF112" s="518">
        <v>2000</v>
      </c>
      <c r="EG112" s="518">
        <v>2000</v>
      </c>
      <c r="EH112" s="518">
        <v>2000</v>
      </c>
      <c r="EI112" s="518">
        <v>2000</v>
      </c>
      <c r="EJ112" s="518">
        <v>2000</v>
      </c>
      <c r="EK112" s="518">
        <v>2000</v>
      </c>
      <c r="EL112" s="518">
        <v>2000</v>
      </c>
      <c r="EM112" s="518">
        <v>2000</v>
      </c>
      <c r="EN112" s="518">
        <v>2000</v>
      </c>
      <c r="EO112" s="518">
        <v>0</v>
      </c>
      <c r="EP112" s="518">
        <v>0</v>
      </c>
      <c r="EQ112" s="518">
        <v>0</v>
      </c>
      <c r="ER112" s="518">
        <v>0</v>
      </c>
      <c r="ES112" s="518">
        <v>0</v>
      </c>
      <c r="ET112" s="518">
        <v>0</v>
      </c>
      <c r="EU112" s="518">
        <v>0</v>
      </c>
      <c r="EV112" s="518">
        <v>0</v>
      </c>
      <c r="EW112" s="518">
        <v>0</v>
      </c>
      <c r="EX112" s="518">
        <v>0</v>
      </c>
      <c r="EY112" s="518">
        <v>0</v>
      </c>
      <c r="EZ112" s="518">
        <v>0</v>
      </c>
      <c r="FA112" s="518">
        <v>0</v>
      </c>
      <c r="FB112" s="518">
        <v>0</v>
      </c>
      <c r="FC112" s="518">
        <v>0</v>
      </c>
      <c r="FD112" s="518">
        <v>0</v>
      </c>
      <c r="FE112" s="518">
        <v>0</v>
      </c>
      <c r="FF112" s="518">
        <v>0</v>
      </c>
      <c r="FG112" s="518">
        <v>0</v>
      </c>
      <c r="FH112" s="518">
        <v>0</v>
      </c>
      <c r="FI112" s="518">
        <v>0</v>
      </c>
      <c r="FJ112" s="518">
        <v>0</v>
      </c>
      <c r="FK112" s="518">
        <v>0</v>
      </c>
      <c r="FL112" s="518">
        <v>0</v>
      </c>
      <c r="FM112" s="518">
        <v>0</v>
      </c>
      <c r="FN112" s="518">
        <v>0</v>
      </c>
      <c r="FO112" s="518">
        <v>0</v>
      </c>
      <c r="FP112" s="518">
        <v>0</v>
      </c>
      <c r="FQ112" s="518">
        <v>0</v>
      </c>
      <c r="FR112" s="518">
        <v>0</v>
      </c>
      <c r="FS112" s="518">
        <v>0</v>
      </c>
      <c r="FT112" s="518">
        <v>0</v>
      </c>
      <c r="FU112" s="518">
        <v>0</v>
      </c>
      <c r="FV112" s="518">
        <v>0</v>
      </c>
      <c r="FW112" s="518">
        <v>0</v>
      </c>
      <c r="FX112" s="518">
        <v>0</v>
      </c>
      <c r="FY112" s="518">
        <v>0</v>
      </c>
      <c r="FZ112" s="518">
        <v>0</v>
      </c>
      <c r="GA112" s="518">
        <v>0</v>
      </c>
      <c r="GB112" s="518">
        <v>0</v>
      </c>
      <c r="GC112" s="518">
        <v>0</v>
      </c>
      <c r="GD112" s="518">
        <v>0</v>
      </c>
      <c r="GE112" s="518">
        <v>0</v>
      </c>
      <c r="GF112" s="518">
        <v>0</v>
      </c>
      <c r="GG112" s="518">
        <v>0</v>
      </c>
      <c r="GH112" s="518">
        <v>0</v>
      </c>
      <c r="GI112" s="518">
        <v>0</v>
      </c>
      <c r="GJ112" s="518">
        <v>0</v>
      </c>
      <c r="GK112" s="518">
        <v>0</v>
      </c>
      <c r="GL112" s="518">
        <v>0</v>
      </c>
      <c r="GM112" s="518">
        <v>0</v>
      </c>
      <c r="GN112" s="518">
        <v>0</v>
      </c>
      <c r="GO112" s="518">
        <v>0</v>
      </c>
      <c r="GP112" s="518">
        <v>0</v>
      </c>
      <c r="GQ112" s="518">
        <v>0</v>
      </c>
      <c r="GR112" s="518">
        <v>0</v>
      </c>
      <c r="GS112" s="518">
        <v>0</v>
      </c>
      <c r="GT112" s="518">
        <v>0</v>
      </c>
      <c r="GU112" s="518">
        <v>0</v>
      </c>
      <c r="GV112" s="518">
        <v>0</v>
      </c>
      <c r="GW112" s="518">
        <v>0</v>
      </c>
      <c r="GX112" s="518">
        <v>0</v>
      </c>
      <c r="GY112" s="518">
        <v>0</v>
      </c>
      <c r="GZ112" s="518">
        <v>0</v>
      </c>
      <c r="HA112" s="518">
        <v>0</v>
      </c>
      <c r="HB112" s="518">
        <v>0</v>
      </c>
      <c r="HC112" s="518">
        <v>0</v>
      </c>
      <c r="HD112" s="518">
        <v>0</v>
      </c>
      <c r="HE112" s="518">
        <v>0</v>
      </c>
      <c r="HF112" s="518">
        <v>0</v>
      </c>
      <c r="HG112" s="518">
        <v>0</v>
      </c>
      <c r="HH112" s="518">
        <v>0</v>
      </c>
      <c r="HI112" s="518">
        <v>0</v>
      </c>
      <c r="HJ112" s="518">
        <v>0</v>
      </c>
      <c r="HK112" s="518">
        <v>0</v>
      </c>
      <c r="HL112" s="518">
        <v>0</v>
      </c>
      <c r="HM112" s="518">
        <v>0</v>
      </c>
      <c r="HN112" s="518">
        <v>0</v>
      </c>
      <c r="HO112" s="518">
        <v>0</v>
      </c>
      <c r="HP112" s="518">
        <v>0</v>
      </c>
      <c r="HQ112" s="518">
        <v>0</v>
      </c>
      <c r="HR112" s="518">
        <v>0</v>
      </c>
      <c r="HS112" s="518">
        <v>0</v>
      </c>
      <c r="HT112" s="518">
        <v>0</v>
      </c>
      <c r="HU112" s="518">
        <v>0</v>
      </c>
      <c r="HV112" s="518">
        <v>0</v>
      </c>
      <c r="HW112" s="518">
        <v>0</v>
      </c>
      <c r="HX112" s="518">
        <v>0</v>
      </c>
      <c r="HY112" s="518">
        <v>0</v>
      </c>
      <c r="HZ112" s="518">
        <v>0</v>
      </c>
      <c r="IA112" s="518">
        <v>0</v>
      </c>
      <c r="IB112" s="518">
        <v>0</v>
      </c>
      <c r="IC112" s="518">
        <v>0</v>
      </c>
      <c r="ID112" s="518">
        <v>0</v>
      </c>
      <c r="IE112" s="518">
        <v>0</v>
      </c>
      <c r="IF112" s="518">
        <v>0</v>
      </c>
      <c r="IG112" s="518">
        <v>0</v>
      </c>
      <c r="IH112" s="518">
        <v>0</v>
      </c>
      <c r="II112" s="518">
        <v>0</v>
      </c>
      <c r="IJ112" s="518">
        <v>0</v>
      </c>
      <c r="IK112" s="518">
        <v>0</v>
      </c>
    </row>
    <row r="113" spans="1:245" ht="16.5" hidden="1">
      <c r="A113" s="517"/>
      <c r="B113" s="517"/>
      <c r="C113" s="517"/>
      <c r="D113" s="517"/>
      <c r="E113" s="517"/>
      <c r="F113" s="517"/>
      <c r="G113" s="558"/>
      <c r="H113" s="518"/>
      <c r="I113" s="558"/>
      <c r="J113" s="494"/>
      <c r="K113" s="518"/>
      <c r="M113" s="517" t="s">
        <v>721</v>
      </c>
      <c r="N113" s="517" t="s">
        <v>1101</v>
      </c>
      <c r="O113" s="517" t="s">
        <v>25</v>
      </c>
      <c r="P113" s="518">
        <v>27</v>
      </c>
      <c r="Q113" s="494" t="str">
        <f t="shared" si="6"/>
        <v>SWUC100127</v>
      </c>
      <c r="R113" s="518">
        <v>83.7</v>
      </c>
      <c r="S113" s="518">
        <v>10000</v>
      </c>
      <c r="T113" s="518">
        <v>10000</v>
      </c>
      <c r="U113" s="518">
        <v>10000</v>
      </c>
      <c r="V113" s="518">
        <v>10000</v>
      </c>
      <c r="W113" s="518">
        <v>10000</v>
      </c>
      <c r="X113" s="518">
        <v>10000</v>
      </c>
      <c r="Y113" s="518">
        <v>10000</v>
      </c>
      <c r="Z113" s="518">
        <v>10000</v>
      </c>
      <c r="AA113" s="518">
        <v>10000</v>
      </c>
      <c r="AB113" s="518">
        <v>0</v>
      </c>
      <c r="AC113" s="518">
        <v>0</v>
      </c>
      <c r="AD113" s="518">
        <v>0</v>
      </c>
      <c r="AE113" s="518">
        <v>0</v>
      </c>
      <c r="AF113" s="518">
        <v>0</v>
      </c>
      <c r="AG113" s="518">
        <v>0</v>
      </c>
      <c r="AH113" s="518">
        <v>0</v>
      </c>
      <c r="AI113" s="518">
        <v>0</v>
      </c>
      <c r="AJ113" s="518">
        <v>0</v>
      </c>
      <c r="AK113" s="518">
        <v>0</v>
      </c>
      <c r="AL113" s="518">
        <v>0</v>
      </c>
      <c r="AM113" s="518">
        <v>0</v>
      </c>
      <c r="AN113" s="518">
        <v>0</v>
      </c>
      <c r="AO113" s="518">
        <v>0</v>
      </c>
      <c r="AP113" s="518">
        <v>0</v>
      </c>
      <c r="AQ113" s="518">
        <v>0</v>
      </c>
      <c r="AR113" s="518">
        <v>0</v>
      </c>
      <c r="AS113" s="518">
        <v>0</v>
      </c>
      <c r="AT113" s="518">
        <v>0</v>
      </c>
      <c r="AU113" s="518">
        <v>0</v>
      </c>
      <c r="AV113" s="518">
        <v>0</v>
      </c>
      <c r="AW113" s="518">
        <v>0</v>
      </c>
      <c r="AX113" s="518">
        <v>0</v>
      </c>
      <c r="AY113" s="518">
        <v>0</v>
      </c>
      <c r="AZ113" s="518">
        <v>0</v>
      </c>
      <c r="BA113" s="518">
        <v>0</v>
      </c>
      <c r="BB113" s="518">
        <v>0</v>
      </c>
      <c r="BC113" s="518">
        <v>0</v>
      </c>
      <c r="BD113" s="518">
        <v>0</v>
      </c>
      <c r="BE113" s="518">
        <v>0</v>
      </c>
      <c r="BF113" s="518">
        <v>0</v>
      </c>
      <c r="BG113" s="518">
        <v>0</v>
      </c>
      <c r="BH113" s="518">
        <v>0</v>
      </c>
      <c r="BI113" s="518">
        <v>0</v>
      </c>
      <c r="BJ113" s="518">
        <v>0</v>
      </c>
      <c r="BK113" s="518">
        <v>0</v>
      </c>
      <c r="BL113" s="518">
        <v>0</v>
      </c>
      <c r="BM113" s="518">
        <v>0</v>
      </c>
      <c r="BN113" s="518">
        <v>0</v>
      </c>
      <c r="BO113" s="518">
        <v>0</v>
      </c>
      <c r="BP113" s="518">
        <v>0</v>
      </c>
      <c r="BQ113" s="518">
        <v>0</v>
      </c>
      <c r="BR113" s="518">
        <v>0</v>
      </c>
      <c r="BS113" s="518">
        <v>0</v>
      </c>
      <c r="BT113" s="518">
        <v>0</v>
      </c>
      <c r="BU113" s="518">
        <v>0</v>
      </c>
      <c r="BV113" s="518">
        <v>0</v>
      </c>
      <c r="BW113" s="518">
        <v>0</v>
      </c>
      <c r="BX113" s="518">
        <v>0</v>
      </c>
      <c r="BY113" s="518">
        <v>0</v>
      </c>
      <c r="BZ113" s="518">
        <v>0</v>
      </c>
      <c r="CA113" s="518">
        <v>0</v>
      </c>
      <c r="CB113" s="518">
        <v>0</v>
      </c>
      <c r="CC113" s="518">
        <v>0</v>
      </c>
      <c r="CD113" s="518">
        <v>0</v>
      </c>
      <c r="CE113" s="518">
        <v>0</v>
      </c>
      <c r="CF113" s="518">
        <v>0</v>
      </c>
      <c r="CG113" s="518">
        <v>0</v>
      </c>
      <c r="CH113" s="518">
        <v>0</v>
      </c>
      <c r="CI113" s="518">
        <v>0</v>
      </c>
      <c r="CJ113" s="518">
        <v>0</v>
      </c>
      <c r="CK113" s="518">
        <v>0</v>
      </c>
      <c r="CL113" s="518">
        <v>0</v>
      </c>
      <c r="CM113" s="518">
        <v>0</v>
      </c>
      <c r="CN113" s="518">
        <v>0</v>
      </c>
      <c r="CO113" s="518">
        <v>0</v>
      </c>
      <c r="CP113" s="518">
        <v>0</v>
      </c>
      <c r="CQ113" s="518">
        <v>0</v>
      </c>
      <c r="CR113" s="518">
        <v>0</v>
      </c>
      <c r="CS113" s="518">
        <v>0</v>
      </c>
      <c r="CT113" s="518">
        <v>0</v>
      </c>
      <c r="CU113" s="518">
        <v>0</v>
      </c>
      <c r="CV113" s="518">
        <v>0</v>
      </c>
      <c r="CW113" s="518">
        <v>0</v>
      </c>
      <c r="CX113" s="518">
        <v>0</v>
      </c>
      <c r="CY113" s="518">
        <v>0</v>
      </c>
      <c r="CZ113" s="518">
        <v>0</v>
      </c>
      <c r="DA113" s="518">
        <v>0</v>
      </c>
      <c r="DB113" s="518">
        <v>0</v>
      </c>
      <c r="DC113" s="518">
        <v>0</v>
      </c>
      <c r="DD113" s="518">
        <v>0</v>
      </c>
      <c r="DE113" s="518">
        <v>0</v>
      </c>
      <c r="DF113" s="518">
        <v>0</v>
      </c>
      <c r="DG113" s="518">
        <v>0</v>
      </c>
      <c r="DH113" s="518">
        <v>0</v>
      </c>
      <c r="DI113" s="518">
        <v>0</v>
      </c>
      <c r="DJ113" s="518">
        <v>0</v>
      </c>
      <c r="DK113" s="518">
        <v>0</v>
      </c>
      <c r="DL113" s="518">
        <v>0</v>
      </c>
      <c r="DM113" s="518">
        <v>0</v>
      </c>
      <c r="DN113" s="518">
        <v>0</v>
      </c>
      <c r="DO113" s="518">
        <v>0</v>
      </c>
      <c r="DP113" s="518">
        <v>0</v>
      </c>
      <c r="DQ113" s="518">
        <v>0</v>
      </c>
      <c r="DR113" s="518">
        <v>0</v>
      </c>
      <c r="DS113" s="518">
        <v>0</v>
      </c>
      <c r="DT113" s="518">
        <v>0</v>
      </c>
      <c r="DU113" s="518">
        <v>0</v>
      </c>
      <c r="DV113" s="518">
        <v>0</v>
      </c>
      <c r="DW113" s="518">
        <v>0</v>
      </c>
      <c r="DX113" s="518">
        <v>0</v>
      </c>
      <c r="DZ113" s="517" t="s">
        <v>721</v>
      </c>
      <c r="EA113" s="517" t="s">
        <v>1101</v>
      </c>
      <c r="EB113" s="517" t="s">
        <v>25</v>
      </c>
      <c r="EC113" s="518">
        <v>27</v>
      </c>
      <c r="ED113" s="494" t="str">
        <f t="shared" si="7"/>
        <v>SWUC100127</v>
      </c>
      <c r="EE113" s="518">
        <v>83.7</v>
      </c>
      <c r="EF113" s="518">
        <v>2000</v>
      </c>
      <c r="EG113" s="518">
        <v>2000</v>
      </c>
      <c r="EH113" s="518">
        <v>2000</v>
      </c>
      <c r="EI113" s="518">
        <v>2000</v>
      </c>
      <c r="EJ113" s="518">
        <v>2000</v>
      </c>
      <c r="EK113" s="518">
        <v>2000</v>
      </c>
      <c r="EL113" s="518">
        <v>2000</v>
      </c>
      <c r="EM113" s="518">
        <v>2000</v>
      </c>
      <c r="EN113" s="518">
        <v>2000</v>
      </c>
      <c r="EO113" s="518">
        <v>0</v>
      </c>
      <c r="EP113" s="518">
        <v>0</v>
      </c>
      <c r="EQ113" s="518">
        <v>0</v>
      </c>
      <c r="ER113" s="518">
        <v>0</v>
      </c>
      <c r="ES113" s="518">
        <v>0</v>
      </c>
      <c r="ET113" s="518">
        <v>0</v>
      </c>
      <c r="EU113" s="518">
        <v>0</v>
      </c>
      <c r="EV113" s="518">
        <v>0</v>
      </c>
      <c r="EW113" s="518">
        <v>0</v>
      </c>
      <c r="EX113" s="518">
        <v>0</v>
      </c>
      <c r="EY113" s="518">
        <v>0</v>
      </c>
      <c r="EZ113" s="518">
        <v>0</v>
      </c>
      <c r="FA113" s="518">
        <v>0</v>
      </c>
      <c r="FB113" s="518">
        <v>0</v>
      </c>
      <c r="FC113" s="518">
        <v>0</v>
      </c>
      <c r="FD113" s="518">
        <v>0</v>
      </c>
      <c r="FE113" s="518">
        <v>0</v>
      </c>
      <c r="FF113" s="518">
        <v>0</v>
      </c>
      <c r="FG113" s="518">
        <v>0</v>
      </c>
      <c r="FH113" s="518">
        <v>0</v>
      </c>
      <c r="FI113" s="518">
        <v>0</v>
      </c>
      <c r="FJ113" s="518">
        <v>0</v>
      </c>
      <c r="FK113" s="518">
        <v>0</v>
      </c>
      <c r="FL113" s="518">
        <v>0</v>
      </c>
      <c r="FM113" s="518">
        <v>0</v>
      </c>
      <c r="FN113" s="518">
        <v>0</v>
      </c>
      <c r="FO113" s="518">
        <v>0</v>
      </c>
      <c r="FP113" s="518">
        <v>0</v>
      </c>
      <c r="FQ113" s="518">
        <v>0</v>
      </c>
      <c r="FR113" s="518">
        <v>0</v>
      </c>
      <c r="FS113" s="518">
        <v>0</v>
      </c>
      <c r="FT113" s="518">
        <v>0</v>
      </c>
      <c r="FU113" s="518">
        <v>0</v>
      </c>
      <c r="FV113" s="518">
        <v>0</v>
      </c>
      <c r="FW113" s="518">
        <v>0</v>
      </c>
      <c r="FX113" s="518">
        <v>0</v>
      </c>
      <c r="FY113" s="518">
        <v>0</v>
      </c>
      <c r="FZ113" s="518">
        <v>0</v>
      </c>
      <c r="GA113" s="518">
        <v>0</v>
      </c>
      <c r="GB113" s="518">
        <v>0</v>
      </c>
      <c r="GC113" s="518">
        <v>0</v>
      </c>
      <c r="GD113" s="518">
        <v>0</v>
      </c>
      <c r="GE113" s="518">
        <v>0</v>
      </c>
      <c r="GF113" s="518">
        <v>0</v>
      </c>
      <c r="GG113" s="518">
        <v>0</v>
      </c>
      <c r="GH113" s="518">
        <v>0</v>
      </c>
      <c r="GI113" s="518">
        <v>0</v>
      </c>
      <c r="GJ113" s="518">
        <v>0</v>
      </c>
      <c r="GK113" s="518">
        <v>0</v>
      </c>
      <c r="GL113" s="518">
        <v>0</v>
      </c>
      <c r="GM113" s="518">
        <v>0</v>
      </c>
      <c r="GN113" s="518">
        <v>0</v>
      </c>
      <c r="GO113" s="518">
        <v>0</v>
      </c>
      <c r="GP113" s="518">
        <v>0</v>
      </c>
      <c r="GQ113" s="518">
        <v>0</v>
      </c>
      <c r="GR113" s="518">
        <v>0</v>
      </c>
      <c r="GS113" s="518">
        <v>0</v>
      </c>
      <c r="GT113" s="518">
        <v>0</v>
      </c>
      <c r="GU113" s="518">
        <v>0</v>
      </c>
      <c r="GV113" s="518">
        <v>0</v>
      </c>
      <c r="GW113" s="518">
        <v>0</v>
      </c>
      <c r="GX113" s="518">
        <v>0</v>
      </c>
      <c r="GY113" s="518">
        <v>0</v>
      </c>
      <c r="GZ113" s="518">
        <v>0</v>
      </c>
      <c r="HA113" s="518">
        <v>0</v>
      </c>
      <c r="HB113" s="518">
        <v>0</v>
      </c>
      <c r="HC113" s="518">
        <v>0</v>
      </c>
      <c r="HD113" s="518">
        <v>0</v>
      </c>
      <c r="HE113" s="518">
        <v>0</v>
      </c>
      <c r="HF113" s="518">
        <v>0</v>
      </c>
      <c r="HG113" s="518">
        <v>0</v>
      </c>
      <c r="HH113" s="518">
        <v>0</v>
      </c>
      <c r="HI113" s="518">
        <v>0</v>
      </c>
      <c r="HJ113" s="518">
        <v>0</v>
      </c>
      <c r="HK113" s="518">
        <v>0</v>
      </c>
      <c r="HL113" s="518">
        <v>0</v>
      </c>
      <c r="HM113" s="518">
        <v>0</v>
      </c>
      <c r="HN113" s="518">
        <v>0</v>
      </c>
      <c r="HO113" s="518">
        <v>0</v>
      </c>
      <c r="HP113" s="518">
        <v>0</v>
      </c>
      <c r="HQ113" s="518">
        <v>0</v>
      </c>
      <c r="HR113" s="518">
        <v>0</v>
      </c>
      <c r="HS113" s="518">
        <v>0</v>
      </c>
      <c r="HT113" s="518">
        <v>0</v>
      </c>
      <c r="HU113" s="518">
        <v>0</v>
      </c>
      <c r="HV113" s="518">
        <v>0</v>
      </c>
      <c r="HW113" s="518">
        <v>0</v>
      </c>
      <c r="HX113" s="518">
        <v>0</v>
      </c>
      <c r="HY113" s="518">
        <v>0</v>
      </c>
      <c r="HZ113" s="518">
        <v>0</v>
      </c>
      <c r="IA113" s="518">
        <v>0</v>
      </c>
      <c r="IB113" s="518">
        <v>0</v>
      </c>
      <c r="IC113" s="518">
        <v>0</v>
      </c>
      <c r="ID113" s="518">
        <v>0</v>
      </c>
      <c r="IE113" s="518">
        <v>0</v>
      </c>
      <c r="IF113" s="518">
        <v>0</v>
      </c>
      <c r="IG113" s="518">
        <v>0</v>
      </c>
      <c r="IH113" s="518">
        <v>0</v>
      </c>
      <c r="II113" s="518">
        <v>0</v>
      </c>
      <c r="IJ113" s="518">
        <v>0</v>
      </c>
      <c r="IK113" s="518">
        <v>0</v>
      </c>
    </row>
    <row r="114" spans="1:245" ht="16.5" hidden="1">
      <c r="A114" s="517"/>
      <c r="B114" s="517"/>
      <c r="C114" s="517"/>
      <c r="D114" s="517"/>
      <c r="E114" s="517"/>
      <c r="F114" s="517"/>
      <c r="G114" s="558"/>
      <c r="H114" s="518"/>
      <c r="I114" s="558"/>
      <c r="J114" s="494"/>
      <c r="K114" s="518"/>
      <c r="M114" s="517" t="s">
        <v>721</v>
      </c>
      <c r="N114" s="517" t="s">
        <v>1101</v>
      </c>
      <c r="O114" s="517" t="s">
        <v>25</v>
      </c>
      <c r="P114" s="518">
        <v>28</v>
      </c>
      <c r="Q114" s="494" t="str">
        <f t="shared" si="6"/>
        <v>SWUC100128</v>
      </c>
      <c r="R114" s="518">
        <v>86.9</v>
      </c>
      <c r="S114" s="518">
        <v>10000</v>
      </c>
      <c r="T114" s="518">
        <v>10000</v>
      </c>
      <c r="U114" s="518">
        <v>10000</v>
      </c>
      <c r="V114" s="518">
        <v>10000</v>
      </c>
      <c r="W114" s="518">
        <v>10000</v>
      </c>
      <c r="X114" s="518">
        <v>10000</v>
      </c>
      <c r="Y114" s="518">
        <v>10000</v>
      </c>
      <c r="Z114" s="518">
        <v>10000</v>
      </c>
      <c r="AA114" s="518">
        <v>10000</v>
      </c>
      <c r="AB114" s="518">
        <v>0</v>
      </c>
      <c r="AC114" s="518">
        <v>0</v>
      </c>
      <c r="AD114" s="518">
        <v>0</v>
      </c>
      <c r="AE114" s="518">
        <v>0</v>
      </c>
      <c r="AF114" s="518">
        <v>0</v>
      </c>
      <c r="AG114" s="518">
        <v>0</v>
      </c>
      <c r="AH114" s="518">
        <v>0</v>
      </c>
      <c r="AI114" s="518">
        <v>0</v>
      </c>
      <c r="AJ114" s="518">
        <v>0</v>
      </c>
      <c r="AK114" s="518">
        <v>0</v>
      </c>
      <c r="AL114" s="518">
        <v>0</v>
      </c>
      <c r="AM114" s="518">
        <v>0</v>
      </c>
      <c r="AN114" s="518">
        <v>0</v>
      </c>
      <c r="AO114" s="518">
        <v>0</v>
      </c>
      <c r="AP114" s="518">
        <v>0</v>
      </c>
      <c r="AQ114" s="518">
        <v>0</v>
      </c>
      <c r="AR114" s="518">
        <v>0</v>
      </c>
      <c r="AS114" s="518">
        <v>0</v>
      </c>
      <c r="AT114" s="518">
        <v>0</v>
      </c>
      <c r="AU114" s="518">
        <v>0</v>
      </c>
      <c r="AV114" s="518">
        <v>0</v>
      </c>
      <c r="AW114" s="518">
        <v>0</v>
      </c>
      <c r="AX114" s="518">
        <v>0</v>
      </c>
      <c r="AY114" s="518">
        <v>0</v>
      </c>
      <c r="AZ114" s="518">
        <v>0</v>
      </c>
      <c r="BA114" s="518">
        <v>0</v>
      </c>
      <c r="BB114" s="518">
        <v>0</v>
      </c>
      <c r="BC114" s="518">
        <v>0</v>
      </c>
      <c r="BD114" s="518">
        <v>0</v>
      </c>
      <c r="BE114" s="518">
        <v>0</v>
      </c>
      <c r="BF114" s="518">
        <v>0</v>
      </c>
      <c r="BG114" s="518">
        <v>0</v>
      </c>
      <c r="BH114" s="518">
        <v>0</v>
      </c>
      <c r="BI114" s="518">
        <v>0</v>
      </c>
      <c r="BJ114" s="518">
        <v>0</v>
      </c>
      <c r="BK114" s="518">
        <v>0</v>
      </c>
      <c r="BL114" s="518">
        <v>0</v>
      </c>
      <c r="BM114" s="518">
        <v>0</v>
      </c>
      <c r="BN114" s="518">
        <v>0</v>
      </c>
      <c r="BO114" s="518">
        <v>0</v>
      </c>
      <c r="BP114" s="518">
        <v>0</v>
      </c>
      <c r="BQ114" s="518">
        <v>0</v>
      </c>
      <c r="BR114" s="518">
        <v>0</v>
      </c>
      <c r="BS114" s="518">
        <v>0</v>
      </c>
      <c r="BT114" s="518">
        <v>0</v>
      </c>
      <c r="BU114" s="518">
        <v>0</v>
      </c>
      <c r="BV114" s="518">
        <v>0</v>
      </c>
      <c r="BW114" s="518">
        <v>0</v>
      </c>
      <c r="BX114" s="518">
        <v>0</v>
      </c>
      <c r="BY114" s="518">
        <v>0</v>
      </c>
      <c r="BZ114" s="518">
        <v>0</v>
      </c>
      <c r="CA114" s="518">
        <v>0</v>
      </c>
      <c r="CB114" s="518">
        <v>0</v>
      </c>
      <c r="CC114" s="518">
        <v>0</v>
      </c>
      <c r="CD114" s="518">
        <v>0</v>
      </c>
      <c r="CE114" s="518">
        <v>0</v>
      </c>
      <c r="CF114" s="518">
        <v>0</v>
      </c>
      <c r="CG114" s="518">
        <v>0</v>
      </c>
      <c r="CH114" s="518">
        <v>0</v>
      </c>
      <c r="CI114" s="518">
        <v>0</v>
      </c>
      <c r="CJ114" s="518">
        <v>0</v>
      </c>
      <c r="CK114" s="518">
        <v>0</v>
      </c>
      <c r="CL114" s="518">
        <v>0</v>
      </c>
      <c r="CM114" s="518">
        <v>0</v>
      </c>
      <c r="CN114" s="518">
        <v>0</v>
      </c>
      <c r="CO114" s="518">
        <v>0</v>
      </c>
      <c r="CP114" s="518">
        <v>0</v>
      </c>
      <c r="CQ114" s="518">
        <v>0</v>
      </c>
      <c r="CR114" s="518">
        <v>0</v>
      </c>
      <c r="CS114" s="518">
        <v>0</v>
      </c>
      <c r="CT114" s="518">
        <v>0</v>
      </c>
      <c r="CU114" s="518">
        <v>0</v>
      </c>
      <c r="CV114" s="518">
        <v>0</v>
      </c>
      <c r="CW114" s="518">
        <v>0</v>
      </c>
      <c r="CX114" s="518">
        <v>0</v>
      </c>
      <c r="CY114" s="518">
        <v>0</v>
      </c>
      <c r="CZ114" s="518">
        <v>0</v>
      </c>
      <c r="DA114" s="518">
        <v>0</v>
      </c>
      <c r="DB114" s="518">
        <v>0</v>
      </c>
      <c r="DC114" s="518">
        <v>0</v>
      </c>
      <c r="DD114" s="518">
        <v>0</v>
      </c>
      <c r="DE114" s="518">
        <v>0</v>
      </c>
      <c r="DF114" s="518">
        <v>0</v>
      </c>
      <c r="DG114" s="518">
        <v>0</v>
      </c>
      <c r="DH114" s="518">
        <v>0</v>
      </c>
      <c r="DI114" s="518">
        <v>0</v>
      </c>
      <c r="DJ114" s="518">
        <v>0</v>
      </c>
      <c r="DK114" s="518">
        <v>0</v>
      </c>
      <c r="DL114" s="518">
        <v>0</v>
      </c>
      <c r="DM114" s="518">
        <v>0</v>
      </c>
      <c r="DN114" s="518">
        <v>0</v>
      </c>
      <c r="DO114" s="518">
        <v>0</v>
      </c>
      <c r="DP114" s="518">
        <v>0</v>
      </c>
      <c r="DQ114" s="518">
        <v>0</v>
      </c>
      <c r="DR114" s="518">
        <v>0</v>
      </c>
      <c r="DS114" s="518">
        <v>0</v>
      </c>
      <c r="DT114" s="518">
        <v>0</v>
      </c>
      <c r="DU114" s="518">
        <v>0</v>
      </c>
      <c r="DV114" s="518">
        <v>0</v>
      </c>
      <c r="DW114" s="518">
        <v>0</v>
      </c>
      <c r="DX114" s="518">
        <v>0</v>
      </c>
      <c r="DZ114" s="517" t="s">
        <v>721</v>
      </c>
      <c r="EA114" s="517" t="s">
        <v>1101</v>
      </c>
      <c r="EB114" s="517" t="s">
        <v>25</v>
      </c>
      <c r="EC114" s="518">
        <v>28</v>
      </c>
      <c r="ED114" s="494" t="str">
        <f t="shared" si="7"/>
        <v>SWUC100128</v>
      </c>
      <c r="EE114" s="518">
        <v>86.9</v>
      </c>
      <c r="EF114" s="518">
        <v>2000</v>
      </c>
      <c r="EG114" s="518">
        <v>2000</v>
      </c>
      <c r="EH114" s="518">
        <v>2000</v>
      </c>
      <c r="EI114" s="518">
        <v>2000</v>
      </c>
      <c r="EJ114" s="518">
        <v>2000</v>
      </c>
      <c r="EK114" s="518">
        <v>2000</v>
      </c>
      <c r="EL114" s="518">
        <v>2000</v>
      </c>
      <c r="EM114" s="518">
        <v>2000</v>
      </c>
      <c r="EN114" s="518">
        <v>2000</v>
      </c>
      <c r="EO114" s="518">
        <v>0</v>
      </c>
      <c r="EP114" s="518">
        <v>0</v>
      </c>
      <c r="EQ114" s="518">
        <v>0</v>
      </c>
      <c r="ER114" s="518">
        <v>0</v>
      </c>
      <c r="ES114" s="518">
        <v>0</v>
      </c>
      <c r="ET114" s="518">
        <v>0</v>
      </c>
      <c r="EU114" s="518">
        <v>0</v>
      </c>
      <c r="EV114" s="518">
        <v>0</v>
      </c>
      <c r="EW114" s="518">
        <v>0</v>
      </c>
      <c r="EX114" s="518">
        <v>0</v>
      </c>
      <c r="EY114" s="518">
        <v>0</v>
      </c>
      <c r="EZ114" s="518">
        <v>0</v>
      </c>
      <c r="FA114" s="518">
        <v>0</v>
      </c>
      <c r="FB114" s="518">
        <v>0</v>
      </c>
      <c r="FC114" s="518">
        <v>0</v>
      </c>
      <c r="FD114" s="518">
        <v>0</v>
      </c>
      <c r="FE114" s="518">
        <v>0</v>
      </c>
      <c r="FF114" s="518">
        <v>0</v>
      </c>
      <c r="FG114" s="518">
        <v>0</v>
      </c>
      <c r="FH114" s="518">
        <v>0</v>
      </c>
      <c r="FI114" s="518">
        <v>0</v>
      </c>
      <c r="FJ114" s="518">
        <v>0</v>
      </c>
      <c r="FK114" s="518">
        <v>0</v>
      </c>
      <c r="FL114" s="518">
        <v>0</v>
      </c>
      <c r="FM114" s="518">
        <v>0</v>
      </c>
      <c r="FN114" s="518">
        <v>0</v>
      </c>
      <c r="FO114" s="518">
        <v>0</v>
      </c>
      <c r="FP114" s="518">
        <v>0</v>
      </c>
      <c r="FQ114" s="518">
        <v>0</v>
      </c>
      <c r="FR114" s="518">
        <v>0</v>
      </c>
      <c r="FS114" s="518">
        <v>0</v>
      </c>
      <c r="FT114" s="518">
        <v>0</v>
      </c>
      <c r="FU114" s="518">
        <v>0</v>
      </c>
      <c r="FV114" s="518">
        <v>0</v>
      </c>
      <c r="FW114" s="518">
        <v>0</v>
      </c>
      <c r="FX114" s="518">
        <v>0</v>
      </c>
      <c r="FY114" s="518">
        <v>0</v>
      </c>
      <c r="FZ114" s="518">
        <v>0</v>
      </c>
      <c r="GA114" s="518">
        <v>0</v>
      </c>
      <c r="GB114" s="518">
        <v>0</v>
      </c>
      <c r="GC114" s="518">
        <v>0</v>
      </c>
      <c r="GD114" s="518">
        <v>0</v>
      </c>
      <c r="GE114" s="518">
        <v>0</v>
      </c>
      <c r="GF114" s="518">
        <v>0</v>
      </c>
      <c r="GG114" s="518">
        <v>0</v>
      </c>
      <c r="GH114" s="518">
        <v>0</v>
      </c>
      <c r="GI114" s="518">
        <v>0</v>
      </c>
      <c r="GJ114" s="518">
        <v>0</v>
      </c>
      <c r="GK114" s="518">
        <v>0</v>
      </c>
      <c r="GL114" s="518">
        <v>0</v>
      </c>
      <c r="GM114" s="518">
        <v>0</v>
      </c>
      <c r="GN114" s="518">
        <v>0</v>
      </c>
      <c r="GO114" s="518">
        <v>0</v>
      </c>
      <c r="GP114" s="518">
        <v>0</v>
      </c>
      <c r="GQ114" s="518">
        <v>0</v>
      </c>
      <c r="GR114" s="518">
        <v>0</v>
      </c>
      <c r="GS114" s="518">
        <v>0</v>
      </c>
      <c r="GT114" s="518">
        <v>0</v>
      </c>
      <c r="GU114" s="518">
        <v>0</v>
      </c>
      <c r="GV114" s="518">
        <v>0</v>
      </c>
      <c r="GW114" s="518">
        <v>0</v>
      </c>
      <c r="GX114" s="518">
        <v>0</v>
      </c>
      <c r="GY114" s="518">
        <v>0</v>
      </c>
      <c r="GZ114" s="518">
        <v>0</v>
      </c>
      <c r="HA114" s="518">
        <v>0</v>
      </c>
      <c r="HB114" s="518">
        <v>0</v>
      </c>
      <c r="HC114" s="518">
        <v>0</v>
      </c>
      <c r="HD114" s="518">
        <v>0</v>
      </c>
      <c r="HE114" s="518">
        <v>0</v>
      </c>
      <c r="HF114" s="518">
        <v>0</v>
      </c>
      <c r="HG114" s="518">
        <v>0</v>
      </c>
      <c r="HH114" s="518">
        <v>0</v>
      </c>
      <c r="HI114" s="518">
        <v>0</v>
      </c>
      <c r="HJ114" s="518">
        <v>0</v>
      </c>
      <c r="HK114" s="518">
        <v>0</v>
      </c>
      <c r="HL114" s="518">
        <v>0</v>
      </c>
      <c r="HM114" s="518">
        <v>0</v>
      </c>
      <c r="HN114" s="518">
        <v>0</v>
      </c>
      <c r="HO114" s="518">
        <v>0</v>
      </c>
      <c r="HP114" s="518">
        <v>0</v>
      </c>
      <c r="HQ114" s="518">
        <v>0</v>
      </c>
      <c r="HR114" s="518">
        <v>0</v>
      </c>
      <c r="HS114" s="518">
        <v>0</v>
      </c>
      <c r="HT114" s="518">
        <v>0</v>
      </c>
      <c r="HU114" s="518">
        <v>0</v>
      </c>
      <c r="HV114" s="518">
        <v>0</v>
      </c>
      <c r="HW114" s="518">
        <v>0</v>
      </c>
      <c r="HX114" s="518">
        <v>0</v>
      </c>
      <c r="HY114" s="518">
        <v>0</v>
      </c>
      <c r="HZ114" s="518">
        <v>0</v>
      </c>
      <c r="IA114" s="518">
        <v>0</v>
      </c>
      <c r="IB114" s="518">
        <v>0</v>
      </c>
      <c r="IC114" s="518">
        <v>0</v>
      </c>
      <c r="ID114" s="518">
        <v>0</v>
      </c>
      <c r="IE114" s="518">
        <v>0</v>
      </c>
      <c r="IF114" s="518">
        <v>0</v>
      </c>
      <c r="IG114" s="518">
        <v>0</v>
      </c>
      <c r="IH114" s="518">
        <v>0</v>
      </c>
      <c r="II114" s="518">
        <v>0</v>
      </c>
      <c r="IJ114" s="518">
        <v>0</v>
      </c>
      <c r="IK114" s="518">
        <v>0</v>
      </c>
    </row>
    <row r="115" spans="1:245" ht="16.5" hidden="1">
      <c r="A115" s="517"/>
      <c r="B115" s="517"/>
      <c r="C115" s="517"/>
      <c r="D115" s="517"/>
      <c r="E115" s="517"/>
      <c r="F115" s="517"/>
      <c r="G115" s="558"/>
      <c r="H115" s="518"/>
      <c r="I115" s="558"/>
      <c r="J115" s="494"/>
      <c r="K115" s="518"/>
      <c r="M115" s="517" t="s">
        <v>721</v>
      </c>
      <c r="N115" s="517" t="s">
        <v>1101</v>
      </c>
      <c r="O115" s="517" t="s">
        <v>25</v>
      </c>
      <c r="P115" s="518">
        <v>29</v>
      </c>
      <c r="Q115" s="494" t="str">
        <f t="shared" si="6"/>
        <v>SWUC100129</v>
      </c>
      <c r="R115" s="518">
        <v>90.1</v>
      </c>
      <c r="S115" s="518">
        <v>10000</v>
      </c>
      <c r="T115" s="518">
        <v>10000</v>
      </c>
      <c r="U115" s="518">
        <v>10000</v>
      </c>
      <c r="V115" s="518">
        <v>10000</v>
      </c>
      <c r="W115" s="518">
        <v>10000</v>
      </c>
      <c r="X115" s="518">
        <v>10000</v>
      </c>
      <c r="Y115" s="518">
        <v>10000</v>
      </c>
      <c r="Z115" s="518">
        <v>10000</v>
      </c>
      <c r="AA115" s="518">
        <v>10000</v>
      </c>
      <c r="AB115" s="518">
        <v>0</v>
      </c>
      <c r="AC115" s="518">
        <v>0</v>
      </c>
      <c r="AD115" s="518">
        <v>0</v>
      </c>
      <c r="AE115" s="518">
        <v>0</v>
      </c>
      <c r="AF115" s="518">
        <v>0</v>
      </c>
      <c r="AG115" s="518">
        <v>0</v>
      </c>
      <c r="AH115" s="518">
        <v>0</v>
      </c>
      <c r="AI115" s="518">
        <v>0</v>
      </c>
      <c r="AJ115" s="518">
        <v>0</v>
      </c>
      <c r="AK115" s="518">
        <v>0</v>
      </c>
      <c r="AL115" s="518">
        <v>0</v>
      </c>
      <c r="AM115" s="518">
        <v>0</v>
      </c>
      <c r="AN115" s="518">
        <v>0</v>
      </c>
      <c r="AO115" s="518">
        <v>0</v>
      </c>
      <c r="AP115" s="518">
        <v>0</v>
      </c>
      <c r="AQ115" s="518">
        <v>0</v>
      </c>
      <c r="AR115" s="518">
        <v>0</v>
      </c>
      <c r="AS115" s="518">
        <v>0</v>
      </c>
      <c r="AT115" s="518">
        <v>0</v>
      </c>
      <c r="AU115" s="518">
        <v>0</v>
      </c>
      <c r="AV115" s="518">
        <v>0</v>
      </c>
      <c r="AW115" s="518">
        <v>0</v>
      </c>
      <c r="AX115" s="518">
        <v>0</v>
      </c>
      <c r="AY115" s="518">
        <v>0</v>
      </c>
      <c r="AZ115" s="518">
        <v>0</v>
      </c>
      <c r="BA115" s="518">
        <v>0</v>
      </c>
      <c r="BB115" s="518">
        <v>0</v>
      </c>
      <c r="BC115" s="518">
        <v>0</v>
      </c>
      <c r="BD115" s="518">
        <v>0</v>
      </c>
      <c r="BE115" s="518">
        <v>0</v>
      </c>
      <c r="BF115" s="518">
        <v>0</v>
      </c>
      <c r="BG115" s="518">
        <v>0</v>
      </c>
      <c r="BH115" s="518">
        <v>0</v>
      </c>
      <c r="BI115" s="518">
        <v>0</v>
      </c>
      <c r="BJ115" s="518">
        <v>0</v>
      </c>
      <c r="BK115" s="518">
        <v>0</v>
      </c>
      <c r="BL115" s="518">
        <v>0</v>
      </c>
      <c r="BM115" s="518">
        <v>0</v>
      </c>
      <c r="BN115" s="518">
        <v>0</v>
      </c>
      <c r="BO115" s="518">
        <v>0</v>
      </c>
      <c r="BP115" s="518">
        <v>0</v>
      </c>
      <c r="BQ115" s="518">
        <v>0</v>
      </c>
      <c r="BR115" s="518">
        <v>0</v>
      </c>
      <c r="BS115" s="518">
        <v>0</v>
      </c>
      <c r="BT115" s="518">
        <v>0</v>
      </c>
      <c r="BU115" s="518">
        <v>0</v>
      </c>
      <c r="BV115" s="518">
        <v>0</v>
      </c>
      <c r="BW115" s="518">
        <v>0</v>
      </c>
      <c r="BX115" s="518">
        <v>0</v>
      </c>
      <c r="BY115" s="518">
        <v>0</v>
      </c>
      <c r="BZ115" s="518">
        <v>0</v>
      </c>
      <c r="CA115" s="518">
        <v>0</v>
      </c>
      <c r="CB115" s="518">
        <v>0</v>
      </c>
      <c r="CC115" s="518">
        <v>0</v>
      </c>
      <c r="CD115" s="518">
        <v>0</v>
      </c>
      <c r="CE115" s="518">
        <v>0</v>
      </c>
      <c r="CF115" s="518">
        <v>0</v>
      </c>
      <c r="CG115" s="518">
        <v>0</v>
      </c>
      <c r="CH115" s="518">
        <v>0</v>
      </c>
      <c r="CI115" s="518">
        <v>0</v>
      </c>
      <c r="CJ115" s="518">
        <v>0</v>
      </c>
      <c r="CK115" s="518">
        <v>0</v>
      </c>
      <c r="CL115" s="518">
        <v>0</v>
      </c>
      <c r="CM115" s="518">
        <v>0</v>
      </c>
      <c r="CN115" s="518">
        <v>0</v>
      </c>
      <c r="CO115" s="518">
        <v>0</v>
      </c>
      <c r="CP115" s="518">
        <v>0</v>
      </c>
      <c r="CQ115" s="518">
        <v>0</v>
      </c>
      <c r="CR115" s="518">
        <v>0</v>
      </c>
      <c r="CS115" s="518">
        <v>0</v>
      </c>
      <c r="CT115" s="518">
        <v>0</v>
      </c>
      <c r="CU115" s="518">
        <v>0</v>
      </c>
      <c r="CV115" s="518">
        <v>0</v>
      </c>
      <c r="CW115" s="518">
        <v>0</v>
      </c>
      <c r="CX115" s="518">
        <v>0</v>
      </c>
      <c r="CY115" s="518">
        <v>0</v>
      </c>
      <c r="CZ115" s="518">
        <v>0</v>
      </c>
      <c r="DA115" s="518">
        <v>0</v>
      </c>
      <c r="DB115" s="518">
        <v>0</v>
      </c>
      <c r="DC115" s="518">
        <v>0</v>
      </c>
      <c r="DD115" s="518">
        <v>0</v>
      </c>
      <c r="DE115" s="518">
        <v>0</v>
      </c>
      <c r="DF115" s="518">
        <v>0</v>
      </c>
      <c r="DG115" s="518">
        <v>0</v>
      </c>
      <c r="DH115" s="518">
        <v>0</v>
      </c>
      <c r="DI115" s="518">
        <v>0</v>
      </c>
      <c r="DJ115" s="518">
        <v>0</v>
      </c>
      <c r="DK115" s="518">
        <v>0</v>
      </c>
      <c r="DL115" s="518">
        <v>0</v>
      </c>
      <c r="DM115" s="518">
        <v>0</v>
      </c>
      <c r="DN115" s="518">
        <v>0</v>
      </c>
      <c r="DO115" s="518">
        <v>0</v>
      </c>
      <c r="DP115" s="518">
        <v>0</v>
      </c>
      <c r="DQ115" s="518">
        <v>0</v>
      </c>
      <c r="DR115" s="518">
        <v>0</v>
      </c>
      <c r="DS115" s="518">
        <v>0</v>
      </c>
      <c r="DT115" s="518">
        <v>0</v>
      </c>
      <c r="DU115" s="518">
        <v>0</v>
      </c>
      <c r="DV115" s="518">
        <v>0</v>
      </c>
      <c r="DW115" s="518">
        <v>0</v>
      </c>
      <c r="DX115" s="518">
        <v>0</v>
      </c>
      <c r="DZ115" s="517" t="s">
        <v>721</v>
      </c>
      <c r="EA115" s="517" t="s">
        <v>1101</v>
      </c>
      <c r="EB115" s="517" t="s">
        <v>25</v>
      </c>
      <c r="EC115" s="518">
        <v>29</v>
      </c>
      <c r="ED115" s="494" t="str">
        <f t="shared" si="7"/>
        <v>SWUC100129</v>
      </c>
      <c r="EE115" s="518">
        <v>90.1</v>
      </c>
      <c r="EF115" s="518">
        <v>2000</v>
      </c>
      <c r="EG115" s="518">
        <v>2000</v>
      </c>
      <c r="EH115" s="518">
        <v>2000</v>
      </c>
      <c r="EI115" s="518">
        <v>2000</v>
      </c>
      <c r="EJ115" s="518">
        <v>2000</v>
      </c>
      <c r="EK115" s="518">
        <v>2000</v>
      </c>
      <c r="EL115" s="518">
        <v>2000</v>
      </c>
      <c r="EM115" s="518">
        <v>2000</v>
      </c>
      <c r="EN115" s="518">
        <v>2000</v>
      </c>
      <c r="EO115" s="518">
        <v>0</v>
      </c>
      <c r="EP115" s="518">
        <v>0</v>
      </c>
      <c r="EQ115" s="518">
        <v>0</v>
      </c>
      <c r="ER115" s="518">
        <v>0</v>
      </c>
      <c r="ES115" s="518">
        <v>0</v>
      </c>
      <c r="ET115" s="518">
        <v>0</v>
      </c>
      <c r="EU115" s="518">
        <v>0</v>
      </c>
      <c r="EV115" s="518">
        <v>0</v>
      </c>
      <c r="EW115" s="518">
        <v>0</v>
      </c>
      <c r="EX115" s="518">
        <v>0</v>
      </c>
      <c r="EY115" s="518">
        <v>0</v>
      </c>
      <c r="EZ115" s="518">
        <v>0</v>
      </c>
      <c r="FA115" s="518">
        <v>0</v>
      </c>
      <c r="FB115" s="518">
        <v>0</v>
      </c>
      <c r="FC115" s="518">
        <v>0</v>
      </c>
      <c r="FD115" s="518">
        <v>0</v>
      </c>
      <c r="FE115" s="518">
        <v>0</v>
      </c>
      <c r="FF115" s="518">
        <v>0</v>
      </c>
      <c r="FG115" s="518">
        <v>0</v>
      </c>
      <c r="FH115" s="518">
        <v>0</v>
      </c>
      <c r="FI115" s="518">
        <v>0</v>
      </c>
      <c r="FJ115" s="518">
        <v>0</v>
      </c>
      <c r="FK115" s="518">
        <v>0</v>
      </c>
      <c r="FL115" s="518">
        <v>0</v>
      </c>
      <c r="FM115" s="518">
        <v>0</v>
      </c>
      <c r="FN115" s="518">
        <v>0</v>
      </c>
      <c r="FO115" s="518">
        <v>0</v>
      </c>
      <c r="FP115" s="518">
        <v>0</v>
      </c>
      <c r="FQ115" s="518">
        <v>0</v>
      </c>
      <c r="FR115" s="518">
        <v>0</v>
      </c>
      <c r="FS115" s="518">
        <v>0</v>
      </c>
      <c r="FT115" s="518">
        <v>0</v>
      </c>
      <c r="FU115" s="518">
        <v>0</v>
      </c>
      <c r="FV115" s="518">
        <v>0</v>
      </c>
      <c r="FW115" s="518">
        <v>0</v>
      </c>
      <c r="FX115" s="518">
        <v>0</v>
      </c>
      <c r="FY115" s="518">
        <v>0</v>
      </c>
      <c r="FZ115" s="518">
        <v>0</v>
      </c>
      <c r="GA115" s="518">
        <v>0</v>
      </c>
      <c r="GB115" s="518">
        <v>0</v>
      </c>
      <c r="GC115" s="518">
        <v>0</v>
      </c>
      <c r="GD115" s="518">
        <v>0</v>
      </c>
      <c r="GE115" s="518">
        <v>0</v>
      </c>
      <c r="GF115" s="518">
        <v>0</v>
      </c>
      <c r="GG115" s="518">
        <v>0</v>
      </c>
      <c r="GH115" s="518">
        <v>0</v>
      </c>
      <c r="GI115" s="518">
        <v>0</v>
      </c>
      <c r="GJ115" s="518">
        <v>0</v>
      </c>
      <c r="GK115" s="518">
        <v>0</v>
      </c>
      <c r="GL115" s="518">
        <v>0</v>
      </c>
      <c r="GM115" s="518">
        <v>0</v>
      </c>
      <c r="GN115" s="518">
        <v>0</v>
      </c>
      <c r="GO115" s="518">
        <v>0</v>
      </c>
      <c r="GP115" s="518">
        <v>0</v>
      </c>
      <c r="GQ115" s="518">
        <v>0</v>
      </c>
      <c r="GR115" s="518">
        <v>0</v>
      </c>
      <c r="GS115" s="518">
        <v>0</v>
      </c>
      <c r="GT115" s="518">
        <v>0</v>
      </c>
      <c r="GU115" s="518">
        <v>0</v>
      </c>
      <c r="GV115" s="518">
        <v>0</v>
      </c>
      <c r="GW115" s="518">
        <v>0</v>
      </c>
      <c r="GX115" s="518">
        <v>0</v>
      </c>
      <c r="GY115" s="518">
        <v>0</v>
      </c>
      <c r="GZ115" s="518">
        <v>0</v>
      </c>
      <c r="HA115" s="518">
        <v>0</v>
      </c>
      <c r="HB115" s="518">
        <v>0</v>
      </c>
      <c r="HC115" s="518">
        <v>0</v>
      </c>
      <c r="HD115" s="518">
        <v>0</v>
      </c>
      <c r="HE115" s="518">
        <v>0</v>
      </c>
      <c r="HF115" s="518">
        <v>0</v>
      </c>
      <c r="HG115" s="518">
        <v>0</v>
      </c>
      <c r="HH115" s="518">
        <v>0</v>
      </c>
      <c r="HI115" s="518">
        <v>0</v>
      </c>
      <c r="HJ115" s="518">
        <v>0</v>
      </c>
      <c r="HK115" s="518">
        <v>0</v>
      </c>
      <c r="HL115" s="518">
        <v>0</v>
      </c>
      <c r="HM115" s="518">
        <v>0</v>
      </c>
      <c r="HN115" s="518">
        <v>0</v>
      </c>
      <c r="HO115" s="518">
        <v>0</v>
      </c>
      <c r="HP115" s="518">
        <v>0</v>
      </c>
      <c r="HQ115" s="518">
        <v>0</v>
      </c>
      <c r="HR115" s="518">
        <v>0</v>
      </c>
      <c r="HS115" s="518">
        <v>0</v>
      </c>
      <c r="HT115" s="518">
        <v>0</v>
      </c>
      <c r="HU115" s="518">
        <v>0</v>
      </c>
      <c r="HV115" s="518">
        <v>0</v>
      </c>
      <c r="HW115" s="518">
        <v>0</v>
      </c>
      <c r="HX115" s="518">
        <v>0</v>
      </c>
      <c r="HY115" s="518">
        <v>0</v>
      </c>
      <c r="HZ115" s="518">
        <v>0</v>
      </c>
      <c r="IA115" s="518">
        <v>0</v>
      </c>
      <c r="IB115" s="518">
        <v>0</v>
      </c>
      <c r="IC115" s="518">
        <v>0</v>
      </c>
      <c r="ID115" s="518">
        <v>0</v>
      </c>
      <c r="IE115" s="518">
        <v>0</v>
      </c>
      <c r="IF115" s="518">
        <v>0</v>
      </c>
      <c r="IG115" s="518">
        <v>0</v>
      </c>
      <c r="IH115" s="518">
        <v>0</v>
      </c>
      <c r="II115" s="518">
        <v>0</v>
      </c>
      <c r="IJ115" s="518">
        <v>0</v>
      </c>
      <c r="IK115" s="518">
        <v>0</v>
      </c>
    </row>
    <row r="116" spans="1:245" ht="16.5" hidden="1">
      <c r="A116" s="517"/>
      <c r="B116" s="517"/>
      <c r="C116" s="517"/>
      <c r="D116" s="517"/>
      <c r="E116" s="517"/>
      <c r="F116" s="517"/>
      <c r="G116" s="558"/>
      <c r="H116" s="518"/>
      <c r="I116" s="558"/>
      <c r="J116" s="494"/>
      <c r="K116" s="518"/>
      <c r="M116" s="517" t="s">
        <v>721</v>
      </c>
      <c r="N116" s="517" t="s">
        <v>1101</v>
      </c>
      <c r="O116" s="517" t="s">
        <v>25</v>
      </c>
      <c r="P116" s="518">
        <v>30</v>
      </c>
      <c r="Q116" s="494" t="str">
        <f t="shared" si="6"/>
        <v>SWUC100130</v>
      </c>
      <c r="R116" s="518">
        <v>95.4</v>
      </c>
      <c r="S116" s="518">
        <v>10000</v>
      </c>
      <c r="T116" s="518">
        <v>10000</v>
      </c>
      <c r="U116" s="518">
        <v>10000</v>
      </c>
      <c r="V116" s="518">
        <v>10000</v>
      </c>
      <c r="W116" s="518">
        <v>10000</v>
      </c>
      <c r="X116" s="518">
        <v>10000</v>
      </c>
      <c r="Y116" s="518">
        <v>10000</v>
      </c>
      <c r="Z116" s="518">
        <v>10000</v>
      </c>
      <c r="AA116" s="518">
        <v>10000</v>
      </c>
      <c r="AB116" s="518">
        <v>0</v>
      </c>
      <c r="AC116" s="518">
        <v>0</v>
      </c>
      <c r="AD116" s="518">
        <v>0</v>
      </c>
      <c r="AE116" s="518">
        <v>0</v>
      </c>
      <c r="AF116" s="518">
        <v>0</v>
      </c>
      <c r="AG116" s="518">
        <v>0</v>
      </c>
      <c r="AH116" s="518">
        <v>0</v>
      </c>
      <c r="AI116" s="518">
        <v>0</v>
      </c>
      <c r="AJ116" s="518">
        <v>0</v>
      </c>
      <c r="AK116" s="518">
        <v>0</v>
      </c>
      <c r="AL116" s="518">
        <v>0</v>
      </c>
      <c r="AM116" s="518">
        <v>0</v>
      </c>
      <c r="AN116" s="518">
        <v>0</v>
      </c>
      <c r="AO116" s="518">
        <v>0</v>
      </c>
      <c r="AP116" s="518">
        <v>0</v>
      </c>
      <c r="AQ116" s="518">
        <v>0</v>
      </c>
      <c r="AR116" s="518">
        <v>0</v>
      </c>
      <c r="AS116" s="518">
        <v>0</v>
      </c>
      <c r="AT116" s="518">
        <v>0</v>
      </c>
      <c r="AU116" s="518">
        <v>0</v>
      </c>
      <c r="AV116" s="518">
        <v>0</v>
      </c>
      <c r="AW116" s="518">
        <v>0</v>
      </c>
      <c r="AX116" s="518">
        <v>0</v>
      </c>
      <c r="AY116" s="518">
        <v>0</v>
      </c>
      <c r="AZ116" s="518">
        <v>0</v>
      </c>
      <c r="BA116" s="518">
        <v>0</v>
      </c>
      <c r="BB116" s="518">
        <v>0</v>
      </c>
      <c r="BC116" s="518">
        <v>0</v>
      </c>
      <c r="BD116" s="518">
        <v>0</v>
      </c>
      <c r="BE116" s="518">
        <v>0</v>
      </c>
      <c r="BF116" s="518">
        <v>0</v>
      </c>
      <c r="BG116" s="518">
        <v>0</v>
      </c>
      <c r="BH116" s="518">
        <v>0</v>
      </c>
      <c r="BI116" s="518">
        <v>0</v>
      </c>
      <c r="BJ116" s="518">
        <v>0</v>
      </c>
      <c r="BK116" s="518">
        <v>0</v>
      </c>
      <c r="BL116" s="518">
        <v>0</v>
      </c>
      <c r="BM116" s="518">
        <v>0</v>
      </c>
      <c r="BN116" s="518">
        <v>0</v>
      </c>
      <c r="BO116" s="518">
        <v>0</v>
      </c>
      <c r="BP116" s="518">
        <v>0</v>
      </c>
      <c r="BQ116" s="518">
        <v>0</v>
      </c>
      <c r="BR116" s="518">
        <v>0</v>
      </c>
      <c r="BS116" s="518">
        <v>0</v>
      </c>
      <c r="BT116" s="518">
        <v>0</v>
      </c>
      <c r="BU116" s="518">
        <v>0</v>
      </c>
      <c r="BV116" s="518">
        <v>0</v>
      </c>
      <c r="BW116" s="518">
        <v>0</v>
      </c>
      <c r="BX116" s="518">
        <v>0</v>
      </c>
      <c r="BY116" s="518">
        <v>0</v>
      </c>
      <c r="BZ116" s="518">
        <v>0</v>
      </c>
      <c r="CA116" s="518">
        <v>0</v>
      </c>
      <c r="CB116" s="518">
        <v>0</v>
      </c>
      <c r="CC116" s="518">
        <v>0</v>
      </c>
      <c r="CD116" s="518">
        <v>0</v>
      </c>
      <c r="CE116" s="518">
        <v>0</v>
      </c>
      <c r="CF116" s="518">
        <v>0</v>
      </c>
      <c r="CG116" s="518">
        <v>0</v>
      </c>
      <c r="CH116" s="518">
        <v>0</v>
      </c>
      <c r="CI116" s="518">
        <v>0</v>
      </c>
      <c r="CJ116" s="518">
        <v>0</v>
      </c>
      <c r="CK116" s="518">
        <v>0</v>
      </c>
      <c r="CL116" s="518">
        <v>0</v>
      </c>
      <c r="CM116" s="518">
        <v>0</v>
      </c>
      <c r="CN116" s="518">
        <v>0</v>
      </c>
      <c r="CO116" s="518">
        <v>0</v>
      </c>
      <c r="CP116" s="518">
        <v>0</v>
      </c>
      <c r="CQ116" s="518">
        <v>0</v>
      </c>
      <c r="CR116" s="518">
        <v>0</v>
      </c>
      <c r="CS116" s="518">
        <v>0</v>
      </c>
      <c r="CT116" s="518">
        <v>0</v>
      </c>
      <c r="CU116" s="518">
        <v>0</v>
      </c>
      <c r="CV116" s="518">
        <v>0</v>
      </c>
      <c r="CW116" s="518">
        <v>0</v>
      </c>
      <c r="CX116" s="518">
        <v>0</v>
      </c>
      <c r="CY116" s="518">
        <v>0</v>
      </c>
      <c r="CZ116" s="518">
        <v>0</v>
      </c>
      <c r="DA116" s="518">
        <v>0</v>
      </c>
      <c r="DB116" s="518">
        <v>0</v>
      </c>
      <c r="DC116" s="518">
        <v>0</v>
      </c>
      <c r="DD116" s="518">
        <v>0</v>
      </c>
      <c r="DE116" s="518">
        <v>0</v>
      </c>
      <c r="DF116" s="518">
        <v>0</v>
      </c>
      <c r="DG116" s="518">
        <v>0</v>
      </c>
      <c r="DH116" s="518">
        <v>0</v>
      </c>
      <c r="DI116" s="518">
        <v>0</v>
      </c>
      <c r="DJ116" s="518">
        <v>0</v>
      </c>
      <c r="DK116" s="518">
        <v>0</v>
      </c>
      <c r="DL116" s="518">
        <v>0</v>
      </c>
      <c r="DM116" s="518">
        <v>0</v>
      </c>
      <c r="DN116" s="518">
        <v>0</v>
      </c>
      <c r="DO116" s="518">
        <v>0</v>
      </c>
      <c r="DP116" s="518">
        <v>0</v>
      </c>
      <c r="DQ116" s="518">
        <v>0</v>
      </c>
      <c r="DR116" s="518">
        <v>0</v>
      </c>
      <c r="DS116" s="518">
        <v>0</v>
      </c>
      <c r="DT116" s="518">
        <v>0</v>
      </c>
      <c r="DU116" s="518">
        <v>0</v>
      </c>
      <c r="DV116" s="518">
        <v>0</v>
      </c>
      <c r="DW116" s="518">
        <v>0</v>
      </c>
      <c r="DX116" s="518">
        <v>0</v>
      </c>
      <c r="DZ116" s="517" t="s">
        <v>721</v>
      </c>
      <c r="EA116" s="517" t="s">
        <v>1101</v>
      </c>
      <c r="EB116" s="517" t="s">
        <v>25</v>
      </c>
      <c r="EC116" s="518">
        <v>30</v>
      </c>
      <c r="ED116" s="494" t="str">
        <f t="shared" si="7"/>
        <v>SWUC100130</v>
      </c>
      <c r="EE116" s="518">
        <v>95.4</v>
      </c>
      <c r="EF116" s="518">
        <v>2000</v>
      </c>
      <c r="EG116" s="518">
        <v>2000</v>
      </c>
      <c r="EH116" s="518">
        <v>2000</v>
      </c>
      <c r="EI116" s="518">
        <v>2000</v>
      </c>
      <c r="EJ116" s="518">
        <v>2000</v>
      </c>
      <c r="EK116" s="518">
        <v>2000</v>
      </c>
      <c r="EL116" s="518">
        <v>2000</v>
      </c>
      <c r="EM116" s="518">
        <v>2000</v>
      </c>
      <c r="EN116" s="518">
        <v>2000</v>
      </c>
      <c r="EO116" s="518">
        <v>0</v>
      </c>
      <c r="EP116" s="518">
        <v>0</v>
      </c>
      <c r="EQ116" s="518">
        <v>0</v>
      </c>
      <c r="ER116" s="518">
        <v>0</v>
      </c>
      <c r="ES116" s="518">
        <v>0</v>
      </c>
      <c r="ET116" s="518">
        <v>0</v>
      </c>
      <c r="EU116" s="518">
        <v>0</v>
      </c>
      <c r="EV116" s="518">
        <v>0</v>
      </c>
      <c r="EW116" s="518">
        <v>0</v>
      </c>
      <c r="EX116" s="518">
        <v>0</v>
      </c>
      <c r="EY116" s="518">
        <v>0</v>
      </c>
      <c r="EZ116" s="518">
        <v>0</v>
      </c>
      <c r="FA116" s="518">
        <v>0</v>
      </c>
      <c r="FB116" s="518">
        <v>0</v>
      </c>
      <c r="FC116" s="518">
        <v>0</v>
      </c>
      <c r="FD116" s="518">
        <v>0</v>
      </c>
      <c r="FE116" s="518">
        <v>0</v>
      </c>
      <c r="FF116" s="518">
        <v>0</v>
      </c>
      <c r="FG116" s="518">
        <v>0</v>
      </c>
      <c r="FH116" s="518">
        <v>0</v>
      </c>
      <c r="FI116" s="518">
        <v>0</v>
      </c>
      <c r="FJ116" s="518">
        <v>0</v>
      </c>
      <c r="FK116" s="518">
        <v>0</v>
      </c>
      <c r="FL116" s="518">
        <v>0</v>
      </c>
      <c r="FM116" s="518">
        <v>0</v>
      </c>
      <c r="FN116" s="518">
        <v>0</v>
      </c>
      <c r="FO116" s="518">
        <v>0</v>
      </c>
      <c r="FP116" s="518">
        <v>0</v>
      </c>
      <c r="FQ116" s="518">
        <v>0</v>
      </c>
      <c r="FR116" s="518">
        <v>0</v>
      </c>
      <c r="FS116" s="518">
        <v>0</v>
      </c>
      <c r="FT116" s="518">
        <v>0</v>
      </c>
      <c r="FU116" s="518">
        <v>0</v>
      </c>
      <c r="FV116" s="518">
        <v>0</v>
      </c>
      <c r="FW116" s="518">
        <v>0</v>
      </c>
      <c r="FX116" s="518">
        <v>0</v>
      </c>
      <c r="FY116" s="518">
        <v>0</v>
      </c>
      <c r="FZ116" s="518">
        <v>0</v>
      </c>
      <c r="GA116" s="518">
        <v>0</v>
      </c>
      <c r="GB116" s="518">
        <v>0</v>
      </c>
      <c r="GC116" s="518">
        <v>0</v>
      </c>
      <c r="GD116" s="518">
        <v>0</v>
      </c>
      <c r="GE116" s="518">
        <v>0</v>
      </c>
      <c r="GF116" s="518">
        <v>0</v>
      </c>
      <c r="GG116" s="518">
        <v>0</v>
      </c>
      <c r="GH116" s="518">
        <v>0</v>
      </c>
      <c r="GI116" s="518">
        <v>0</v>
      </c>
      <c r="GJ116" s="518">
        <v>0</v>
      </c>
      <c r="GK116" s="518">
        <v>0</v>
      </c>
      <c r="GL116" s="518">
        <v>0</v>
      </c>
      <c r="GM116" s="518">
        <v>0</v>
      </c>
      <c r="GN116" s="518">
        <v>0</v>
      </c>
      <c r="GO116" s="518">
        <v>0</v>
      </c>
      <c r="GP116" s="518">
        <v>0</v>
      </c>
      <c r="GQ116" s="518">
        <v>0</v>
      </c>
      <c r="GR116" s="518">
        <v>0</v>
      </c>
      <c r="GS116" s="518">
        <v>0</v>
      </c>
      <c r="GT116" s="518">
        <v>0</v>
      </c>
      <c r="GU116" s="518">
        <v>0</v>
      </c>
      <c r="GV116" s="518">
        <v>0</v>
      </c>
      <c r="GW116" s="518">
        <v>0</v>
      </c>
      <c r="GX116" s="518">
        <v>0</v>
      </c>
      <c r="GY116" s="518">
        <v>0</v>
      </c>
      <c r="GZ116" s="518">
        <v>0</v>
      </c>
      <c r="HA116" s="518">
        <v>0</v>
      </c>
      <c r="HB116" s="518">
        <v>0</v>
      </c>
      <c r="HC116" s="518">
        <v>0</v>
      </c>
      <c r="HD116" s="518">
        <v>0</v>
      </c>
      <c r="HE116" s="518">
        <v>0</v>
      </c>
      <c r="HF116" s="518">
        <v>0</v>
      </c>
      <c r="HG116" s="518">
        <v>0</v>
      </c>
      <c r="HH116" s="518">
        <v>0</v>
      </c>
      <c r="HI116" s="518">
        <v>0</v>
      </c>
      <c r="HJ116" s="518">
        <v>0</v>
      </c>
      <c r="HK116" s="518">
        <v>0</v>
      </c>
      <c r="HL116" s="518">
        <v>0</v>
      </c>
      <c r="HM116" s="518">
        <v>0</v>
      </c>
      <c r="HN116" s="518">
        <v>0</v>
      </c>
      <c r="HO116" s="518">
        <v>0</v>
      </c>
      <c r="HP116" s="518">
        <v>0</v>
      </c>
      <c r="HQ116" s="518">
        <v>0</v>
      </c>
      <c r="HR116" s="518">
        <v>0</v>
      </c>
      <c r="HS116" s="518">
        <v>0</v>
      </c>
      <c r="HT116" s="518">
        <v>0</v>
      </c>
      <c r="HU116" s="518">
        <v>0</v>
      </c>
      <c r="HV116" s="518">
        <v>0</v>
      </c>
      <c r="HW116" s="518">
        <v>0</v>
      </c>
      <c r="HX116" s="518">
        <v>0</v>
      </c>
      <c r="HY116" s="518">
        <v>0</v>
      </c>
      <c r="HZ116" s="518">
        <v>0</v>
      </c>
      <c r="IA116" s="518">
        <v>0</v>
      </c>
      <c r="IB116" s="518">
        <v>0</v>
      </c>
      <c r="IC116" s="518">
        <v>0</v>
      </c>
      <c r="ID116" s="518">
        <v>0</v>
      </c>
      <c r="IE116" s="518">
        <v>0</v>
      </c>
      <c r="IF116" s="518">
        <v>0</v>
      </c>
      <c r="IG116" s="518">
        <v>0</v>
      </c>
      <c r="IH116" s="518">
        <v>0</v>
      </c>
      <c r="II116" s="518">
        <v>0</v>
      </c>
      <c r="IJ116" s="518">
        <v>0</v>
      </c>
      <c r="IK116" s="518">
        <v>0</v>
      </c>
    </row>
    <row r="117" spans="1:245" ht="16.5" hidden="1">
      <c r="A117" s="517"/>
      <c r="B117" s="517"/>
      <c r="C117" s="517"/>
      <c r="D117" s="517"/>
      <c r="E117" s="517"/>
      <c r="F117" s="517"/>
      <c r="G117" s="558"/>
      <c r="H117" s="518"/>
      <c r="I117" s="558"/>
      <c r="J117" s="494"/>
      <c r="K117" s="518"/>
      <c r="M117" s="517" t="s">
        <v>721</v>
      </c>
      <c r="N117" s="517" t="s">
        <v>1101</v>
      </c>
      <c r="O117" s="517" t="s">
        <v>25</v>
      </c>
      <c r="P117" s="518">
        <v>31</v>
      </c>
      <c r="Q117" s="494" t="str">
        <f t="shared" si="6"/>
        <v>SWUC100131</v>
      </c>
      <c r="R117" s="518">
        <v>103.9</v>
      </c>
      <c r="S117" s="518">
        <v>10000</v>
      </c>
      <c r="T117" s="518">
        <v>10000</v>
      </c>
      <c r="U117" s="518">
        <v>10000</v>
      </c>
      <c r="V117" s="518">
        <v>10000</v>
      </c>
      <c r="W117" s="518">
        <v>10000</v>
      </c>
      <c r="X117" s="518">
        <v>10000</v>
      </c>
      <c r="Y117" s="518">
        <v>10000</v>
      </c>
      <c r="Z117" s="518">
        <v>10000</v>
      </c>
      <c r="AA117" s="518">
        <v>10000</v>
      </c>
      <c r="AB117" s="518">
        <v>0</v>
      </c>
      <c r="AC117" s="518">
        <v>0</v>
      </c>
      <c r="AD117" s="518">
        <v>0</v>
      </c>
      <c r="AE117" s="518">
        <v>0</v>
      </c>
      <c r="AF117" s="518">
        <v>0</v>
      </c>
      <c r="AG117" s="518">
        <v>0</v>
      </c>
      <c r="AH117" s="518">
        <v>0</v>
      </c>
      <c r="AI117" s="518">
        <v>0</v>
      </c>
      <c r="AJ117" s="518">
        <v>0</v>
      </c>
      <c r="AK117" s="518">
        <v>0</v>
      </c>
      <c r="AL117" s="518">
        <v>0</v>
      </c>
      <c r="AM117" s="518">
        <v>0</v>
      </c>
      <c r="AN117" s="518">
        <v>0</v>
      </c>
      <c r="AO117" s="518">
        <v>0</v>
      </c>
      <c r="AP117" s="518">
        <v>0</v>
      </c>
      <c r="AQ117" s="518">
        <v>0</v>
      </c>
      <c r="AR117" s="518">
        <v>0</v>
      </c>
      <c r="AS117" s="518">
        <v>0</v>
      </c>
      <c r="AT117" s="518">
        <v>0</v>
      </c>
      <c r="AU117" s="518">
        <v>0</v>
      </c>
      <c r="AV117" s="518">
        <v>0</v>
      </c>
      <c r="AW117" s="518">
        <v>0</v>
      </c>
      <c r="AX117" s="518">
        <v>0</v>
      </c>
      <c r="AY117" s="518">
        <v>0</v>
      </c>
      <c r="AZ117" s="518">
        <v>0</v>
      </c>
      <c r="BA117" s="518">
        <v>0</v>
      </c>
      <c r="BB117" s="518">
        <v>0</v>
      </c>
      <c r="BC117" s="518">
        <v>0</v>
      </c>
      <c r="BD117" s="518">
        <v>0</v>
      </c>
      <c r="BE117" s="518">
        <v>0</v>
      </c>
      <c r="BF117" s="518">
        <v>0</v>
      </c>
      <c r="BG117" s="518">
        <v>0</v>
      </c>
      <c r="BH117" s="518">
        <v>0</v>
      </c>
      <c r="BI117" s="518">
        <v>0</v>
      </c>
      <c r="BJ117" s="518">
        <v>0</v>
      </c>
      <c r="BK117" s="518">
        <v>0</v>
      </c>
      <c r="BL117" s="518">
        <v>0</v>
      </c>
      <c r="BM117" s="518">
        <v>0</v>
      </c>
      <c r="BN117" s="518">
        <v>0</v>
      </c>
      <c r="BO117" s="518">
        <v>0</v>
      </c>
      <c r="BP117" s="518">
        <v>0</v>
      </c>
      <c r="BQ117" s="518">
        <v>0</v>
      </c>
      <c r="BR117" s="518">
        <v>0</v>
      </c>
      <c r="BS117" s="518">
        <v>0</v>
      </c>
      <c r="BT117" s="518">
        <v>0</v>
      </c>
      <c r="BU117" s="518">
        <v>0</v>
      </c>
      <c r="BV117" s="518">
        <v>0</v>
      </c>
      <c r="BW117" s="518">
        <v>0</v>
      </c>
      <c r="BX117" s="518">
        <v>0</v>
      </c>
      <c r="BY117" s="518">
        <v>0</v>
      </c>
      <c r="BZ117" s="518">
        <v>0</v>
      </c>
      <c r="CA117" s="518">
        <v>0</v>
      </c>
      <c r="CB117" s="518">
        <v>0</v>
      </c>
      <c r="CC117" s="518">
        <v>0</v>
      </c>
      <c r="CD117" s="518">
        <v>0</v>
      </c>
      <c r="CE117" s="518">
        <v>0</v>
      </c>
      <c r="CF117" s="518">
        <v>0</v>
      </c>
      <c r="CG117" s="518">
        <v>0</v>
      </c>
      <c r="CH117" s="518">
        <v>0</v>
      </c>
      <c r="CI117" s="518">
        <v>0</v>
      </c>
      <c r="CJ117" s="518">
        <v>0</v>
      </c>
      <c r="CK117" s="518">
        <v>0</v>
      </c>
      <c r="CL117" s="518">
        <v>0</v>
      </c>
      <c r="CM117" s="518">
        <v>0</v>
      </c>
      <c r="CN117" s="518">
        <v>0</v>
      </c>
      <c r="CO117" s="518">
        <v>0</v>
      </c>
      <c r="CP117" s="518">
        <v>0</v>
      </c>
      <c r="CQ117" s="518">
        <v>0</v>
      </c>
      <c r="CR117" s="518">
        <v>0</v>
      </c>
      <c r="CS117" s="518">
        <v>0</v>
      </c>
      <c r="CT117" s="518">
        <v>0</v>
      </c>
      <c r="CU117" s="518">
        <v>0</v>
      </c>
      <c r="CV117" s="518">
        <v>0</v>
      </c>
      <c r="CW117" s="518">
        <v>0</v>
      </c>
      <c r="CX117" s="518">
        <v>0</v>
      </c>
      <c r="CY117" s="518">
        <v>0</v>
      </c>
      <c r="CZ117" s="518">
        <v>0</v>
      </c>
      <c r="DA117" s="518">
        <v>0</v>
      </c>
      <c r="DB117" s="518">
        <v>0</v>
      </c>
      <c r="DC117" s="518">
        <v>0</v>
      </c>
      <c r="DD117" s="518">
        <v>0</v>
      </c>
      <c r="DE117" s="518">
        <v>0</v>
      </c>
      <c r="DF117" s="518">
        <v>0</v>
      </c>
      <c r="DG117" s="518">
        <v>0</v>
      </c>
      <c r="DH117" s="518">
        <v>0</v>
      </c>
      <c r="DI117" s="518">
        <v>0</v>
      </c>
      <c r="DJ117" s="518">
        <v>0</v>
      </c>
      <c r="DK117" s="518">
        <v>0</v>
      </c>
      <c r="DL117" s="518">
        <v>0</v>
      </c>
      <c r="DM117" s="518">
        <v>0</v>
      </c>
      <c r="DN117" s="518">
        <v>0</v>
      </c>
      <c r="DO117" s="518">
        <v>0</v>
      </c>
      <c r="DP117" s="518">
        <v>0</v>
      </c>
      <c r="DQ117" s="518">
        <v>0</v>
      </c>
      <c r="DR117" s="518">
        <v>0</v>
      </c>
      <c r="DS117" s="518">
        <v>0</v>
      </c>
      <c r="DT117" s="518">
        <v>0</v>
      </c>
      <c r="DU117" s="518">
        <v>0</v>
      </c>
      <c r="DV117" s="518">
        <v>0</v>
      </c>
      <c r="DW117" s="518">
        <v>0</v>
      </c>
      <c r="DX117" s="518">
        <v>0</v>
      </c>
      <c r="DZ117" s="517" t="s">
        <v>721</v>
      </c>
      <c r="EA117" s="517" t="s">
        <v>1101</v>
      </c>
      <c r="EB117" s="517" t="s">
        <v>25</v>
      </c>
      <c r="EC117" s="518">
        <v>31</v>
      </c>
      <c r="ED117" s="494" t="str">
        <f t="shared" si="7"/>
        <v>SWUC100131</v>
      </c>
      <c r="EE117" s="518">
        <v>103.9</v>
      </c>
      <c r="EF117" s="518">
        <v>2000</v>
      </c>
      <c r="EG117" s="518">
        <v>2000</v>
      </c>
      <c r="EH117" s="518">
        <v>2000</v>
      </c>
      <c r="EI117" s="518">
        <v>2000</v>
      </c>
      <c r="EJ117" s="518">
        <v>2000</v>
      </c>
      <c r="EK117" s="518">
        <v>2000</v>
      </c>
      <c r="EL117" s="518">
        <v>2000</v>
      </c>
      <c r="EM117" s="518">
        <v>2000</v>
      </c>
      <c r="EN117" s="518">
        <v>2000</v>
      </c>
      <c r="EO117" s="518">
        <v>0</v>
      </c>
      <c r="EP117" s="518">
        <v>0</v>
      </c>
      <c r="EQ117" s="518">
        <v>0</v>
      </c>
      <c r="ER117" s="518">
        <v>0</v>
      </c>
      <c r="ES117" s="518">
        <v>0</v>
      </c>
      <c r="ET117" s="518">
        <v>0</v>
      </c>
      <c r="EU117" s="518">
        <v>0</v>
      </c>
      <c r="EV117" s="518">
        <v>0</v>
      </c>
      <c r="EW117" s="518">
        <v>0</v>
      </c>
      <c r="EX117" s="518">
        <v>0</v>
      </c>
      <c r="EY117" s="518">
        <v>0</v>
      </c>
      <c r="EZ117" s="518">
        <v>0</v>
      </c>
      <c r="FA117" s="518">
        <v>0</v>
      </c>
      <c r="FB117" s="518">
        <v>0</v>
      </c>
      <c r="FC117" s="518">
        <v>0</v>
      </c>
      <c r="FD117" s="518">
        <v>0</v>
      </c>
      <c r="FE117" s="518">
        <v>0</v>
      </c>
      <c r="FF117" s="518">
        <v>0</v>
      </c>
      <c r="FG117" s="518">
        <v>0</v>
      </c>
      <c r="FH117" s="518">
        <v>0</v>
      </c>
      <c r="FI117" s="518">
        <v>0</v>
      </c>
      <c r="FJ117" s="518">
        <v>0</v>
      </c>
      <c r="FK117" s="518">
        <v>0</v>
      </c>
      <c r="FL117" s="518">
        <v>0</v>
      </c>
      <c r="FM117" s="518">
        <v>0</v>
      </c>
      <c r="FN117" s="518">
        <v>0</v>
      </c>
      <c r="FO117" s="518">
        <v>0</v>
      </c>
      <c r="FP117" s="518">
        <v>0</v>
      </c>
      <c r="FQ117" s="518">
        <v>0</v>
      </c>
      <c r="FR117" s="518">
        <v>0</v>
      </c>
      <c r="FS117" s="518">
        <v>0</v>
      </c>
      <c r="FT117" s="518">
        <v>0</v>
      </c>
      <c r="FU117" s="518">
        <v>0</v>
      </c>
      <c r="FV117" s="518">
        <v>0</v>
      </c>
      <c r="FW117" s="518">
        <v>0</v>
      </c>
      <c r="FX117" s="518">
        <v>0</v>
      </c>
      <c r="FY117" s="518">
        <v>0</v>
      </c>
      <c r="FZ117" s="518">
        <v>0</v>
      </c>
      <c r="GA117" s="518">
        <v>0</v>
      </c>
      <c r="GB117" s="518">
        <v>0</v>
      </c>
      <c r="GC117" s="518">
        <v>0</v>
      </c>
      <c r="GD117" s="518">
        <v>0</v>
      </c>
      <c r="GE117" s="518">
        <v>0</v>
      </c>
      <c r="GF117" s="518">
        <v>0</v>
      </c>
      <c r="GG117" s="518">
        <v>0</v>
      </c>
      <c r="GH117" s="518">
        <v>0</v>
      </c>
      <c r="GI117" s="518">
        <v>0</v>
      </c>
      <c r="GJ117" s="518">
        <v>0</v>
      </c>
      <c r="GK117" s="518">
        <v>0</v>
      </c>
      <c r="GL117" s="518">
        <v>0</v>
      </c>
      <c r="GM117" s="518">
        <v>0</v>
      </c>
      <c r="GN117" s="518">
        <v>0</v>
      </c>
      <c r="GO117" s="518">
        <v>0</v>
      </c>
      <c r="GP117" s="518">
        <v>0</v>
      </c>
      <c r="GQ117" s="518">
        <v>0</v>
      </c>
      <c r="GR117" s="518">
        <v>0</v>
      </c>
      <c r="GS117" s="518">
        <v>0</v>
      </c>
      <c r="GT117" s="518">
        <v>0</v>
      </c>
      <c r="GU117" s="518">
        <v>0</v>
      </c>
      <c r="GV117" s="518">
        <v>0</v>
      </c>
      <c r="GW117" s="518">
        <v>0</v>
      </c>
      <c r="GX117" s="518">
        <v>0</v>
      </c>
      <c r="GY117" s="518">
        <v>0</v>
      </c>
      <c r="GZ117" s="518">
        <v>0</v>
      </c>
      <c r="HA117" s="518">
        <v>0</v>
      </c>
      <c r="HB117" s="518">
        <v>0</v>
      </c>
      <c r="HC117" s="518">
        <v>0</v>
      </c>
      <c r="HD117" s="518">
        <v>0</v>
      </c>
      <c r="HE117" s="518">
        <v>0</v>
      </c>
      <c r="HF117" s="518">
        <v>0</v>
      </c>
      <c r="HG117" s="518">
        <v>0</v>
      </c>
      <c r="HH117" s="518">
        <v>0</v>
      </c>
      <c r="HI117" s="518">
        <v>0</v>
      </c>
      <c r="HJ117" s="518">
        <v>0</v>
      </c>
      <c r="HK117" s="518">
        <v>0</v>
      </c>
      <c r="HL117" s="518">
        <v>0</v>
      </c>
      <c r="HM117" s="518">
        <v>0</v>
      </c>
      <c r="HN117" s="518">
        <v>0</v>
      </c>
      <c r="HO117" s="518">
        <v>0</v>
      </c>
      <c r="HP117" s="518">
        <v>0</v>
      </c>
      <c r="HQ117" s="518">
        <v>0</v>
      </c>
      <c r="HR117" s="518">
        <v>0</v>
      </c>
      <c r="HS117" s="518">
        <v>0</v>
      </c>
      <c r="HT117" s="518">
        <v>0</v>
      </c>
      <c r="HU117" s="518">
        <v>0</v>
      </c>
      <c r="HV117" s="518">
        <v>0</v>
      </c>
      <c r="HW117" s="518">
        <v>0</v>
      </c>
      <c r="HX117" s="518">
        <v>0</v>
      </c>
      <c r="HY117" s="518">
        <v>0</v>
      </c>
      <c r="HZ117" s="518">
        <v>0</v>
      </c>
      <c r="IA117" s="518">
        <v>0</v>
      </c>
      <c r="IB117" s="518">
        <v>0</v>
      </c>
      <c r="IC117" s="518">
        <v>0</v>
      </c>
      <c r="ID117" s="518">
        <v>0</v>
      </c>
      <c r="IE117" s="518">
        <v>0</v>
      </c>
      <c r="IF117" s="518">
        <v>0</v>
      </c>
      <c r="IG117" s="518">
        <v>0</v>
      </c>
      <c r="IH117" s="518">
        <v>0</v>
      </c>
      <c r="II117" s="518">
        <v>0</v>
      </c>
      <c r="IJ117" s="518">
        <v>0</v>
      </c>
      <c r="IK117" s="518">
        <v>0</v>
      </c>
    </row>
    <row r="118" spans="1:245" ht="16.5" hidden="1">
      <c r="A118" s="517"/>
      <c r="B118" s="517"/>
      <c r="C118" s="517"/>
      <c r="D118" s="517"/>
      <c r="E118" s="517"/>
      <c r="F118" s="517"/>
      <c r="G118" s="558"/>
      <c r="H118" s="518"/>
      <c r="I118" s="558"/>
      <c r="J118" s="494"/>
      <c r="K118" s="518"/>
      <c r="M118" s="517" t="s">
        <v>721</v>
      </c>
      <c r="N118" s="517" t="s">
        <v>1101</v>
      </c>
      <c r="O118" s="517" t="s">
        <v>25</v>
      </c>
      <c r="P118" s="518">
        <v>32</v>
      </c>
      <c r="Q118" s="494" t="str">
        <f t="shared" si="6"/>
        <v>SWUC100132</v>
      </c>
      <c r="R118" s="518">
        <v>112.4</v>
      </c>
      <c r="S118" s="518">
        <v>10000</v>
      </c>
      <c r="T118" s="518">
        <v>10000</v>
      </c>
      <c r="U118" s="518">
        <v>10000</v>
      </c>
      <c r="V118" s="518">
        <v>10000</v>
      </c>
      <c r="W118" s="518">
        <v>10000</v>
      </c>
      <c r="X118" s="518">
        <v>10000</v>
      </c>
      <c r="Y118" s="518">
        <v>10000</v>
      </c>
      <c r="Z118" s="518">
        <v>10000</v>
      </c>
      <c r="AA118" s="518">
        <v>10000</v>
      </c>
      <c r="AB118" s="518">
        <v>0</v>
      </c>
      <c r="AC118" s="518">
        <v>0</v>
      </c>
      <c r="AD118" s="518">
        <v>0</v>
      </c>
      <c r="AE118" s="518">
        <v>0</v>
      </c>
      <c r="AF118" s="518">
        <v>0</v>
      </c>
      <c r="AG118" s="518">
        <v>0</v>
      </c>
      <c r="AH118" s="518">
        <v>0</v>
      </c>
      <c r="AI118" s="518">
        <v>0</v>
      </c>
      <c r="AJ118" s="518">
        <v>0</v>
      </c>
      <c r="AK118" s="518">
        <v>0</v>
      </c>
      <c r="AL118" s="518">
        <v>0</v>
      </c>
      <c r="AM118" s="518">
        <v>0</v>
      </c>
      <c r="AN118" s="518">
        <v>0</v>
      </c>
      <c r="AO118" s="518">
        <v>0</v>
      </c>
      <c r="AP118" s="518">
        <v>0</v>
      </c>
      <c r="AQ118" s="518">
        <v>0</v>
      </c>
      <c r="AR118" s="518">
        <v>0</v>
      </c>
      <c r="AS118" s="518">
        <v>0</v>
      </c>
      <c r="AT118" s="518">
        <v>0</v>
      </c>
      <c r="AU118" s="518">
        <v>0</v>
      </c>
      <c r="AV118" s="518">
        <v>0</v>
      </c>
      <c r="AW118" s="518">
        <v>0</v>
      </c>
      <c r="AX118" s="518">
        <v>0</v>
      </c>
      <c r="AY118" s="518">
        <v>0</v>
      </c>
      <c r="AZ118" s="518">
        <v>0</v>
      </c>
      <c r="BA118" s="518">
        <v>0</v>
      </c>
      <c r="BB118" s="518">
        <v>0</v>
      </c>
      <c r="BC118" s="518">
        <v>0</v>
      </c>
      <c r="BD118" s="518">
        <v>0</v>
      </c>
      <c r="BE118" s="518">
        <v>0</v>
      </c>
      <c r="BF118" s="518">
        <v>0</v>
      </c>
      <c r="BG118" s="518">
        <v>0</v>
      </c>
      <c r="BH118" s="518">
        <v>0</v>
      </c>
      <c r="BI118" s="518">
        <v>0</v>
      </c>
      <c r="BJ118" s="518">
        <v>0</v>
      </c>
      <c r="BK118" s="518">
        <v>0</v>
      </c>
      <c r="BL118" s="518">
        <v>0</v>
      </c>
      <c r="BM118" s="518">
        <v>0</v>
      </c>
      <c r="BN118" s="518">
        <v>0</v>
      </c>
      <c r="BO118" s="518">
        <v>0</v>
      </c>
      <c r="BP118" s="518">
        <v>0</v>
      </c>
      <c r="BQ118" s="518">
        <v>0</v>
      </c>
      <c r="BR118" s="518">
        <v>0</v>
      </c>
      <c r="BS118" s="518">
        <v>0</v>
      </c>
      <c r="BT118" s="518">
        <v>0</v>
      </c>
      <c r="BU118" s="518">
        <v>0</v>
      </c>
      <c r="BV118" s="518">
        <v>0</v>
      </c>
      <c r="BW118" s="518">
        <v>0</v>
      </c>
      <c r="BX118" s="518">
        <v>0</v>
      </c>
      <c r="BY118" s="518">
        <v>0</v>
      </c>
      <c r="BZ118" s="518">
        <v>0</v>
      </c>
      <c r="CA118" s="518">
        <v>0</v>
      </c>
      <c r="CB118" s="518">
        <v>0</v>
      </c>
      <c r="CC118" s="518">
        <v>0</v>
      </c>
      <c r="CD118" s="518">
        <v>0</v>
      </c>
      <c r="CE118" s="518">
        <v>0</v>
      </c>
      <c r="CF118" s="518">
        <v>0</v>
      </c>
      <c r="CG118" s="518">
        <v>0</v>
      </c>
      <c r="CH118" s="518">
        <v>0</v>
      </c>
      <c r="CI118" s="518">
        <v>0</v>
      </c>
      <c r="CJ118" s="518">
        <v>0</v>
      </c>
      <c r="CK118" s="518">
        <v>0</v>
      </c>
      <c r="CL118" s="518">
        <v>0</v>
      </c>
      <c r="CM118" s="518">
        <v>0</v>
      </c>
      <c r="CN118" s="518">
        <v>0</v>
      </c>
      <c r="CO118" s="518">
        <v>0</v>
      </c>
      <c r="CP118" s="518">
        <v>0</v>
      </c>
      <c r="CQ118" s="518">
        <v>0</v>
      </c>
      <c r="CR118" s="518">
        <v>0</v>
      </c>
      <c r="CS118" s="518">
        <v>0</v>
      </c>
      <c r="CT118" s="518">
        <v>0</v>
      </c>
      <c r="CU118" s="518">
        <v>0</v>
      </c>
      <c r="CV118" s="518">
        <v>0</v>
      </c>
      <c r="CW118" s="518">
        <v>0</v>
      </c>
      <c r="CX118" s="518">
        <v>0</v>
      </c>
      <c r="CY118" s="518">
        <v>0</v>
      </c>
      <c r="CZ118" s="518">
        <v>0</v>
      </c>
      <c r="DA118" s="518">
        <v>0</v>
      </c>
      <c r="DB118" s="518">
        <v>0</v>
      </c>
      <c r="DC118" s="518">
        <v>0</v>
      </c>
      <c r="DD118" s="518">
        <v>0</v>
      </c>
      <c r="DE118" s="518">
        <v>0</v>
      </c>
      <c r="DF118" s="518">
        <v>0</v>
      </c>
      <c r="DG118" s="518">
        <v>0</v>
      </c>
      <c r="DH118" s="518">
        <v>0</v>
      </c>
      <c r="DI118" s="518">
        <v>0</v>
      </c>
      <c r="DJ118" s="518">
        <v>0</v>
      </c>
      <c r="DK118" s="518">
        <v>0</v>
      </c>
      <c r="DL118" s="518">
        <v>0</v>
      </c>
      <c r="DM118" s="518">
        <v>0</v>
      </c>
      <c r="DN118" s="518">
        <v>0</v>
      </c>
      <c r="DO118" s="518">
        <v>0</v>
      </c>
      <c r="DP118" s="518">
        <v>0</v>
      </c>
      <c r="DQ118" s="518">
        <v>0</v>
      </c>
      <c r="DR118" s="518">
        <v>0</v>
      </c>
      <c r="DS118" s="518">
        <v>0</v>
      </c>
      <c r="DT118" s="518">
        <v>0</v>
      </c>
      <c r="DU118" s="518">
        <v>0</v>
      </c>
      <c r="DV118" s="518">
        <v>0</v>
      </c>
      <c r="DW118" s="518">
        <v>0</v>
      </c>
      <c r="DX118" s="518">
        <v>0</v>
      </c>
      <c r="DZ118" s="517" t="s">
        <v>721</v>
      </c>
      <c r="EA118" s="517" t="s">
        <v>1101</v>
      </c>
      <c r="EB118" s="517" t="s">
        <v>25</v>
      </c>
      <c r="EC118" s="518">
        <v>32</v>
      </c>
      <c r="ED118" s="494" t="str">
        <f t="shared" si="7"/>
        <v>SWUC100132</v>
      </c>
      <c r="EE118" s="518">
        <v>112.4</v>
      </c>
      <c r="EF118" s="518">
        <v>2000</v>
      </c>
      <c r="EG118" s="518">
        <v>2000</v>
      </c>
      <c r="EH118" s="518">
        <v>2000</v>
      </c>
      <c r="EI118" s="518">
        <v>2000</v>
      </c>
      <c r="EJ118" s="518">
        <v>2000</v>
      </c>
      <c r="EK118" s="518">
        <v>2000</v>
      </c>
      <c r="EL118" s="518">
        <v>2000</v>
      </c>
      <c r="EM118" s="518">
        <v>2000</v>
      </c>
      <c r="EN118" s="518">
        <v>2000</v>
      </c>
      <c r="EO118" s="518">
        <v>0</v>
      </c>
      <c r="EP118" s="518">
        <v>0</v>
      </c>
      <c r="EQ118" s="518">
        <v>0</v>
      </c>
      <c r="ER118" s="518">
        <v>0</v>
      </c>
      <c r="ES118" s="518">
        <v>0</v>
      </c>
      <c r="ET118" s="518">
        <v>0</v>
      </c>
      <c r="EU118" s="518">
        <v>0</v>
      </c>
      <c r="EV118" s="518">
        <v>0</v>
      </c>
      <c r="EW118" s="518">
        <v>0</v>
      </c>
      <c r="EX118" s="518">
        <v>0</v>
      </c>
      <c r="EY118" s="518">
        <v>0</v>
      </c>
      <c r="EZ118" s="518">
        <v>0</v>
      </c>
      <c r="FA118" s="518">
        <v>0</v>
      </c>
      <c r="FB118" s="518">
        <v>0</v>
      </c>
      <c r="FC118" s="518">
        <v>0</v>
      </c>
      <c r="FD118" s="518">
        <v>0</v>
      </c>
      <c r="FE118" s="518">
        <v>0</v>
      </c>
      <c r="FF118" s="518">
        <v>0</v>
      </c>
      <c r="FG118" s="518">
        <v>0</v>
      </c>
      <c r="FH118" s="518">
        <v>0</v>
      </c>
      <c r="FI118" s="518">
        <v>0</v>
      </c>
      <c r="FJ118" s="518">
        <v>0</v>
      </c>
      <c r="FK118" s="518">
        <v>0</v>
      </c>
      <c r="FL118" s="518">
        <v>0</v>
      </c>
      <c r="FM118" s="518">
        <v>0</v>
      </c>
      <c r="FN118" s="518">
        <v>0</v>
      </c>
      <c r="FO118" s="518">
        <v>0</v>
      </c>
      <c r="FP118" s="518">
        <v>0</v>
      </c>
      <c r="FQ118" s="518">
        <v>0</v>
      </c>
      <c r="FR118" s="518">
        <v>0</v>
      </c>
      <c r="FS118" s="518">
        <v>0</v>
      </c>
      <c r="FT118" s="518">
        <v>0</v>
      </c>
      <c r="FU118" s="518">
        <v>0</v>
      </c>
      <c r="FV118" s="518">
        <v>0</v>
      </c>
      <c r="FW118" s="518">
        <v>0</v>
      </c>
      <c r="FX118" s="518">
        <v>0</v>
      </c>
      <c r="FY118" s="518">
        <v>0</v>
      </c>
      <c r="FZ118" s="518">
        <v>0</v>
      </c>
      <c r="GA118" s="518">
        <v>0</v>
      </c>
      <c r="GB118" s="518">
        <v>0</v>
      </c>
      <c r="GC118" s="518">
        <v>0</v>
      </c>
      <c r="GD118" s="518">
        <v>0</v>
      </c>
      <c r="GE118" s="518">
        <v>0</v>
      </c>
      <c r="GF118" s="518">
        <v>0</v>
      </c>
      <c r="GG118" s="518">
        <v>0</v>
      </c>
      <c r="GH118" s="518">
        <v>0</v>
      </c>
      <c r="GI118" s="518">
        <v>0</v>
      </c>
      <c r="GJ118" s="518">
        <v>0</v>
      </c>
      <c r="GK118" s="518">
        <v>0</v>
      </c>
      <c r="GL118" s="518">
        <v>0</v>
      </c>
      <c r="GM118" s="518">
        <v>0</v>
      </c>
      <c r="GN118" s="518">
        <v>0</v>
      </c>
      <c r="GO118" s="518">
        <v>0</v>
      </c>
      <c r="GP118" s="518">
        <v>0</v>
      </c>
      <c r="GQ118" s="518">
        <v>0</v>
      </c>
      <c r="GR118" s="518">
        <v>0</v>
      </c>
      <c r="GS118" s="518">
        <v>0</v>
      </c>
      <c r="GT118" s="518">
        <v>0</v>
      </c>
      <c r="GU118" s="518">
        <v>0</v>
      </c>
      <c r="GV118" s="518">
        <v>0</v>
      </c>
      <c r="GW118" s="518">
        <v>0</v>
      </c>
      <c r="GX118" s="518">
        <v>0</v>
      </c>
      <c r="GY118" s="518">
        <v>0</v>
      </c>
      <c r="GZ118" s="518">
        <v>0</v>
      </c>
      <c r="HA118" s="518">
        <v>0</v>
      </c>
      <c r="HB118" s="518">
        <v>0</v>
      </c>
      <c r="HC118" s="518">
        <v>0</v>
      </c>
      <c r="HD118" s="518">
        <v>0</v>
      </c>
      <c r="HE118" s="518">
        <v>0</v>
      </c>
      <c r="HF118" s="518">
        <v>0</v>
      </c>
      <c r="HG118" s="518">
        <v>0</v>
      </c>
      <c r="HH118" s="518">
        <v>0</v>
      </c>
      <c r="HI118" s="518">
        <v>0</v>
      </c>
      <c r="HJ118" s="518">
        <v>0</v>
      </c>
      <c r="HK118" s="518">
        <v>0</v>
      </c>
      <c r="HL118" s="518">
        <v>0</v>
      </c>
      <c r="HM118" s="518">
        <v>0</v>
      </c>
      <c r="HN118" s="518">
        <v>0</v>
      </c>
      <c r="HO118" s="518">
        <v>0</v>
      </c>
      <c r="HP118" s="518">
        <v>0</v>
      </c>
      <c r="HQ118" s="518">
        <v>0</v>
      </c>
      <c r="HR118" s="518">
        <v>0</v>
      </c>
      <c r="HS118" s="518">
        <v>0</v>
      </c>
      <c r="HT118" s="518">
        <v>0</v>
      </c>
      <c r="HU118" s="518">
        <v>0</v>
      </c>
      <c r="HV118" s="518">
        <v>0</v>
      </c>
      <c r="HW118" s="518">
        <v>0</v>
      </c>
      <c r="HX118" s="518">
        <v>0</v>
      </c>
      <c r="HY118" s="518">
        <v>0</v>
      </c>
      <c r="HZ118" s="518">
        <v>0</v>
      </c>
      <c r="IA118" s="518">
        <v>0</v>
      </c>
      <c r="IB118" s="518">
        <v>0</v>
      </c>
      <c r="IC118" s="518">
        <v>0</v>
      </c>
      <c r="ID118" s="518">
        <v>0</v>
      </c>
      <c r="IE118" s="518">
        <v>0</v>
      </c>
      <c r="IF118" s="518">
        <v>0</v>
      </c>
      <c r="IG118" s="518">
        <v>0</v>
      </c>
      <c r="IH118" s="518">
        <v>0</v>
      </c>
      <c r="II118" s="518">
        <v>0</v>
      </c>
      <c r="IJ118" s="518">
        <v>0</v>
      </c>
      <c r="IK118" s="518">
        <v>0</v>
      </c>
    </row>
    <row r="119" spans="1:245" ht="16.5" hidden="1">
      <c r="A119" s="517"/>
      <c r="B119" s="517"/>
      <c r="C119" s="517"/>
      <c r="D119" s="517"/>
      <c r="E119" s="517"/>
      <c r="F119" s="517"/>
      <c r="G119" s="558"/>
      <c r="H119" s="518"/>
      <c r="I119" s="558"/>
      <c r="J119" s="494"/>
      <c r="K119" s="518"/>
      <c r="M119" s="517" t="s">
        <v>721</v>
      </c>
      <c r="N119" s="517" t="s">
        <v>1101</v>
      </c>
      <c r="O119" s="517" t="s">
        <v>25</v>
      </c>
      <c r="P119" s="518">
        <v>33</v>
      </c>
      <c r="Q119" s="494" t="str">
        <f t="shared" si="6"/>
        <v>SWUC100133</v>
      </c>
      <c r="R119" s="518">
        <v>120.8</v>
      </c>
      <c r="S119" s="518">
        <v>10000</v>
      </c>
      <c r="T119" s="518">
        <v>10000</v>
      </c>
      <c r="U119" s="518">
        <v>10000</v>
      </c>
      <c r="V119" s="518">
        <v>10000</v>
      </c>
      <c r="W119" s="518">
        <v>10000</v>
      </c>
      <c r="X119" s="518">
        <v>10000</v>
      </c>
      <c r="Y119" s="518">
        <v>10000</v>
      </c>
      <c r="Z119" s="518">
        <v>10000</v>
      </c>
      <c r="AA119" s="518">
        <v>10000</v>
      </c>
      <c r="AB119" s="518">
        <v>0</v>
      </c>
      <c r="AC119" s="518">
        <v>0</v>
      </c>
      <c r="AD119" s="518">
        <v>0</v>
      </c>
      <c r="AE119" s="518">
        <v>0</v>
      </c>
      <c r="AF119" s="518">
        <v>0</v>
      </c>
      <c r="AG119" s="518">
        <v>0</v>
      </c>
      <c r="AH119" s="518">
        <v>0</v>
      </c>
      <c r="AI119" s="518">
        <v>0</v>
      </c>
      <c r="AJ119" s="518">
        <v>0</v>
      </c>
      <c r="AK119" s="518">
        <v>0</v>
      </c>
      <c r="AL119" s="518">
        <v>0</v>
      </c>
      <c r="AM119" s="518">
        <v>0</v>
      </c>
      <c r="AN119" s="518">
        <v>0</v>
      </c>
      <c r="AO119" s="518">
        <v>0</v>
      </c>
      <c r="AP119" s="518">
        <v>0</v>
      </c>
      <c r="AQ119" s="518">
        <v>0</v>
      </c>
      <c r="AR119" s="518">
        <v>0</v>
      </c>
      <c r="AS119" s="518">
        <v>0</v>
      </c>
      <c r="AT119" s="518">
        <v>0</v>
      </c>
      <c r="AU119" s="518">
        <v>0</v>
      </c>
      <c r="AV119" s="518">
        <v>0</v>
      </c>
      <c r="AW119" s="518">
        <v>0</v>
      </c>
      <c r="AX119" s="518">
        <v>0</v>
      </c>
      <c r="AY119" s="518">
        <v>0</v>
      </c>
      <c r="AZ119" s="518">
        <v>0</v>
      </c>
      <c r="BA119" s="518">
        <v>0</v>
      </c>
      <c r="BB119" s="518">
        <v>0</v>
      </c>
      <c r="BC119" s="518">
        <v>0</v>
      </c>
      <c r="BD119" s="518">
        <v>0</v>
      </c>
      <c r="BE119" s="518">
        <v>0</v>
      </c>
      <c r="BF119" s="518">
        <v>0</v>
      </c>
      <c r="BG119" s="518">
        <v>0</v>
      </c>
      <c r="BH119" s="518">
        <v>0</v>
      </c>
      <c r="BI119" s="518">
        <v>0</v>
      </c>
      <c r="BJ119" s="518">
        <v>0</v>
      </c>
      <c r="BK119" s="518">
        <v>0</v>
      </c>
      <c r="BL119" s="518">
        <v>0</v>
      </c>
      <c r="BM119" s="518">
        <v>0</v>
      </c>
      <c r="BN119" s="518">
        <v>0</v>
      </c>
      <c r="BO119" s="518">
        <v>0</v>
      </c>
      <c r="BP119" s="518">
        <v>0</v>
      </c>
      <c r="BQ119" s="518">
        <v>0</v>
      </c>
      <c r="BR119" s="518">
        <v>0</v>
      </c>
      <c r="BS119" s="518">
        <v>0</v>
      </c>
      <c r="BT119" s="518">
        <v>0</v>
      </c>
      <c r="BU119" s="518">
        <v>0</v>
      </c>
      <c r="BV119" s="518">
        <v>0</v>
      </c>
      <c r="BW119" s="518">
        <v>0</v>
      </c>
      <c r="BX119" s="518">
        <v>0</v>
      </c>
      <c r="BY119" s="518">
        <v>0</v>
      </c>
      <c r="BZ119" s="518">
        <v>0</v>
      </c>
      <c r="CA119" s="518">
        <v>0</v>
      </c>
      <c r="CB119" s="518">
        <v>0</v>
      </c>
      <c r="CC119" s="518">
        <v>0</v>
      </c>
      <c r="CD119" s="518">
        <v>0</v>
      </c>
      <c r="CE119" s="518">
        <v>0</v>
      </c>
      <c r="CF119" s="518">
        <v>0</v>
      </c>
      <c r="CG119" s="518">
        <v>0</v>
      </c>
      <c r="CH119" s="518">
        <v>0</v>
      </c>
      <c r="CI119" s="518">
        <v>0</v>
      </c>
      <c r="CJ119" s="518">
        <v>0</v>
      </c>
      <c r="CK119" s="518">
        <v>0</v>
      </c>
      <c r="CL119" s="518">
        <v>0</v>
      </c>
      <c r="CM119" s="518">
        <v>0</v>
      </c>
      <c r="CN119" s="518">
        <v>0</v>
      </c>
      <c r="CO119" s="518">
        <v>0</v>
      </c>
      <c r="CP119" s="518">
        <v>0</v>
      </c>
      <c r="CQ119" s="518">
        <v>0</v>
      </c>
      <c r="CR119" s="518">
        <v>0</v>
      </c>
      <c r="CS119" s="518">
        <v>0</v>
      </c>
      <c r="CT119" s="518">
        <v>0</v>
      </c>
      <c r="CU119" s="518">
        <v>0</v>
      </c>
      <c r="CV119" s="518">
        <v>0</v>
      </c>
      <c r="CW119" s="518">
        <v>0</v>
      </c>
      <c r="CX119" s="518">
        <v>0</v>
      </c>
      <c r="CY119" s="518">
        <v>0</v>
      </c>
      <c r="CZ119" s="518">
        <v>0</v>
      </c>
      <c r="DA119" s="518">
        <v>0</v>
      </c>
      <c r="DB119" s="518">
        <v>0</v>
      </c>
      <c r="DC119" s="518">
        <v>0</v>
      </c>
      <c r="DD119" s="518">
        <v>0</v>
      </c>
      <c r="DE119" s="518">
        <v>0</v>
      </c>
      <c r="DF119" s="518">
        <v>0</v>
      </c>
      <c r="DG119" s="518">
        <v>0</v>
      </c>
      <c r="DH119" s="518">
        <v>0</v>
      </c>
      <c r="DI119" s="518">
        <v>0</v>
      </c>
      <c r="DJ119" s="518">
        <v>0</v>
      </c>
      <c r="DK119" s="518">
        <v>0</v>
      </c>
      <c r="DL119" s="518">
        <v>0</v>
      </c>
      <c r="DM119" s="518">
        <v>0</v>
      </c>
      <c r="DN119" s="518">
        <v>0</v>
      </c>
      <c r="DO119" s="518">
        <v>0</v>
      </c>
      <c r="DP119" s="518">
        <v>0</v>
      </c>
      <c r="DQ119" s="518">
        <v>0</v>
      </c>
      <c r="DR119" s="518">
        <v>0</v>
      </c>
      <c r="DS119" s="518">
        <v>0</v>
      </c>
      <c r="DT119" s="518">
        <v>0</v>
      </c>
      <c r="DU119" s="518">
        <v>0</v>
      </c>
      <c r="DV119" s="518">
        <v>0</v>
      </c>
      <c r="DW119" s="518">
        <v>0</v>
      </c>
      <c r="DX119" s="518">
        <v>0</v>
      </c>
      <c r="DZ119" s="517" t="s">
        <v>721</v>
      </c>
      <c r="EA119" s="517" t="s">
        <v>1101</v>
      </c>
      <c r="EB119" s="517" t="s">
        <v>25</v>
      </c>
      <c r="EC119" s="518">
        <v>33</v>
      </c>
      <c r="ED119" s="494" t="str">
        <f t="shared" si="7"/>
        <v>SWUC100133</v>
      </c>
      <c r="EE119" s="518">
        <v>120.8</v>
      </c>
      <c r="EF119" s="518">
        <v>2000</v>
      </c>
      <c r="EG119" s="518">
        <v>2000</v>
      </c>
      <c r="EH119" s="518">
        <v>2000</v>
      </c>
      <c r="EI119" s="518">
        <v>2000</v>
      </c>
      <c r="EJ119" s="518">
        <v>2000</v>
      </c>
      <c r="EK119" s="518">
        <v>2000</v>
      </c>
      <c r="EL119" s="518">
        <v>2000</v>
      </c>
      <c r="EM119" s="518">
        <v>2000</v>
      </c>
      <c r="EN119" s="518">
        <v>2000</v>
      </c>
      <c r="EO119" s="518">
        <v>0</v>
      </c>
      <c r="EP119" s="518">
        <v>0</v>
      </c>
      <c r="EQ119" s="518">
        <v>0</v>
      </c>
      <c r="ER119" s="518">
        <v>0</v>
      </c>
      <c r="ES119" s="518">
        <v>0</v>
      </c>
      <c r="ET119" s="518">
        <v>0</v>
      </c>
      <c r="EU119" s="518">
        <v>0</v>
      </c>
      <c r="EV119" s="518">
        <v>0</v>
      </c>
      <c r="EW119" s="518">
        <v>0</v>
      </c>
      <c r="EX119" s="518">
        <v>0</v>
      </c>
      <c r="EY119" s="518">
        <v>0</v>
      </c>
      <c r="EZ119" s="518">
        <v>0</v>
      </c>
      <c r="FA119" s="518">
        <v>0</v>
      </c>
      <c r="FB119" s="518">
        <v>0</v>
      </c>
      <c r="FC119" s="518">
        <v>0</v>
      </c>
      <c r="FD119" s="518">
        <v>0</v>
      </c>
      <c r="FE119" s="518">
        <v>0</v>
      </c>
      <c r="FF119" s="518">
        <v>0</v>
      </c>
      <c r="FG119" s="518">
        <v>0</v>
      </c>
      <c r="FH119" s="518">
        <v>0</v>
      </c>
      <c r="FI119" s="518">
        <v>0</v>
      </c>
      <c r="FJ119" s="518">
        <v>0</v>
      </c>
      <c r="FK119" s="518">
        <v>0</v>
      </c>
      <c r="FL119" s="518">
        <v>0</v>
      </c>
      <c r="FM119" s="518">
        <v>0</v>
      </c>
      <c r="FN119" s="518">
        <v>0</v>
      </c>
      <c r="FO119" s="518">
        <v>0</v>
      </c>
      <c r="FP119" s="518">
        <v>0</v>
      </c>
      <c r="FQ119" s="518">
        <v>0</v>
      </c>
      <c r="FR119" s="518">
        <v>0</v>
      </c>
      <c r="FS119" s="518">
        <v>0</v>
      </c>
      <c r="FT119" s="518">
        <v>0</v>
      </c>
      <c r="FU119" s="518">
        <v>0</v>
      </c>
      <c r="FV119" s="518">
        <v>0</v>
      </c>
      <c r="FW119" s="518">
        <v>0</v>
      </c>
      <c r="FX119" s="518">
        <v>0</v>
      </c>
      <c r="FY119" s="518">
        <v>0</v>
      </c>
      <c r="FZ119" s="518">
        <v>0</v>
      </c>
      <c r="GA119" s="518">
        <v>0</v>
      </c>
      <c r="GB119" s="518">
        <v>0</v>
      </c>
      <c r="GC119" s="518">
        <v>0</v>
      </c>
      <c r="GD119" s="518">
        <v>0</v>
      </c>
      <c r="GE119" s="518">
        <v>0</v>
      </c>
      <c r="GF119" s="518">
        <v>0</v>
      </c>
      <c r="GG119" s="518">
        <v>0</v>
      </c>
      <c r="GH119" s="518">
        <v>0</v>
      </c>
      <c r="GI119" s="518">
        <v>0</v>
      </c>
      <c r="GJ119" s="518">
        <v>0</v>
      </c>
      <c r="GK119" s="518">
        <v>0</v>
      </c>
      <c r="GL119" s="518">
        <v>0</v>
      </c>
      <c r="GM119" s="518">
        <v>0</v>
      </c>
      <c r="GN119" s="518">
        <v>0</v>
      </c>
      <c r="GO119" s="518">
        <v>0</v>
      </c>
      <c r="GP119" s="518">
        <v>0</v>
      </c>
      <c r="GQ119" s="518">
        <v>0</v>
      </c>
      <c r="GR119" s="518">
        <v>0</v>
      </c>
      <c r="GS119" s="518">
        <v>0</v>
      </c>
      <c r="GT119" s="518">
        <v>0</v>
      </c>
      <c r="GU119" s="518">
        <v>0</v>
      </c>
      <c r="GV119" s="518">
        <v>0</v>
      </c>
      <c r="GW119" s="518">
        <v>0</v>
      </c>
      <c r="GX119" s="518">
        <v>0</v>
      </c>
      <c r="GY119" s="518">
        <v>0</v>
      </c>
      <c r="GZ119" s="518">
        <v>0</v>
      </c>
      <c r="HA119" s="518">
        <v>0</v>
      </c>
      <c r="HB119" s="518">
        <v>0</v>
      </c>
      <c r="HC119" s="518">
        <v>0</v>
      </c>
      <c r="HD119" s="518">
        <v>0</v>
      </c>
      <c r="HE119" s="518">
        <v>0</v>
      </c>
      <c r="HF119" s="518">
        <v>0</v>
      </c>
      <c r="HG119" s="518">
        <v>0</v>
      </c>
      <c r="HH119" s="518">
        <v>0</v>
      </c>
      <c r="HI119" s="518">
        <v>0</v>
      </c>
      <c r="HJ119" s="518">
        <v>0</v>
      </c>
      <c r="HK119" s="518">
        <v>0</v>
      </c>
      <c r="HL119" s="518">
        <v>0</v>
      </c>
      <c r="HM119" s="518">
        <v>0</v>
      </c>
      <c r="HN119" s="518">
        <v>0</v>
      </c>
      <c r="HO119" s="518">
        <v>0</v>
      </c>
      <c r="HP119" s="518">
        <v>0</v>
      </c>
      <c r="HQ119" s="518">
        <v>0</v>
      </c>
      <c r="HR119" s="518">
        <v>0</v>
      </c>
      <c r="HS119" s="518">
        <v>0</v>
      </c>
      <c r="HT119" s="518">
        <v>0</v>
      </c>
      <c r="HU119" s="518">
        <v>0</v>
      </c>
      <c r="HV119" s="518">
        <v>0</v>
      </c>
      <c r="HW119" s="518">
        <v>0</v>
      </c>
      <c r="HX119" s="518">
        <v>0</v>
      </c>
      <c r="HY119" s="518">
        <v>0</v>
      </c>
      <c r="HZ119" s="518">
        <v>0</v>
      </c>
      <c r="IA119" s="518">
        <v>0</v>
      </c>
      <c r="IB119" s="518">
        <v>0</v>
      </c>
      <c r="IC119" s="518">
        <v>0</v>
      </c>
      <c r="ID119" s="518">
        <v>0</v>
      </c>
      <c r="IE119" s="518">
        <v>0</v>
      </c>
      <c r="IF119" s="518">
        <v>0</v>
      </c>
      <c r="IG119" s="518">
        <v>0</v>
      </c>
      <c r="IH119" s="518">
        <v>0</v>
      </c>
      <c r="II119" s="518">
        <v>0</v>
      </c>
      <c r="IJ119" s="518">
        <v>0</v>
      </c>
      <c r="IK119" s="518">
        <v>0</v>
      </c>
    </row>
    <row r="120" spans="1:245" ht="16.5" hidden="1">
      <c r="A120" s="517"/>
      <c r="B120" s="517"/>
      <c r="C120" s="517"/>
      <c r="D120" s="517"/>
      <c r="E120" s="517"/>
      <c r="F120" s="517"/>
      <c r="G120" s="558"/>
      <c r="H120" s="518"/>
      <c r="I120" s="558"/>
      <c r="J120" s="494"/>
      <c r="K120" s="518"/>
      <c r="M120" s="517" t="s">
        <v>721</v>
      </c>
      <c r="N120" s="517" t="s">
        <v>1101</v>
      </c>
      <c r="O120" s="517" t="s">
        <v>25</v>
      </c>
      <c r="P120" s="518">
        <v>34</v>
      </c>
      <c r="Q120" s="494" t="str">
        <f t="shared" si="6"/>
        <v>SWUC100134</v>
      </c>
      <c r="R120" s="518">
        <v>129.30000000000001</v>
      </c>
      <c r="S120" s="518">
        <v>10000</v>
      </c>
      <c r="T120" s="518">
        <v>10000</v>
      </c>
      <c r="U120" s="518">
        <v>10000</v>
      </c>
      <c r="V120" s="518">
        <v>10000</v>
      </c>
      <c r="W120" s="518">
        <v>10000</v>
      </c>
      <c r="X120" s="518">
        <v>10000</v>
      </c>
      <c r="Y120" s="518">
        <v>10000</v>
      </c>
      <c r="Z120" s="518">
        <v>10000</v>
      </c>
      <c r="AA120" s="518">
        <v>10000</v>
      </c>
      <c r="AB120" s="518">
        <v>0</v>
      </c>
      <c r="AC120" s="518">
        <v>0</v>
      </c>
      <c r="AD120" s="518">
        <v>0</v>
      </c>
      <c r="AE120" s="518">
        <v>0</v>
      </c>
      <c r="AF120" s="518">
        <v>0</v>
      </c>
      <c r="AG120" s="518">
        <v>0</v>
      </c>
      <c r="AH120" s="518">
        <v>0</v>
      </c>
      <c r="AI120" s="518">
        <v>0</v>
      </c>
      <c r="AJ120" s="518">
        <v>0</v>
      </c>
      <c r="AK120" s="518">
        <v>0</v>
      </c>
      <c r="AL120" s="518">
        <v>0</v>
      </c>
      <c r="AM120" s="518">
        <v>0</v>
      </c>
      <c r="AN120" s="518">
        <v>0</v>
      </c>
      <c r="AO120" s="518">
        <v>0</v>
      </c>
      <c r="AP120" s="518">
        <v>0</v>
      </c>
      <c r="AQ120" s="518">
        <v>0</v>
      </c>
      <c r="AR120" s="518">
        <v>0</v>
      </c>
      <c r="AS120" s="518">
        <v>0</v>
      </c>
      <c r="AT120" s="518">
        <v>0</v>
      </c>
      <c r="AU120" s="518">
        <v>0</v>
      </c>
      <c r="AV120" s="518">
        <v>0</v>
      </c>
      <c r="AW120" s="518">
        <v>0</v>
      </c>
      <c r="AX120" s="518">
        <v>0</v>
      </c>
      <c r="AY120" s="518">
        <v>0</v>
      </c>
      <c r="AZ120" s="518">
        <v>0</v>
      </c>
      <c r="BA120" s="518">
        <v>0</v>
      </c>
      <c r="BB120" s="518">
        <v>0</v>
      </c>
      <c r="BC120" s="518">
        <v>0</v>
      </c>
      <c r="BD120" s="518">
        <v>0</v>
      </c>
      <c r="BE120" s="518">
        <v>0</v>
      </c>
      <c r="BF120" s="518">
        <v>0</v>
      </c>
      <c r="BG120" s="518">
        <v>0</v>
      </c>
      <c r="BH120" s="518">
        <v>0</v>
      </c>
      <c r="BI120" s="518">
        <v>0</v>
      </c>
      <c r="BJ120" s="518">
        <v>0</v>
      </c>
      <c r="BK120" s="518">
        <v>0</v>
      </c>
      <c r="BL120" s="518">
        <v>0</v>
      </c>
      <c r="BM120" s="518">
        <v>0</v>
      </c>
      <c r="BN120" s="518">
        <v>0</v>
      </c>
      <c r="BO120" s="518">
        <v>0</v>
      </c>
      <c r="BP120" s="518">
        <v>0</v>
      </c>
      <c r="BQ120" s="518">
        <v>0</v>
      </c>
      <c r="BR120" s="518">
        <v>0</v>
      </c>
      <c r="BS120" s="518">
        <v>0</v>
      </c>
      <c r="BT120" s="518">
        <v>0</v>
      </c>
      <c r="BU120" s="518">
        <v>0</v>
      </c>
      <c r="BV120" s="518">
        <v>0</v>
      </c>
      <c r="BW120" s="518">
        <v>0</v>
      </c>
      <c r="BX120" s="518">
        <v>0</v>
      </c>
      <c r="BY120" s="518">
        <v>0</v>
      </c>
      <c r="BZ120" s="518">
        <v>0</v>
      </c>
      <c r="CA120" s="518">
        <v>0</v>
      </c>
      <c r="CB120" s="518">
        <v>0</v>
      </c>
      <c r="CC120" s="518">
        <v>0</v>
      </c>
      <c r="CD120" s="518">
        <v>0</v>
      </c>
      <c r="CE120" s="518">
        <v>0</v>
      </c>
      <c r="CF120" s="518">
        <v>0</v>
      </c>
      <c r="CG120" s="518">
        <v>0</v>
      </c>
      <c r="CH120" s="518">
        <v>0</v>
      </c>
      <c r="CI120" s="518">
        <v>0</v>
      </c>
      <c r="CJ120" s="518">
        <v>0</v>
      </c>
      <c r="CK120" s="518">
        <v>0</v>
      </c>
      <c r="CL120" s="518">
        <v>0</v>
      </c>
      <c r="CM120" s="518">
        <v>0</v>
      </c>
      <c r="CN120" s="518">
        <v>0</v>
      </c>
      <c r="CO120" s="518">
        <v>0</v>
      </c>
      <c r="CP120" s="518">
        <v>0</v>
      </c>
      <c r="CQ120" s="518">
        <v>0</v>
      </c>
      <c r="CR120" s="518">
        <v>0</v>
      </c>
      <c r="CS120" s="518">
        <v>0</v>
      </c>
      <c r="CT120" s="518">
        <v>0</v>
      </c>
      <c r="CU120" s="518">
        <v>0</v>
      </c>
      <c r="CV120" s="518">
        <v>0</v>
      </c>
      <c r="CW120" s="518">
        <v>0</v>
      </c>
      <c r="CX120" s="518">
        <v>0</v>
      </c>
      <c r="CY120" s="518">
        <v>0</v>
      </c>
      <c r="CZ120" s="518">
        <v>0</v>
      </c>
      <c r="DA120" s="518">
        <v>0</v>
      </c>
      <c r="DB120" s="518">
        <v>0</v>
      </c>
      <c r="DC120" s="518">
        <v>0</v>
      </c>
      <c r="DD120" s="518">
        <v>0</v>
      </c>
      <c r="DE120" s="518">
        <v>0</v>
      </c>
      <c r="DF120" s="518">
        <v>0</v>
      </c>
      <c r="DG120" s="518">
        <v>0</v>
      </c>
      <c r="DH120" s="518">
        <v>0</v>
      </c>
      <c r="DI120" s="518">
        <v>0</v>
      </c>
      <c r="DJ120" s="518">
        <v>0</v>
      </c>
      <c r="DK120" s="518">
        <v>0</v>
      </c>
      <c r="DL120" s="518">
        <v>0</v>
      </c>
      <c r="DM120" s="518">
        <v>0</v>
      </c>
      <c r="DN120" s="518">
        <v>0</v>
      </c>
      <c r="DO120" s="518">
        <v>0</v>
      </c>
      <c r="DP120" s="518">
        <v>0</v>
      </c>
      <c r="DQ120" s="518">
        <v>0</v>
      </c>
      <c r="DR120" s="518">
        <v>0</v>
      </c>
      <c r="DS120" s="518">
        <v>0</v>
      </c>
      <c r="DT120" s="518">
        <v>0</v>
      </c>
      <c r="DU120" s="518">
        <v>0</v>
      </c>
      <c r="DV120" s="518">
        <v>0</v>
      </c>
      <c r="DW120" s="518">
        <v>0</v>
      </c>
      <c r="DX120" s="518">
        <v>0</v>
      </c>
      <c r="DZ120" s="517" t="s">
        <v>721</v>
      </c>
      <c r="EA120" s="517" t="s">
        <v>1101</v>
      </c>
      <c r="EB120" s="517" t="s">
        <v>25</v>
      </c>
      <c r="EC120" s="518">
        <v>34</v>
      </c>
      <c r="ED120" s="494" t="str">
        <f t="shared" si="7"/>
        <v>SWUC100134</v>
      </c>
      <c r="EE120" s="518">
        <v>129.30000000000001</v>
      </c>
      <c r="EF120" s="518">
        <v>2000</v>
      </c>
      <c r="EG120" s="518">
        <v>2000</v>
      </c>
      <c r="EH120" s="518">
        <v>2000</v>
      </c>
      <c r="EI120" s="518">
        <v>2000</v>
      </c>
      <c r="EJ120" s="518">
        <v>2000</v>
      </c>
      <c r="EK120" s="518">
        <v>2000</v>
      </c>
      <c r="EL120" s="518">
        <v>2000</v>
      </c>
      <c r="EM120" s="518">
        <v>2000</v>
      </c>
      <c r="EN120" s="518">
        <v>2000</v>
      </c>
      <c r="EO120" s="518">
        <v>0</v>
      </c>
      <c r="EP120" s="518">
        <v>0</v>
      </c>
      <c r="EQ120" s="518">
        <v>0</v>
      </c>
      <c r="ER120" s="518">
        <v>0</v>
      </c>
      <c r="ES120" s="518">
        <v>0</v>
      </c>
      <c r="ET120" s="518">
        <v>0</v>
      </c>
      <c r="EU120" s="518">
        <v>0</v>
      </c>
      <c r="EV120" s="518">
        <v>0</v>
      </c>
      <c r="EW120" s="518">
        <v>0</v>
      </c>
      <c r="EX120" s="518">
        <v>0</v>
      </c>
      <c r="EY120" s="518">
        <v>0</v>
      </c>
      <c r="EZ120" s="518">
        <v>0</v>
      </c>
      <c r="FA120" s="518">
        <v>0</v>
      </c>
      <c r="FB120" s="518">
        <v>0</v>
      </c>
      <c r="FC120" s="518">
        <v>0</v>
      </c>
      <c r="FD120" s="518">
        <v>0</v>
      </c>
      <c r="FE120" s="518">
        <v>0</v>
      </c>
      <c r="FF120" s="518">
        <v>0</v>
      </c>
      <c r="FG120" s="518">
        <v>0</v>
      </c>
      <c r="FH120" s="518">
        <v>0</v>
      </c>
      <c r="FI120" s="518">
        <v>0</v>
      </c>
      <c r="FJ120" s="518">
        <v>0</v>
      </c>
      <c r="FK120" s="518">
        <v>0</v>
      </c>
      <c r="FL120" s="518">
        <v>0</v>
      </c>
      <c r="FM120" s="518">
        <v>0</v>
      </c>
      <c r="FN120" s="518">
        <v>0</v>
      </c>
      <c r="FO120" s="518">
        <v>0</v>
      </c>
      <c r="FP120" s="518">
        <v>0</v>
      </c>
      <c r="FQ120" s="518">
        <v>0</v>
      </c>
      <c r="FR120" s="518">
        <v>0</v>
      </c>
      <c r="FS120" s="518">
        <v>0</v>
      </c>
      <c r="FT120" s="518">
        <v>0</v>
      </c>
      <c r="FU120" s="518">
        <v>0</v>
      </c>
      <c r="FV120" s="518">
        <v>0</v>
      </c>
      <c r="FW120" s="518">
        <v>0</v>
      </c>
      <c r="FX120" s="518">
        <v>0</v>
      </c>
      <c r="FY120" s="518">
        <v>0</v>
      </c>
      <c r="FZ120" s="518">
        <v>0</v>
      </c>
      <c r="GA120" s="518">
        <v>0</v>
      </c>
      <c r="GB120" s="518">
        <v>0</v>
      </c>
      <c r="GC120" s="518">
        <v>0</v>
      </c>
      <c r="GD120" s="518">
        <v>0</v>
      </c>
      <c r="GE120" s="518">
        <v>0</v>
      </c>
      <c r="GF120" s="518">
        <v>0</v>
      </c>
      <c r="GG120" s="518">
        <v>0</v>
      </c>
      <c r="GH120" s="518">
        <v>0</v>
      </c>
      <c r="GI120" s="518">
        <v>0</v>
      </c>
      <c r="GJ120" s="518">
        <v>0</v>
      </c>
      <c r="GK120" s="518">
        <v>0</v>
      </c>
      <c r="GL120" s="518">
        <v>0</v>
      </c>
      <c r="GM120" s="518">
        <v>0</v>
      </c>
      <c r="GN120" s="518">
        <v>0</v>
      </c>
      <c r="GO120" s="518">
        <v>0</v>
      </c>
      <c r="GP120" s="518">
        <v>0</v>
      </c>
      <c r="GQ120" s="518">
        <v>0</v>
      </c>
      <c r="GR120" s="518">
        <v>0</v>
      </c>
      <c r="GS120" s="518">
        <v>0</v>
      </c>
      <c r="GT120" s="518">
        <v>0</v>
      </c>
      <c r="GU120" s="518">
        <v>0</v>
      </c>
      <c r="GV120" s="518">
        <v>0</v>
      </c>
      <c r="GW120" s="518">
        <v>0</v>
      </c>
      <c r="GX120" s="518">
        <v>0</v>
      </c>
      <c r="GY120" s="518">
        <v>0</v>
      </c>
      <c r="GZ120" s="518">
        <v>0</v>
      </c>
      <c r="HA120" s="518">
        <v>0</v>
      </c>
      <c r="HB120" s="518">
        <v>0</v>
      </c>
      <c r="HC120" s="518">
        <v>0</v>
      </c>
      <c r="HD120" s="518">
        <v>0</v>
      </c>
      <c r="HE120" s="518">
        <v>0</v>
      </c>
      <c r="HF120" s="518">
        <v>0</v>
      </c>
      <c r="HG120" s="518">
        <v>0</v>
      </c>
      <c r="HH120" s="518">
        <v>0</v>
      </c>
      <c r="HI120" s="518">
        <v>0</v>
      </c>
      <c r="HJ120" s="518">
        <v>0</v>
      </c>
      <c r="HK120" s="518">
        <v>0</v>
      </c>
      <c r="HL120" s="518">
        <v>0</v>
      </c>
      <c r="HM120" s="518">
        <v>0</v>
      </c>
      <c r="HN120" s="518">
        <v>0</v>
      </c>
      <c r="HO120" s="518">
        <v>0</v>
      </c>
      <c r="HP120" s="518">
        <v>0</v>
      </c>
      <c r="HQ120" s="518">
        <v>0</v>
      </c>
      <c r="HR120" s="518">
        <v>0</v>
      </c>
      <c r="HS120" s="518">
        <v>0</v>
      </c>
      <c r="HT120" s="518">
        <v>0</v>
      </c>
      <c r="HU120" s="518">
        <v>0</v>
      </c>
      <c r="HV120" s="518">
        <v>0</v>
      </c>
      <c r="HW120" s="518">
        <v>0</v>
      </c>
      <c r="HX120" s="518">
        <v>0</v>
      </c>
      <c r="HY120" s="518">
        <v>0</v>
      </c>
      <c r="HZ120" s="518">
        <v>0</v>
      </c>
      <c r="IA120" s="518">
        <v>0</v>
      </c>
      <c r="IB120" s="518">
        <v>0</v>
      </c>
      <c r="IC120" s="518">
        <v>0</v>
      </c>
      <c r="ID120" s="518">
        <v>0</v>
      </c>
      <c r="IE120" s="518">
        <v>0</v>
      </c>
      <c r="IF120" s="518">
        <v>0</v>
      </c>
      <c r="IG120" s="518">
        <v>0</v>
      </c>
      <c r="IH120" s="518">
        <v>0</v>
      </c>
      <c r="II120" s="518">
        <v>0</v>
      </c>
      <c r="IJ120" s="518">
        <v>0</v>
      </c>
      <c r="IK120" s="518">
        <v>0</v>
      </c>
    </row>
    <row r="121" spans="1:245" ht="16.5" hidden="1">
      <c r="A121" s="517"/>
      <c r="B121" s="517"/>
      <c r="C121" s="517"/>
      <c r="D121" s="517"/>
      <c r="E121" s="517"/>
      <c r="F121" s="517"/>
      <c r="G121" s="558"/>
      <c r="H121" s="518"/>
      <c r="I121" s="558"/>
      <c r="J121" s="494"/>
      <c r="K121" s="518"/>
      <c r="M121" s="517" t="s">
        <v>721</v>
      </c>
      <c r="N121" s="517" t="s">
        <v>1101</v>
      </c>
      <c r="O121" s="517" t="s">
        <v>25</v>
      </c>
      <c r="P121" s="518">
        <v>35</v>
      </c>
      <c r="Q121" s="494" t="str">
        <f t="shared" si="6"/>
        <v>SWUC100135</v>
      </c>
      <c r="R121" s="518">
        <v>137.80000000000001</v>
      </c>
      <c r="S121" s="518">
        <v>10000</v>
      </c>
      <c r="T121" s="518">
        <v>10000</v>
      </c>
      <c r="U121" s="518">
        <v>10000</v>
      </c>
      <c r="V121" s="518">
        <v>10000</v>
      </c>
      <c r="W121" s="518">
        <v>10000</v>
      </c>
      <c r="X121" s="518">
        <v>10000</v>
      </c>
      <c r="Y121" s="518">
        <v>10000</v>
      </c>
      <c r="Z121" s="518">
        <v>10000</v>
      </c>
      <c r="AA121" s="518">
        <v>10000</v>
      </c>
      <c r="AB121" s="518">
        <v>0</v>
      </c>
      <c r="AC121" s="518">
        <v>0</v>
      </c>
      <c r="AD121" s="518">
        <v>0</v>
      </c>
      <c r="AE121" s="518">
        <v>0</v>
      </c>
      <c r="AF121" s="518">
        <v>0</v>
      </c>
      <c r="AG121" s="518">
        <v>0</v>
      </c>
      <c r="AH121" s="518">
        <v>0</v>
      </c>
      <c r="AI121" s="518">
        <v>0</v>
      </c>
      <c r="AJ121" s="518">
        <v>0</v>
      </c>
      <c r="AK121" s="518">
        <v>0</v>
      </c>
      <c r="AL121" s="518">
        <v>0</v>
      </c>
      <c r="AM121" s="518">
        <v>0</v>
      </c>
      <c r="AN121" s="518">
        <v>0</v>
      </c>
      <c r="AO121" s="518">
        <v>0</v>
      </c>
      <c r="AP121" s="518">
        <v>0</v>
      </c>
      <c r="AQ121" s="518">
        <v>0</v>
      </c>
      <c r="AR121" s="518">
        <v>0</v>
      </c>
      <c r="AS121" s="518">
        <v>0</v>
      </c>
      <c r="AT121" s="518">
        <v>0</v>
      </c>
      <c r="AU121" s="518">
        <v>0</v>
      </c>
      <c r="AV121" s="518">
        <v>0</v>
      </c>
      <c r="AW121" s="518">
        <v>0</v>
      </c>
      <c r="AX121" s="518">
        <v>0</v>
      </c>
      <c r="AY121" s="518">
        <v>0</v>
      </c>
      <c r="AZ121" s="518">
        <v>0</v>
      </c>
      <c r="BA121" s="518">
        <v>0</v>
      </c>
      <c r="BB121" s="518">
        <v>0</v>
      </c>
      <c r="BC121" s="518">
        <v>0</v>
      </c>
      <c r="BD121" s="518">
        <v>0</v>
      </c>
      <c r="BE121" s="518">
        <v>0</v>
      </c>
      <c r="BF121" s="518">
        <v>0</v>
      </c>
      <c r="BG121" s="518">
        <v>0</v>
      </c>
      <c r="BH121" s="518">
        <v>0</v>
      </c>
      <c r="BI121" s="518">
        <v>0</v>
      </c>
      <c r="BJ121" s="518">
        <v>0</v>
      </c>
      <c r="BK121" s="518">
        <v>0</v>
      </c>
      <c r="BL121" s="518">
        <v>0</v>
      </c>
      <c r="BM121" s="518">
        <v>0</v>
      </c>
      <c r="BN121" s="518">
        <v>0</v>
      </c>
      <c r="BO121" s="518">
        <v>0</v>
      </c>
      <c r="BP121" s="518">
        <v>0</v>
      </c>
      <c r="BQ121" s="518">
        <v>0</v>
      </c>
      <c r="BR121" s="518">
        <v>0</v>
      </c>
      <c r="BS121" s="518">
        <v>0</v>
      </c>
      <c r="BT121" s="518">
        <v>0</v>
      </c>
      <c r="BU121" s="518">
        <v>0</v>
      </c>
      <c r="BV121" s="518">
        <v>0</v>
      </c>
      <c r="BW121" s="518">
        <v>0</v>
      </c>
      <c r="BX121" s="518">
        <v>0</v>
      </c>
      <c r="BY121" s="518">
        <v>0</v>
      </c>
      <c r="BZ121" s="518">
        <v>0</v>
      </c>
      <c r="CA121" s="518">
        <v>0</v>
      </c>
      <c r="CB121" s="518">
        <v>0</v>
      </c>
      <c r="CC121" s="518">
        <v>0</v>
      </c>
      <c r="CD121" s="518">
        <v>0</v>
      </c>
      <c r="CE121" s="518">
        <v>0</v>
      </c>
      <c r="CF121" s="518">
        <v>0</v>
      </c>
      <c r="CG121" s="518">
        <v>0</v>
      </c>
      <c r="CH121" s="518">
        <v>0</v>
      </c>
      <c r="CI121" s="518">
        <v>0</v>
      </c>
      <c r="CJ121" s="518">
        <v>0</v>
      </c>
      <c r="CK121" s="518">
        <v>0</v>
      </c>
      <c r="CL121" s="518">
        <v>0</v>
      </c>
      <c r="CM121" s="518">
        <v>0</v>
      </c>
      <c r="CN121" s="518">
        <v>0</v>
      </c>
      <c r="CO121" s="518">
        <v>0</v>
      </c>
      <c r="CP121" s="518">
        <v>0</v>
      </c>
      <c r="CQ121" s="518">
        <v>0</v>
      </c>
      <c r="CR121" s="518">
        <v>0</v>
      </c>
      <c r="CS121" s="518">
        <v>0</v>
      </c>
      <c r="CT121" s="518">
        <v>0</v>
      </c>
      <c r="CU121" s="518">
        <v>0</v>
      </c>
      <c r="CV121" s="518">
        <v>0</v>
      </c>
      <c r="CW121" s="518">
        <v>0</v>
      </c>
      <c r="CX121" s="518">
        <v>0</v>
      </c>
      <c r="CY121" s="518">
        <v>0</v>
      </c>
      <c r="CZ121" s="518">
        <v>0</v>
      </c>
      <c r="DA121" s="518">
        <v>0</v>
      </c>
      <c r="DB121" s="518">
        <v>0</v>
      </c>
      <c r="DC121" s="518">
        <v>0</v>
      </c>
      <c r="DD121" s="518">
        <v>0</v>
      </c>
      <c r="DE121" s="518">
        <v>0</v>
      </c>
      <c r="DF121" s="518">
        <v>0</v>
      </c>
      <c r="DG121" s="518">
        <v>0</v>
      </c>
      <c r="DH121" s="518">
        <v>0</v>
      </c>
      <c r="DI121" s="518">
        <v>0</v>
      </c>
      <c r="DJ121" s="518">
        <v>0</v>
      </c>
      <c r="DK121" s="518">
        <v>0</v>
      </c>
      <c r="DL121" s="518">
        <v>0</v>
      </c>
      <c r="DM121" s="518">
        <v>0</v>
      </c>
      <c r="DN121" s="518">
        <v>0</v>
      </c>
      <c r="DO121" s="518">
        <v>0</v>
      </c>
      <c r="DP121" s="518">
        <v>0</v>
      </c>
      <c r="DQ121" s="518">
        <v>0</v>
      </c>
      <c r="DR121" s="518">
        <v>0</v>
      </c>
      <c r="DS121" s="518">
        <v>0</v>
      </c>
      <c r="DT121" s="518">
        <v>0</v>
      </c>
      <c r="DU121" s="518">
        <v>0</v>
      </c>
      <c r="DV121" s="518">
        <v>0</v>
      </c>
      <c r="DW121" s="518">
        <v>0</v>
      </c>
      <c r="DX121" s="518">
        <v>0</v>
      </c>
      <c r="DZ121" s="517" t="s">
        <v>721</v>
      </c>
      <c r="EA121" s="517" t="s">
        <v>1101</v>
      </c>
      <c r="EB121" s="517" t="s">
        <v>25</v>
      </c>
      <c r="EC121" s="518">
        <v>35</v>
      </c>
      <c r="ED121" s="494" t="str">
        <f t="shared" si="7"/>
        <v>SWUC100135</v>
      </c>
      <c r="EE121" s="518">
        <v>137.80000000000001</v>
      </c>
      <c r="EF121" s="518">
        <v>2000</v>
      </c>
      <c r="EG121" s="518">
        <v>2000</v>
      </c>
      <c r="EH121" s="518">
        <v>2000</v>
      </c>
      <c r="EI121" s="518">
        <v>2000</v>
      </c>
      <c r="EJ121" s="518">
        <v>2000</v>
      </c>
      <c r="EK121" s="518">
        <v>2000</v>
      </c>
      <c r="EL121" s="518">
        <v>2000</v>
      </c>
      <c r="EM121" s="518">
        <v>2000</v>
      </c>
      <c r="EN121" s="518">
        <v>2000</v>
      </c>
      <c r="EO121" s="518">
        <v>0</v>
      </c>
      <c r="EP121" s="518">
        <v>0</v>
      </c>
      <c r="EQ121" s="518">
        <v>0</v>
      </c>
      <c r="ER121" s="518">
        <v>0</v>
      </c>
      <c r="ES121" s="518">
        <v>0</v>
      </c>
      <c r="ET121" s="518">
        <v>0</v>
      </c>
      <c r="EU121" s="518">
        <v>0</v>
      </c>
      <c r="EV121" s="518">
        <v>0</v>
      </c>
      <c r="EW121" s="518">
        <v>0</v>
      </c>
      <c r="EX121" s="518">
        <v>0</v>
      </c>
      <c r="EY121" s="518">
        <v>0</v>
      </c>
      <c r="EZ121" s="518">
        <v>0</v>
      </c>
      <c r="FA121" s="518">
        <v>0</v>
      </c>
      <c r="FB121" s="518">
        <v>0</v>
      </c>
      <c r="FC121" s="518">
        <v>0</v>
      </c>
      <c r="FD121" s="518">
        <v>0</v>
      </c>
      <c r="FE121" s="518">
        <v>0</v>
      </c>
      <c r="FF121" s="518">
        <v>0</v>
      </c>
      <c r="FG121" s="518">
        <v>0</v>
      </c>
      <c r="FH121" s="518">
        <v>0</v>
      </c>
      <c r="FI121" s="518">
        <v>0</v>
      </c>
      <c r="FJ121" s="518">
        <v>0</v>
      </c>
      <c r="FK121" s="518">
        <v>0</v>
      </c>
      <c r="FL121" s="518">
        <v>0</v>
      </c>
      <c r="FM121" s="518">
        <v>0</v>
      </c>
      <c r="FN121" s="518">
        <v>0</v>
      </c>
      <c r="FO121" s="518">
        <v>0</v>
      </c>
      <c r="FP121" s="518">
        <v>0</v>
      </c>
      <c r="FQ121" s="518">
        <v>0</v>
      </c>
      <c r="FR121" s="518">
        <v>0</v>
      </c>
      <c r="FS121" s="518">
        <v>0</v>
      </c>
      <c r="FT121" s="518">
        <v>0</v>
      </c>
      <c r="FU121" s="518">
        <v>0</v>
      </c>
      <c r="FV121" s="518">
        <v>0</v>
      </c>
      <c r="FW121" s="518">
        <v>0</v>
      </c>
      <c r="FX121" s="518">
        <v>0</v>
      </c>
      <c r="FY121" s="518">
        <v>0</v>
      </c>
      <c r="FZ121" s="518">
        <v>0</v>
      </c>
      <c r="GA121" s="518">
        <v>0</v>
      </c>
      <c r="GB121" s="518">
        <v>0</v>
      </c>
      <c r="GC121" s="518">
        <v>0</v>
      </c>
      <c r="GD121" s="518">
        <v>0</v>
      </c>
      <c r="GE121" s="518">
        <v>0</v>
      </c>
      <c r="GF121" s="518">
        <v>0</v>
      </c>
      <c r="GG121" s="518">
        <v>0</v>
      </c>
      <c r="GH121" s="518">
        <v>0</v>
      </c>
      <c r="GI121" s="518">
        <v>0</v>
      </c>
      <c r="GJ121" s="518">
        <v>0</v>
      </c>
      <c r="GK121" s="518">
        <v>0</v>
      </c>
      <c r="GL121" s="518">
        <v>0</v>
      </c>
      <c r="GM121" s="518">
        <v>0</v>
      </c>
      <c r="GN121" s="518">
        <v>0</v>
      </c>
      <c r="GO121" s="518">
        <v>0</v>
      </c>
      <c r="GP121" s="518">
        <v>0</v>
      </c>
      <c r="GQ121" s="518">
        <v>0</v>
      </c>
      <c r="GR121" s="518">
        <v>0</v>
      </c>
      <c r="GS121" s="518">
        <v>0</v>
      </c>
      <c r="GT121" s="518">
        <v>0</v>
      </c>
      <c r="GU121" s="518">
        <v>0</v>
      </c>
      <c r="GV121" s="518">
        <v>0</v>
      </c>
      <c r="GW121" s="518">
        <v>0</v>
      </c>
      <c r="GX121" s="518">
        <v>0</v>
      </c>
      <c r="GY121" s="518">
        <v>0</v>
      </c>
      <c r="GZ121" s="518">
        <v>0</v>
      </c>
      <c r="HA121" s="518">
        <v>0</v>
      </c>
      <c r="HB121" s="518">
        <v>0</v>
      </c>
      <c r="HC121" s="518">
        <v>0</v>
      </c>
      <c r="HD121" s="518">
        <v>0</v>
      </c>
      <c r="HE121" s="518">
        <v>0</v>
      </c>
      <c r="HF121" s="518">
        <v>0</v>
      </c>
      <c r="HG121" s="518">
        <v>0</v>
      </c>
      <c r="HH121" s="518">
        <v>0</v>
      </c>
      <c r="HI121" s="518">
        <v>0</v>
      </c>
      <c r="HJ121" s="518">
        <v>0</v>
      </c>
      <c r="HK121" s="518">
        <v>0</v>
      </c>
      <c r="HL121" s="518">
        <v>0</v>
      </c>
      <c r="HM121" s="518">
        <v>0</v>
      </c>
      <c r="HN121" s="518">
        <v>0</v>
      </c>
      <c r="HO121" s="518">
        <v>0</v>
      </c>
      <c r="HP121" s="518">
        <v>0</v>
      </c>
      <c r="HQ121" s="518">
        <v>0</v>
      </c>
      <c r="HR121" s="518">
        <v>0</v>
      </c>
      <c r="HS121" s="518">
        <v>0</v>
      </c>
      <c r="HT121" s="518">
        <v>0</v>
      </c>
      <c r="HU121" s="518">
        <v>0</v>
      </c>
      <c r="HV121" s="518">
        <v>0</v>
      </c>
      <c r="HW121" s="518">
        <v>0</v>
      </c>
      <c r="HX121" s="518">
        <v>0</v>
      </c>
      <c r="HY121" s="518">
        <v>0</v>
      </c>
      <c r="HZ121" s="518">
        <v>0</v>
      </c>
      <c r="IA121" s="518">
        <v>0</v>
      </c>
      <c r="IB121" s="518">
        <v>0</v>
      </c>
      <c r="IC121" s="518">
        <v>0</v>
      </c>
      <c r="ID121" s="518">
        <v>0</v>
      </c>
      <c r="IE121" s="518">
        <v>0</v>
      </c>
      <c r="IF121" s="518">
        <v>0</v>
      </c>
      <c r="IG121" s="518">
        <v>0</v>
      </c>
      <c r="IH121" s="518">
        <v>0</v>
      </c>
      <c r="II121" s="518">
        <v>0</v>
      </c>
      <c r="IJ121" s="518">
        <v>0</v>
      </c>
      <c r="IK121" s="518">
        <v>0</v>
      </c>
    </row>
    <row r="122" spans="1:245" ht="16.5" hidden="1">
      <c r="A122" s="517"/>
      <c r="B122" s="517"/>
      <c r="C122" s="517"/>
      <c r="D122" s="517"/>
      <c r="E122" s="517"/>
      <c r="F122" s="517"/>
      <c r="G122" s="558"/>
      <c r="H122" s="518"/>
      <c r="I122" s="558"/>
      <c r="J122" s="494"/>
      <c r="K122" s="518"/>
      <c r="M122" s="517" t="s">
        <v>721</v>
      </c>
      <c r="N122" s="517" t="s">
        <v>1101</v>
      </c>
      <c r="O122" s="517" t="s">
        <v>25</v>
      </c>
      <c r="P122" s="518">
        <v>36</v>
      </c>
      <c r="Q122" s="494" t="str">
        <f t="shared" si="6"/>
        <v>SWUC100136</v>
      </c>
      <c r="R122" s="518">
        <v>146.30000000000001</v>
      </c>
      <c r="S122" s="518">
        <v>10000</v>
      </c>
      <c r="T122" s="518">
        <v>10000</v>
      </c>
      <c r="U122" s="518">
        <v>10000</v>
      </c>
      <c r="V122" s="518">
        <v>10000</v>
      </c>
      <c r="W122" s="518">
        <v>10000</v>
      </c>
      <c r="X122" s="518">
        <v>10000</v>
      </c>
      <c r="Y122" s="518">
        <v>10000</v>
      </c>
      <c r="Z122" s="518">
        <v>10000</v>
      </c>
      <c r="AA122" s="518">
        <v>10000</v>
      </c>
      <c r="AB122" s="518">
        <v>0</v>
      </c>
      <c r="AC122" s="518">
        <v>0</v>
      </c>
      <c r="AD122" s="518">
        <v>0</v>
      </c>
      <c r="AE122" s="518">
        <v>0</v>
      </c>
      <c r="AF122" s="518">
        <v>0</v>
      </c>
      <c r="AG122" s="518">
        <v>0</v>
      </c>
      <c r="AH122" s="518">
        <v>0</v>
      </c>
      <c r="AI122" s="518">
        <v>0</v>
      </c>
      <c r="AJ122" s="518">
        <v>0</v>
      </c>
      <c r="AK122" s="518">
        <v>0</v>
      </c>
      <c r="AL122" s="518">
        <v>0</v>
      </c>
      <c r="AM122" s="518">
        <v>0</v>
      </c>
      <c r="AN122" s="518">
        <v>0</v>
      </c>
      <c r="AO122" s="518">
        <v>0</v>
      </c>
      <c r="AP122" s="518">
        <v>0</v>
      </c>
      <c r="AQ122" s="518">
        <v>0</v>
      </c>
      <c r="AR122" s="518">
        <v>0</v>
      </c>
      <c r="AS122" s="518">
        <v>0</v>
      </c>
      <c r="AT122" s="518">
        <v>0</v>
      </c>
      <c r="AU122" s="518">
        <v>0</v>
      </c>
      <c r="AV122" s="518">
        <v>0</v>
      </c>
      <c r="AW122" s="518">
        <v>0</v>
      </c>
      <c r="AX122" s="518">
        <v>0</v>
      </c>
      <c r="AY122" s="518">
        <v>0</v>
      </c>
      <c r="AZ122" s="518">
        <v>0</v>
      </c>
      <c r="BA122" s="518">
        <v>0</v>
      </c>
      <c r="BB122" s="518">
        <v>0</v>
      </c>
      <c r="BC122" s="518">
        <v>0</v>
      </c>
      <c r="BD122" s="518">
        <v>0</v>
      </c>
      <c r="BE122" s="518">
        <v>0</v>
      </c>
      <c r="BF122" s="518">
        <v>0</v>
      </c>
      <c r="BG122" s="518">
        <v>0</v>
      </c>
      <c r="BH122" s="518">
        <v>0</v>
      </c>
      <c r="BI122" s="518">
        <v>0</v>
      </c>
      <c r="BJ122" s="518">
        <v>0</v>
      </c>
      <c r="BK122" s="518">
        <v>0</v>
      </c>
      <c r="BL122" s="518">
        <v>0</v>
      </c>
      <c r="BM122" s="518">
        <v>0</v>
      </c>
      <c r="BN122" s="518">
        <v>0</v>
      </c>
      <c r="BO122" s="518">
        <v>0</v>
      </c>
      <c r="BP122" s="518">
        <v>0</v>
      </c>
      <c r="BQ122" s="518">
        <v>0</v>
      </c>
      <c r="BR122" s="518">
        <v>0</v>
      </c>
      <c r="BS122" s="518">
        <v>0</v>
      </c>
      <c r="BT122" s="518">
        <v>0</v>
      </c>
      <c r="BU122" s="518">
        <v>0</v>
      </c>
      <c r="BV122" s="518">
        <v>0</v>
      </c>
      <c r="BW122" s="518">
        <v>0</v>
      </c>
      <c r="BX122" s="518">
        <v>0</v>
      </c>
      <c r="BY122" s="518">
        <v>0</v>
      </c>
      <c r="BZ122" s="518">
        <v>0</v>
      </c>
      <c r="CA122" s="518">
        <v>0</v>
      </c>
      <c r="CB122" s="518">
        <v>0</v>
      </c>
      <c r="CC122" s="518">
        <v>0</v>
      </c>
      <c r="CD122" s="518">
        <v>0</v>
      </c>
      <c r="CE122" s="518">
        <v>0</v>
      </c>
      <c r="CF122" s="518">
        <v>0</v>
      </c>
      <c r="CG122" s="518">
        <v>0</v>
      </c>
      <c r="CH122" s="518">
        <v>0</v>
      </c>
      <c r="CI122" s="518">
        <v>0</v>
      </c>
      <c r="CJ122" s="518">
        <v>0</v>
      </c>
      <c r="CK122" s="518">
        <v>0</v>
      </c>
      <c r="CL122" s="518">
        <v>0</v>
      </c>
      <c r="CM122" s="518">
        <v>0</v>
      </c>
      <c r="CN122" s="518">
        <v>0</v>
      </c>
      <c r="CO122" s="518">
        <v>0</v>
      </c>
      <c r="CP122" s="518">
        <v>0</v>
      </c>
      <c r="CQ122" s="518">
        <v>0</v>
      </c>
      <c r="CR122" s="518">
        <v>0</v>
      </c>
      <c r="CS122" s="518">
        <v>0</v>
      </c>
      <c r="CT122" s="518">
        <v>0</v>
      </c>
      <c r="CU122" s="518">
        <v>0</v>
      </c>
      <c r="CV122" s="518">
        <v>0</v>
      </c>
      <c r="CW122" s="518">
        <v>0</v>
      </c>
      <c r="CX122" s="518">
        <v>0</v>
      </c>
      <c r="CY122" s="518">
        <v>0</v>
      </c>
      <c r="CZ122" s="518">
        <v>0</v>
      </c>
      <c r="DA122" s="518">
        <v>0</v>
      </c>
      <c r="DB122" s="518">
        <v>0</v>
      </c>
      <c r="DC122" s="518">
        <v>0</v>
      </c>
      <c r="DD122" s="518">
        <v>0</v>
      </c>
      <c r="DE122" s="518">
        <v>0</v>
      </c>
      <c r="DF122" s="518">
        <v>0</v>
      </c>
      <c r="DG122" s="518">
        <v>0</v>
      </c>
      <c r="DH122" s="518">
        <v>0</v>
      </c>
      <c r="DI122" s="518">
        <v>0</v>
      </c>
      <c r="DJ122" s="518">
        <v>0</v>
      </c>
      <c r="DK122" s="518">
        <v>0</v>
      </c>
      <c r="DL122" s="518">
        <v>0</v>
      </c>
      <c r="DM122" s="518">
        <v>0</v>
      </c>
      <c r="DN122" s="518">
        <v>0</v>
      </c>
      <c r="DO122" s="518">
        <v>0</v>
      </c>
      <c r="DP122" s="518">
        <v>0</v>
      </c>
      <c r="DQ122" s="518">
        <v>0</v>
      </c>
      <c r="DR122" s="518">
        <v>0</v>
      </c>
      <c r="DS122" s="518">
        <v>0</v>
      </c>
      <c r="DT122" s="518">
        <v>0</v>
      </c>
      <c r="DU122" s="518">
        <v>0</v>
      </c>
      <c r="DV122" s="518">
        <v>0</v>
      </c>
      <c r="DW122" s="518">
        <v>0</v>
      </c>
      <c r="DX122" s="518">
        <v>0</v>
      </c>
      <c r="DZ122" s="517" t="s">
        <v>721</v>
      </c>
      <c r="EA122" s="517" t="s">
        <v>1101</v>
      </c>
      <c r="EB122" s="517" t="s">
        <v>25</v>
      </c>
      <c r="EC122" s="518">
        <v>36</v>
      </c>
      <c r="ED122" s="494" t="str">
        <f t="shared" si="7"/>
        <v>SWUC100136</v>
      </c>
      <c r="EE122" s="518">
        <v>146.30000000000001</v>
      </c>
      <c r="EF122" s="518">
        <v>2000</v>
      </c>
      <c r="EG122" s="518">
        <v>2000</v>
      </c>
      <c r="EH122" s="518">
        <v>2000</v>
      </c>
      <c r="EI122" s="518">
        <v>2000</v>
      </c>
      <c r="EJ122" s="518">
        <v>2000</v>
      </c>
      <c r="EK122" s="518">
        <v>2000</v>
      </c>
      <c r="EL122" s="518">
        <v>2000</v>
      </c>
      <c r="EM122" s="518">
        <v>2000</v>
      </c>
      <c r="EN122" s="518">
        <v>2000</v>
      </c>
      <c r="EO122" s="518">
        <v>0</v>
      </c>
      <c r="EP122" s="518">
        <v>0</v>
      </c>
      <c r="EQ122" s="518">
        <v>0</v>
      </c>
      <c r="ER122" s="518">
        <v>0</v>
      </c>
      <c r="ES122" s="518">
        <v>0</v>
      </c>
      <c r="ET122" s="518">
        <v>0</v>
      </c>
      <c r="EU122" s="518">
        <v>0</v>
      </c>
      <c r="EV122" s="518">
        <v>0</v>
      </c>
      <c r="EW122" s="518">
        <v>0</v>
      </c>
      <c r="EX122" s="518">
        <v>0</v>
      </c>
      <c r="EY122" s="518">
        <v>0</v>
      </c>
      <c r="EZ122" s="518">
        <v>0</v>
      </c>
      <c r="FA122" s="518">
        <v>0</v>
      </c>
      <c r="FB122" s="518">
        <v>0</v>
      </c>
      <c r="FC122" s="518">
        <v>0</v>
      </c>
      <c r="FD122" s="518">
        <v>0</v>
      </c>
      <c r="FE122" s="518">
        <v>0</v>
      </c>
      <c r="FF122" s="518">
        <v>0</v>
      </c>
      <c r="FG122" s="518">
        <v>0</v>
      </c>
      <c r="FH122" s="518">
        <v>0</v>
      </c>
      <c r="FI122" s="518">
        <v>0</v>
      </c>
      <c r="FJ122" s="518">
        <v>0</v>
      </c>
      <c r="FK122" s="518">
        <v>0</v>
      </c>
      <c r="FL122" s="518">
        <v>0</v>
      </c>
      <c r="FM122" s="518">
        <v>0</v>
      </c>
      <c r="FN122" s="518">
        <v>0</v>
      </c>
      <c r="FO122" s="518">
        <v>0</v>
      </c>
      <c r="FP122" s="518">
        <v>0</v>
      </c>
      <c r="FQ122" s="518">
        <v>0</v>
      </c>
      <c r="FR122" s="518">
        <v>0</v>
      </c>
      <c r="FS122" s="518">
        <v>0</v>
      </c>
      <c r="FT122" s="518">
        <v>0</v>
      </c>
      <c r="FU122" s="518">
        <v>0</v>
      </c>
      <c r="FV122" s="518">
        <v>0</v>
      </c>
      <c r="FW122" s="518">
        <v>0</v>
      </c>
      <c r="FX122" s="518">
        <v>0</v>
      </c>
      <c r="FY122" s="518">
        <v>0</v>
      </c>
      <c r="FZ122" s="518">
        <v>0</v>
      </c>
      <c r="GA122" s="518">
        <v>0</v>
      </c>
      <c r="GB122" s="518">
        <v>0</v>
      </c>
      <c r="GC122" s="518">
        <v>0</v>
      </c>
      <c r="GD122" s="518">
        <v>0</v>
      </c>
      <c r="GE122" s="518">
        <v>0</v>
      </c>
      <c r="GF122" s="518">
        <v>0</v>
      </c>
      <c r="GG122" s="518">
        <v>0</v>
      </c>
      <c r="GH122" s="518">
        <v>0</v>
      </c>
      <c r="GI122" s="518">
        <v>0</v>
      </c>
      <c r="GJ122" s="518">
        <v>0</v>
      </c>
      <c r="GK122" s="518">
        <v>0</v>
      </c>
      <c r="GL122" s="518">
        <v>0</v>
      </c>
      <c r="GM122" s="518">
        <v>0</v>
      </c>
      <c r="GN122" s="518">
        <v>0</v>
      </c>
      <c r="GO122" s="518">
        <v>0</v>
      </c>
      <c r="GP122" s="518">
        <v>0</v>
      </c>
      <c r="GQ122" s="518">
        <v>0</v>
      </c>
      <c r="GR122" s="518">
        <v>0</v>
      </c>
      <c r="GS122" s="518">
        <v>0</v>
      </c>
      <c r="GT122" s="518">
        <v>0</v>
      </c>
      <c r="GU122" s="518">
        <v>0</v>
      </c>
      <c r="GV122" s="518">
        <v>0</v>
      </c>
      <c r="GW122" s="518">
        <v>0</v>
      </c>
      <c r="GX122" s="518">
        <v>0</v>
      </c>
      <c r="GY122" s="518">
        <v>0</v>
      </c>
      <c r="GZ122" s="518">
        <v>0</v>
      </c>
      <c r="HA122" s="518">
        <v>0</v>
      </c>
      <c r="HB122" s="518">
        <v>0</v>
      </c>
      <c r="HC122" s="518">
        <v>0</v>
      </c>
      <c r="HD122" s="518">
        <v>0</v>
      </c>
      <c r="HE122" s="518">
        <v>0</v>
      </c>
      <c r="HF122" s="518">
        <v>0</v>
      </c>
      <c r="HG122" s="518">
        <v>0</v>
      </c>
      <c r="HH122" s="518">
        <v>0</v>
      </c>
      <c r="HI122" s="518">
        <v>0</v>
      </c>
      <c r="HJ122" s="518">
        <v>0</v>
      </c>
      <c r="HK122" s="518">
        <v>0</v>
      </c>
      <c r="HL122" s="518">
        <v>0</v>
      </c>
      <c r="HM122" s="518">
        <v>0</v>
      </c>
      <c r="HN122" s="518">
        <v>0</v>
      </c>
      <c r="HO122" s="518">
        <v>0</v>
      </c>
      <c r="HP122" s="518">
        <v>0</v>
      </c>
      <c r="HQ122" s="518">
        <v>0</v>
      </c>
      <c r="HR122" s="518">
        <v>0</v>
      </c>
      <c r="HS122" s="518">
        <v>0</v>
      </c>
      <c r="HT122" s="518">
        <v>0</v>
      </c>
      <c r="HU122" s="518">
        <v>0</v>
      </c>
      <c r="HV122" s="518">
        <v>0</v>
      </c>
      <c r="HW122" s="518">
        <v>0</v>
      </c>
      <c r="HX122" s="518">
        <v>0</v>
      </c>
      <c r="HY122" s="518">
        <v>0</v>
      </c>
      <c r="HZ122" s="518">
        <v>0</v>
      </c>
      <c r="IA122" s="518">
        <v>0</v>
      </c>
      <c r="IB122" s="518">
        <v>0</v>
      </c>
      <c r="IC122" s="518">
        <v>0</v>
      </c>
      <c r="ID122" s="518">
        <v>0</v>
      </c>
      <c r="IE122" s="518">
        <v>0</v>
      </c>
      <c r="IF122" s="518">
        <v>0</v>
      </c>
      <c r="IG122" s="518">
        <v>0</v>
      </c>
      <c r="IH122" s="518">
        <v>0</v>
      </c>
      <c r="II122" s="518">
        <v>0</v>
      </c>
      <c r="IJ122" s="518">
        <v>0</v>
      </c>
      <c r="IK122" s="518">
        <v>0</v>
      </c>
    </row>
    <row r="123" spans="1:245" ht="16.5" hidden="1">
      <c r="A123" s="517"/>
      <c r="B123" s="517"/>
      <c r="C123" s="517"/>
      <c r="D123" s="517"/>
      <c r="E123" s="517"/>
      <c r="F123" s="517"/>
      <c r="G123" s="558"/>
      <c r="H123" s="518"/>
      <c r="I123" s="558"/>
      <c r="J123" s="494"/>
      <c r="K123" s="518"/>
      <c r="M123" s="517" t="s">
        <v>721</v>
      </c>
      <c r="N123" s="517" t="s">
        <v>1101</v>
      </c>
      <c r="O123" s="517" t="s">
        <v>25</v>
      </c>
      <c r="P123" s="518">
        <v>37</v>
      </c>
      <c r="Q123" s="494" t="str">
        <f t="shared" si="6"/>
        <v>SWUC100137</v>
      </c>
      <c r="R123" s="518">
        <v>154.80000000000001</v>
      </c>
      <c r="S123" s="518">
        <v>10000</v>
      </c>
      <c r="T123" s="518">
        <v>10000</v>
      </c>
      <c r="U123" s="518">
        <v>10000</v>
      </c>
      <c r="V123" s="518">
        <v>10000</v>
      </c>
      <c r="W123" s="518">
        <v>10000</v>
      </c>
      <c r="X123" s="518">
        <v>10000</v>
      </c>
      <c r="Y123" s="518">
        <v>10000</v>
      </c>
      <c r="Z123" s="518">
        <v>10000</v>
      </c>
      <c r="AA123" s="518">
        <v>10000</v>
      </c>
      <c r="AB123" s="518">
        <v>0</v>
      </c>
      <c r="AC123" s="518">
        <v>0</v>
      </c>
      <c r="AD123" s="518">
        <v>0</v>
      </c>
      <c r="AE123" s="518">
        <v>0</v>
      </c>
      <c r="AF123" s="518">
        <v>0</v>
      </c>
      <c r="AG123" s="518">
        <v>0</v>
      </c>
      <c r="AH123" s="518">
        <v>0</v>
      </c>
      <c r="AI123" s="518">
        <v>0</v>
      </c>
      <c r="AJ123" s="518">
        <v>0</v>
      </c>
      <c r="AK123" s="518">
        <v>0</v>
      </c>
      <c r="AL123" s="518">
        <v>0</v>
      </c>
      <c r="AM123" s="518">
        <v>0</v>
      </c>
      <c r="AN123" s="518">
        <v>0</v>
      </c>
      <c r="AO123" s="518">
        <v>0</v>
      </c>
      <c r="AP123" s="518">
        <v>0</v>
      </c>
      <c r="AQ123" s="518">
        <v>0</v>
      </c>
      <c r="AR123" s="518">
        <v>0</v>
      </c>
      <c r="AS123" s="518">
        <v>0</v>
      </c>
      <c r="AT123" s="518">
        <v>0</v>
      </c>
      <c r="AU123" s="518">
        <v>0</v>
      </c>
      <c r="AV123" s="518">
        <v>0</v>
      </c>
      <c r="AW123" s="518">
        <v>0</v>
      </c>
      <c r="AX123" s="518">
        <v>0</v>
      </c>
      <c r="AY123" s="518">
        <v>0</v>
      </c>
      <c r="AZ123" s="518">
        <v>0</v>
      </c>
      <c r="BA123" s="518">
        <v>0</v>
      </c>
      <c r="BB123" s="518">
        <v>0</v>
      </c>
      <c r="BC123" s="518">
        <v>0</v>
      </c>
      <c r="BD123" s="518">
        <v>0</v>
      </c>
      <c r="BE123" s="518">
        <v>0</v>
      </c>
      <c r="BF123" s="518">
        <v>0</v>
      </c>
      <c r="BG123" s="518">
        <v>0</v>
      </c>
      <c r="BH123" s="518">
        <v>0</v>
      </c>
      <c r="BI123" s="518">
        <v>0</v>
      </c>
      <c r="BJ123" s="518">
        <v>0</v>
      </c>
      <c r="BK123" s="518">
        <v>0</v>
      </c>
      <c r="BL123" s="518">
        <v>0</v>
      </c>
      <c r="BM123" s="518">
        <v>0</v>
      </c>
      <c r="BN123" s="518">
        <v>0</v>
      </c>
      <c r="BO123" s="518">
        <v>0</v>
      </c>
      <c r="BP123" s="518">
        <v>0</v>
      </c>
      <c r="BQ123" s="518">
        <v>0</v>
      </c>
      <c r="BR123" s="518">
        <v>0</v>
      </c>
      <c r="BS123" s="518">
        <v>0</v>
      </c>
      <c r="BT123" s="518">
        <v>0</v>
      </c>
      <c r="BU123" s="518">
        <v>0</v>
      </c>
      <c r="BV123" s="518">
        <v>0</v>
      </c>
      <c r="BW123" s="518">
        <v>0</v>
      </c>
      <c r="BX123" s="518">
        <v>0</v>
      </c>
      <c r="BY123" s="518">
        <v>0</v>
      </c>
      <c r="BZ123" s="518">
        <v>0</v>
      </c>
      <c r="CA123" s="518">
        <v>0</v>
      </c>
      <c r="CB123" s="518">
        <v>0</v>
      </c>
      <c r="CC123" s="518">
        <v>0</v>
      </c>
      <c r="CD123" s="518">
        <v>0</v>
      </c>
      <c r="CE123" s="518">
        <v>0</v>
      </c>
      <c r="CF123" s="518">
        <v>0</v>
      </c>
      <c r="CG123" s="518">
        <v>0</v>
      </c>
      <c r="CH123" s="518">
        <v>0</v>
      </c>
      <c r="CI123" s="518">
        <v>0</v>
      </c>
      <c r="CJ123" s="518">
        <v>0</v>
      </c>
      <c r="CK123" s="518">
        <v>0</v>
      </c>
      <c r="CL123" s="518">
        <v>0</v>
      </c>
      <c r="CM123" s="518">
        <v>0</v>
      </c>
      <c r="CN123" s="518">
        <v>0</v>
      </c>
      <c r="CO123" s="518">
        <v>0</v>
      </c>
      <c r="CP123" s="518">
        <v>0</v>
      </c>
      <c r="CQ123" s="518">
        <v>0</v>
      </c>
      <c r="CR123" s="518">
        <v>0</v>
      </c>
      <c r="CS123" s="518">
        <v>0</v>
      </c>
      <c r="CT123" s="518">
        <v>0</v>
      </c>
      <c r="CU123" s="518">
        <v>0</v>
      </c>
      <c r="CV123" s="518">
        <v>0</v>
      </c>
      <c r="CW123" s="518">
        <v>0</v>
      </c>
      <c r="CX123" s="518">
        <v>0</v>
      </c>
      <c r="CY123" s="518">
        <v>0</v>
      </c>
      <c r="CZ123" s="518">
        <v>0</v>
      </c>
      <c r="DA123" s="518">
        <v>0</v>
      </c>
      <c r="DB123" s="518">
        <v>0</v>
      </c>
      <c r="DC123" s="518">
        <v>0</v>
      </c>
      <c r="DD123" s="518">
        <v>0</v>
      </c>
      <c r="DE123" s="518">
        <v>0</v>
      </c>
      <c r="DF123" s="518">
        <v>0</v>
      </c>
      <c r="DG123" s="518">
        <v>0</v>
      </c>
      <c r="DH123" s="518">
        <v>0</v>
      </c>
      <c r="DI123" s="518">
        <v>0</v>
      </c>
      <c r="DJ123" s="518">
        <v>0</v>
      </c>
      <c r="DK123" s="518">
        <v>0</v>
      </c>
      <c r="DL123" s="518">
        <v>0</v>
      </c>
      <c r="DM123" s="518">
        <v>0</v>
      </c>
      <c r="DN123" s="518">
        <v>0</v>
      </c>
      <c r="DO123" s="518">
        <v>0</v>
      </c>
      <c r="DP123" s="518">
        <v>0</v>
      </c>
      <c r="DQ123" s="518">
        <v>0</v>
      </c>
      <c r="DR123" s="518">
        <v>0</v>
      </c>
      <c r="DS123" s="518">
        <v>0</v>
      </c>
      <c r="DT123" s="518">
        <v>0</v>
      </c>
      <c r="DU123" s="518">
        <v>0</v>
      </c>
      <c r="DV123" s="518">
        <v>0</v>
      </c>
      <c r="DW123" s="518">
        <v>0</v>
      </c>
      <c r="DX123" s="518">
        <v>0</v>
      </c>
      <c r="DZ123" s="517" t="s">
        <v>721</v>
      </c>
      <c r="EA123" s="517" t="s">
        <v>1101</v>
      </c>
      <c r="EB123" s="517" t="s">
        <v>25</v>
      </c>
      <c r="EC123" s="518">
        <v>37</v>
      </c>
      <c r="ED123" s="494" t="str">
        <f t="shared" si="7"/>
        <v>SWUC100137</v>
      </c>
      <c r="EE123" s="518">
        <v>154.80000000000001</v>
      </c>
      <c r="EF123" s="518">
        <v>2000</v>
      </c>
      <c r="EG123" s="518">
        <v>2000</v>
      </c>
      <c r="EH123" s="518">
        <v>2000</v>
      </c>
      <c r="EI123" s="518">
        <v>2000</v>
      </c>
      <c r="EJ123" s="518">
        <v>2000</v>
      </c>
      <c r="EK123" s="518">
        <v>2000</v>
      </c>
      <c r="EL123" s="518">
        <v>2000</v>
      </c>
      <c r="EM123" s="518">
        <v>2000</v>
      </c>
      <c r="EN123" s="518">
        <v>2000</v>
      </c>
      <c r="EO123" s="518">
        <v>0</v>
      </c>
      <c r="EP123" s="518">
        <v>0</v>
      </c>
      <c r="EQ123" s="518">
        <v>0</v>
      </c>
      <c r="ER123" s="518">
        <v>0</v>
      </c>
      <c r="ES123" s="518">
        <v>0</v>
      </c>
      <c r="ET123" s="518">
        <v>0</v>
      </c>
      <c r="EU123" s="518">
        <v>0</v>
      </c>
      <c r="EV123" s="518">
        <v>0</v>
      </c>
      <c r="EW123" s="518">
        <v>0</v>
      </c>
      <c r="EX123" s="518">
        <v>0</v>
      </c>
      <c r="EY123" s="518">
        <v>0</v>
      </c>
      <c r="EZ123" s="518">
        <v>0</v>
      </c>
      <c r="FA123" s="518">
        <v>0</v>
      </c>
      <c r="FB123" s="518">
        <v>0</v>
      </c>
      <c r="FC123" s="518">
        <v>0</v>
      </c>
      <c r="FD123" s="518">
        <v>0</v>
      </c>
      <c r="FE123" s="518">
        <v>0</v>
      </c>
      <c r="FF123" s="518">
        <v>0</v>
      </c>
      <c r="FG123" s="518">
        <v>0</v>
      </c>
      <c r="FH123" s="518">
        <v>0</v>
      </c>
      <c r="FI123" s="518">
        <v>0</v>
      </c>
      <c r="FJ123" s="518">
        <v>0</v>
      </c>
      <c r="FK123" s="518">
        <v>0</v>
      </c>
      <c r="FL123" s="518">
        <v>0</v>
      </c>
      <c r="FM123" s="518">
        <v>0</v>
      </c>
      <c r="FN123" s="518">
        <v>0</v>
      </c>
      <c r="FO123" s="518">
        <v>0</v>
      </c>
      <c r="FP123" s="518">
        <v>0</v>
      </c>
      <c r="FQ123" s="518">
        <v>0</v>
      </c>
      <c r="FR123" s="518">
        <v>0</v>
      </c>
      <c r="FS123" s="518">
        <v>0</v>
      </c>
      <c r="FT123" s="518">
        <v>0</v>
      </c>
      <c r="FU123" s="518">
        <v>0</v>
      </c>
      <c r="FV123" s="518">
        <v>0</v>
      </c>
      <c r="FW123" s="518">
        <v>0</v>
      </c>
      <c r="FX123" s="518">
        <v>0</v>
      </c>
      <c r="FY123" s="518">
        <v>0</v>
      </c>
      <c r="FZ123" s="518">
        <v>0</v>
      </c>
      <c r="GA123" s="518">
        <v>0</v>
      </c>
      <c r="GB123" s="518">
        <v>0</v>
      </c>
      <c r="GC123" s="518">
        <v>0</v>
      </c>
      <c r="GD123" s="518">
        <v>0</v>
      </c>
      <c r="GE123" s="518">
        <v>0</v>
      </c>
      <c r="GF123" s="518">
        <v>0</v>
      </c>
      <c r="GG123" s="518">
        <v>0</v>
      </c>
      <c r="GH123" s="518">
        <v>0</v>
      </c>
      <c r="GI123" s="518">
        <v>0</v>
      </c>
      <c r="GJ123" s="518">
        <v>0</v>
      </c>
      <c r="GK123" s="518">
        <v>0</v>
      </c>
      <c r="GL123" s="518">
        <v>0</v>
      </c>
      <c r="GM123" s="518">
        <v>0</v>
      </c>
      <c r="GN123" s="518">
        <v>0</v>
      </c>
      <c r="GO123" s="518">
        <v>0</v>
      </c>
      <c r="GP123" s="518">
        <v>0</v>
      </c>
      <c r="GQ123" s="518">
        <v>0</v>
      </c>
      <c r="GR123" s="518">
        <v>0</v>
      </c>
      <c r="GS123" s="518">
        <v>0</v>
      </c>
      <c r="GT123" s="518">
        <v>0</v>
      </c>
      <c r="GU123" s="518">
        <v>0</v>
      </c>
      <c r="GV123" s="518">
        <v>0</v>
      </c>
      <c r="GW123" s="518">
        <v>0</v>
      </c>
      <c r="GX123" s="518">
        <v>0</v>
      </c>
      <c r="GY123" s="518">
        <v>0</v>
      </c>
      <c r="GZ123" s="518">
        <v>0</v>
      </c>
      <c r="HA123" s="518">
        <v>0</v>
      </c>
      <c r="HB123" s="518">
        <v>0</v>
      </c>
      <c r="HC123" s="518">
        <v>0</v>
      </c>
      <c r="HD123" s="518">
        <v>0</v>
      </c>
      <c r="HE123" s="518">
        <v>0</v>
      </c>
      <c r="HF123" s="518">
        <v>0</v>
      </c>
      <c r="HG123" s="518">
        <v>0</v>
      </c>
      <c r="HH123" s="518">
        <v>0</v>
      </c>
      <c r="HI123" s="518">
        <v>0</v>
      </c>
      <c r="HJ123" s="518">
        <v>0</v>
      </c>
      <c r="HK123" s="518">
        <v>0</v>
      </c>
      <c r="HL123" s="518">
        <v>0</v>
      </c>
      <c r="HM123" s="518">
        <v>0</v>
      </c>
      <c r="HN123" s="518">
        <v>0</v>
      </c>
      <c r="HO123" s="518">
        <v>0</v>
      </c>
      <c r="HP123" s="518">
        <v>0</v>
      </c>
      <c r="HQ123" s="518">
        <v>0</v>
      </c>
      <c r="HR123" s="518">
        <v>0</v>
      </c>
      <c r="HS123" s="518">
        <v>0</v>
      </c>
      <c r="HT123" s="518">
        <v>0</v>
      </c>
      <c r="HU123" s="518">
        <v>0</v>
      </c>
      <c r="HV123" s="518">
        <v>0</v>
      </c>
      <c r="HW123" s="518">
        <v>0</v>
      </c>
      <c r="HX123" s="518">
        <v>0</v>
      </c>
      <c r="HY123" s="518">
        <v>0</v>
      </c>
      <c r="HZ123" s="518">
        <v>0</v>
      </c>
      <c r="IA123" s="518">
        <v>0</v>
      </c>
      <c r="IB123" s="518">
        <v>0</v>
      </c>
      <c r="IC123" s="518">
        <v>0</v>
      </c>
      <c r="ID123" s="518">
        <v>0</v>
      </c>
      <c r="IE123" s="518">
        <v>0</v>
      </c>
      <c r="IF123" s="518">
        <v>0</v>
      </c>
      <c r="IG123" s="518">
        <v>0</v>
      </c>
      <c r="IH123" s="518">
        <v>0</v>
      </c>
      <c r="II123" s="518">
        <v>0</v>
      </c>
      <c r="IJ123" s="518">
        <v>0</v>
      </c>
      <c r="IK123" s="518">
        <v>0</v>
      </c>
    </row>
    <row r="124" spans="1:245" ht="16.5" hidden="1">
      <c r="A124" s="517"/>
      <c r="B124" s="517"/>
      <c r="C124" s="517"/>
      <c r="D124" s="517"/>
      <c r="E124" s="517"/>
      <c r="F124" s="517"/>
      <c r="G124" s="558"/>
      <c r="H124" s="518"/>
      <c r="I124" s="558"/>
      <c r="J124" s="494"/>
      <c r="K124" s="518"/>
      <c r="M124" s="517" t="s">
        <v>721</v>
      </c>
      <c r="N124" s="517" t="s">
        <v>1101</v>
      </c>
      <c r="O124" s="517" t="s">
        <v>25</v>
      </c>
      <c r="P124" s="518">
        <v>38</v>
      </c>
      <c r="Q124" s="494" t="str">
        <f t="shared" si="6"/>
        <v>SWUC100138</v>
      </c>
      <c r="R124" s="518">
        <v>163.19999999999999</v>
      </c>
      <c r="S124" s="518">
        <v>10000</v>
      </c>
      <c r="T124" s="518">
        <v>10000</v>
      </c>
      <c r="U124" s="518">
        <v>10000</v>
      </c>
      <c r="V124" s="518">
        <v>10000</v>
      </c>
      <c r="W124" s="518">
        <v>10000</v>
      </c>
      <c r="X124" s="518">
        <v>10000</v>
      </c>
      <c r="Y124" s="518">
        <v>10000</v>
      </c>
      <c r="Z124" s="518">
        <v>10000</v>
      </c>
      <c r="AA124" s="518">
        <v>10000</v>
      </c>
      <c r="AB124" s="518">
        <v>0</v>
      </c>
      <c r="AC124" s="518">
        <v>0</v>
      </c>
      <c r="AD124" s="518">
        <v>0</v>
      </c>
      <c r="AE124" s="518">
        <v>0</v>
      </c>
      <c r="AF124" s="518">
        <v>0</v>
      </c>
      <c r="AG124" s="518">
        <v>0</v>
      </c>
      <c r="AH124" s="518">
        <v>0</v>
      </c>
      <c r="AI124" s="518">
        <v>0</v>
      </c>
      <c r="AJ124" s="518">
        <v>0</v>
      </c>
      <c r="AK124" s="518">
        <v>0</v>
      </c>
      <c r="AL124" s="518">
        <v>0</v>
      </c>
      <c r="AM124" s="518">
        <v>0</v>
      </c>
      <c r="AN124" s="518">
        <v>0</v>
      </c>
      <c r="AO124" s="518">
        <v>0</v>
      </c>
      <c r="AP124" s="518">
        <v>0</v>
      </c>
      <c r="AQ124" s="518">
        <v>0</v>
      </c>
      <c r="AR124" s="518">
        <v>0</v>
      </c>
      <c r="AS124" s="518">
        <v>0</v>
      </c>
      <c r="AT124" s="518">
        <v>0</v>
      </c>
      <c r="AU124" s="518">
        <v>0</v>
      </c>
      <c r="AV124" s="518">
        <v>0</v>
      </c>
      <c r="AW124" s="518">
        <v>0</v>
      </c>
      <c r="AX124" s="518">
        <v>0</v>
      </c>
      <c r="AY124" s="518">
        <v>0</v>
      </c>
      <c r="AZ124" s="518">
        <v>0</v>
      </c>
      <c r="BA124" s="518">
        <v>0</v>
      </c>
      <c r="BB124" s="518">
        <v>0</v>
      </c>
      <c r="BC124" s="518">
        <v>0</v>
      </c>
      <c r="BD124" s="518">
        <v>0</v>
      </c>
      <c r="BE124" s="518">
        <v>0</v>
      </c>
      <c r="BF124" s="518">
        <v>0</v>
      </c>
      <c r="BG124" s="518">
        <v>0</v>
      </c>
      <c r="BH124" s="518">
        <v>0</v>
      </c>
      <c r="BI124" s="518">
        <v>0</v>
      </c>
      <c r="BJ124" s="518">
        <v>0</v>
      </c>
      <c r="BK124" s="518">
        <v>0</v>
      </c>
      <c r="BL124" s="518">
        <v>0</v>
      </c>
      <c r="BM124" s="518">
        <v>0</v>
      </c>
      <c r="BN124" s="518">
        <v>0</v>
      </c>
      <c r="BO124" s="518">
        <v>0</v>
      </c>
      <c r="BP124" s="518">
        <v>0</v>
      </c>
      <c r="BQ124" s="518">
        <v>0</v>
      </c>
      <c r="BR124" s="518">
        <v>0</v>
      </c>
      <c r="BS124" s="518">
        <v>0</v>
      </c>
      <c r="BT124" s="518">
        <v>0</v>
      </c>
      <c r="BU124" s="518">
        <v>0</v>
      </c>
      <c r="BV124" s="518">
        <v>0</v>
      </c>
      <c r="BW124" s="518">
        <v>0</v>
      </c>
      <c r="BX124" s="518">
        <v>0</v>
      </c>
      <c r="BY124" s="518">
        <v>0</v>
      </c>
      <c r="BZ124" s="518">
        <v>0</v>
      </c>
      <c r="CA124" s="518">
        <v>0</v>
      </c>
      <c r="CB124" s="518">
        <v>0</v>
      </c>
      <c r="CC124" s="518">
        <v>0</v>
      </c>
      <c r="CD124" s="518">
        <v>0</v>
      </c>
      <c r="CE124" s="518">
        <v>0</v>
      </c>
      <c r="CF124" s="518">
        <v>0</v>
      </c>
      <c r="CG124" s="518">
        <v>0</v>
      </c>
      <c r="CH124" s="518">
        <v>0</v>
      </c>
      <c r="CI124" s="518">
        <v>0</v>
      </c>
      <c r="CJ124" s="518">
        <v>0</v>
      </c>
      <c r="CK124" s="518">
        <v>0</v>
      </c>
      <c r="CL124" s="518">
        <v>0</v>
      </c>
      <c r="CM124" s="518">
        <v>0</v>
      </c>
      <c r="CN124" s="518">
        <v>0</v>
      </c>
      <c r="CO124" s="518">
        <v>0</v>
      </c>
      <c r="CP124" s="518">
        <v>0</v>
      </c>
      <c r="CQ124" s="518">
        <v>0</v>
      </c>
      <c r="CR124" s="518">
        <v>0</v>
      </c>
      <c r="CS124" s="518">
        <v>0</v>
      </c>
      <c r="CT124" s="518">
        <v>0</v>
      </c>
      <c r="CU124" s="518">
        <v>0</v>
      </c>
      <c r="CV124" s="518">
        <v>0</v>
      </c>
      <c r="CW124" s="518">
        <v>0</v>
      </c>
      <c r="CX124" s="518">
        <v>0</v>
      </c>
      <c r="CY124" s="518">
        <v>0</v>
      </c>
      <c r="CZ124" s="518">
        <v>0</v>
      </c>
      <c r="DA124" s="518">
        <v>0</v>
      </c>
      <c r="DB124" s="518">
        <v>0</v>
      </c>
      <c r="DC124" s="518">
        <v>0</v>
      </c>
      <c r="DD124" s="518">
        <v>0</v>
      </c>
      <c r="DE124" s="518">
        <v>0</v>
      </c>
      <c r="DF124" s="518">
        <v>0</v>
      </c>
      <c r="DG124" s="518">
        <v>0</v>
      </c>
      <c r="DH124" s="518">
        <v>0</v>
      </c>
      <c r="DI124" s="518">
        <v>0</v>
      </c>
      <c r="DJ124" s="518">
        <v>0</v>
      </c>
      <c r="DK124" s="518">
        <v>0</v>
      </c>
      <c r="DL124" s="518">
        <v>0</v>
      </c>
      <c r="DM124" s="518">
        <v>0</v>
      </c>
      <c r="DN124" s="518">
        <v>0</v>
      </c>
      <c r="DO124" s="518">
        <v>0</v>
      </c>
      <c r="DP124" s="518">
        <v>0</v>
      </c>
      <c r="DQ124" s="518">
        <v>0</v>
      </c>
      <c r="DR124" s="518">
        <v>0</v>
      </c>
      <c r="DS124" s="518">
        <v>0</v>
      </c>
      <c r="DT124" s="518">
        <v>0</v>
      </c>
      <c r="DU124" s="518">
        <v>0</v>
      </c>
      <c r="DV124" s="518">
        <v>0</v>
      </c>
      <c r="DW124" s="518">
        <v>0</v>
      </c>
      <c r="DX124" s="518">
        <v>0</v>
      </c>
      <c r="DZ124" s="517" t="s">
        <v>721</v>
      </c>
      <c r="EA124" s="517" t="s">
        <v>1101</v>
      </c>
      <c r="EB124" s="517" t="s">
        <v>25</v>
      </c>
      <c r="EC124" s="518">
        <v>38</v>
      </c>
      <c r="ED124" s="494" t="str">
        <f t="shared" si="7"/>
        <v>SWUC100138</v>
      </c>
      <c r="EE124" s="518">
        <v>163.19999999999999</v>
      </c>
      <c r="EF124" s="518">
        <v>2000</v>
      </c>
      <c r="EG124" s="518">
        <v>2000</v>
      </c>
      <c r="EH124" s="518">
        <v>2000</v>
      </c>
      <c r="EI124" s="518">
        <v>2000</v>
      </c>
      <c r="EJ124" s="518">
        <v>2000</v>
      </c>
      <c r="EK124" s="518">
        <v>2000</v>
      </c>
      <c r="EL124" s="518">
        <v>2000</v>
      </c>
      <c r="EM124" s="518">
        <v>2000</v>
      </c>
      <c r="EN124" s="518">
        <v>2000</v>
      </c>
      <c r="EO124" s="518">
        <v>0</v>
      </c>
      <c r="EP124" s="518">
        <v>0</v>
      </c>
      <c r="EQ124" s="518">
        <v>0</v>
      </c>
      <c r="ER124" s="518">
        <v>0</v>
      </c>
      <c r="ES124" s="518">
        <v>0</v>
      </c>
      <c r="ET124" s="518">
        <v>0</v>
      </c>
      <c r="EU124" s="518">
        <v>0</v>
      </c>
      <c r="EV124" s="518">
        <v>0</v>
      </c>
      <c r="EW124" s="518">
        <v>0</v>
      </c>
      <c r="EX124" s="518">
        <v>0</v>
      </c>
      <c r="EY124" s="518">
        <v>0</v>
      </c>
      <c r="EZ124" s="518">
        <v>0</v>
      </c>
      <c r="FA124" s="518">
        <v>0</v>
      </c>
      <c r="FB124" s="518">
        <v>0</v>
      </c>
      <c r="FC124" s="518">
        <v>0</v>
      </c>
      <c r="FD124" s="518">
        <v>0</v>
      </c>
      <c r="FE124" s="518">
        <v>0</v>
      </c>
      <c r="FF124" s="518">
        <v>0</v>
      </c>
      <c r="FG124" s="518">
        <v>0</v>
      </c>
      <c r="FH124" s="518">
        <v>0</v>
      </c>
      <c r="FI124" s="518">
        <v>0</v>
      </c>
      <c r="FJ124" s="518">
        <v>0</v>
      </c>
      <c r="FK124" s="518">
        <v>0</v>
      </c>
      <c r="FL124" s="518">
        <v>0</v>
      </c>
      <c r="FM124" s="518">
        <v>0</v>
      </c>
      <c r="FN124" s="518">
        <v>0</v>
      </c>
      <c r="FO124" s="518">
        <v>0</v>
      </c>
      <c r="FP124" s="518">
        <v>0</v>
      </c>
      <c r="FQ124" s="518">
        <v>0</v>
      </c>
      <c r="FR124" s="518">
        <v>0</v>
      </c>
      <c r="FS124" s="518">
        <v>0</v>
      </c>
      <c r="FT124" s="518">
        <v>0</v>
      </c>
      <c r="FU124" s="518">
        <v>0</v>
      </c>
      <c r="FV124" s="518">
        <v>0</v>
      </c>
      <c r="FW124" s="518">
        <v>0</v>
      </c>
      <c r="FX124" s="518">
        <v>0</v>
      </c>
      <c r="FY124" s="518">
        <v>0</v>
      </c>
      <c r="FZ124" s="518">
        <v>0</v>
      </c>
      <c r="GA124" s="518">
        <v>0</v>
      </c>
      <c r="GB124" s="518">
        <v>0</v>
      </c>
      <c r="GC124" s="518">
        <v>0</v>
      </c>
      <c r="GD124" s="518">
        <v>0</v>
      </c>
      <c r="GE124" s="518">
        <v>0</v>
      </c>
      <c r="GF124" s="518">
        <v>0</v>
      </c>
      <c r="GG124" s="518">
        <v>0</v>
      </c>
      <c r="GH124" s="518">
        <v>0</v>
      </c>
      <c r="GI124" s="518">
        <v>0</v>
      </c>
      <c r="GJ124" s="518">
        <v>0</v>
      </c>
      <c r="GK124" s="518">
        <v>0</v>
      </c>
      <c r="GL124" s="518">
        <v>0</v>
      </c>
      <c r="GM124" s="518">
        <v>0</v>
      </c>
      <c r="GN124" s="518">
        <v>0</v>
      </c>
      <c r="GO124" s="518">
        <v>0</v>
      </c>
      <c r="GP124" s="518">
        <v>0</v>
      </c>
      <c r="GQ124" s="518">
        <v>0</v>
      </c>
      <c r="GR124" s="518">
        <v>0</v>
      </c>
      <c r="GS124" s="518">
        <v>0</v>
      </c>
      <c r="GT124" s="518">
        <v>0</v>
      </c>
      <c r="GU124" s="518">
        <v>0</v>
      </c>
      <c r="GV124" s="518">
        <v>0</v>
      </c>
      <c r="GW124" s="518">
        <v>0</v>
      </c>
      <c r="GX124" s="518">
        <v>0</v>
      </c>
      <c r="GY124" s="518">
        <v>0</v>
      </c>
      <c r="GZ124" s="518">
        <v>0</v>
      </c>
      <c r="HA124" s="518">
        <v>0</v>
      </c>
      <c r="HB124" s="518">
        <v>0</v>
      </c>
      <c r="HC124" s="518">
        <v>0</v>
      </c>
      <c r="HD124" s="518">
        <v>0</v>
      </c>
      <c r="HE124" s="518">
        <v>0</v>
      </c>
      <c r="HF124" s="518">
        <v>0</v>
      </c>
      <c r="HG124" s="518">
        <v>0</v>
      </c>
      <c r="HH124" s="518">
        <v>0</v>
      </c>
      <c r="HI124" s="518">
        <v>0</v>
      </c>
      <c r="HJ124" s="518">
        <v>0</v>
      </c>
      <c r="HK124" s="518">
        <v>0</v>
      </c>
      <c r="HL124" s="518">
        <v>0</v>
      </c>
      <c r="HM124" s="518">
        <v>0</v>
      </c>
      <c r="HN124" s="518">
        <v>0</v>
      </c>
      <c r="HO124" s="518">
        <v>0</v>
      </c>
      <c r="HP124" s="518">
        <v>0</v>
      </c>
      <c r="HQ124" s="518">
        <v>0</v>
      </c>
      <c r="HR124" s="518">
        <v>0</v>
      </c>
      <c r="HS124" s="518">
        <v>0</v>
      </c>
      <c r="HT124" s="518">
        <v>0</v>
      </c>
      <c r="HU124" s="518">
        <v>0</v>
      </c>
      <c r="HV124" s="518">
        <v>0</v>
      </c>
      <c r="HW124" s="518">
        <v>0</v>
      </c>
      <c r="HX124" s="518">
        <v>0</v>
      </c>
      <c r="HY124" s="518">
        <v>0</v>
      </c>
      <c r="HZ124" s="518">
        <v>0</v>
      </c>
      <c r="IA124" s="518">
        <v>0</v>
      </c>
      <c r="IB124" s="518">
        <v>0</v>
      </c>
      <c r="IC124" s="518">
        <v>0</v>
      </c>
      <c r="ID124" s="518">
        <v>0</v>
      </c>
      <c r="IE124" s="518">
        <v>0</v>
      </c>
      <c r="IF124" s="518">
        <v>0</v>
      </c>
      <c r="IG124" s="518">
        <v>0</v>
      </c>
      <c r="IH124" s="518">
        <v>0</v>
      </c>
      <c r="II124" s="518">
        <v>0</v>
      </c>
      <c r="IJ124" s="518">
        <v>0</v>
      </c>
      <c r="IK124" s="518">
        <v>0</v>
      </c>
    </row>
    <row r="125" spans="1:245" ht="16.5" hidden="1">
      <c r="A125" s="517"/>
      <c r="B125" s="517"/>
      <c r="C125" s="517"/>
      <c r="D125" s="517"/>
      <c r="E125" s="517"/>
      <c r="F125" s="517"/>
      <c r="G125" s="558"/>
      <c r="H125" s="518"/>
      <c r="I125" s="558"/>
      <c r="J125" s="494"/>
      <c r="K125" s="518"/>
      <c r="M125" s="517" t="s">
        <v>721</v>
      </c>
      <c r="N125" s="517" t="s">
        <v>1101</v>
      </c>
      <c r="O125" s="517" t="s">
        <v>25</v>
      </c>
      <c r="P125" s="518">
        <v>39</v>
      </c>
      <c r="Q125" s="494" t="str">
        <f t="shared" si="6"/>
        <v>SWUC100139</v>
      </c>
      <c r="R125" s="518">
        <v>171.7</v>
      </c>
      <c r="S125" s="518">
        <v>10000</v>
      </c>
      <c r="T125" s="518">
        <v>10000</v>
      </c>
      <c r="U125" s="518">
        <v>10000</v>
      </c>
      <c r="V125" s="518">
        <v>10000</v>
      </c>
      <c r="W125" s="518">
        <v>10000</v>
      </c>
      <c r="X125" s="518">
        <v>10000</v>
      </c>
      <c r="Y125" s="518">
        <v>10000</v>
      </c>
      <c r="Z125" s="518">
        <v>10000</v>
      </c>
      <c r="AA125" s="518">
        <v>10000</v>
      </c>
      <c r="AB125" s="518">
        <v>0</v>
      </c>
      <c r="AC125" s="518">
        <v>0</v>
      </c>
      <c r="AD125" s="518">
        <v>0</v>
      </c>
      <c r="AE125" s="518">
        <v>0</v>
      </c>
      <c r="AF125" s="518">
        <v>0</v>
      </c>
      <c r="AG125" s="518">
        <v>0</v>
      </c>
      <c r="AH125" s="518">
        <v>0</v>
      </c>
      <c r="AI125" s="518">
        <v>0</v>
      </c>
      <c r="AJ125" s="518">
        <v>0</v>
      </c>
      <c r="AK125" s="518">
        <v>0</v>
      </c>
      <c r="AL125" s="518">
        <v>0</v>
      </c>
      <c r="AM125" s="518">
        <v>0</v>
      </c>
      <c r="AN125" s="518">
        <v>0</v>
      </c>
      <c r="AO125" s="518">
        <v>0</v>
      </c>
      <c r="AP125" s="518">
        <v>0</v>
      </c>
      <c r="AQ125" s="518">
        <v>0</v>
      </c>
      <c r="AR125" s="518">
        <v>0</v>
      </c>
      <c r="AS125" s="518">
        <v>0</v>
      </c>
      <c r="AT125" s="518">
        <v>0</v>
      </c>
      <c r="AU125" s="518">
        <v>0</v>
      </c>
      <c r="AV125" s="518">
        <v>0</v>
      </c>
      <c r="AW125" s="518">
        <v>0</v>
      </c>
      <c r="AX125" s="518">
        <v>0</v>
      </c>
      <c r="AY125" s="518">
        <v>0</v>
      </c>
      <c r="AZ125" s="518">
        <v>0</v>
      </c>
      <c r="BA125" s="518">
        <v>0</v>
      </c>
      <c r="BB125" s="518">
        <v>0</v>
      </c>
      <c r="BC125" s="518">
        <v>0</v>
      </c>
      <c r="BD125" s="518">
        <v>0</v>
      </c>
      <c r="BE125" s="518">
        <v>0</v>
      </c>
      <c r="BF125" s="518">
        <v>0</v>
      </c>
      <c r="BG125" s="518">
        <v>0</v>
      </c>
      <c r="BH125" s="518">
        <v>0</v>
      </c>
      <c r="BI125" s="518">
        <v>0</v>
      </c>
      <c r="BJ125" s="518">
        <v>0</v>
      </c>
      <c r="BK125" s="518">
        <v>0</v>
      </c>
      <c r="BL125" s="518">
        <v>0</v>
      </c>
      <c r="BM125" s="518">
        <v>0</v>
      </c>
      <c r="BN125" s="518">
        <v>0</v>
      </c>
      <c r="BO125" s="518">
        <v>0</v>
      </c>
      <c r="BP125" s="518">
        <v>0</v>
      </c>
      <c r="BQ125" s="518">
        <v>0</v>
      </c>
      <c r="BR125" s="518">
        <v>0</v>
      </c>
      <c r="BS125" s="518">
        <v>0</v>
      </c>
      <c r="BT125" s="518">
        <v>0</v>
      </c>
      <c r="BU125" s="518">
        <v>0</v>
      </c>
      <c r="BV125" s="518">
        <v>0</v>
      </c>
      <c r="BW125" s="518">
        <v>0</v>
      </c>
      <c r="BX125" s="518">
        <v>0</v>
      </c>
      <c r="BY125" s="518">
        <v>0</v>
      </c>
      <c r="BZ125" s="518">
        <v>0</v>
      </c>
      <c r="CA125" s="518">
        <v>0</v>
      </c>
      <c r="CB125" s="518">
        <v>0</v>
      </c>
      <c r="CC125" s="518">
        <v>0</v>
      </c>
      <c r="CD125" s="518">
        <v>0</v>
      </c>
      <c r="CE125" s="518">
        <v>0</v>
      </c>
      <c r="CF125" s="518">
        <v>0</v>
      </c>
      <c r="CG125" s="518">
        <v>0</v>
      </c>
      <c r="CH125" s="518">
        <v>0</v>
      </c>
      <c r="CI125" s="518">
        <v>0</v>
      </c>
      <c r="CJ125" s="518">
        <v>0</v>
      </c>
      <c r="CK125" s="518">
        <v>0</v>
      </c>
      <c r="CL125" s="518">
        <v>0</v>
      </c>
      <c r="CM125" s="518">
        <v>0</v>
      </c>
      <c r="CN125" s="518">
        <v>0</v>
      </c>
      <c r="CO125" s="518">
        <v>0</v>
      </c>
      <c r="CP125" s="518">
        <v>0</v>
      </c>
      <c r="CQ125" s="518">
        <v>0</v>
      </c>
      <c r="CR125" s="518">
        <v>0</v>
      </c>
      <c r="CS125" s="518">
        <v>0</v>
      </c>
      <c r="CT125" s="518">
        <v>0</v>
      </c>
      <c r="CU125" s="518">
        <v>0</v>
      </c>
      <c r="CV125" s="518">
        <v>0</v>
      </c>
      <c r="CW125" s="518">
        <v>0</v>
      </c>
      <c r="CX125" s="518">
        <v>0</v>
      </c>
      <c r="CY125" s="518">
        <v>0</v>
      </c>
      <c r="CZ125" s="518">
        <v>0</v>
      </c>
      <c r="DA125" s="518">
        <v>0</v>
      </c>
      <c r="DB125" s="518">
        <v>0</v>
      </c>
      <c r="DC125" s="518">
        <v>0</v>
      </c>
      <c r="DD125" s="518">
        <v>0</v>
      </c>
      <c r="DE125" s="518">
        <v>0</v>
      </c>
      <c r="DF125" s="518">
        <v>0</v>
      </c>
      <c r="DG125" s="518">
        <v>0</v>
      </c>
      <c r="DH125" s="518">
        <v>0</v>
      </c>
      <c r="DI125" s="518">
        <v>0</v>
      </c>
      <c r="DJ125" s="518">
        <v>0</v>
      </c>
      <c r="DK125" s="518">
        <v>0</v>
      </c>
      <c r="DL125" s="518">
        <v>0</v>
      </c>
      <c r="DM125" s="518">
        <v>0</v>
      </c>
      <c r="DN125" s="518">
        <v>0</v>
      </c>
      <c r="DO125" s="518">
        <v>0</v>
      </c>
      <c r="DP125" s="518">
        <v>0</v>
      </c>
      <c r="DQ125" s="518">
        <v>0</v>
      </c>
      <c r="DR125" s="518">
        <v>0</v>
      </c>
      <c r="DS125" s="518">
        <v>0</v>
      </c>
      <c r="DT125" s="518">
        <v>0</v>
      </c>
      <c r="DU125" s="518">
        <v>0</v>
      </c>
      <c r="DV125" s="518">
        <v>0</v>
      </c>
      <c r="DW125" s="518">
        <v>0</v>
      </c>
      <c r="DX125" s="518">
        <v>0</v>
      </c>
      <c r="DZ125" s="517" t="s">
        <v>721</v>
      </c>
      <c r="EA125" s="517" t="s">
        <v>1101</v>
      </c>
      <c r="EB125" s="517" t="s">
        <v>25</v>
      </c>
      <c r="EC125" s="518">
        <v>39</v>
      </c>
      <c r="ED125" s="494" t="str">
        <f t="shared" si="7"/>
        <v>SWUC100139</v>
      </c>
      <c r="EE125" s="518">
        <v>171.7</v>
      </c>
      <c r="EF125" s="518">
        <v>2000</v>
      </c>
      <c r="EG125" s="518">
        <v>2000</v>
      </c>
      <c r="EH125" s="518">
        <v>2000</v>
      </c>
      <c r="EI125" s="518">
        <v>2000</v>
      </c>
      <c r="EJ125" s="518">
        <v>2000</v>
      </c>
      <c r="EK125" s="518">
        <v>2000</v>
      </c>
      <c r="EL125" s="518">
        <v>2000</v>
      </c>
      <c r="EM125" s="518">
        <v>2000</v>
      </c>
      <c r="EN125" s="518">
        <v>2000</v>
      </c>
      <c r="EO125" s="518">
        <v>0</v>
      </c>
      <c r="EP125" s="518">
        <v>0</v>
      </c>
      <c r="EQ125" s="518">
        <v>0</v>
      </c>
      <c r="ER125" s="518">
        <v>0</v>
      </c>
      <c r="ES125" s="518">
        <v>0</v>
      </c>
      <c r="ET125" s="518">
        <v>0</v>
      </c>
      <c r="EU125" s="518">
        <v>0</v>
      </c>
      <c r="EV125" s="518">
        <v>0</v>
      </c>
      <c r="EW125" s="518">
        <v>0</v>
      </c>
      <c r="EX125" s="518">
        <v>0</v>
      </c>
      <c r="EY125" s="518">
        <v>0</v>
      </c>
      <c r="EZ125" s="518">
        <v>0</v>
      </c>
      <c r="FA125" s="518">
        <v>0</v>
      </c>
      <c r="FB125" s="518">
        <v>0</v>
      </c>
      <c r="FC125" s="518">
        <v>0</v>
      </c>
      <c r="FD125" s="518">
        <v>0</v>
      </c>
      <c r="FE125" s="518">
        <v>0</v>
      </c>
      <c r="FF125" s="518">
        <v>0</v>
      </c>
      <c r="FG125" s="518">
        <v>0</v>
      </c>
      <c r="FH125" s="518">
        <v>0</v>
      </c>
      <c r="FI125" s="518">
        <v>0</v>
      </c>
      <c r="FJ125" s="518">
        <v>0</v>
      </c>
      <c r="FK125" s="518">
        <v>0</v>
      </c>
      <c r="FL125" s="518">
        <v>0</v>
      </c>
      <c r="FM125" s="518">
        <v>0</v>
      </c>
      <c r="FN125" s="518">
        <v>0</v>
      </c>
      <c r="FO125" s="518">
        <v>0</v>
      </c>
      <c r="FP125" s="518">
        <v>0</v>
      </c>
      <c r="FQ125" s="518">
        <v>0</v>
      </c>
      <c r="FR125" s="518">
        <v>0</v>
      </c>
      <c r="FS125" s="518">
        <v>0</v>
      </c>
      <c r="FT125" s="518">
        <v>0</v>
      </c>
      <c r="FU125" s="518">
        <v>0</v>
      </c>
      <c r="FV125" s="518">
        <v>0</v>
      </c>
      <c r="FW125" s="518">
        <v>0</v>
      </c>
      <c r="FX125" s="518">
        <v>0</v>
      </c>
      <c r="FY125" s="518">
        <v>0</v>
      </c>
      <c r="FZ125" s="518">
        <v>0</v>
      </c>
      <c r="GA125" s="518">
        <v>0</v>
      </c>
      <c r="GB125" s="518">
        <v>0</v>
      </c>
      <c r="GC125" s="518">
        <v>0</v>
      </c>
      <c r="GD125" s="518">
        <v>0</v>
      </c>
      <c r="GE125" s="518">
        <v>0</v>
      </c>
      <c r="GF125" s="518">
        <v>0</v>
      </c>
      <c r="GG125" s="518">
        <v>0</v>
      </c>
      <c r="GH125" s="518">
        <v>0</v>
      </c>
      <c r="GI125" s="518">
        <v>0</v>
      </c>
      <c r="GJ125" s="518">
        <v>0</v>
      </c>
      <c r="GK125" s="518">
        <v>0</v>
      </c>
      <c r="GL125" s="518">
        <v>0</v>
      </c>
      <c r="GM125" s="518">
        <v>0</v>
      </c>
      <c r="GN125" s="518">
        <v>0</v>
      </c>
      <c r="GO125" s="518">
        <v>0</v>
      </c>
      <c r="GP125" s="518">
        <v>0</v>
      </c>
      <c r="GQ125" s="518">
        <v>0</v>
      </c>
      <c r="GR125" s="518">
        <v>0</v>
      </c>
      <c r="GS125" s="518">
        <v>0</v>
      </c>
      <c r="GT125" s="518">
        <v>0</v>
      </c>
      <c r="GU125" s="518">
        <v>0</v>
      </c>
      <c r="GV125" s="518">
        <v>0</v>
      </c>
      <c r="GW125" s="518">
        <v>0</v>
      </c>
      <c r="GX125" s="518">
        <v>0</v>
      </c>
      <c r="GY125" s="518">
        <v>0</v>
      </c>
      <c r="GZ125" s="518">
        <v>0</v>
      </c>
      <c r="HA125" s="518">
        <v>0</v>
      </c>
      <c r="HB125" s="518">
        <v>0</v>
      </c>
      <c r="HC125" s="518">
        <v>0</v>
      </c>
      <c r="HD125" s="518">
        <v>0</v>
      </c>
      <c r="HE125" s="518">
        <v>0</v>
      </c>
      <c r="HF125" s="518">
        <v>0</v>
      </c>
      <c r="HG125" s="518">
        <v>0</v>
      </c>
      <c r="HH125" s="518">
        <v>0</v>
      </c>
      <c r="HI125" s="518">
        <v>0</v>
      </c>
      <c r="HJ125" s="518">
        <v>0</v>
      </c>
      <c r="HK125" s="518">
        <v>0</v>
      </c>
      <c r="HL125" s="518">
        <v>0</v>
      </c>
      <c r="HM125" s="518">
        <v>0</v>
      </c>
      <c r="HN125" s="518">
        <v>0</v>
      </c>
      <c r="HO125" s="518">
        <v>0</v>
      </c>
      <c r="HP125" s="518">
        <v>0</v>
      </c>
      <c r="HQ125" s="518">
        <v>0</v>
      </c>
      <c r="HR125" s="518">
        <v>0</v>
      </c>
      <c r="HS125" s="518">
        <v>0</v>
      </c>
      <c r="HT125" s="518">
        <v>0</v>
      </c>
      <c r="HU125" s="518">
        <v>0</v>
      </c>
      <c r="HV125" s="518">
        <v>0</v>
      </c>
      <c r="HW125" s="518">
        <v>0</v>
      </c>
      <c r="HX125" s="518">
        <v>0</v>
      </c>
      <c r="HY125" s="518">
        <v>0</v>
      </c>
      <c r="HZ125" s="518">
        <v>0</v>
      </c>
      <c r="IA125" s="518">
        <v>0</v>
      </c>
      <c r="IB125" s="518">
        <v>0</v>
      </c>
      <c r="IC125" s="518">
        <v>0</v>
      </c>
      <c r="ID125" s="518">
        <v>0</v>
      </c>
      <c r="IE125" s="518">
        <v>0</v>
      </c>
      <c r="IF125" s="518">
        <v>0</v>
      </c>
      <c r="IG125" s="518">
        <v>0</v>
      </c>
      <c r="IH125" s="518">
        <v>0</v>
      </c>
      <c r="II125" s="518">
        <v>0</v>
      </c>
      <c r="IJ125" s="518">
        <v>0</v>
      </c>
      <c r="IK125" s="518">
        <v>0</v>
      </c>
    </row>
    <row r="126" spans="1:245" ht="16.5" hidden="1">
      <c r="A126" s="517"/>
      <c r="B126" s="517"/>
      <c r="C126" s="517"/>
      <c r="D126" s="517"/>
      <c r="E126" s="517"/>
      <c r="F126" s="517"/>
      <c r="G126" s="558"/>
      <c r="H126" s="518"/>
      <c r="I126" s="558"/>
      <c r="J126" s="494"/>
      <c r="K126" s="518"/>
      <c r="M126" s="517" t="s">
        <v>721</v>
      </c>
      <c r="N126" s="517" t="s">
        <v>1101</v>
      </c>
      <c r="O126" s="517" t="s">
        <v>25</v>
      </c>
      <c r="P126" s="518">
        <v>40</v>
      </c>
      <c r="Q126" s="494" t="str">
        <f t="shared" si="6"/>
        <v>SWUC100140</v>
      </c>
      <c r="R126" s="518">
        <v>178.1</v>
      </c>
      <c r="S126" s="518">
        <v>10000</v>
      </c>
      <c r="T126" s="518">
        <v>10000</v>
      </c>
      <c r="U126" s="518">
        <v>10000</v>
      </c>
      <c r="V126" s="518">
        <v>10000</v>
      </c>
      <c r="W126" s="518">
        <v>10000</v>
      </c>
      <c r="X126" s="518">
        <v>10000</v>
      </c>
      <c r="Y126" s="518">
        <v>10000</v>
      </c>
      <c r="Z126" s="518">
        <v>10000</v>
      </c>
      <c r="AA126" s="518">
        <v>10000</v>
      </c>
      <c r="AB126" s="518">
        <v>0</v>
      </c>
      <c r="AC126" s="518">
        <v>0</v>
      </c>
      <c r="AD126" s="518">
        <v>0</v>
      </c>
      <c r="AE126" s="518">
        <v>0</v>
      </c>
      <c r="AF126" s="518">
        <v>0</v>
      </c>
      <c r="AG126" s="518">
        <v>0</v>
      </c>
      <c r="AH126" s="518">
        <v>0</v>
      </c>
      <c r="AI126" s="518">
        <v>0</v>
      </c>
      <c r="AJ126" s="518">
        <v>0</v>
      </c>
      <c r="AK126" s="518">
        <v>0</v>
      </c>
      <c r="AL126" s="518">
        <v>0</v>
      </c>
      <c r="AM126" s="518">
        <v>0</v>
      </c>
      <c r="AN126" s="518">
        <v>0</v>
      </c>
      <c r="AO126" s="518">
        <v>0</v>
      </c>
      <c r="AP126" s="518">
        <v>0</v>
      </c>
      <c r="AQ126" s="518">
        <v>0</v>
      </c>
      <c r="AR126" s="518">
        <v>0</v>
      </c>
      <c r="AS126" s="518">
        <v>0</v>
      </c>
      <c r="AT126" s="518">
        <v>0</v>
      </c>
      <c r="AU126" s="518">
        <v>0</v>
      </c>
      <c r="AV126" s="518">
        <v>0</v>
      </c>
      <c r="AW126" s="518">
        <v>0</v>
      </c>
      <c r="AX126" s="518">
        <v>0</v>
      </c>
      <c r="AY126" s="518">
        <v>0</v>
      </c>
      <c r="AZ126" s="518">
        <v>0</v>
      </c>
      <c r="BA126" s="518">
        <v>0</v>
      </c>
      <c r="BB126" s="518">
        <v>0</v>
      </c>
      <c r="BC126" s="518">
        <v>0</v>
      </c>
      <c r="BD126" s="518">
        <v>0</v>
      </c>
      <c r="BE126" s="518">
        <v>0</v>
      </c>
      <c r="BF126" s="518">
        <v>0</v>
      </c>
      <c r="BG126" s="518">
        <v>0</v>
      </c>
      <c r="BH126" s="518">
        <v>0</v>
      </c>
      <c r="BI126" s="518">
        <v>0</v>
      </c>
      <c r="BJ126" s="518">
        <v>0</v>
      </c>
      <c r="BK126" s="518">
        <v>0</v>
      </c>
      <c r="BL126" s="518">
        <v>0</v>
      </c>
      <c r="BM126" s="518">
        <v>0</v>
      </c>
      <c r="BN126" s="518">
        <v>0</v>
      </c>
      <c r="BO126" s="518">
        <v>0</v>
      </c>
      <c r="BP126" s="518">
        <v>0</v>
      </c>
      <c r="BQ126" s="518">
        <v>0</v>
      </c>
      <c r="BR126" s="518">
        <v>0</v>
      </c>
      <c r="BS126" s="518">
        <v>0</v>
      </c>
      <c r="BT126" s="518">
        <v>0</v>
      </c>
      <c r="BU126" s="518">
        <v>0</v>
      </c>
      <c r="BV126" s="518">
        <v>0</v>
      </c>
      <c r="BW126" s="518">
        <v>0</v>
      </c>
      <c r="BX126" s="518">
        <v>0</v>
      </c>
      <c r="BY126" s="518">
        <v>0</v>
      </c>
      <c r="BZ126" s="518">
        <v>0</v>
      </c>
      <c r="CA126" s="518">
        <v>0</v>
      </c>
      <c r="CB126" s="518">
        <v>0</v>
      </c>
      <c r="CC126" s="518">
        <v>0</v>
      </c>
      <c r="CD126" s="518">
        <v>0</v>
      </c>
      <c r="CE126" s="518">
        <v>0</v>
      </c>
      <c r="CF126" s="518">
        <v>0</v>
      </c>
      <c r="CG126" s="518">
        <v>0</v>
      </c>
      <c r="CH126" s="518">
        <v>0</v>
      </c>
      <c r="CI126" s="518">
        <v>0</v>
      </c>
      <c r="CJ126" s="518">
        <v>0</v>
      </c>
      <c r="CK126" s="518">
        <v>0</v>
      </c>
      <c r="CL126" s="518">
        <v>0</v>
      </c>
      <c r="CM126" s="518">
        <v>0</v>
      </c>
      <c r="CN126" s="518">
        <v>0</v>
      </c>
      <c r="CO126" s="518">
        <v>0</v>
      </c>
      <c r="CP126" s="518">
        <v>0</v>
      </c>
      <c r="CQ126" s="518">
        <v>0</v>
      </c>
      <c r="CR126" s="518">
        <v>0</v>
      </c>
      <c r="CS126" s="518">
        <v>0</v>
      </c>
      <c r="CT126" s="518">
        <v>0</v>
      </c>
      <c r="CU126" s="518">
        <v>0</v>
      </c>
      <c r="CV126" s="518">
        <v>0</v>
      </c>
      <c r="CW126" s="518">
        <v>0</v>
      </c>
      <c r="CX126" s="518">
        <v>0</v>
      </c>
      <c r="CY126" s="518">
        <v>0</v>
      </c>
      <c r="CZ126" s="518">
        <v>0</v>
      </c>
      <c r="DA126" s="518">
        <v>0</v>
      </c>
      <c r="DB126" s="518">
        <v>0</v>
      </c>
      <c r="DC126" s="518">
        <v>0</v>
      </c>
      <c r="DD126" s="518">
        <v>0</v>
      </c>
      <c r="DE126" s="518">
        <v>0</v>
      </c>
      <c r="DF126" s="518">
        <v>0</v>
      </c>
      <c r="DG126" s="518">
        <v>0</v>
      </c>
      <c r="DH126" s="518">
        <v>0</v>
      </c>
      <c r="DI126" s="518">
        <v>0</v>
      </c>
      <c r="DJ126" s="518">
        <v>0</v>
      </c>
      <c r="DK126" s="518">
        <v>0</v>
      </c>
      <c r="DL126" s="518">
        <v>0</v>
      </c>
      <c r="DM126" s="518">
        <v>0</v>
      </c>
      <c r="DN126" s="518">
        <v>0</v>
      </c>
      <c r="DO126" s="518">
        <v>0</v>
      </c>
      <c r="DP126" s="518">
        <v>0</v>
      </c>
      <c r="DQ126" s="518">
        <v>0</v>
      </c>
      <c r="DR126" s="518">
        <v>0</v>
      </c>
      <c r="DS126" s="518">
        <v>0</v>
      </c>
      <c r="DT126" s="518">
        <v>0</v>
      </c>
      <c r="DU126" s="518">
        <v>0</v>
      </c>
      <c r="DV126" s="518">
        <v>0</v>
      </c>
      <c r="DW126" s="518">
        <v>0</v>
      </c>
      <c r="DX126" s="518">
        <v>0</v>
      </c>
      <c r="DZ126" s="517" t="s">
        <v>721</v>
      </c>
      <c r="EA126" s="517" t="s">
        <v>1101</v>
      </c>
      <c r="EB126" s="517" t="s">
        <v>25</v>
      </c>
      <c r="EC126" s="518">
        <v>40</v>
      </c>
      <c r="ED126" s="494" t="str">
        <f t="shared" si="7"/>
        <v>SWUC100140</v>
      </c>
      <c r="EE126" s="518">
        <v>178.1</v>
      </c>
      <c r="EF126" s="518">
        <v>2000</v>
      </c>
      <c r="EG126" s="518">
        <v>2000</v>
      </c>
      <c r="EH126" s="518">
        <v>2000</v>
      </c>
      <c r="EI126" s="518">
        <v>2000</v>
      </c>
      <c r="EJ126" s="518">
        <v>2000</v>
      </c>
      <c r="EK126" s="518">
        <v>2000</v>
      </c>
      <c r="EL126" s="518">
        <v>2000</v>
      </c>
      <c r="EM126" s="518">
        <v>2000</v>
      </c>
      <c r="EN126" s="518">
        <v>2000</v>
      </c>
      <c r="EO126" s="518">
        <v>0</v>
      </c>
      <c r="EP126" s="518">
        <v>0</v>
      </c>
      <c r="EQ126" s="518">
        <v>0</v>
      </c>
      <c r="ER126" s="518">
        <v>0</v>
      </c>
      <c r="ES126" s="518">
        <v>0</v>
      </c>
      <c r="ET126" s="518">
        <v>0</v>
      </c>
      <c r="EU126" s="518">
        <v>0</v>
      </c>
      <c r="EV126" s="518">
        <v>0</v>
      </c>
      <c r="EW126" s="518">
        <v>0</v>
      </c>
      <c r="EX126" s="518">
        <v>0</v>
      </c>
      <c r="EY126" s="518">
        <v>0</v>
      </c>
      <c r="EZ126" s="518">
        <v>0</v>
      </c>
      <c r="FA126" s="518">
        <v>0</v>
      </c>
      <c r="FB126" s="518">
        <v>0</v>
      </c>
      <c r="FC126" s="518">
        <v>0</v>
      </c>
      <c r="FD126" s="518">
        <v>0</v>
      </c>
      <c r="FE126" s="518">
        <v>0</v>
      </c>
      <c r="FF126" s="518">
        <v>0</v>
      </c>
      <c r="FG126" s="518">
        <v>0</v>
      </c>
      <c r="FH126" s="518">
        <v>0</v>
      </c>
      <c r="FI126" s="518">
        <v>0</v>
      </c>
      <c r="FJ126" s="518">
        <v>0</v>
      </c>
      <c r="FK126" s="518">
        <v>0</v>
      </c>
      <c r="FL126" s="518">
        <v>0</v>
      </c>
      <c r="FM126" s="518">
        <v>0</v>
      </c>
      <c r="FN126" s="518">
        <v>0</v>
      </c>
      <c r="FO126" s="518">
        <v>0</v>
      </c>
      <c r="FP126" s="518">
        <v>0</v>
      </c>
      <c r="FQ126" s="518">
        <v>0</v>
      </c>
      <c r="FR126" s="518">
        <v>0</v>
      </c>
      <c r="FS126" s="518">
        <v>0</v>
      </c>
      <c r="FT126" s="518">
        <v>0</v>
      </c>
      <c r="FU126" s="518">
        <v>0</v>
      </c>
      <c r="FV126" s="518">
        <v>0</v>
      </c>
      <c r="FW126" s="518">
        <v>0</v>
      </c>
      <c r="FX126" s="518">
        <v>0</v>
      </c>
      <c r="FY126" s="518">
        <v>0</v>
      </c>
      <c r="FZ126" s="518">
        <v>0</v>
      </c>
      <c r="GA126" s="518">
        <v>0</v>
      </c>
      <c r="GB126" s="518">
        <v>0</v>
      </c>
      <c r="GC126" s="518">
        <v>0</v>
      </c>
      <c r="GD126" s="518">
        <v>0</v>
      </c>
      <c r="GE126" s="518">
        <v>0</v>
      </c>
      <c r="GF126" s="518">
        <v>0</v>
      </c>
      <c r="GG126" s="518">
        <v>0</v>
      </c>
      <c r="GH126" s="518">
        <v>0</v>
      </c>
      <c r="GI126" s="518">
        <v>0</v>
      </c>
      <c r="GJ126" s="518">
        <v>0</v>
      </c>
      <c r="GK126" s="518">
        <v>0</v>
      </c>
      <c r="GL126" s="518">
        <v>0</v>
      </c>
      <c r="GM126" s="518">
        <v>0</v>
      </c>
      <c r="GN126" s="518">
        <v>0</v>
      </c>
      <c r="GO126" s="518">
        <v>0</v>
      </c>
      <c r="GP126" s="518">
        <v>0</v>
      </c>
      <c r="GQ126" s="518">
        <v>0</v>
      </c>
      <c r="GR126" s="518">
        <v>0</v>
      </c>
      <c r="GS126" s="518">
        <v>0</v>
      </c>
      <c r="GT126" s="518">
        <v>0</v>
      </c>
      <c r="GU126" s="518">
        <v>0</v>
      </c>
      <c r="GV126" s="518">
        <v>0</v>
      </c>
      <c r="GW126" s="518">
        <v>0</v>
      </c>
      <c r="GX126" s="518">
        <v>0</v>
      </c>
      <c r="GY126" s="518">
        <v>0</v>
      </c>
      <c r="GZ126" s="518">
        <v>0</v>
      </c>
      <c r="HA126" s="518">
        <v>0</v>
      </c>
      <c r="HB126" s="518">
        <v>0</v>
      </c>
      <c r="HC126" s="518">
        <v>0</v>
      </c>
      <c r="HD126" s="518">
        <v>0</v>
      </c>
      <c r="HE126" s="518">
        <v>0</v>
      </c>
      <c r="HF126" s="518">
        <v>0</v>
      </c>
      <c r="HG126" s="518">
        <v>0</v>
      </c>
      <c r="HH126" s="518">
        <v>0</v>
      </c>
      <c r="HI126" s="518">
        <v>0</v>
      </c>
      <c r="HJ126" s="518">
        <v>0</v>
      </c>
      <c r="HK126" s="518">
        <v>0</v>
      </c>
      <c r="HL126" s="518">
        <v>0</v>
      </c>
      <c r="HM126" s="518">
        <v>0</v>
      </c>
      <c r="HN126" s="518">
        <v>0</v>
      </c>
      <c r="HO126" s="518">
        <v>0</v>
      </c>
      <c r="HP126" s="518">
        <v>0</v>
      </c>
      <c r="HQ126" s="518">
        <v>0</v>
      </c>
      <c r="HR126" s="518">
        <v>0</v>
      </c>
      <c r="HS126" s="518">
        <v>0</v>
      </c>
      <c r="HT126" s="518">
        <v>0</v>
      </c>
      <c r="HU126" s="518">
        <v>0</v>
      </c>
      <c r="HV126" s="518">
        <v>0</v>
      </c>
      <c r="HW126" s="518">
        <v>0</v>
      </c>
      <c r="HX126" s="518">
        <v>0</v>
      </c>
      <c r="HY126" s="518">
        <v>0</v>
      </c>
      <c r="HZ126" s="518">
        <v>0</v>
      </c>
      <c r="IA126" s="518">
        <v>0</v>
      </c>
      <c r="IB126" s="518">
        <v>0</v>
      </c>
      <c r="IC126" s="518">
        <v>0</v>
      </c>
      <c r="ID126" s="518">
        <v>0</v>
      </c>
      <c r="IE126" s="518">
        <v>0</v>
      </c>
      <c r="IF126" s="518">
        <v>0</v>
      </c>
      <c r="IG126" s="518">
        <v>0</v>
      </c>
      <c r="IH126" s="518">
        <v>0</v>
      </c>
      <c r="II126" s="518">
        <v>0</v>
      </c>
      <c r="IJ126" s="518">
        <v>0</v>
      </c>
      <c r="IK126" s="518">
        <v>0</v>
      </c>
    </row>
    <row r="127" spans="1:245" ht="16.5" hidden="1">
      <c r="A127" s="517"/>
      <c r="B127" s="517"/>
      <c r="C127" s="517"/>
      <c r="D127" s="517"/>
      <c r="E127" s="517"/>
      <c r="F127" s="517"/>
      <c r="G127" s="558"/>
      <c r="H127" s="518"/>
      <c r="I127" s="558"/>
      <c r="J127" s="494"/>
      <c r="K127" s="518"/>
      <c r="M127" s="517" t="s">
        <v>721</v>
      </c>
      <c r="N127" s="517" t="s">
        <v>1101</v>
      </c>
      <c r="O127" s="517" t="s">
        <v>25</v>
      </c>
      <c r="P127" s="518">
        <v>41</v>
      </c>
      <c r="Q127" s="494" t="str">
        <f t="shared" si="6"/>
        <v>SWUC100141</v>
      </c>
      <c r="R127" s="518">
        <v>197.2</v>
      </c>
      <c r="S127" s="518">
        <v>10000</v>
      </c>
      <c r="T127" s="518">
        <v>10000</v>
      </c>
      <c r="U127" s="518">
        <v>10000</v>
      </c>
      <c r="V127" s="518">
        <v>10000</v>
      </c>
      <c r="W127" s="518">
        <v>10000</v>
      </c>
      <c r="X127" s="518">
        <v>10000</v>
      </c>
      <c r="Y127" s="518">
        <v>10000</v>
      </c>
      <c r="Z127" s="518">
        <v>10000</v>
      </c>
      <c r="AA127" s="518">
        <v>10000</v>
      </c>
      <c r="AB127" s="518">
        <v>0</v>
      </c>
      <c r="AC127" s="518">
        <v>0</v>
      </c>
      <c r="AD127" s="518">
        <v>0</v>
      </c>
      <c r="AE127" s="518">
        <v>0</v>
      </c>
      <c r="AF127" s="518">
        <v>0</v>
      </c>
      <c r="AG127" s="518">
        <v>0</v>
      </c>
      <c r="AH127" s="518">
        <v>0</v>
      </c>
      <c r="AI127" s="518">
        <v>0</v>
      </c>
      <c r="AJ127" s="518">
        <v>0</v>
      </c>
      <c r="AK127" s="518">
        <v>0</v>
      </c>
      <c r="AL127" s="518">
        <v>0</v>
      </c>
      <c r="AM127" s="518">
        <v>0</v>
      </c>
      <c r="AN127" s="518">
        <v>0</v>
      </c>
      <c r="AO127" s="518">
        <v>0</v>
      </c>
      <c r="AP127" s="518">
        <v>0</v>
      </c>
      <c r="AQ127" s="518">
        <v>0</v>
      </c>
      <c r="AR127" s="518">
        <v>0</v>
      </c>
      <c r="AS127" s="518">
        <v>0</v>
      </c>
      <c r="AT127" s="518">
        <v>0</v>
      </c>
      <c r="AU127" s="518">
        <v>0</v>
      </c>
      <c r="AV127" s="518">
        <v>0</v>
      </c>
      <c r="AW127" s="518">
        <v>0</v>
      </c>
      <c r="AX127" s="518">
        <v>0</v>
      </c>
      <c r="AY127" s="518">
        <v>0</v>
      </c>
      <c r="AZ127" s="518">
        <v>0</v>
      </c>
      <c r="BA127" s="518">
        <v>0</v>
      </c>
      <c r="BB127" s="518">
        <v>0</v>
      </c>
      <c r="BC127" s="518">
        <v>0</v>
      </c>
      <c r="BD127" s="518">
        <v>0</v>
      </c>
      <c r="BE127" s="518">
        <v>0</v>
      </c>
      <c r="BF127" s="518">
        <v>0</v>
      </c>
      <c r="BG127" s="518">
        <v>0</v>
      </c>
      <c r="BH127" s="518">
        <v>0</v>
      </c>
      <c r="BI127" s="518">
        <v>0</v>
      </c>
      <c r="BJ127" s="518">
        <v>0</v>
      </c>
      <c r="BK127" s="518">
        <v>0</v>
      </c>
      <c r="BL127" s="518">
        <v>0</v>
      </c>
      <c r="BM127" s="518">
        <v>0</v>
      </c>
      <c r="BN127" s="518">
        <v>0</v>
      </c>
      <c r="BO127" s="518">
        <v>0</v>
      </c>
      <c r="BP127" s="518">
        <v>0</v>
      </c>
      <c r="BQ127" s="518">
        <v>0</v>
      </c>
      <c r="BR127" s="518">
        <v>0</v>
      </c>
      <c r="BS127" s="518">
        <v>0</v>
      </c>
      <c r="BT127" s="518">
        <v>0</v>
      </c>
      <c r="BU127" s="518">
        <v>0</v>
      </c>
      <c r="BV127" s="518">
        <v>0</v>
      </c>
      <c r="BW127" s="518">
        <v>0</v>
      </c>
      <c r="BX127" s="518">
        <v>0</v>
      </c>
      <c r="BY127" s="518">
        <v>0</v>
      </c>
      <c r="BZ127" s="518">
        <v>0</v>
      </c>
      <c r="CA127" s="518">
        <v>0</v>
      </c>
      <c r="CB127" s="518">
        <v>0</v>
      </c>
      <c r="CC127" s="518">
        <v>0</v>
      </c>
      <c r="CD127" s="518">
        <v>0</v>
      </c>
      <c r="CE127" s="518">
        <v>0</v>
      </c>
      <c r="CF127" s="518">
        <v>0</v>
      </c>
      <c r="CG127" s="518">
        <v>0</v>
      </c>
      <c r="CH127" s="518">
        <v>0</v>
      </c>
      <c r="CI127" s="518">
        <v>0</v>
      </c>
      <c r="CJ127" s="518">
        <v>0</v>
      </c>
      <c r="CK127" s="518">
        <v>0</v>
      </c>
      <c r="CL127" s="518">
        <v>0</v>
      </c>
      <c r="CM127" s="518">
        <v>0</v>
      </c>
      <c r="CN127" s="518">
        <v>0</v>
      </c>
      <c r="CO127" s="518">
        <v>0</v>
      </c>
      <c r="CP127" s="518">
        <v>0</v>
      </c>
      <c r="CQ127" s="518">
        <v>0</v>
      </c>
      <c r="CR127" s="518">
        <v>0</v>
      </c>
      <c r="CS127" s="518">
        <v>0</v>
      </c>
      <c r="CT127" s="518">
        <v>0</v>
      </c>
      <c r="CU127" s="518">
        <v>0</v>
      </c>
      <c r="CV127" s="518">
        <v>0</v>
      </c>
      <c r="CW127" s="518">
        <v>0</v>
      </c>
      <c r="CX127" s="518">
        <v>0</v>
      </c>
      <c r="CY127" s="518">
        <v>0</v>
      </c>
      <c r="CZ127" s="518">
        <v>0</v>
      </c>
      <c r="DA127" s="518">
        <v>0</v>
      </c>
      <c r="DB127" s="518">
        <v>0</v>
      </c>
      <c r="DC127" s="518">
        <v>0</v>
      </c>
      <c r="DD127" s="518">
        <v>0</v>
      </c>
      <c r="DE127" s="518">
        <v>0</v>
      </c>
      <c r="DF127" s="518">
        <v>0</v>
      </c>
      <c r="DG127" s="518">
        <v>0</v>
      </c>
      <c r="DH127" s="518">
        <v>0</v>
      </c>
      <c r="DI127" s="518">
        <v>0</v>
      </c>
      <c r="DJ127" s="518">
        <v>0</v>
      </c>
      <c r="DK127" s="518">
        <v>0</v>
      </c>
      <c r="DL127" s="518">
        <v>0</v>
      </c>
      <c r="DM127" s="518">
        <v>0</v>
      </c>
      <c r="DN127" s="518">
        <v>0</v>
      </c>
      <c r="DO127" s="518">
        <v>0</v>
      </c>
      <c r="DP127" s="518">
        <v>0</v>
      </c>
      <c r="DQ127" s="518">
        <v>0</v>
      </c>
      <c r="DR127" s="518">
        <v>0</v>
      </c>
      <c r="DS127" s="518">
        <v>0</v>
      </c>
      <c r="DT127" s="518">
        <v>0</v>
      </c>
      <c r="DU127" s="518">
        <v>0</v>
      </c>
      <c r="DV127" s="518">
        <v>0</v>
      </c>
      <c r="DW127" s="518">
        <v>0</v>
      </c>
      <c r="DX127" s="518">
        <v>0</v>
      </c>
      <c r="DZ127" s="517" t="s">
        <v>721</v>
      </c>
      <c r="EA127" s="517" t="s">
        <v>1101</v>
      </c>
      <c r="EB127" s="517" t="s">
        <v>25</v>
      </c>
      <c r="EC127" s="518">
        <v>41</v>
      </c>
      <c r="ED127" s="494" t="str">
        <f t="shared" si="7"/>
        <v>SWUC100141</v>
      </c>
      <c r="EE127" s="518">
        <v>197.2</v>
      </c>
      <c r="EF127" s="518">
        <v>2000</v>
      </c>
      <c r="EG127" s="518">
        <v>2000</v>
      </c>
      <c r="EH127" s="518">
        <v>2000</v>
      </c>
      <c r="EI127" s="518">
        <v>2000</v>
      </c>
      <c r="EJ127" s="518">
        <v>2000</v>
      </c>
      <c r="EK127" s="518">
        <v>2000</v>
      </c>
      <c r="EL127" s="518">
        <v>2000</v>
      </c>
      <c r="EM127" s="518">
        <v>2000</v>
      </c>
      <c r="EN127" s="518">
        <v>2000</v>
      </c>
      <c r="EO127" s="518">
        <v>0</v>
      </c>
      <c r="EP127" s="518">
        <v>0</v>
      </c>
      <c r="EQ127" s="518">
        <v>0</v>
      </c>
      <c r="ER127" s="518">
        <v>0</v>
      </c>
      <c r="ES127" s="518">
        <v>0</v>
      </c>
      <c r="ET127" s="518">
        <v>0</v>
      </c>
      <c r="EU127" s="518">
        <v>0</v>
      </c>
      <c r="EV127" s="518">
        <v>0</v>
      </c>
      <c r="EW127" s="518">
        <v>0</v>
      </c>
      <c r="EX127" s="518">
        <v>0</v>
      </c>
      <c r="EY127" s="518">
        <v>0</v>
      </c>
      <c r="EZ127" s="518">
        <v>0</v>
      </c>
      <c r="FA127" s="518">
        <v>0</v>
      </c>
      <c r="FB127" s="518">
        <v>0</v>
      </c>
      <c r="FC127" s="518">
        <v>0</v>
      </c>
      <c r="FD127" s="518">
        <v>0</v>
      </c>
      <c r="FE127" s="518">
        <v>0</v>
      </c>
      <c r="FF127" s="518">
        <v>0</v>
      </c>
      <c r="FG127" s="518">
        <v>0</v>
      </c>
      <c r="FH127" s="518">
        <v>0</v>
      </c>
      <c r="FI127" s="518">
        <v>0</v>
      </c>
      <c r="FJ127" s="518">
        <v>0</v>
      </c>
      <c r="FK127" s="518">
        <v>0</v>
      </c>
      <c r="FL127" s="518">
        <v>0</v>
      </c>
      <c r="FM127" s="518">
        <v>0</v>
      </c>
      <c r="FN127" s="518">
        <v>0</v>
      </c>
      <c r="FO127" s="518">
        <v>0</v>
      </c>
      <c r="FP127" s="518">
        <v>0</v>
      </c>
      <c r="FQ127" s="518">
        <v>0</v>
      </c>
      <c r="FR127" s="518">
        <v>0</v>
      </c>
      <c r="FS127" s="518">
        <v>0</v>
      </c>
      <c r="FT127" s="518">
        <v>0</v>
      </c>
      <c r="FU127" s="518">
        <v>0</v>
      </c>
      <c r="FV127" s="518">
        <v>0</v>
      </c>
      <c r="FW127" s="518">
        <v>0</v>
      </c>
      <c r="FX127" s="518">
        <v>0</v>
      </c>
      <c r="FY127" s="518">
        <v>0</v>
      </c>
      <c r="FZ127" s="518">
        <v>0</v>
      </c>
      <c r="GA127" s="518">
        <v>0</v>
      </c>
      <c r="GB127" s="518">
        <v>0</v>
      </c>
      <c r="GC127" s="518">
        <v>0</v>
      </c>
      <c r="GD127" s="518">
        <v>0</v>
      </c>
      <c r="GE127" s="518">
        <v>0</v>
      </c>
      <c r="GF127" s="518">
        <v>0</v>
      </c>
      <c r="GG127" s="518">
        <v>0</v>
      </c>
      <c r="GH127" s="518">
        <v>0</v>
      </c>
      <c r="GI127" s="518">
        <v>0</v>
      </c>
      <c r="GJ127" s="518">
        <v>0</v>
      </c>
      <c r="GK127" s="518">
        <v>0</v>
      </c>
      <c r="GL127" s="518">
        <v>0</v>
      </c>
      <c r="GM127" s="518">
        <v>0</v>
      </c>
      <c r="GN127" s="518">
        <v>0</v>
      </c>
      <c r="GO127" s="518">
        <v>0</v>
      </c>
      <c r="GP127" s="518">
        <v>0</v>
      </c>
      <c r="GQ127" s="518">
        <v>0</v>
      </c>
      <c r="GR127" s="518">
        <v>0</v>
      </c>
      <c r="GS127" s="518">
        <v>0</v>
      </c>
      <c r="GT127" s="518">
        <v>0</v>
      </c>
      <c r="GU127" s="518">
        <v>0</v>
      </c>
      <c r="GV127" s="518">
        <v>0</v>
      </c>
      <c r="GW127" s="518">
        <v>0</v>
      </c>
      <c r="GX127" s="518">
        <v>0</v>
      </c>
      <c r="GY127" s="518">
        <v>0</v>
      </c>
      <c r="GZ127" s="518">
        <v>0</v>
      </c>
      <c r="HA127" s="518">
        <v>0</v>
      </c>
      <c r="HB127" s="518">
        <v>0</v>
      </c>
      <c r="HC127" s="518">
        <v>0</v>
      </c>
      <c r="HD127" s="518">
        <v>0</v>
      </c>
      <c r="HE127" s="518">
        <v>0</v>
      </c>
      <c r="HF127" s="518">
        <v>0</v>
      </c>
      <c r="HG127" s="518">
        <v>0</v>
      </c>
      <c r="HH127" s="518">
        <v>0</v>
      </c>
      <c r="HI127" s="518">
        <v>0</v>
      </c>
      <c r="HJ127" s="518">
        <v>0</v>
      </c>
      <c r="HK127" s="518">
        <v>0</v>
      </c>
      <c r="HL127" s="518">
        <v>0</v>
      </c>
      <c r="HM127" s="518">
        <v>0</v>
      </c>
      <c r="HN127" s="518">
        <v>0</v>
      </c>
      <c r="HO127" s="518">
        <v>0</v>
      </c>
      <c r="HP127" s="518">
        <v>0</v>
      </c>
      <c r="HQ127" s="518">
        <v>0</v>
      </c>
      <c r="HR127" s="518">
        <v>0</v>
      </c>
      <c r="HS127" s="518">
        <v>0</v>
      </c>
      <c r="HT127" s="518">
        <v>0</v>
      </c>
      <c r="HU127" s="518">
        <v>0</v>
      </c>
      <c r="HV127" s="518">
        <v>0</v>
      </c>
      <c r="HW127" s="518">
        <v>0</v>
      </c>
      <c r="HX127" s="518">
        <v>0</v>
      </c>
      <c r="HY127" s="518">
        <v>0</v>
      </c>
      <c r="HZ127" s="518">
        <v>0</v>
      </c>
      <c r="IA127" s="518">
        <v>0</v>
      </c>
      <c r="IB127" s="518">
        <v>0</v>
      </c>
      <c r="IC127" s="518">
        <v>0</v>
      </c>
      <c r="ID127" s="518">
        <v>0</v>
      </c>
      <c r="IE127" s="518">
        <v>0</v>
      </c>
      <c r="IF127" s="518">
        <v>0</v>
      </c>
      <c r="IG127" s="518">
        <v>0</v>
      </c>
      <c r="IH127" s="518">
        <v>0</v>
      </c>
      <c r="II127" s="518">
        <v>0</v>
      </c>
      <c r="IJ127" s="518">
        <v>0</v>
      </c>
      <c r="IK127" s="518">
        <v>0</v>
      </c>
    </row>
    <row r="128" spans="1:245" ht="16.5" hidden="1">
      <c r="A128" s="517"/>
      <c r="B128" s="517"/>
      <c r="C128" s="517"/>
      <c r="D128" s="517"/>
      <c r="E128" s="517"/>
      <c r="F128" s="517"/>
      <c r="G128" s="558"/>
      <c r="H128" s="518"/>
      <c r="I128" s="558"/>
      <c r="J128" s="494"/>
      <c r="K128" s="518"/>
      <c r="M128" s="517" t="s">
        <v>721</v>
      </c>
      <c r="N128" s="517" t="s">
        <v>1101</v>
      </c>
      <c r="O128" s="517" t="s">
        <v>25</v>
      </c>
      <c r="P128" s="518">
        <v>42</v>
      </c>
      <c r="Q128" s="494" t="str">
        <f t="shared" si="6"/>
        <v>SWUC100142</v>
      </c>
      <c r="R128" s="518">
        <v>216.2</v>
      </c>
      <c r="S128" s="518">
        <v>10000</v>
      </c>
      <c r="T128" s="518">
        <v>10000</v>
      </c>
      <c r="U128" s="518">
        <v>10000</v>
      </c>
      <c r="V128" s="518">
        <v>10000</v>
      </c>
      <c r="W128" s="518">
        <v>10000</v>
      </c>
      <c r="X128" s="518">
        <v>10000</v>
      </c>
      <c r="Y128" s="518">
        <v>10000</v>
      </c>
      <c r="Z128" s="518">
        <v>10000</v>
      </c>
      <c r="AA128" s="518">
        <v>10000</v>
      </c>
      <c r="AB128" s="518">
        <v>0</v>
      </c>
      <c r="AC128" s="518">
        <v>0</v>
      </c>
      <c r="AD128" s="518">
        <v>0</v>
      </c>
      <c r="AE128" s="518">
        <v>0</v>
      </c>
      <c r="AF128" s="518">
        <v>0</v>
      </c>
      <c r="AG128" s="518">
        <v>0</v>
      </c>
      <c r="AH128" s="518">
        <v>0</v>
      </c>
      <c r="AI128" s="518">
        <v>0</v>
      </c>
      <c r="AJ128" s="518">
        <v>0</v>
      </c>
      <c r="AK128" s="518">
        <v>0</v>
      </c>
      <c r="AL128" s="518">
        <v>0</v>
      </c>
      <c r="AM128" s="518">
        <v>0</v>
      </c>
      <c r="AN128" s="518">
        <v>0</v>
      </c>
      <c r="AO128" s="518">
        <v>0</v>
      </c>
      <c r="AP128" s="518">
        <v>0</v>
      </c>
      <c r="AQ128" s="518">
        <v>0</v>
      </c>
      <c r="AR128" s="518">
        <v>0</v>
      </c>
      <c r="AS128" s="518">
        <v>0</v>
      </c>
      <c r="AT128" s="518">
        <v>0</v>
      </c>
      <c r="AU128" s="518">
        <v>0</v>
      </c>
      <c r="AV128" s="518">
        <v>0</v>
      </c>
      <c r="AW128" s="518">
        <v>0</v>
      </c>
      <c r="AX128" s="518">
        <v>0</v>
      </c>
      <c r="AY128" s="518">
        <v>0</v>
      </c>
      <c r="AZ128" s="518">
        <v>0</v>
      </c>
      <c r="BA128" s="518">
        <v>0</v>
      </c>
      <c r="BB128" s="518">
        <v>0</v>
      </c>
      <c r="BC128" s="518">
        <v>0</v>
      </c>
      <c r="BD128" s="518">
        <v>0</v>
      </c>
      <c r="BE128" s="518">
        <v>0</v>
      </c>
      <c r="BF128" s="518">
        <v>0</v>
      </c>
      <c r="BG128" s="518">
        <v>0</v>
      </c>
      <c r="BH128" s="518">
        <v>0</v>
      </c>
      <c r="BI128" s="518">
        <v>0</v>
      </c>
      <c r="BJ128" s="518">
        <v>0</v>
      </c>
      <c r="BK128" s="518">
        <v>0</v>
      </c>
      <c r="BL128" s="518">
        <v>0</v>
      </c>
      <c r="BM128" s="518">
        <v>0</v>
      </c>
      <c r="BN128" s="518">
        <v>0</v>
      </c>
      <c r="BO128" s="518">
        <v>0</v>
      </c>
      <c r="BP128" s="518">
        <v>0</v>
      </c>
      <c r="BQ128" s="518">
        <v>0</v>
      </c>
      <c r="BR128" s="518">
        <v>0</v>
      </c>
      <c r="BS128" s="518">
        <v>0</v>
      </c>
      <c r="BT128" s="518">
        <v>0</v>
      </c>
      <c r="BU128" s="518">
        <v>0</v>
      </c>
      <c r="BV128" s="518">
        <v>0</v>
      </c>
      <c r="BW128" s="518">
        <v>0</v>
      </c>
      <c r="BX128" s="518">
        <v>0</v>
      </c>
      <c r="BY128" s="518">
        <v>0</v>
      </c>
      <c r="BZ128" s="518">
        <v>0</v>
      </c>
      <c r="CA128" s="518">
        <v>0</v>
      </c>
      <c r="CB128" s="518">
        <v>0</v>
      </c>
      <c r="CC128" s="518">
        <v>0</v>
      </c>
      <c r="CD128" s="518">
        <v>0</v>
      </c>
      <c r="CE128" s="518">
        <v>0</v>
      </c>
      <c r="CF128" s="518">
        <v>0</v>
      </c>
      <c r="CG128" s="518">
        <v>0</v>
      </c>
      <c r="CH128" s="518">
        <v>0</v>
      </c>
      <c r="CI128" s="518">
        <v>0</v>
      </c>
      <c r="CJ128" s="518">
        <v>0</v>
      </c>
      <c r="CK128" s="518">
        <v>0</v>
      </c>
      <c r="CL128" s="518">
        <v>0</v>
      </c>
      <c r="CM128" s="518">
        <v>0</v>
      </c>
      <c r="CN128" s="518">
        <v>0</v>
      </c>
      <c r="CO128" s="518">
        <v>0</v>
      </c>
      <c r="CP128" s="518">
        <v>0</v>
      </c>
      <c r="CQ128" s="518">
        <v>0</v>
      </c>
      <c r="CR128" s="518">
        <v>0</v>
      </c>
      <c r="CS128" s="518">
        <v>0</v>
      </c>
      <c r="CT128" s="518">
        <v>0</v>
      </c>
      <c r="CU128" s="518">
        <v>0</v>
      </c>
      <c r="CV128" s="518">
        <v>0</v>
      </c>
      <c r="CW128" s="518">
        <v>0</v>
      </c>
      <c r="CX128" s="518">
        <v>0</v>
      </c>
      <c r="CY128" s="518">
        <v>0</v>
      </c>
      <c r="CZ128" s="518">
        <v>0</v>
      </c>
      <c r="DA128" s="518">
        <v>0</v>
      </c>
      <c r="DB128" s="518">
        <v>0</v>
      </c>
      <c r="DC128" s="518">
        <v>0</v>
      </c>
      <c r="DD128" s="518">
        <v>0</v>
      </c>
      <c r="DE128" s="518">
        <v>0</v>
      </c>
      <c r="DF128" s="518">
        <v>0</v>
      </c>
      <c r="DG128" s="518">
        <v>0</v>
      </c>
      <c r="DH128" s="518">
        <v>0</v>
      </c>
      <c r="DI128" s="518">
        <v>0</v>
      </c>
      <c r="DJ128" s="518">
        <v>0</v>
      </c>
      <c r="DK128" s="518">
        <v>0</v>
      </c>
      <c r="DL128" s="518">
        <v>0</v>
      </c>
      <c r="DM128" s="518">
        <v>0</v>
      </c>
      <c r="DN128" s="518">
        <v>0</v>
      </c>
      <c r="DO128" s="518">
        <v>0</v>
      </c>
      <c r="DP128" s="518">
        <v>0</v>
      </c>
      <c r="DQ128" s="518">
        <v>0</v>
      </c>
      <c r="DR128" s="518">
        <v>0</v>
      </c>
      <c r="DS128" s="518">
        <v>0</v>
      </c>
      <c r="DT128" s="518">
        <v>0</v>
      </c>
      <c r="DU128" s="518">
        <v>0</v>
      </c>
      <c r="DV128" s="518">
        <v>0</v>
      </c>
      <c r="DW128" s="518">
        <v>0</v>
      </c>
      <c r="DX128" s="518">
        <v>0</v>
      </c>
      <c r="DZ128" s="517" t="s">
        <v>721</v>
      </c>
      <c r="EA128" s="517" t="s">
        <v>1101</v>
      </c>
      <c r="EB128" s="517" t="s">
        <v>25</v>
      </c>
      <c r="EC128" s="518">
        <v>42</v>
      </c>
      <c r="ED128" s="494" t="str">
        <f t="shared" si="7"/>
        <v>SWUC100142</v>
      </c>
      <c r="EE128" s="518">
        <v>216.2</v>
      </c>
      <c r="EF128" s="518">
        <v>2000</v>
      </c>
      <c r="EG128" s="518">
        <v>2000</v>
      </c>
      <c r="EH128" s="518">
        <v>2000</v>
      </c>
      <c r="EI128" s="518">
        <v>2000</v>
      </c>
      <c r="EJ128" s="518">
        <v>2000</v>
      </c>
      <c r="EK128" s="518">
        <v>2000</v>
      </c>
      <c r="EL128" s="518">
        <v>2000</v>
      </c>
      <c r="EM128" s="518">
        <v>2000</v>
      </c>
      <c r="EN128" s="518">
        <v>2162.4</v>
      </c>
      <c r="EO128" s="518">
        <v>0</v>
      </c>
      <c r="EP128" s="518">
        <v>0</v>
      </c>
      <c r="EQ128" s="518">
        <v>0</v>
      </c>
      <c r="ER128" s="518">
        <v>0</v>
      </c>
      <c r="ES128" s="518">
        <v>0</v>
      </c>
      <c r="ET128" s="518">
        <v>0</v>
      </c>
      <c r="EU128" s="518">
        <v>0</v>
      </c>
      <c r="EV128" s="518">
        <v>0</v>
      </c>
      <c r="EW128" s="518">
        <v>0</v>
      </c>
      <c r="EX128" s="518">
        <v>0</v>
      </c>
      <c r="EY128" s="518">
        <v>0</v>
      </c>
      <c r="EZ128" s="518">
        <v>0</v>
      </c>
      <c r="FA128" s="518">
        <v>0</v>
      </c>
      <c r="FB128" s="518">
        <v>0</v>
      </c>
      <c r="FC128" s="518">
        <v>0</v>
      </c>
      <c r="FD128" s="518">
        <v>0</v>
      </c>
      <c r="FE128" s="518">
        <v>0</v>
      </c>
      <c r="FF128" s="518">
        <v>0</v>
      </c>
      <c r="FG128" s="518">
        <v>0</v>
      </c>
      <c r="FH128" s="518">
        <v>0</v>
      </c>
      <c r="FI128" s="518">
        <v>0</v>
      </c>
      <c r="FJ128" s="518">
        <v>0</v>
      </c>
      <c r="FK128" s="518">
        <v>0</v>
      </c>
      <c r="FL128" s="518">
        <v>0</v>
      </c>
      <c r="FM128" s="518">
        <v>0</v>
      </c>
      <c r="FN128" s="518">
        <v>0</v>
      </c>
      <c r="FO128" s="518">
        <v>0</v>
      </c>
      <c r="FP128" s="518">
        <v>0</v>
      </c>
      <c r="FQ128" s="518">
        <v>0</v>
      </c>
      <c r="FR128" s="518">
        <v>0</v>
      </c>
      <c r="FS128" s="518">
        <v>0</v>
      </c>
      <c r="FT128" s="518">
        <v>0</v>
      </c>
      <c r="FU128" s="518">
        <v>0</v>
      </c>
      <c r="FV128" s="518">
        <v>0</v>
      </c>
      <c r="FW128" s="518">
        <v>0</v>
      </c>
      <c r="FX128" s="518">
        <v>0</v>
      </c>
      <c r="FY128" s="518">
        <v>0</v>
      </c>
      <c r="FZ128" s="518">
        <v>0</v>
      </c>
      <c r="GA128" s="518">
        <v>0</v>
      </c>
      <c r="GB128" s="518">
        <v>0</v>
      </c>
      <c r="GC128" s="518">
        <v>0</v>
      </c>
      <c r="GD128" s="518">
        <v>0</v>
      </c>
      <c r="GE128" s="518">
        <v>0</v>
      </c>
      <c r="GF128" s="518">
        <v>0</v>
      </c>
      <c r="GG128" s="518">
        <v>0</v>
      </c>
      <c r="GH128" s="518">
        <v>0</v>
      </c>
      <c r="GI128" s="518">
        <v>0</v>
      </c>
      <c r="GJ128" s="518">
        <v>0</v>
      </c>
      <c r="GK128" s="518">
        <v>0</v>
      </c>
      <c r="GL128" s="518">
        <v>0</v>
      </c>
      <c r="GM128" s="518">
        <v>0</v>
      </c>
      <c r="GN128" s="518">
        <v>0</v>
      </c>
      <c r="GO128" s="518">
        <v>0</v>
      </c>
      <c r="GP128" s="518">
        <v>0</v>
      </c>
      <c r="GQ128" s="518">
        <v>0</v>
      </c>
      <c r="GR128" s="518">
        <v>0</v>
      </c>
      <c r="GS128" s="518">
        <v>0</v>
      </c>
      <c r="GT128" s="518">
        <v>0</v>
      </c>
      <c r="GU128" s="518">
        <v>0</v>
      </c>
      <c r="GV128" s="518">
        <v>0</v>
      </c>
      <c r="GW128" s="518">
        <v>0</v>
      </c>
      <c r="GX128" s="518">
        <v>0</v>
      </c>
      <c r="GY128" s="518">
        <v>0</v>
      </c>
      <c r="GZ128" s="518">
        <v>0</v>
      </c>
      <c r="HA128" s="518">
        <v>0</v>
      </c>
      <c r="HB128" s="518">
        <v>0</v>
      </c>
      <c r="HC128" s="518">
        <v>0</v>
      </c>
      <c r="HD128" s="518">
        <v>0</v>
      </c>
      <c r="HE128" s="518">
        <v>0</v>
      </c>
      <c r="HF128" s="518">
        <v>0</v>
      </c>
      <c r="HG128" s="518">
        <v>0</v>
      </c>
      <c r="HH128" s="518">
        <v>0</v>
      </c>
      <c r="HI128" s="518">
        <v>0</v>
      </c>
      <c r="HJ128" s="518">
        <v>0</v>
      </c>
      <c r="HK128" s="518">
        <v>0</v>
      </c>
      <c r="HL128" s="518">
        <v>0</v>
      </c>
      <c r="HM128" s="518">
        <v>0</v>
      </c>
      <c r="HN128" s="518">
        <v>0</v>
      </c>
      <c r="HO128" s="518">
        <v>0</v>
      </c>
      <c r="HP128" s="518">
        <v>0</v>
      </c>
      <c r="HQ128" s="518">
        <v>0</v>
      </c>
      <c r="HR128" s="518">
        <v>0</v>
      </c>
      <c r="HS128" s="518">
        <v>0</v>
      </c>
      <c r="HT128" s="518">
        <v>0</v>
      </c>
      <c r="HU128" s="518">
        <v>0</v>
      </c>
      <c r="HV128" s="518">
        <v>0</v>
      </c>
      <c r="HW128" s="518">
        <v>0</v>
      </c>
      <c r="HX128" s="518">
        <v>0</v>
      </c>
      <c r="HY128" s="518">
        <v>0</v>
      </c>
      <c r="HZ128" s="518">
        <v>0</v>
      </c>
      <c r="IA128" s="518">
        <v>0</v>
      </c>
      <c r="IB128" s="518">
        <v>0</v>
      </c>
      <c r="IC128" s="518">
        <v>0</v>
      </c>
      <c r="ID128" s="518">
        <v>0</v>
      </c>
      <c r="IE128" s="518">
        <v>0</v>
      </c>
      <c r="IF128" s="518">
        <v>0</v>
      </c>
      <c r="IG128" s="518">
        <v>0</v>
      </c>
      <c r="IH128" s="518">
        <v>0</v>
      </c>
      <c r="II128" s="518">
        <v>0</v>
      </c>
      <c r="IJ128" s="518">
        <v>0</v>
      </c>
      <c r="IK128" s="518">
        <v>0</v>
      </c>
    </row>
    <row r="129" spans="1:245" ht="16.5" hidden="1">
      <c r="A129" s="517"/>
      <c r="B129" s="517"/>
      <c r="C129" s="517"/>
      <c r="D129" s="517"/>
      <c r="E129" s="517"/>
      <c r="F129" s="517"/>
      <c r="G129" s="558"/>
      <c r="H129" s="518"/>
      <c r="I129" s="558"/>
      <c r="J129" s="494"/>
      <c r="K129" s="518"/>
      <c r="M129" s="517" t="s">
        <v>721</v>
      </c>
      <c r="N129" s="517" t="s">
        <v>1101</v>
      </c>
      <c r="O129" s="517" t="s">
        <v>25</v>
      </c>
      <c r="P129" s="518">
        <v>43</v>
      </c>
      <c r="Q129" s="494" t="str">
        <f t="shared" si="6"/>
        <v>SWUC100143</v>
      </c>
      <c r="R129" s="518">
        <v>235.3</v>
      </c>
      <c r="S129" s="518">
        <v>10000</v>
      </c>
      <c r="T129" s="518">
        <v>10000</v>
      </c>
      <c r="U129" s="518">
        <v>10000</v>
      </c>
      <c r="V129" s="518">
        <v>10000</v>
      </c>
      <c r="W129" s="518">
        <v>10000</v>
      </c>
      <c r="X129" s="518">
        <v>10000</v>
      </c>
      <c r="Y129" s="518">
        <v>10000</v>
      </c>
      <c r="Z129" s="518">
        <v>10000</v>
      </c>
      <c r="AA129" s="518">
        <v>10000</v>
      </c>
      <c r="AB129" s="518">
        <v>0</v>
      </c>
      <c r="AC129" s="518">
        <v>0</v>
      </c>
      <c r="AD129" s="518">
        <v>0</v>
      </c>
      <c r="AE129" s="518">
        <v>0</v>
      </c>
      <c r="AF129" s="518">
        <v>0</v>
      </c>
      <c r="AG129" s="518">
        <v>0</v>
      </c>
      <c r="AH129" s="518">
        <v>0</v>
      </c>
      <c r="AI129" s="518">
        <v>0</v>
      </c>
      <c r="AJ129" s="518">
        <v>0</v>
      </c>
      <c r="AK129" s="518">
        <v>0</v>
      </c>
      <c r="AL129" s="518">
        <v>0</v>
      </c>
      <c r="AM129" s="518">
        <v>0</v>
      </c>
      <c r="AN129" s="518">
        <v>0</v>
      </c>
      <c r="AO129" s="518">
        <v>0</v>
      </c>
      <c r="AP129" s="518">
        <v>0</v>
      </c>
      <c r="AQ129" s="518">
        <v>0</v>
      </c>
      <c r="AR129" s="518">
        <v>0</v>
      </c>
      <c r="AS129" s="518">
        <v>0</v>
      </c>
      <c r="AT129" s="518">
        <v>0</v>
      </c>
      <c r="AU129" s="518">
        <v>0</v>
      </c>
      <c r="AV129" s="518">
        <v>0</v>
      </c>
      <c r="AW129" s="518">
        <v>0</v>
      </c>
      <c r="AX129" s="518">
        <v>0</v>
      </c>
      <c r="AY129" s="518">
        <v>0</v>
      </c>
      <c r="AZ129" s="518">
        <v>0</v>
      </c>
      <c r="BA129" s="518">
        <v>0</v>
      </c>
      <c r="BB129" s="518">
        <v>0</v>
      </c>
      <c r="BC129" s="518">
        <v>0</v>
      </c>
      <c r="BD129" s="518">
        <v>0</v>
      </c>
      <c r="BE129" s="518">
        <v>0</v>
      </c>
      <c r="BF129" s="518">
        <v>0</v>
      </c>
      <c r="BG129" s="518">
        <v>0</v>
      </c>
      <c r="BH129" s="518">
        <v>0</v>
      </c>
      <c r="BI129" s="518">
        <v>0</v>
      </c>
      <c r="BJ129" s="518">
        <v>0</v>
      </c>
      <c r="BK129" s="518">
        <v>0</v>
      </c>
      <c r="BL129" s="518">
        <v>0</v>
      </c>
      <c r="BM129" s="518">
        <v>0</v>
      </c>
      <c r="BN129" s="518">
        <v>0</v>
      </c>
      <c r="BO129" s="518">
        <v>0</v>
      </c>
      <c r="BP129" s="518">
        <v>0</v>
      </c>
      <c r="BQ129" s="518">
        <v>0</v>
      </c>
      <c r="BR129" s="518">
        <v>0</v>
      </c>
      <c r="BS129" s="518">
        <v>0</v>
      </c>
      <c r="BT129" s="518">
        <v>0</v>
      </c>
      <c r="BU129" s="518">
        <v>0</v>
      </c>
      <c r="BV129" s="518">
        <v>0</v>
      </c>
      <c r="BW129" s="518">
        <v>0</v>
      </c>
      <c r="BX129" s="518">
        <v>0</v>
      </c>
      <c r="BY129" s="518">
        <v>0</v>
      </c>
      <c r="BZ129" s="518">
        <v>0</v>
      </c>
      <c r="CA129" s="518">
        <v>0</v>
      </c>
      <c r="CB129" s="518">
        <v>0</v>
      </c>
      <c r="CC129" s="518">
        <v>0</v>
      </c>
      <c r="CD129" s="518">
        <v>0</v>
      </c>
      <c r="CE129" s="518">
        <v>0</v>
      </c>
      <c r="CF129" s="518">
        <v>0</v>
      </c>
      <c r="CG129" s="518">
        <v>0</v>
      </c>
      <c r="CH129" s="518">
        <v>0</v>
      </c>
      <c r="CI129" s="518">
        <v>0</v>
      </c>
      <c r="CJ129" s="518">
        <v>0</v>
      </c>
      <c r="CK129" s="518">
        <v>0</v>
      </c>
      <c r="CL129" s="518">
        <v>0</v>
      </c>
      <c r="CM129" s="518">
        <v>0</v>
      </c>
      <c r="CN129" s="518">
        <v>0</v>
      </c>
      <c r="CO129" s="518">
        <v>0</v>
      </c>
      <c r="CP129" s="518">
        <v>0</v>
      </c>
      <c r="CQ129" s="518">
        <v>0</v>
      </c>
      <c r="CR129" s="518">
        <v>0</v>
      </c>
      <c r="CS129" s="518">
        <v>0</v>
      </c>
      <c r="CT129" s="518">
        <v>0</v>
      </c>
      <c r="CU129" s="518">
        <v>0</v>
      </c>
      <c r="CV129" s="518">
        <v>0</v>
      </c>
      <c r="CW129" s="518">
        <v>0</v>
      </c>
      <c r="CX129" s="518">
        <v>0</v>
      </c>
      <c r="CY129" s="518">
        <v>0</v>
      </c>
      <c r="CZ129" s="518">
        <v>0</v>
      </c>
      <c r="DA129" s="518">
        <v>0</v>
      </c>
      <c r="DB129" s="518">
        <v>0</v>
      </c>
      <c r="DC129" s="518">
        <v>0</v>
      </c>
      <c r="DD129" s="518">
        <v>0</v>
      </c>
      <c r="DE129" s="518">
        <v>0</v>
      </c>
      <c r="DF129" s="518">
        <v>0</v>
      </c>
      <c r="DG129" s="518">
        <v>0</v>
      </c>
      <c r="DH129" s="518">
        <v>0</v>
      </c>
      <c r="DI129" s="518">
        <v>0</v>
      </c>
      <c r="DJ129" s="518">
        <v>0</v>
      </c>
      <c r="DK129" s="518">
        <v>0</v>
      </c>
      <c r="DL129" s="518">
        <v>0</v>
      </c>
      <c r="DM129" s="518">
        <v>0</v>
      </c>
      <c r="DN129" s="518">
        <v>0</v>
      </c>
      <c r="DO129" s="518">
        <v>0</v>
      </c>
      <c r="DP129" s="518">
        <v>0</v>
      </c>
      <c r="DQ129" s="518">
        <v>0</v>
      </c>
      <c r="DR129" s="518">
        <v>0</v>
      </c>
      <c r="DS129" s="518">
        <v>0</v>
      </c>
      <c r="DT129" s="518">
        <v>0</v>
      </c>
      <c r="DU129" s="518">
        <v>0</v>
      </c>
      <c r="DV129" s="518">
        <v>0</v>
      </c>
      <c r="DW129" s="518">
        <v>0</v>
      </c>
      <c r="DX129" s="518">
        <v>0</v>
      </c>
      <c r="DZ129" s="517" t="s">
        <v>721</v>
      </c>
      <c r="EA129" s="517" t="s">
        <v>1101</v>
      </c>
      <c r="EB129" s="517" t="s">
        <v>25</v>
      </c>
      <c r="EC129" s="518">
        <v>43</v>
      </c>
      <c r="ED129" s="494" t="str">
        <f t="shared" si="7"/>
        <v>SWUC100143</v>
      </c>
      <c r="EE129" s="518">
        <v>235.3</v>
      </c>
      <c r="EF129" s="518">
        <v>2000</v>
      </c>
      <c r="EG129" s="518">
        <v>2000</v>
      </c>
      <c r="EH129" s="518">
        <v>2000</v>
      </c>
      <c r="EI129" s="518">
        <v>2000</v>
      </c>
      <c r="EJ129" s="518">
        <v>2000</v>
      </c>
      <c r="EK129" s="518">
        <v>2000</v>
      </c>
      <c r="EL129" s="518">
        <v>2000</v>
      </c>
      <c r="EM129" s="518">
        <v>2117.9</v>
      </c>
      <c r="EN129" s="518">
        <v>2353.1999999999998</v>
      </c>
      <c r="EO129" s="518">
        <v>0</v>
      </c>
      <c r="EP129" s="518">
        <v>0</v>
      </c>
      <c r="EQ129" s="518">
        <v>0</v>
      </c>
      <c r="ER129" s="518">
        <v>0</v>
      </c>
      <c r="ES129" s="518">
        <v>0</v>
      </c>
      <c r="ET129" s="518">
        <v>0</v>
      </c>
      <c r="EU129" s="518">
        <v>0</v>
      </c>
      <c r="EV129" s="518">
        <v>0</v>
      </c>
      <c r="EW129" s="518">
        <v>0</v>
      </c>
      <c r="EX129" s="518">
        <v>0</v>
      </c>
      <c r="EY129" s="518">
        <v>0</v>
      </c>
      <c r="EZ129" s="518">
        <v>0</v>
      </c>
      <c r="FA129" s="518">
        <v>0</v>
      </c>
      <c r="FB129" s="518">
        <v>0</v>
      </c>
      <c r="FC129" s="518">
        <v>0</v>
      </c>
      <c r="FD129" s="518">
        <v>0</v>
      </c>
      <c r="FE129" s="518">
        <v>0</v>
      </c>
      <c r="FF129" s="518">
        <v>0</v>
      </c>
      <c r="FG129" s="518">
        <v>0</v>
      </c>
      <c r="FH129" s="518">
        <v>0</v>
      </c>
      <c r="FI129" s="518">
        <v>0</v>
      </c>
      <c r="FJ129" s="518">
        <v>0</v>
      </c>
      <c r="FK129" s="518">
        <v>0</v>
      </c>
      <c r="FL129" s="518">
        <v>0</v>
      </c>
      <c r="FM129" s="518">
        <v>0</v>
      </c>
      <c r="FN129" s="518">
        <v>0</v>
      </c>
      <c r="FO129" s="518">
        <v>0</v>
      </c>
      <c r="FP129" s="518">
        <v>0</v>
      </c>
      <c r="FQ129" s="518">
        <v>0</v>
      </c>
      <c r="FR129" s="518">
        <v>0</v>
      </c>
      <c r="FS129" s="518">
        <v>0</v>
      </c>
      <c r="FT129" s="518">
        <v>0</v>
      </c>
      <c r="FU129" s="518">
        <v>0</v>
      </c>
      <c r="FV129" s="518">
        <v>0</v>
      </c>
      <c r="FW129" s="518">
        <v>0</v>
      </c>
      <c r="FX129" s="518">
        <v>0</v>
      </c>
      <c r="FY129" s="518">
        <v>0</v>
      </c>
      <c r="FZ129" s="518">
        <v>0</v>
      </c>
      <c r="GA129" s="518">
        <v>0</v>
      </c>
      <c r="GB129" s="518">
        <v>0</v>
      </c>
      <c r="GC129" s="518">
        <v>0</v>
      </c>
      <c r="GD129" s="518">
        <v>0</v>
      </c>
      <c r="GE129" s="518">
        <v>0</v>
      </c>
      <c r="GF129" s="518">
        <v>0</v>
      </c>
      <c r="GG129" s="518">
        <v>0</v>
      </c>
      <c r="GH129" s="518">
        <v>0</v>
      </c>
      <c r="GI129" s="518">
        <v>0</v>
      </c>
      <c r="GJ129" s="518">
        <v>0</v>
      </c>
      <c r="GK129" s="518">
        <v>0</v>
      </c>
      <c r="GL129" s="518">
        <v>0</v>
      </c>
      <c r="GM129" s="518">
        <v>0</v>
      </c>
      <c r="GN129" s="518">
        <v>0</v>
      </c>
      <c r="GO129" s="518">
        <v>0</v>
      </c>
      <c r="GP129" s="518">
        <v>0</v>
      </c>
      <c r="GQ129" s="518">
        <v>0</v>
      </c>
      <c r="GR129" s="518">
        <v>0</v>
      </c>
      <c r="GS129" s="518">
        <v>0</v>
      </c>
      <c r="GT129" s="518">
        <v>0</v>
      </c>
      <c r="GU129" s="518">
        <v>0</v>
      </c>
      <c r="GV129" s="518">
        <v>0</v>
      </c>
      <c r="GW129" s="518">
        <v>0</v>
      </c>
      <c r="GX129" s="518">
        <v>0</v>
      </c>
      <c r="GY129" s="518">
        <v>0</v>
      </c>
      <c r="GZ129" s="518">
        <v>0</v>
      </c>
      <c r="HA129" s="518">
        <v>0</v>
      </c>
      <c r="HB129" s="518">
        <v>0</v>
      </c>
      <c r="HC129" s="518">
        <v>0</v>
      </c>
      <c r="HD129" s="518">
        <v>0</v>
      </c>
      <c r="HE129" s="518">
        <v>0</v>
      </c>
      <c r="HF129" s="518">
        <v>0</v>
      </c>
      <c r="HG129" s="518">
        <v>0</v>
      </c>
      <c r="HH129" s="518">
        <v>0</v>
      </c>
      <c r="HI129" s="518">
        <v>0</v>
      </c>
      <c r="HJ129" s="518">
        <v>0</v>
      </c>
      <c r="HK129" s="518">
        <v>0</v>
      </c>
      <c r="HL129" s="518">
        <v>0</v>
      </c>
      <c r="HM129" s="518">
        <v>0</v>
      </c>
      <c r="HN129" s="518">
        <v>0</v>
      </c>
      <c r="HO129" s="518">
        <v>0</v>
      </c>
      <c r="HP129" s="518">
        <v>0</v>
      </c>
      <c r="HQ129" s="518">
        <v>0</v>
      </c>
      <c r="HR129" s="518">
        <v>0</v>
      </c>
      <c r="HS129" s="518">
        <v>0</v>
      </c>
      <c r="HT129" s="518">
        <v>0</v>
      </c>
      <c r="HU129" s="518">
        <v>0</v>
      </c>
      <c r="HV129" s="518">
        <v>0</v>
      </c>
      <c r="HW129" s="518">
        <v>0</v>
      </c>
      <c r="HX129" s="518">
        <v>0</v>
      </c>
      <c r="HY129" s="518">
        <v>0</v>
      </c>
      <c r="HZ129" s="518">
        <v>0</v>
      </c>
      <c r="IA129" s="518">
        <v>0</v>
      </c>
      <c r="IB129" s="518">
        <v>0</v>
      </c>
      <c r="IC129" s="518">
        <v>0</v>
      </c>
      <c r="ID129" s="518">
        <v>0</v>
      </c>
      <c r="IE129" s="518">
        <v>0</v>
      </c>
      <c r="IF129" s="518">
        <v>0</v>
      </c>
      <c r="IG129" s="518">
        <v>0</v>
      </c>
      <c r="IH129" s="518">
        <v>0</v>
      </c>
      <c r="II129" s="518">
        <v>0</v>
      </c>
      <c r="IJ129" s="518">
        <v>0</v>
      </c>
      <c r="IK129" s="518">
        <v>0</v>
      </c>
    </row>
    <row r="130" spans="1:245" ht="16.5" hidden="1">
      <c r="A130" s="517"/>
      <c r="B130" s="517"/>
      <c r="C130" s="517"/>
      <c r="D130" s="517"/>
      <c r="E130" s="517"/>
      <c r="F130" s="517"/>
      <c r="G130" s="558"/>
      <c r="H130" s="518"/>
      <c r="I130" s="558"/>
      <c r="J130" s="494"/>
      <c r="K130" s="518"/>
      <c r="M130" s="517" t="s">
        <v>721</v>
      </c>
      <c r="N130" s="517" t="s">
        <v>1101</v>
      </c>
      <c r="O130" s="517" t="s">
        <v>25</v>
      </c>
      <c r="P130" s="518">
        <v>44</v>
      </c>
      <c r="Q130" s="494" t="str">
        <f t="shared" si="6"/>
        <v>SWUC100144</v>
      </c>
      <c r="R130" s="518">
        <v>254.4</v>
      </c>
      <c r="S130" s="518">
        <v>10000</v>
      </c>
      <c r="T130" s="518">
        <v>10000</v>
      </c>
      <c r="U130" s="518">
        <v>10000</v>
      </c>
      <c r="V130" s="518">
        <v>10000</v>
      </c>
      <c r="W130" s="518">
        <v>10000</v>
      </c>
      <c r="X130" s="518">
        <v>10000</v>
      </c>
      <c r="Y130" s="518">
        <v>10000</v>
      </c>
      <c r="Z130" s="518">
        <v>10000</v>
      </c>
      <c r="AA130" s="518">
        <v>10000</v>
      </c>
      <c r="AB130" s="518">
        <v>0</v>
      </c>
      <c r="AC130" s="518">
        <v>0</v>
      </c>
      <c r="AD130" s="518">
        <v>0</v>
      </c>
      <c r="AE130" s="518">
        <v>0</v>
      </c>
      <c r="AF130" s="518">
        <v>0</v>
      </c>
      <c r="AG130" s="518">
        <v>0</v>
      </c>
      <c r="AH130" s="518">
        <v>0</v>
      </c>
      <c r="AI130" s="518">
        <v>0</v>
      </c>
      <c r="AJ130" s="518">
        <v>0</v>
      </c>
      <c r="AK130" s="518">
        <v>0</v>
      </c>
      <c r="AL130" s="518">
        <v>0</v>
      </c>
      <c r="AM130" s="518">
        <v>0</v>
      </c>
      <c r="AN130" s="518">
        <v>0</v>
      </c>
      <c r="AO130" s="518">
        <v>0</v>
      </c>
      <c r="AP130" s="518">
        <v>0</v>
      </c>
      <c r="AQ130" s="518">
        <v>0</v>
      </c>
      <c r="AR130" s="518">
        <v>0</v>
      </c>
      <c r="AS130" s="518">
        <v>0</v>
      </c>
      <c r="AT130" s="518">
        <v>0</v>
      </c>
      <c r="AU130" s="518">
        <v>0</v>
      </c>
      <c r="AV130" s="518">
        <v>0</v>
      </c>
      <c r="AW130" s="518">
        <v>0</v>
      </c>
      <c r="AX130" s="518">
        <v>0</v>
      </c>
      <c r="AY130" s="518">
        <v>0</v>
      </c>
      <c r="AZ130" s="518">
        <v>0</v>
      </c>
      <c r="BA130" s="518">
        <v>0</v>
      </c>
      <c r="BB130" s="518">
        <v>0</v>
      </c>
      <c r="BC130" s="518">
        <v>0</v>
      </c>
      <c r="BD130" s="518">
        <v>0</v>
      </c>
      <c r="BE130" s="518">
        <v>0</v>
      </c>
      <c r="BF130" s="518">
        <v>0</v>
      </c>
      <c r="BG130" s="518">
        <v>0</v>
      </c>
      <c r="BH130" s="518">
        <v>0</v>
      </c>
      <c r="BI130" s="518">
        <v>0</v>
      </c>
      <c r="BJ130" s="518">
        <v>0</v>
      </c>
      <c r="BK130" s="518">
        <v>0</v>
      </c>
      <c r="BL130" s="518">
        <v>0</v>
      </c>
      <c r="BM130" s="518">
        <v>0</v>
      </c>
      <c r="BN130" s="518">
        <v>0</v>
      </c>
      <c r="BO130" s="518">
        <v>0</v>
      </c>
      <c r="BP130" s="518">
        <v>0</v>
      </c>
      <c r="BQ130" s="518">
        <v>0</v>
      </c>
      <c r="BR130" s="518">
        <v>0</v>
      </c>
      <c r="BS130" s="518">
        <v>0</v>
      </c>
      <c r="BT130" s="518">
        <v>0</v>
      </c>
      <c r="BU130" s="518">
        <v>0</v>
      </c>
      <c r="BV130" s="518">
        <v>0</v>
      </c>
      <c r="BW130" s="518">
        <v>0</v>
      </c>
      <c r="BX130" s="518">
        <v>0</v>
      </c>
      <c r="BY130" s="518">
        <v>0</v>
      </c>
      <c r="BZ130" s="518">
        <v>0</v>
      </c>
      <c r="CA130" s="518">
        <v>0</v>
      </c>
      <c r="CB130" s="518">
        <v>0</v>
      </c>
      <c r="CC130" s="518">
        <v>0</v>
      </c>
      <c r="CD130" s="518">
        <v>0</v>
      </c>
      <c r="CE130" s="518">
        <v>0</v>
      </c>
      <c r="CF130" s="518">
        <v>0</v>
      </c>
      <c r="CG130" s="518">
        <v>0</v>
      </c>
      <c r="CH130" s="518">
        <v>0</v>
      </c>
      <c r="CI130" s="518">
        <v>0</v>
      </c>
      <c r="CJ130" s="518">
        <v>0</v>
      </c>
      <c r="CK130" s="518">
        <v>0</v>
      </c>
      <c r="CL130" s="518">
        <v>0</v>
      </c>
      <c r="CM130" s="518">
        <v>0</v>
      </c>
      <c r="CN130" s="518">
        <v>0</v>
      </c>
      <c r="CO130" s="518">
        <v>0</v>
      </c>
      <c r="CP130" s="518">
        <v>0</v>
      </c>
      <c r="CQ130" s="518">
        <v>0</v>
      </c>
      <c r="CR130" s="518">
        <v>0</v>
      </c>
      <c r="CS130" s="518">
        <v>0</v>
      </c>
      <c r="CT130" s="518">
        <v>0</v>
      </c>
      <c r="CU130" s="518">
        <v>0</v>
      </c>
      <c r="CV130" s="518">
        <v>0</v>
      </c>
      <c r="CW130" s="518">
        <v>0</v>
      </c>
      <c r="CX130" s="518">
        <v>0</v>
      </c>
      <c r="CY130" s="518">
        <v>0</v>
      </c>
      <c r="CZ130" s="518">
        <v>0</v>
      </c>
      <c r="DA130" s="518">
        <v>0</v>
      </c>
      <c r="DB130" s="518">
        <v>0</v>
      </c>
      <c r="DC130" s="518">
        <v>0</v>
      </c>
      <c r="DD130" s="518">
        <v>0</v>
      </c>
      <c r="DE130" s="518">
        <v>0</v>
      </c>
      <c r="DF130" s="518">
        <v>0</v>
      </c>
      <c r="DG130" s="518">
        <v>0</v>
      </c>
      <c r="DH130" s="518">
        <v>0</v>
      </c>
      <c r="DI130" s="518">
        <v>0</v>
      </c>
      <c r="DJ130" s="518">
        <v>0</v>
      </c>
      <c r="DK130" s="518">
        <v>0</v>
      </c>
      <c r="DL130" s="518">
        <v>0</v>
      </c>
      <c r="DM130" s="518">
        <v>0</v>
      </c>
      <c r="DN130" s="518">
        <v>0</v>
      </c>
      <c r="DO130" s="518">
        <v>0</v>
      </c>
      <c r="DP130" s="518">
        <v>0</v>
      </c>
      <c r="DQ130" s="518">
        <v>0</v>
      </c>
      <c r="DR130" s="518">
        <v>0</v>
      </c>
      <c r="DS130" s="518">
        <v>0</v>
      </c>
      <c r="DT130" s="518">
        <v>0</v>
      </c>
      <c r="DU130" s="518">
        <v>0</v>
      </c>
      <c r="DV130" s="518">
        <v>0</v>
      </c>
      <c r="DW130" s="518">
        <v>0</v>
      </c>
      <c r="DX130" s="518">
        <v>0</v>
      </c>
      <c r="DZ130" s="517" t="s">
        <v>721</v>
      </c>
      <c r="EA130" s="517" t="s">
        <v>1101</v>
      </c>
      <c r="EB130" s="517" t="s">
        <v>25</v>
      </c>
      <c r="EC130" s="518">
        <v>44</v>
      </c>
      <c r="ED130" s="494" t="str">
        <f t="shared" si="7"/>
        <v>SWUC100144</v>
      </c>
      <c r="EE130" s="518">
        <v>254.4</v>
      </c>
      <c r="EF130" s="518">
        <v>2000</v>
      </c>
      <c r="EG130" s="518">
        <v>2000</v>
      </c>
      <c r="EH130" s="518">
        <v>2000</v>
      </c>
      <c r="EI130" s="518">
        <v>2000</v>
      </c>
      <c r="EJ130" s="518">
        <v>2000</v>
      </c>
      <c r="EK130" s="518">
        <v>2000</v>
      </c>
      <c r="EL130" s="518">
        <v>2035.2</v>
      </c>
      <c r="EM130" s="518">
        <v>2289.6</v>
      </c>
      <c r="EN130" s="518">
        <v>2544</v>
      </c>
      <c r="EO130" s="518">
        <v>0</v>
      </c>
      <c r="EP130" s="518">
        <v>0</v>
      </c>
      <c r="EQ130" s="518">
        <v>0</v>
      </c>
      <c r="ER130" s="518">
        <v>0</v>
      </c>
      <c r="ES130" s="518">
        <v>0</v>
      </c>
      <c r="ET130" s="518">
        <v>0</v>
      </c>
      <c r="EU130" s="518">
        <v>0</v>
      </c>
      <c r="EV130" s="518">
        <v>0</v>
      </c>
      <c r="EW130" s="518">
        <v>0</v>
      </c>
      <c r="EX130" s="518">
        <v>0</v>
      </c>
      <c r="EY130" s="518">
        <v>0</v>
      </c>
      <c r="EZ130" s="518">
        <v>0</v>
      </c>
      <c r="FA130" s="518">
        <v>0</v>
      </c>
      <c r="FB130" s="518">
        <v>0</v>
      </c>
      <c r="FC130" s="518">
        <v>0</v>
      </c>
      <c r="FD130" s="518">
        <v>0</v>
      </c>
      <c r="FE130" s="518">
        <v>0</v>
      </c>
      <c r="FF130" s="518">
        <v>0</v>
      </c>
      <c r="FG130" s="518">
        <v>0</v>
      </c>
      <c r="FH130" s="518">
        <v>0</v>
      </c>
      <c r="FI130" s="518">
        <v>0</v>
      </c>
      <c r="FJ130" s="518">
        <v>0</v>
      </c>
      <c r="FK130" s="518">
        <v>0</v>
      </c>
      <c r="FL130" s="518">
        <v>0</v>
      </c>
      <c r="FM130" s="518">
        <v>0</v>
      </c>
      <c r="FN130" s="518">
        <v>0</v>
      </c>
      <c r="FO130" s="518">
        <v>0</v>
      </c>
      <c r="FP130" s="518">
        <v>0</v>
      </c>
      <c r="FQ130" s="518">
        <v>0</v>
      </c>
      <c r="FR130" s="518">
        <v>0</v>
      </c>
      <c r="FS130" s="518">
        <v>0</v>
      </c>
      <c r="FT130" s="518">
        <v>0</v>
      </c>
      <c r="FU130" s="518">
        <v>0</v>
      </c>
      <c r="FV130" s="518">
        <v>0</v>
      </c>
      <c r="FW130" s="518">
        <v>0</v>
      </c>
      <c r="FX130" s="518">
        <v>0</v>
      </c>
      <c r="FY130" s="518">
        <v>0</v>
      </c>
      <c r="FZ130" s="518">
        <v>0</v>
      </c>
      <c r="GA130" s="518">
        <v>0</v>
      </c>
      <c r="GB130" s="518">
        <v>0</v>
      </c>
      <c r="GC130" s="518">
        <v>0</v>
      </c>
      <c r="GD130" s="518">
        <v>0</v>
      </c>
      <c r="GE130" s="518">
        <v>0</v>
      </c>
      <c r="GF130" s="518">
        <v>0</v>
      </c>
      <c r="GG130" s="518">
        <v>0</v>
      </c>
      <c r="GH130" s="518">
        <v>0</v>
      </c>
      <c r="GI130" s="518">
        <v>0</v>
      </c>
      <c r="GJ130" s="518">
        <v>0</v>
      </c>
      <c r="GK130" s="518">
        <v>0</v>
      </c>
      <c r="GL130" s="518">
        <v>0</v>
      </c>
      <c r="GM130" s="518">
        <v>0</v>
      </c>
      <c r="GN130" s="518">
        <v>0</v>
      </c>
      <c r="GO130" s="518">
        <v>0</v>
      </c>
      <c r="GP130" s="518">
        <v>0</v>
      </c>
      <c r="GQ130" s="518">
        <v>0</v>
      </c>
      <c r="GR130" s="518">
        <v>0</v>
      </c>
      <c r="GS130" s="518">
        <v>0</v>
      </c>
      <c r="GT130" s="518">
        <v>0</v>
      </c>
      <c r="GU130" s="518">
        <v>0</v>
      </c>
      <c r="GV130" s="518">
        <v>0</v>
      </c>
      <c r="GW130" s="518">
        <v>0</v>
      </c>
      <c r="GX130" s="518">
        <v>0</v>
      </c>
      <c r="GY130" s="518">
        <v>0</v>
      </c>
      <c r="GZ130" s="518">
        <v>0</v>
      </c>
      <c r="HA130" s="518">
        <v>0</v>
      </c>
      <c r="HB130" s="518">
        <v>0</v>
      </c>
      <c r="HC130" s="518">
        <v>0</v>
      </c>
      <c r="HD130" s="518">
        <v>0</v>
      </c>
      <c r="HE130" s="518">
        <v>0</v>
      </c>
      <c r="HF130" s="518">
        <v>0</v>
      </c>
      <c r="HG130" s="518">
        <v>0</v>
      </c>
      <c r="HH130" s="518">
        <v>0</v>
      </c>
      <c r="HI130" s="518">
        <v>0</v>
      </c>
      <c r="HJ130" s="518">
        <v>0</v>
      </c>
      <c r="HK130" s="518">
        <v>0</v>
      </c>
      <c r="HL130" s="518">
        <v>0</v>
      </c>
      <c r="HM130" s="518">
        <v>0</v>
      </c>
      <c r="HN130" s="518">
        <v>0</v>
      </c>
      <c r="HO130" s="518">
        <v>0</v>
      </c>
      <c r="HP130" s="518">
        <v>0</v>
      </c>
      <c r="HQ130" s="518">
        <v>0</v>
      </c>
      <c r="HR130" s="518">
        <v>0</v>
      </c>
      <c r="HS130" s="518">
        <v>0</v>
      </c>
      <c r="HT130" s="518">
        <v>0</v>
      </c>
      <c r="HU130" s="518">
        <v>0</v>
      </c>
      <c r="HV130" s="518">
        <v>0</v>
      </c>
      <c r="HW130" s="518">
        <v>0</v>
      </c>
      <c r="HX130" s="518">
        <v>0</v>
      </c>
      <c r="HY130" s="518">
        <v>0</v>
      </c>
      <c r="HZ130" s="518">
        <v>0</v>
      </c>
      <c r="IA130" s="518">
        <v>0</v>
      </c>
      <c r="IB130" s="518">
        <v>0</v>
      </c>
      <c r="IC130" s="518">
        <v>0</v>
      </c>
      <c r="ID130" s="518">
        <v>0</v>
      </c>
      <c r="IE130" s="518">
        <v>0</v>
      </c>
      <c r="IF130" s="518">
        <v>0</v>
      </c>
      <c r="IG130" s="518">
        <v>0</v>
      </c>
      <c r="IH130" s="518">
        <v>0</v>
      </c>
      <c r="II130" s="518">
        <v>0</v>
      </c>
      <c r="IJ130" s="518">
        <v>0</v>
      </c>
      <c r="IK130" s="518">
        <v>0</v>
      </c>
    </row>
    <row r="131" spans="1:245" ht="16.5" hidden="1">
      <c r="A131" s="517"/>
      <c r="B131" s="517"/>
      <c r="C131" s="517"/>
      <c r="D131" s="517"/>
      <c r="E131" s="517"/>
      <c r="F131" s="517"/>
      <c r="G131" s="558"/>
      <c r="H131" s="518"/>
      <c r="I131" s="558"/>
      <c r="J131" s="494"/>
      <c r="K131" s="518"/>
      <c r="M131" s="517" t="s">
        <v>721</v>
      </c>
      <c r="N131" s="517" t="s">
        <v>1101</v>
      </c>
      <c r="O131" s="517" t="s">
        <v>25</v>
      </c>
      <c r="P131" s="518">
        <v>45</v>
      </c>
      <c r="Q131" s="494" t="str">
        <f t="shared" si="6"/>
        <v>SWUC100145</v>
      </c>
      <c r="R131" s="518">
        <v>273.5</v>
      </c>
      <c r="S131" s="518">
        <v>10000</v>
      </c>
      <c r="T131" s="518">
        <v>10000</v>
      </c>
      <c r="U131" s="518">
        <v>10000</v>
      </c>
      <c r="V131" s="518">
        <v>10000</v>
      </c>
      <c r="W131" s="518">
        <v>10000</v>
      </c>
      <c r="X131" s="518">
        <v>10000</v>
      </c>
      <c r="Y131" s="518">
        <v>10000</v>
      </c>
      <c r="Z131" s="518">
        <v>10000</v>
      </c>
      <c r="AA131" s="518">
        <v>10000</v>
      </c>
      <c r="AB131" s="518">
        <v>0</v>
      </c>
      <c r="AC131" s="518">
        <v>0</v>
      </c>
      <c r="AD131" s="518">
        <v>0</v>
      </c>
      <c r="AE131" s="518">
        <v>0</v>
      </c>
      <c r="AF131" s="518">
        <v>0</v>
      </c>
      <c r="AG131" s="518">
        <v>0</v>
      </c>
      <c r="AH131" s="518">
        <v>0</v>
      </c>
      <c r="AI131" s="518">
        <v>0</v>
      </c>
      <c r="AJ131" s="518">
        <v>0</v>
      </c>
      <c r="AK131" s="518">
        <v>0</v>
      </c>
      <c r="AL131" s="518">
        <v>0</v>
      </c>
      <c r="AM131" s="518">
        <v>0</v>
      </c>
      <c r="AN131" s="518">
        <v>0</v>
      </c>
      <c r="AO131" s="518">
        <v>0</v>
      </c>
      <c r="AP131" s="518">
        <v>0</v>
      </c>
      <c r="AQ131" s="518">
        <v>0</v>
      </c>
      <c r="AR131" s="518">
        <v>0</v>
      </c>
      <c r="AS131" s="518">
        <v>0</v>
      </c>
      <c r="AT131" s="518">
        <v>0</v>
      </c>
      <c r="AU131" s="518">
        <v>0</v>
      </c>
      <c r="AV131" s="518">
        <v>0</v>
      </c>
      <c r="AW131" s="518">
        <v>0</v>
      </c>
      <c r="AX131" s="518">
        <v>0</v>
      </c>
      <c r="AY131" s="518">
        <v>0</v>
      </c>
      <c r="AZ131" s="518">
        <v>0</v>
      </c>
      <c r="BA131" s="518">
        <v>0</v>
      </c>
      <c r="BB131" s="518">
        <v>0</v>
      </c>
      <c r="BC131" s="518">
        <v>0</v>
      </c>
      <c r="BD131" s="518">
        <v>0</v>
      </c>
      <c r="BE131" s="518">
        <v>0</v>
      </c>
      <c r="BF131" s="518">
        <v>0</v>
      </c>
      <c r="BG131" s="518">
        <v>0</v>
      </c>
      <c r="BH131" s="518">
        <v>0</v>
      </c>
      <c r="BI131" s="518">
        <v>0</v>
      </c>
      <c r="BJ131" s="518">
        <v>0</v>
      </c>
      <c r="BK131" s="518">
        <v>0</v>
      </c>
      <c r="BL131" s="518">
        <v>0</v>
      </c>
      <c r="BM131" s="518">
        <v>0</v>
      </c>
      <c r="BN131" s="518">
        <v>0</v>
      </c>
      <c r="BO131" s="518">
        <v>0</v>
      </c>
      <c r="BP131" s="518">
        <v>0</v>
      </c>
      <c r="BQ131" s="518">
        <v>0</v>
      </c>
      <c r="BR131" s="518">
        <v>0</v>
      </c>
      <c r="BS131" s="518">
        <v>0</v>
      </c>
      <c r="BT131" s="518">
        <v>0</v>
      </c>
      <c r="BU131" s="518">
        <v>0</v>
      </c>
      <c r="BV131" s="518">
        <v>0</v>
      </c>
      <c r="BW131" s="518">
        <v>0</v>
      </c>
      <c r="BX131" s="518">
        <v>0</v>
      </c>
      <c r="BY131" s="518">
        <v>0</v>
      </c>
      <c r="BZ131" s="518">
        <v>0</v>
      </c>
      <c r="CA131" s="518">
        <v>0</v>
      </c>
      <c r="CB131" s="518">
        <v>0</v>
      </c>
      <c r="CC131" s="518">
        <v>0</v>
      </c>
      <c r="CD131" s="518">
        <v>0</v>
      </c>
      <c r="CE131" s="518">
        <v>0</v>
      </c>
      <c r="CF131" s="518">
        <v>0</v>
      </c>
      <c r="CG131" s="518">
        <v>0</v>
      </c>
      <c r="CH131" s="518">
        <v>0</v>
      </c>
      <c r="CI131" s="518">
        <v>0</v>
      </c>
      <c r="CJ131" s="518">
        <v>0</v>
      </c>
      <c r="CK131" s="518">
        <v>0</v>
      </c>
      <c r="CL131" s="518">
        <v>0</v>
      </c>
      <c r="CM131" s="518">
        <v>0</v>
      </c>
      <c r="CN131" s="518">
        <v>0</v>
      </c>
      <c r="CO131" s="518">
        <v>0</v>
      </c>
      <c r="CP131" s="518">
        <v>0</v>
      </c>
      <c r="CQ131" s="518">
        <v>0</v>
      </c>
      <c r="CR131" s="518">
        <v>0</v>
      </c>
      <c r="CS131" s="518">
        <v>0</v>
      </c>
      <c r="CT131" s="518">
        <v>0</v>
      </c>
      <c r="CU131" s="518">
        <v>0</v>
      </c>
      <c r="CV131" s="518">
        <v>0</v>
      </c>
      <c r="CW131" s="518">
        <v>0</v>
      </c>
      <c r="CX131" s="518">
        <v>0</v>
      </c>
      <c r="CY131" s="518">
        <v>0</v>
      </c>
      <c r="CZ131" s="518">
        <v>0</v>
      </c>
      <c r="DA131" s="518">
        <v>0</v>
      </c>
      <c r="DB131" s="518">
        <v>0</v>
      </c>
      <c r="DC131" s="518">
        <v>0</v>
      </c>
      <c r="DD131" s="518">
        <v>0</v>
      </c>
      <c r="DE131" s="518">
        <v>0</v>
      </c>
      <c r="DF131" s="518">
        <v>0</v>
      </c>
      <c r="DG131" s="518">
        <v>0</v>
      </c>
      <c r="DH131" s="518">
        <v>0</v>
      </c>
      <c r="DI131" s="518">
        <v>0</v>
      </c>
      <c r="DJ131" s="518">
        <v>0</v>
      </c>
      <c r="DK131" s="518">
        <v>0</v>
      </c>
      <c r="DL131" s="518">
        <v>0</v>
      </c>
      <c r="DM131" s="518">
        <v>0</v>
      </c>
      <c r="DN131" s="518">
        <v>0</v>
      </c>
      <c r="DO131" s="518">
        <v>0</v>
      </c>
      <c r="DP131" s="518">
        <v>0</v>
      </c>
      <c r="DQ131" s="518">
        <v>0</v>
      </c>
      <c r="DR131" s="518">
        <v>0</v>
      </c>
      <c r="DS131" s="518">
        <v>0</v>
      </c>
      <c r="DT131" s="518">
        <v>0</v>
      </c>
      <c r="DU131" s="518">
        <v>0</v>
      </c>
      <c r="DV131" s="518">
        <v>0</v>
      </c>
      <c r="DW131" s="518">
        <v>0</v>
      </c>
      <c r="DX131" s="518">
        <v>0</v>
      </c>
      <c r="DZ131" s="517" t="s">
        <v>721</v>
      </c>
      <c r="EA131" s="517" t="s">
        <v>1101</v>
      </c>
      <c r="EB131" s="517" t="s">
        <v>25</v>
      </c>
      <c r="EC131" s="518">
        <v>45</v>
      </c>
      <c r="ED131" s="494" t="str">
        <f t="shared" si="7"/>
        <v>SWUC100145</v>
      </c>
      <c r="EE131" s="518">
        <v>273.5</v>
      </c>
      <c r="EF131" s="518">
        <v>2000</v>
      </c>
      <c r="EG131" s="518">
        <v>2000</v>
      </c>
      <c r="EH131" s="518">
        <v>2000</v>
      </c>
      <c r="EI131" s="518">
        <v>2000</v>
      </c>
      <c r="EJ131" s="518">
        <v>2000</v>
      </c>
      <c r="EK131" s="518">
        <v>2000</v>
      </c>
      <c r="EL131" s="518">
        <v>2187.8000000000002</v>
      </c>
      <c r="EM131" s="518">
        <v>2461.3000000000002</v>
      </c>
      <c r="EN131" s="518">
        <v>2734.8</v>
      </c>
      <c r="EO131" s="518">
        <v>0</v>
      </c>
      <c r="EP131" s="518">
        <v>0</v>
      </c>
      <c r="EQ131" s="518">
        <v>0</v>
      </c>
      <c r="ER131" s="518">
        <v>0</v>
      </c>
      <c r="ES131" s="518">
        <v>0</v>
      </c>
      <c r="ET131" s="518">
        <v>0</v>
      </c>
      <c r="EU131" s="518">
        <v>0</v>
      </c>
      <c r="EV131" s="518">
        <v>0</v>
      </c>
      <c r="EW131" s="518">
        <v>0</v>
      </c>
      <c r="EX131" s="518">
        <v>0</v>
      </c>
      <c r="EY131" s="518">
        <v>0</v>
      </c>
      <c r="EZ131" s="518">
        <v>0</v>
      </c>
      <c r="FA131" s="518">
        <v>0</v>
      </c>
      <c r="FB131" s="518">
        <v>0</v>
      </c>
      <c r="FC131" s="518">
        <v>0</v>
      </c>
      <c r="FD131" s="518">
        <v>0</v>
      </c>
      <c r="FE131" s="518">
        <v>0</v>
      </c>
      <c r="FF131" s="518">
        <v>0</v>
      </c>
      <c r="FG131" s="518">
        <v>0</v>
      </c>
      <c r="FH131" s="518">
        <v>0</v>
      </c>
      <c r="FI131" s="518">
        <v>0</v>
      </c>
      <c r="FJ131" s="518">
        <v>0</v>
      </c>
      <c r="FK131" s="518">
        <v>0</v>
      </c>
      <c r="FL131" s="518">
        <v>0</v>
      </c>
      <c r="FM131" s="518">
        <v>0</v>
      </c>
      <c r="FN131" s="518">
        <v>0</v>
      </c>
      <c r="FO131" s="518">
        <v>0</v>
      </c>
      <c r="FP131" s="518">
        <v>0</v>
      </c>
      <c r="FQ131" s="518">
        <v>0</v>
      </c>
      <c r="FR131" s="518">
        <v>0</v>
      </c>
      <c r="FS131" s="518">
        <v>0</v>
      </c>
      <c r="FT131" s="518">
        <v>0</v>
      </c>
      <c r="FU131" s="518">
        <v>0</v>
      </c>
      <c r="FV131" s="518">
        <v>0</v>
      </c>
      <c r="FW131" s="518">
        <v>0</v>
      </c>
      <c r="FX131" s="518">
        <v>0</v>
      </c>
      <c r="FY131" s="518">
        <v>0</v>
      </c>
      <c r="FZ131" s="518">
        <v>0</v>
      </c>
      <c r="GA131" s="518">
        <v>0</v>
      </c>
      <c r="GB131" s="518">
        <v>0</v>
      </c>
      <c r="GC131" s="518">
        <v>0</v>
      </c>
      <c r="GD131" s="518">
        <v>0</v>
      </c>
      <c r="GE131" s="518">
        <v>0</v>
      </c>
      <c r="GF131" s="518">
        <v>0</v>
      </c>
      <c r="GG131" s="518">
        <v>0</v>
      </c>
      <c r="GH131" s="518">
        <v>0</v>
      </c>
      <c r="GI131" s="518">
        <v>0</v>
      </c>
      <c r="GJ131" s="518">
        <v>0</v>
      </c>
      <c r="GK131" s="518">
        <v>0</v>
      </c>
      <c r="GL131" s="518">
        <v>0</v>
      </c>
      <c r="GM131" s="518">
        <v>0</v>
      </c>
      <c r="GN131" s="518">
        <v>0</v>
      </c>
      <c r="GO131" s="518">
        <v>0</v>
      </c>
      <c r="GP131" s="518">
        <v>0</v>
      </c>
      <c r="GQ131" s="518">
        <v>0</v>
      </c>
      <c r="GR131" s="518">
        <v>0</v>
      </c>
      <c r="GS131" s="518">
        <v>0</v>
      </c>
      <c r="GT131" s="518">
        <v>0</v>
      </c>
      <c r="GU131" s="518">
        <v>0</v>
      </c>
      <c r="GV131" s="518">
        <v>0</v>
      </c>
      <c r="GW131" s="518">
        <v>0</v>
      </c>
      <c r="GX131" s="518">
        <v>0</v>
      </c>
      <c r="GY131" s="518">
        <v>0</v>
      </c>
      <c r="GZ131" s="518">
        <v>0</v>
      </c>
      <c r="HA131" s="518">
        <v>0</v>
      </c>
      <c r="HB131" s="518">
        <v>0</v>
      </c>
      <c r="HC131" s="518">
        <v>0</v>
      </c>
      <c r="HD131" s="518">
        <v>0</v>
      </c>
      <c r="HE131" s="518">
        <v>0</v>
      </c>
      <c r="HF131" s="518">
        <v>0</v>
      </c>
      <c r="HG131" s="518">
        <v>0</v>
      </c>
      <c r="HH131" s="518">
        <v>0</v>
      </c>
      <c r="HI131" s="518">
        <v>0</v>
      </c>
      <c r="HJ131" s="518">
        <v>0</v>
      </c>
      <c r="HK131" s="518">
        <v>0</v>
      </c>
      <c r="HL131" s="518">
        <v>0</v>
      </c>
      <c r="HM131" s="518">
        <v>0</v>
      </c>
      <c r="HN131" s="518">
        <v>0</v>
      </c>
      <c r="HO131" s="518">
        <v>0</v>
      </c>
      <c r="HP131" s="518">
        <v>0</v>
      </c>
      <c r="HQ131" s="518">
        <v>0</v>
      </c>
      <c r="HR131" s="518">
        <v>0</v>
      </c>
      <c r="HS131" s="518">
        <v>0</v>
      </c>
      <c r="HT131" s="518">
        <v>0</v>
      </c>
      <c r="HU131" s="518">
        <v>0</v>
      </c>
      <c r="HV131" s="518">
        <v>0</v>
      </c>
      <c r="HW131" s="518">
        <v>0</v>
      </c>
      <c r="HX131" s="518">
        <v>0</v>
      </c>
      <c r="HY131" s="518">
        <v>0</v>
      </c>
      <c r="HZ131" s="518">
        <v>0</v>
      </c>
      <c r="IA131" s="518">
        <v>0</v>
      </c>
      <c r="IB131" s="518">
        <v>0</v>
      </c>
      <c r="IC131" s="518">
        <v>0</v>
      </c>
      <c r="ID131" s="518">
        <v>0</v>
      </c>
      <c r="IE131" s="518">
        <v>0</v>
      </c>
      <c r="IF131" s="518">
        <v>0</v>
      </c>
      <c r="IG131" s="518">
        <v>0</v>
      </c>
      <c r="IH131" s="518">
        <v>0</v>
      </c>
      <c r="II131" s="518">
        <v>0</v>
      </c>
      <c r="IJ131" s="518">
        <v>0</v>
      </c>
      <c r="IK131" s="518">
        <v>0</v>
      </c>
    </row>
    <row r="132" spans="1:245" ht="16.5" hidden="1">
      <c r="A132" s="517"/>
      <c r="B132" s="517"/>
      <c r="C132" s="517"/>
      <c r="D132" s="517"/>
      <c r="E132" s="517"/>
      <c r="F132" s="517"/>
      <c r="G132" s="558"/>
      <c r="H132" s="518"/>
      <c r="I132" s="558"/>
      <c r="J132" s="494"/>
      <c r="K132" s="518"/>
      <c r="M132" s="517" t="s">
        <v>721</v>
      </c>
      <c r="N132" s="517" t="s">
        <v>1101</v>
      </c>
      <c r="O132" s="517" t="s">
        <v>25</v>
      </c>
      <c r="P132" s="518">
        <v>46</v>
      </c>
      <c r="Q132" s="494" t="str">
        <f t="shared" si="6"/>
        <v>SWUC100146</v>
      </c>
      <c r="R132" s="518">
        <v>292.60000000000002</v>
      </c>
      <c r="S132" s="518">
        <v>10000</v>
      </c>
      <c r="T132" s="518">
        <v>10000</v>
      </c>
      <c r="U132" s="518">
        <v>10000</v>
      </c>
      <c r="V132" s="518">
        <v>10000</v>
      </c>
      <c r="W132" s="518">
        <v>10000</v>
      </c>
      <c r="X132" s="518">
        <v>10000</v>
      </c>
      <c r="Y132" s="518">
        <v>10000</v>
      </c>
      <c r="Z132" s="518">
        <v>10000</v>
      </c>
      <c r="AA132" s="518">
        <v>10000</v>
      </c>
      <c r="AB132" s="518">
        <v>0</v>
      </c>
      <c r="AC132" s="518">
        <v>0</v>
      </c>
      <c r="AD132" s="518">
        <v>0</v>
      </c>
      <c r="AE132" s="518">
        <v>0</v>
      </c>
      <c r="AF132" s="518">
        <v>0</v>
      </c>
      <c r="AG132" s="518">
        <v>0</v>
      </c>
      <c r="AH132" s="518">
        <v>0</v>
      </c>
      <c r="AI132" s="518">
        <v>0</v>
      </c>
      <c r="AJ132" s="518">
        <v>0</v>
      </c>
      <c r="AK132" s="518">
        <v>0</v>
      </c>
      <c r="AL132" s="518">
        <v>0</v>
      </c>
      <c r="AM132" s="518">
        <v>0</v>
      </c>
      <c r="AN132" s="518">
        <v>0</v>
      </c>
      <c r="AO132" s="518">
        <v>0</v>
      </c>
      <c r="AP132" s="518">
        <v>0</v>
      </c>
      <c r="AQ132" s="518">
        <v>0</v>
      </c>
      <c r="AR132" s="518">
        <v>0</v>
      </c>
      <c r="AS132" s="518">
        <v>0</v>
      </c>
      <c r="AT132" s="518">
        <v>0</v>
      </c>
      <c r="AU132" s="518">
        <v>0</v>
      </c>
      <c r="AV132" s="518">
        <v>0</v>
      </c>
      <c r="AW132" s="518">
        <v>0</v>
      </c>
      <c r="AX132" s="518">
        <v>0</v>
      </c>
      <c r="AY132" s="518">
        <v>0</v>
      </c>
      <c r="AZ132" s="518">
        <v>0</v>
      </c>
      <c r="BA132" s="518">
        <v>0</v>
      </c>
      <c r="BB132" s="518">
        <v>0</v>
      </c>
      <c r="BC132" s="518">
        <v>0</v>
      </c>
      <c r="BD132" s="518">
        <v>0</v>
      </c>
      <c r="BE132" s="518">
        <v>0</v>
      </c>
      <c r="BF132" s="518">
        <v>0</v>
      </c>
      <c r="BG132" s="518">
        <v>0</v>
      </c>
      <c r="BH132" s="518">
        <v>0</v>
      </c>
      <c r="BI132" s="518">
        <v>0</v>
      </c>
      <c r="BJ132" s="518">
        <v>0</v>
      </c>
      <c r="BK132" s="518">
        <v>0</v>
      </c>
      <c r="BL132" s="518">
        <v>0</v>
      </c>
      <c r="BM132" s="518">
        <v>0</v>
      </c>
      <c r="BN132" s="518">
        <v>0</v>
      </c>
      <c r="BO132" s="518">
        <v>0</v>
      </c>
      <c r="BP132" s="518">
        <v>0</v>
      </c>
      <c r="BQ132" s="518">
        <v>0</v>
      </c>
      <c r="BR132" s="518">
        <v>0</v>
      </c>
      <c r="BS132" s="518">
        <v>0</v>
      </c>
      <c r="BT132" s="518">
        <v>0</v>
      </c>
      <c r="BU132" s="518">
        <v>0</v>
      </c>
      <c r="BV132" s="518">
        <v>0</v>
      </c>
      <c r="BW132" s="518">
        <v>0</v>
      </c>
      <c r="BX132" s="518">
        <v>0</v>
      </c>
      <c r="BY132" s="518">
        <v>0</v>
      </c>
      <c r="BZ132" s="518">
        <v>0</v>
      </c>
      <c r="CA132" s="518">
        <v>0</v>
      </c>
      <c r="CB132" s="518">
        <v>0</v>
      </c>
      <c r="CC132" s="518">
        <v>0</v>
      </c>
      <c r="CD132" s="518">
        <v>0</v>
      </c>
      <c r="CE132" s="518">
        <v>0</v>
      </c>
      <c r="CF132" s="518">
        <v>0</v>
      </c>
      <c r="CG132" s="518">
        <v>0</v>
      </c>
      <c r="CH132" s="518">
        <v>0</v>
      </c>
      <c r="CI132" s="518">
        <v>0</v>
      </c>
      <c r="CJ132" s="518">
        <v>0</v>
      </c>
      <c r="CK132" s="518">
        <v>0</v>
      </c>
      <c r="CL132" s="518">
        <v>0</v>
      </c>
      <c r="CM132" s="518">
        <v>0</v>
      </c>
      <c r="CN132" s="518">
        <v>0</v>
      </c>
      <c r="CO132" s="518">
        <v>0</v>
      </c>
      <c r="CP132" s="518">
        <v>0</v>
      </c>
      <c r="CQ132" s="518">
        <v>0</v>
      </c>
      <c r="CR132" s="518">
        <v>0</v>
      </c>
      <c r="CS132" s="518">
        <v>0</v>
      </c>
      <c r="CT132" s="518">
        <v>0</v>
      </c>
      <c r="CU132" s="518">
        <v>0</v>
      </c>
      <c r="CV132" s="518">
        <v>0</v>
      </c>
      <c r="CW132" s="518">
        <v>0</v>
      </c>
      <c r="CX132" s="518">
        <v>0</v>
      </c>
      <c r="CY132" s="518">
        <v>0</v>
      </c>
      <c r="CZ132" s="518">
        <v>0</v>
      </c>
      <c r="DA132" s="518">
        <v>0</v>
      </c>
      <c r="DB132" s="518">
        <v>0</v>
      </c>
      <c r="DC132" s="518">
        <v>0</v>
      </c>
      <c r="DD132" s="518">
        <v>0</v>
      </c>
      <c r="DE132" s="518">
        <v>0</v>
      </c>
      <c r="DF132" s="518">
        <v>0</v>
      </c>
      <c r="DG132" s="518">
        <v>0</v>
      </c>
      <c r="DH132" s="518">
        <v>0</v>
      </c>
      <c r="DI132" s="518">
        <v>0</v>
      </c>
      <c r="DJ132" s="518">
        <v>0</v>
      </c>
      <c r="DK132" s="518">
        <v>0</v>
      </c>
      <c r="DL132" s="518">
        <v>0</v>
      </c>
      <c r="DM132" s="518">
        <v>0</v>
      </c>
      <c r="DN132" s="518">
        <v>0</v>
      </c>
      <c r="DO132" s="518">
        <v>0</v>
      </c>
      <c r="DP132" s="518">
        <v>0</v>
      </c>
      <c r="DQ132" s="518">
        <v>0</v>
      </c>
      <c r="DR132" s="518">
        <v>0</v>
      </c>
      <c r="DS132" s="518">
        <v>0</v>
      </c>
      <c r="DT132" s="518">
        <v>0</v>
      </c>
      <c r="DU132" s="518">
        <v>0</v>
      </c>
      <c r="DV132" s="518">
        <v>0</v>
      </c>
      <c r="DW132" s="518">
        <v>0</v>
      </c>
      <c r="DX132" s="518">
        <v>0</v>
      </c>
      <c r="DZ132" s="517" t="s">
        <v>721</v>
      </c>
      <c r="EA132" s="517" t="s">
        <v>1101</v>
      </c>
      <c r="EB132" s="517" t="s">
        <v>25</v>
      </c>
      <c r="EC132" s="518">
        <v>46</v>
      </c>
      <c r="ED132" s="494" t="str">
        <f t="shared" si="7"/>
        <v>SWUC100146</v>
      </c>
      <c r="EE132" s="518">
        <v>292.60000000000002</v>
      </c>
      <c r="EF132" s="518">
        <v>2000</v>
      </c>
      <c r="EG132" s="518">
        <v>2000</v>
      </c>
      <c r="EH132" s="518">
        <v>2000</v>
      </c>
      <c r="EI132" s="518">
        <v>2000</v>
      </c>
      <c r="EJ132" s="518">
        <v>2000</v>
      </c>
      <c r="EK132" s="518">
        <v>2047.9</v>
      </c>
      <c r="EL132" s="518">
        <v>2340.5</v>
      </c>
      <c r="EM132" s="518">
        <v>2633</v>
      </c>
      <c r="EN132" s="518">
        <v>2925.6</v>
      </c>
      <c r="EO132" s="518">
        <v>0</v>
      </c>
      <c r="EP132" s="518">
        <v>0</v>
      </c>
      <c r="EQ132" s="518">
        <v>0</v>
      </c>
      <c r="ER132" s="518">
        <v>0</v>
      </c>
      <c r="ES132" s="518">
        <v>0</v>
      </c>
      <c r="ET132" s="518">
        <v>0</v>
      </c>
      <c r="EU132" s="518">
        <v>0</v>
      </c>
      <c r="EV132" s="518">
        <v>0</v>
      </c>
      <c r="EW132" s="518">
        <v>0</v>
      </c>
      <c r="EX132" s="518">
        <v>0</v>
      </c>
      <c r="EY132" s="518">
        <v>0</v>
      </c>
      <c r="EZ132" s="518">
        <v>0</v>
      </c>
      <c r="FA132" s="518">
        <v>0</v>
      </c>
      <c r="FB132" s="518">
        <v>0</v>
      </c>
      <c r="FC132" s="518">
        <v>0</v>
      </c>
      <c r="FD132" s="518">
        <v>0</v>
      </c>
      <c r="FE132" s="518">
        <v>0</v>
      </c>
      <c r="FF132" s="518">
        <v>0</v>
      </c>
      <c r="FG132" s="518">
        <v>0</v>
      </c>
      <c r="FH132" s="518">
        <v>0</v>
      </c>
      <c r="FI132" s="518">
        <v>0</v>
      </c>
      <c r="FJ132" s="518">
        <v>0</v>
      </c>
      <c r="FK132" s="518">
        <v>0</v>
      </c>
      <c r="FL132" s="518">
        <v>0</v>
      </c>
      <c r="FM132" s="518">
        <v>0</v>
      </c>
      <c r="FN132" s="518">
        <v>0</v>
      </c>
      <c r="FO132" s="518">
        <v>0</v>
      </c>
      <c r="FP132" s="518">
        <v>0</v>
      </c>
      <c r="FQ132" s="518">
        <v>0</v>
      </c>
      <c r="FR132" s="518">
        <v>0</v>
      </c>
      <c r="FS132" s="518">
        <v>0</v>
      </c>
      <c r="FT132" s="518">
        <v>0</v>
      </c>
      <c r="FU132" s="518">
        <v>0</v>
      </c>
      <c r="FV132" s="518">
        <v>0</v>
      </c>
      <c r="FW132" s="518">
        <v>0</v>
      </c>
      <c r="FX132" s="518">
        <v>0</v>
      </c>
      <c r="FY132" s="518">
        <v>0</v>
      </c>
      <c r="FZ132" s="518">
        <v>0</v>
      </c>
      <c r="GA132" s="518">
        <v>0</v>
      </c>
      <c r="GB132" s="518">
        <v>0</v>
      </c>
      <c r="GC132" s="518">
        <v>0</v>
      </c>
      <c r="GD132" s="518">
        <v>0</v>
      </c>
      <c r="GE132" s="518">
        <v>0</v>
      </c>
      <c r="GF132" s="518">
        <v>0</v>
      </c>
      <c r="GG132" s="518">
        <v>0</v>
      </c>
      <c r="GH132" s="518">
        <v>0</v>
      </c>
      <c r="GI132" s="518">
        <v>0</v>
      </c>
      <c r="GJ132" s="518">
        <v>0</v>
      </c>
      <c r="GK132" s="518">
        <v>0</v>
      </c>
      <c r="GL132" s="518">
        <v>0</v>
      </c>
      <c r="GM132" s="518">
        <v>0</v>
      </c>
      <c r="GN132" s="518">
        <v>0</v>
      </c>
      <c r="GO132" s="518">
        <v>0</v>
      </c>
      <c r="GP132" s="518">
        <v>0</v>
      </c>
      <c r="GQ132" s="518">
        <v>0</v>
      </c>
      <c r="GR132" s="518">
        <v>0</v>
      </c>
      <c r="GS132" s="518">
        <v>0</v>
      </c>
      <c r="GT132" s="518">
        <v>0</v>
      </c>
      <c r="GU132" s="518">
        <v>0</v>
      </c>
      <c r="GV132" s="518">
        <v>0</v>
      </c>
      <c r="GW132" s="518">
        <v>0</v>
      </c>
      <c r="GX132" s="518">
        <v>0</v>
      </c>
      <c r="GY132" s="518">
        <v>0</v>
      </c>
      <c r="GZ132" s="518">
        <v>0</v>
      </c>
      <c r="HA132" s="518">
        <v>0</v>
      </c>
      <c r="HB132" s="518">
        <v>0</v>
      </c>
      <c r="HC132" s="518">
        <v>0</v>
      </c>
      <c r="HD132" s="518">
        <v>0</v>
      </c>
      <c r="HE132" s="518">
        <v>0</v>
      </c>
      <c r="HF132" s="518">
        <v>0</v>
      </c>
      <c r="HG132" s="518">
        <v>0</v>
      </c>
      <c r="HH132" s="518">
        <v>0</v>
      </c>
      <c r="HI132" s="518">
        <v>0</v>
      </c>
      <c r="HJ132" s="518">
        <v>0</v>
      </c>
      <c r="HK132" s="518">
        <v>0</v>
      </c>
      <c r="HL132" s="518">
        <v>0</v>
      </c>
      <c r="HM132" s="518">
        <v>0</v>
      </c>
      <c r="HN132" s="518">
        <v>0</v>
      </c>
      <c r="HO132" s="518">
        <v>0</v>
      </c>
      <c r="HP132" s="518">
        <v>0</v>
      </c>
      <c r="HQ132" s="518">
        <v>0</v>
      </c>
      <c r="HR132" s="518">
        <v>0</v>
      </c>
      <c r="HS132" s="518">
        <v>0</v>
      </c>
      <c r="HT132" s="518">
        <v>0</v>
      </c>
      <c r="HU132" s="518">
        <v>0</v>
      </c>
      <c r="HV132" s="518">
        <v>0</v>
      </c>
      <c r="HW132" s="518">
        <v>0</v>
      </c>
      <c r="HX132" s="518">
        <v>0</v>
      </c>
      <c r="HY132" s="518">
        <v>0</v>
      </c>
      <c r="HZ132" s="518">
        <v>0</v>
      </c>
      <c r="IA132" s="518">
        <v>0</v>
      </c>
      <c r="IB132" s="518">
        <v>0</v>
      </c>
      <c r="IC132" s="518">
        <v>0</v>
      </c>
      <c r="ID132" s="518">
        <v>0</v>
      </c>
      <c r="IE132" s="518">
        <v>0</v>
      </c>
      <c r="IF132" s="518">
        <v>0</v>
      </c>
      <c r="IG132" s="518">
        <v>0</v>
      </c>
      <c r="IH132" s="518">
        <v>0</v>
      </c>
      <c r="II132" s="518">
        <v>0</v>
      </c>
      <c r="IJ132" s="518">
        <v>0</v>
      </c>
      <c r="IK132" s="518">
        <v>0</v>
      </c>
    </row>
    <row r="133" spans="1:245" ht="16.5" hidden="1">
      <c r="A133" s="517"/>
      <c r="B133" s="517"/>
      <c r="C133" s="517"/>
      <c r="D133" s="517"/>
      <c r="E133" s="517"/>
      <c r="F133" s="517"/>
      <c r="G133" s="558"/>
      <c r="H133" s="518"/>
      <c r="I133" s="558"/>
      <c r="J133" s="494"/>
      <c r="K133" s="518"/>
      <c r="M133" s="517" t="s">
        <v>721</v>
      </c>
      <c r="N133" s="517" t="s">
        <v>1101</v>
      </c>
      <c r="O133" s="517" t="s">
        <v>25</v>
      </c>
      <c r="P133" s="518">
        <v>47</v>
      </c>
      <c r="Q133" s="494" t="str">
        <f t="shared" si="6"/>
        <v>SWUC100147</v>
      </c>
      <c r="R133" s="518">
        <v>311.60000000000002</v>
      </c>
      <c r="S133" s="518">
        <v>10000</v>
      </c>
      <c r="T133" s="518">
        <v>10000</v>
      </c>
      <c r="U133" s="518">
        <v>10000</v>
      </c>
      <c r="V133" s="518">
        <v>10000</v>
      </c>
      <c r="W133" s="518">
        <v>10000</v>
      </c>
      <c r="X133" s="518">
        <v>10000</v>
      </c>
      <c r="Y133" s="518">
        <v>10000</v>
      </c>
      <c r="Z133" s="518">
        <v>10000</v>
      </c>
      <c r="AA133" s="518">
        <v>10000</v>
      </c>
      <c r="AB133" s="518">
        <v>0</v>
      </c>
      <c r="AC133" s="518">
        <v>0</v>
      </c>
      <c r="AD133" s="518">
        <v>0</v>
      </c>
      <c r="AE133" s="518">
        <v>0</v>
      </c>
      <c r="AF133" s="518">
        <v>0</v>
      </c>
      <c r="AG133" s="518">
        <v>0</v>
      </c>
      <c r="AH133" s="518">
        <v>0</v>
      </c>
      <c r="AI133" s="518">
        <v>0</v>
      </c>
      <c r="AJ133" s="518">
        <v>0</v>
      </c>
      <c r="AK133" s="518">
        <v>0</v>
      </c>
      <c r="AL133" s="518">
        <v>0</v>
      </c>
      <c r="AM133" s="518">
        <v>0</v>
      </c>
      <c r="AN133" s="518">
        <v>0</v>
      </c>
      <c r="AO133" s="518">
        <v>0</v>
      </c>
      <c r="AP133" s="518">
        <v>0</v>
      </c>
      <c r="AQ133" s="518">
        <v>0</v>
      </c>
      <c r="AR133" s="518">
        <v>0</v>
      </c>
      <c r="AS133" s="518">
        <v>0</v>
      </c>
      <c r="AT133" s="518">
        <v>0</v>
      </c>
      <c r="AU133" s="518">
        <v>0</v>
      </c>
      <c r="AV133" s="518">
        <v>0</v>
      </c>
      <c r="AW133" s="518">
        <v>0</v>
      </c>
      <c r="AX133" s="518">
        <v>0</v>
      </c>
      <c r="AY133" s="518">
        <v>0</v>
      </c>
      <c r="AZ133" s="518">
        <v>0</v>
      </c>
      <c r="BA133" s="518">
        <v>0</v>
      </c>
      <c r="BB133" s="518">
        <v>0</v>
      </c>
      <c r="BC133" s="518">
        <v>0</v>
      </c>
      <c r="BD133" s="518">
        <v>0</v>
      </c>
      <c r="BE133" s="518">
        <v>0</v>
      </c>
      <c r="BF133" s="518">
        <v>0</v>
      </c>
      <c r="BG133" s="518">
        <v>0</v>
      </c>
      <c r="BH133" s="518">
        <v>0</v>
      </c>
      <c r="BI133" s="518">
        <v>0</v>
      </c>
      <c r="BJ133" s="518">
        <v>0</v>
      </c>
      <c r="BK133" s="518">
        <v>0</v>
      </c>
      <c r="BL133" s="518">
        <v>0</v>
      </c>
      <c r="BM133" s="518">
        <v>0</v>
      </c>
      <c r="BN133" s="518">
        <v>0</v>
      </c>
      <c r="BO133" s="518">
        <v>0</v>
      </c>
      <c r="BP133" s="518">
        <v>0</v>
      </c>
      <c r="BQ133" s="518">
        <v>0</v>
      </c>
      <c r="BR133" s="518">
        <v>0</v>
      </c>
      <c r="BS133" s="518">
        <v>0</v>
      </c>
      <c r="BT133" s="518">
        <v>0</v>
      </c>
      <c r="BU133" s="518">
        <v>0</v>
      </c>
      <c r="BV133" s="518">
        <v>0</v>
      </c>
      <c r="BW133" s="518">
        <v>0</v>
      </c>
      <c r="BX133" s="518">
        <v>0</v>
      </c>
      <c r="BY133" s="518">
        <v>0</v>
      </c>
      <c r="BZ133" s="518">
        <v>0</v>
      </c>
      <c r="CA133" s="518">
        <v>0</v>
      </c>
      <c r="CB133" s="518">
        <v>0</v>
      </c>
      <c r="CC133" s="518">
        <v>0</v>
      </c>
      <c r="CD133" s="518">
        <v>0</v>
      </c>
      <c r="CE133" s="518">
        <v>0</v>
      </c>
      <c r="CF133" s="518">
        <v>0</v>
      </c>
      <c r="CG133" s="518">
        <v>0</v>
      </c>
      <c r="CH133" s="518">
        <v>0</v>
      </c>
      <c r="CI133" s="518">
        <v>0</v>
      </c>
      <c r="CJ133" s="518">
        <v>0</v>
      </c>
      <c r="CK133" s="518">
        <v>0</v>
      </c>
      <c r="CL133" s="518">
        <v>0</v>
      </c>
      <c r="CM133" s="518">
        <v>0</v>
      </c>
      <c r="CN133" s="518">
        <v>0</v>
      </c>
      <c r="CO133" s="518">
        <v>0</v>
      </c>
      <c r="CP133" s="518">
        <v>0</v>
      </c>
      <c r="CQ133" s="518">
        <v>0</v>
      </c>
      <c r="CR133" s="518">
        <v>0</v>
      </c>
      <c r="CS133" s="518">
        <v>0</v>
      </c>
      <c r="CT133" s="518">
        <v>0</v>
      </c>
      <c r="CU133" s="518">
        <v>0</v>
      </c>
      <c r="CV133" s="518">
        <v>0</v>
      </c>
      <c r="CW133" s="518">
        <v>0</v>
      </c>
      <c r="CX133" s="518">
        <v>0</v>
      </c>
      <c r="CY133" s="518">
        <v>0</v>
      </c>
      <c r="CZ133" s="518">
        <v>0</v>
      </c>
      <c r="DA133" s="518">
        <v>0</v>
      </c>
      <c r="DB133" s="518">
        <v>0</v>
      </c>
      <c r="DC133" s="518">
        <v>0</v>
      </c>
      <c r="DD133" s="518">
        <v>0</v>
      </c>
      <c r="DE133" s="518">
        <v>0</v>
      </c>
      <c r="DF133" s="518">
        <v>0</v>
      </c>
      <c r="DG133" s="518">
        <v>0</v>
      </c>
      <c r="DH133" s="518">
        <v>0</v>
      </c>
      <c r="DI133" s="518">
        <v>0</v>
      </c>
      <c r="DJ133" s="518">
        <v>0</v>
      </c>
      <c r="DK133" s="518">
        <v>0</v>
      </c>
      <c r="DL133" s="518">
        <v>0</v>
      </c>
      <c r="DM133" s="518">
        <v>0</v>
      </c>
      <c r="DN133" s="518">
        <v>0</v>
      </c>
      <c r="DO133" s="518">
        <v>0</v>
      </c>
      <c r="DP133" s="518">
        <v>0</v>
      </c>
      <c r="DQ133" s="518">
        <v>0</v>
      </c>
      <c r="DR133" s="518">
        <v>0</v>
      </c>
      <c r="DS133" s="518">
        <v>0</v>
      </c>
      <c r="DT133" s="518">
        <v>0</v>
      </c>
      <c r="DU133" s="518">
        <v>0</v>
      </c>
      <c r="DV133" s="518">
        <v>0</v>
      </c>
      <c r="DW133" s="518">
        <v>0</v>
      </c>
      <c r="DX133" s="518">
        <v>0</v>
      </c>
      <c r="DZ133" s="517" t="s">
        <v>721</v>
      </c>
      <c r="EA133" s="517" t="s">
        <v>1101</v>
      </c>
      <c r="EB133" s="517" t="s">
        <v>25</v>
      </c>
      <c r="EC133" s="518">
        <v>47</v>
      </c>
      <c r="ED133" s="494" t="str">
        <f t="shared" si="7"/>
        <v>SWUC100147</v>
      </c>
      <c r="EE133" s="518">
        <v>311.60000000000002</v>
      </c>
      <c r="EF133" s="518">
        <v>2000</v>
      </c>
      <c r="EG133" s="518">
        <v>2000</v>
      </c>
      <c r="EH133" s="518">
        <v>2000</v>
      </c>
      <c r="EI133" s="518">
        <v>2000</v>
      </c>
      <c r="EJ133" s="518">
        <v>2000</v>
      </c>
      <c r="EK133" s="518">
        <v>2181.5</v>
      </c>
      <c r="EL133" s="518">
        <v>2493.1</v>
      </c>
      <c r="EM133" s="518">
        <v>2804.8</v>
      </c>
      <c r="EN133" s="518">
        <v>3116.4</v>
      </c>
      <c r="EO133" s="518">
        <v>0</v>
      </c>
      <c r="EP133" s="518">
        <v>0</v>
      </c>
      <c r="EQ133" s="518">
        <v>0</v>
      </c>
      <c r="ER133" s="518">
        <v>0</v>
      </c>
      <c r="ES133" s="518">
        <v>0</v>
      </c>
      <c r="ET133" s="518">
        <v>0</v>
      </c>
      <c r="EU133" s="518">
        <v>0</v>
      </c>
      <c r="EV133" s="518">
        <v>0</v>
      </c>
      <c r="EW133" s="518">
        <v>0</v>
      </c>
      <c r="EX133" s="518">
        <v>0</v>
      </c>
      <c r="EY133" s="518">
        <v>0</v>
      </c>
      <c r="EZ133" s="518">
        <v>0</v>
      </c>
      <c r="FA133" s="518">
        <v>0</v>
      </c>
      <c r="FB133" s="518">
        <v>0</v>
      </c>
      <c r="FC133" s="518">
        <v>0</v>
      </c>
      <c r="FD133" s="518">
        <v>0</v>
      </c>
      <c r="FE133" s="518">
        <v>0</v>
      </c>
      <c r="FF133" s="518">
        <v>0</v>
      </c>
      <c r="FG133" s="518">
        <v>0</v>
      </c>
      <c r="FH133" s="518">
        <v>0</v>
      </c>
      <c r="FI133" s="518">
        <v>0</v>
      </c>
      <c r="FJ133" s="518">
        <v>0</v>
      </c>
      <c r="FK133" s="518">
        <v>0</v>
      </c>
      <c r="FL133" s="518">
        <v>0</v>
      </c>
      <c r="FM133" s="518">
        <v>0</v>
      </c>
      <c r="FN133" s="518">
        <v>0</v>
      </c>
      <c r="FO133" s="518">
        <v>0</v>
      </c>
      <c r="FP133" s="518">
        <v>0</v>
      </c>
      <c r="FQ133" s="518">
        <v>0</v>
      </c>
      <c r="FR133" s="518">
        <v>0</v>
      </c>
      <c r="FS133" s="518">
        <v>0</v>
      </c>
      <c r="FT133" s="518">
        <v>0</v>
      </c>
      <c r="FU133" s="518">
        <v>0</v>
      </c>
      <c r="FV133" s="518">
        <v>0</v>
      </c>
      <c r="FW133" s="518">
        <v>0</v>
      </c>
      <c r="FX133" s="518">
        <v>0</v>
      </c>
      <c r="FY133" s="518">
        <v>0</v>
      </c>
      <c r="FZ133" s="518">
        <v>0</v>
      </c>
      <c r="GA133" s="518">
        <v>0</v>
      </c>
      <c r="GB133" s="518">
        <v>0</v>
      </c>
      <c r="GC133" s="518">
        <v>0</v>
      </c>
      <c r="GD133" s="518">
        <v>0</v>
      </c>
      <c r="GE133" s="518">
        <v>0</v>
      </c>
      <c r="GF133" s="518">
        <v>0</v>
      </c>
      <c r="GG133" s="518">
        <v>0</v>
      </c>
      <c r="GH133" s="518">
        <v>0</v>
      </c>
      <c r="GI133" s="518">
        <v>0</v>
      </c>
      <c r="GJ133" s="518">
        <v>0</v>
      </c>
      <c r="GK133" s="518">
        <v>0</v>
      </c>
      <c r="GL133" s="518">
        <v>0</v>
      </c>
      <c r="GM133" s="518">
        <v>0</v>
      </c>
      <c r="GN133" s="518">
        <v>0</v>
      </c>
      <c r="GO133" s="518">
        <v>0</v>
      </c>
      <c r="GP133" s="518">
        <v>0</v>
      </c>
      <c r="GQ133" s="518">
        <v>0</v>
      </c>
      <c r="GR133" s="518">
        <v>0</v>
      </c>
      <c r="GS133" s="518">
        <v>0</v>
      </c>
      <c r="GT133" s="518">
        <v>0</v>
      </c>
      <c r="GU133" s="518">
        <v>0</v>
      </c>
      <c r="GV133" s="518">
        <v>0</v>
      </c>
      <c r="GW133" s="518">
        <v>0</v>
      </c>
      <c r="GX133" s="518">
        <v>0</v>
      </c>
      <c r="GY133" s="518">
        <v>0</v>
      </c>
      <c r="GZ133" s="518">
        <v>0</v>
      </c>
      <c r="HA133" s="518">
        <v>0</v>
      </c>
      <c r="HB133" s="518">
        <v>0</v>
      </c>
      <c r="HC133" s="518">
        <v>0</v>
      </c>
      <c r="HD133" s="518">
        <v>0</v>
      </c>
      <c r="HE133" s="518">
        <v>0</v>
      </c>
      <c r="HF133" s="518">
        <v>0</v>
      </c>
      <c r="HG133" s="518">
        <v>0</v>
      </c>
      <c r="HH133" s="518">
        <v>0</v>
      </c>
      <c r="HI133" s="518">
        <v>0</v>
      </c>
      <c r="HJ133" s="518">
        <v>0</v>
      </c>
      <c r="HK133" s="518">
        <v>0</v>
      </c>
      <c r="HL133" s="518">
        <v>0</v>
      </c>
      <c r="HM133" s="518">
        <v>0</v>
      </c>
      <c r="HN133" s="518">
        <v>0</v>
      </c>
      <c r="HO133" s="518">
        <v>0</v>
      </c>
      <c r="HP133" s="518">
        <v>0</v>
      </c>
      <c r="HQ133" s="518">
        <v>0</v>
      </c>
      <c r="HR133" s="518">
        <v>0</v>
      </c>
      <c r="HS133" s="518">
        <v>0</v>
      </c>
      <c r="HT133" s="518">
        <v>0</v>
      </c>
      <c r="HU133" s="518">
        <v>0</v>
      </c>
      <c r="HV133" s="518">
        <v>0</v>
      </c>
      <c r="HW133" s="518">
        <v>0</v>
      </c>
      <c r="HX133" s="518">
        <v>0</v>
      </c>
      <c r="HY133" s="518">
        <v>0</v>
      </c>
      <c r="HZ133" s="518">
        <v>0</v>
      </c>
      <c r="IA133" s="518">
        <v>0</v>
      </c>
      <c r="IB133" s="518">
        <v>0</v>
      </c>
      <c r="IC133" s="518">
        <v>0</v>
      </c>
      <c r="ID133" s="518">
        <v>0</v>
      </c>
      <c r="IE133" s="518">
        <v>0</v>
      </c>
      <c r="IF133" s="518">
        <v>0</v>
      </c>
      <c r="IG133" s="518">
        <v>0</v>
      </c>
      <c r="IH133" s="518">
        <v>0</v>
      </c>
      <c r="II133" s="518">
        <v>0</v>
      </c>
      <c r="IJ133" s="518">
        <v>0</v>
      </c>
      <c r="IK133" s="518">
        <v>0</v>
      </c>
    </row>
    <row r="134" spans="1:245" ht="16.5" hidden="1">
      <c r="A134" s="517"/>
      <c r="B134" s="517"/>
      <c r="C134" s="517"/>
      <c r="D134" s="517"/>
      <c r="E134" s="517"/>
      <c r="F134" s="517"/>
      <c r="G134" s="558"/>
      <c r="H134" s="518"/>
      <c r="I134" s="558"/>
      <c r="J134" s="494"/>
      <c r="K134" s="518"/>
      <c r="M134" s="517" t="s">
        <v>721</v>
      </c>
      <c r="N134" s="517" t="s">
        <v>1101</v>
      </c>
      <c r="O134" s="517" t="s">
        <v>25</v>
      </c>
      <c r="P134" s="518">
        <v>48</v>
      </c>
      <c r="Q134" s="494" t="str">
        <f t="shared" si="6"/>
        <v>SWUC100148</v>
      </c>
      <c r="R134" s="518">
        <v>330.7</v>
      </c>
      <c r="S134" s="518">
        <v>10000</v>
      </c>
      <c r="T134" s="518">
        <v>10000</v>
      </c>
      <c r="U134" s="518">
        <v>10000</v>
      </c>
      <c r="V134" s="518">
        <v>10000</v>
      </c>
      <c r="W134" s="518">
        <v>10000</v>
      </c>
      <c r="X134" s="518">
        <v>10000</v>
      </c>
      <c r="Y134" s="518">
        <v>10000</v>
      </c>
      <c r="Z134" s="518">
        <v>10000</v>
      </c>
      <c r="AA134" s="518">
        <v>10000</v>
      </c>
      <c r="AB134" s="518">
        <v>0</v>
      </c>
      <c r="AC134" s="518">
        <v>0</v>
      </c>
      <c r="AD134" s="518">
        <v>0</v>
      </c>
      <c r="AE134" s="518">
        <v>0</v>
      </c>
      <c r="AF134" s="518">
        <v>0</v>
      </c>
      <c r="AG134" s="518">
        <v>0</v>
      </c>
      <c r="AH134" s="518">
        <v>0</v>
      </c>
      <c r="AI134" s="518">
        <v>0</v>
      </c>
      <c r="AJ134" s="518">
        <v>0</v>
      </c>
      <c r="AK134" s="518">
        <v>0</v>
      </c>
      <c r="AL134" s="518">
        <v>0</v>
      </c>
      <c r="AM134" s="518">
        <v>0</v>
      </c>
      <c r="AN134" s="518">
        <v>0</v>
      </c>
      <c r="AO134" s="518">
        <v>0</v>
      </c>
      <c r="AP134" s="518">
        <v>0</v>
      </c>
      <c r="AQ134" s="518">
        <v>0</v>
      </c>
      <c r="AR134" s="518">
        <v>0</v>
      </c>
      <c r="AS134" s="518">
        <v>0</v>
      </c>
      <c r="AT134" s="518">
        <v>0</v>
      </c>
      <c r="AU134" s="518">
        <v>0</v>
      </c>
      <c r="AV134" s="518">
        <v>0</v>
      </c>
      <c r="AW134" s="518">
        <v>0</v>
      </c>
      <c r="AX134" s="518">
        <v>0</v>
      </c>
      <c r="AY134" s="518">
        <v>0</v>
      </c>
      <c r="AZ134" s="518">
        <v>0</v>
      </c>
      <c r="BA134" s="518">
        <v>0</v>
      </c>
      <c r="BB134" s="518">
        <v>0</v>
      </c>
      <c r="BC134" s="518">
        <v>0</v>
      </c>
      <c r="BD134" s="518">
        <v>0</v>
      </c>
      <c r="BE134" s="518">
        <v>0</v>
      </c>
      <c r="BF134" s="518">
        <v>0</v>
      </c>
      <c r="BG134" s="518">
        <v>0</v>
      </c>
      <c r="BH134" s="518">
        <v>0</v>
      </c>
      <c r="BI134" s="518">
        <v>0</v>
      </c>
      <c r="BJ134" s="518">
        <v>0</v>
      </c>
      <c r="BK134" s="518">
        <v>0</v>
      </c>
      <c r="BL134" s="518">
        <v>0</v>
      </c>
      <c r="BM134" s="518">
        <v>0</v>
      </c>
      <c r="BN134" s="518">
        <v>0</v>
      </c>
      <c r="BO134" s="518">
        <v>0</v>
      </c>
      <c r="BP134" s="518">
        <v>0</v>
      </c>
      <c r="BQ134" s="518">
        <v>0</v>
      </c>
      <c r="BR134" s="518">
        <v>0</v>
      </c>
      <c r="BS134" s="518">
        <v>0</v>
      </c>
      <c r="BT134" s="518">
        <v>0</v>
      </c>
      <c r="BU134" s="518">
        <v>0</v>
      </c>
      <c r="BV134" s="518">
        <v>0</v>
      </c>
      <c r="BW134" s="518">
        <v>0</v>
      </c>
      <c r="BX134" s="518">
        <v>0</v>
      </c>
      <c r="BY134" s="518">
        <v>0</v>
      </c>
      <c r="BZ134" s="518">
        <v>0</v>
      </c>
      <c r="CA134" s="518">
        <v>0</v>
      </c>
      <c r="CB134" s="518">
        <v>0</v>
      </c>
      <c r="CC134" s="518">
        <v>0</v>
      </c>
      <c r="CD134" s="518">
        <v>0</v>
      </c>
      <c r="CE134" s="518">
        <v>0</v>
      </c>
      <c r="CF134" s="518">
        <v>0</v>
      </c>
      <c r="CG134" s="518">
        <v>0</v>
      </c>
      <c r="CH134" s="518">
        <v>0</v>
      </c>
      <c r="CI134" s="518">
        <v>0</v>
      </c>
      <c r="CJ134" s="518">
        <v>0</v>
      </c>
      <c r="CK134" s="518">
        <v>0</v>
      </c>
      <c r="CL134" s="518">
        <v>0</v>
      </c>
      <c r="CM134" s="518">
        <v>0</v>
      </c>
      <c r="CN134" s="518">
        <v>0</v>
      </c>
      <c r="CO134" s="518">
        <v>0</v>
      </c>
      <c r="CP134" s="518">
        <v>0</v>
      </c>
      <c r="CQ134" s="518">
        <v>0</v>
      </c>
      <c r="CR134" s="518">
        <v>0</v>
      </c>
      <c r="CS134" s="518">
        <v>0</v>
      </c>
      <c r="CT134" s="518">
        <v>0</v>
      </c>
      <c r="CU134" s="518">
        <v>0</v>
      </c>
      <c r="CV134" s="518">
        <v>0</v>
      </c>
      <c r="CW134" s="518">
        <v>0</v>
      </c>
      <c r="CX134" s="518">
        <v>0</v>
      </c>
      <c r="CY134" s="518">
        <v>0</v>
      </c>
      <c r="CZ134" s="518">
        <v>0</v>
      </c>
      <c r="DA134" s="518">
        <v>0</v>
      </c>
      <c r="DB134" s="518">
        <v>0</v>
      </c>
      <c r="DC134" s="518">
        <v>0</v>
      </c>
      <c r="DD134" s="518">
        <v>0</v>
      </c>
      <c r="DE134" s="518">
        <v>0</v>
      </c>
      <c r="DF134" s="518">
        <v>0</v>
      </c>
      <c r="DG134" s="518">
        <v>0</v>
      </c>
      <c r="DH134" s="518">
        <v>0</v>
      </c>
      <c r="DI134" s="518">
        <v>0</v>
      </c>
      <c r="DJ134" s="518">
        <v>0</v>
      </c>
      <c r="DK134" s="518">
        <v>0</v>
      </c>
      <c r="DL134" s="518">
        <v>0</v>
      </c>
      <c r="DM134" s="518">
        <v>0</v>
      </c>
      <c r="DN134" s="518">
        <v>0</v>
      </c>
      <c r="DO134" s="518">
        <v>0</v>
      </c>
      <c r="DP134" s="518">
        <v>0</v>
      </c>
      <c r="DQ134" s="518">
        <v>0</v>
      </c>
      <c r="DR134" s="518">
        <v>0</v>
      </c>
      <c r="DS134" s="518">
        <v>0</v>
      </c>
      <c r="DT134" s="518">
        <v>0</v>
      </c>
      <c r="DU134" s="518">
        <v>0</v>
      </c>
      <c r="DV134" s="518">
        <v>0</v>
      </c>
      <c r="DW134" s="518">
        <v>0</v>
      </c>
      <c r="DX134" s="518">
        <v>0</v>
      </c>
      <c r="DZ134" s="517" t="s">
        <v>721</v>
      </c>
      <c r="EA134" s="517" t="s">
        <v>1101</v>
      </c>
      <c r="EB134" s="517" t="s">
        <v>25</v>
      </c>
      <c r="EC134" s="518">
        <v>48</v>
      </c>
      <c r="ED134" s="494" t="str">
        <f t="shared" si="7"/>
        <v>SWUC100148</v>
      </c>
      <c r="EE134" s="518">
        <v>330.7</v>
      </c>
      <c r="EF134" s="518">
        <v>2000</v>
      </c>
      <c r="EG134" s="518">
        <v>2000</v>
      </c>
      <c r="EH134" s="518">
        <v>2000</v>
      </c>
      <c r="EI134" s="518">
        <v>2000</v>
      </c>
      <c r="EJ134" s="518">
        <v>2000</v>
      </c>
      <c r="EK134" s="518">
        <v>2315</v>
      </c>
      <c r="EL134" s="518">
        <v>2645.8</v>
      </c>
      <c r="EM134" s="518">
        <v>2976.5</v>
      </c>
      <c r="EN134" s="518">
        <v>3307.2</v>
      </c>
      <c r="EO134" s="518">
        <v>0</v>
      </c>
      <c r="EP134" s="518">
        <v>0</v>
      </c>
      <c r="EQ134" s="518">
        <v>0</v>
      </c>
      <c r="ER134" s="518">
        <v>0</v>
      </c>
      <c r="ES134" s="518">
        <v>0</v>
      </c>
      <c r="ET134" s="518">
        <v>0</v>
      </c>
      <c r="EU134" s="518">
        <v>0</v>
      </c>
      <c r="EV134" s="518">
        <v>0</v>
      </c>
      <c r="EW134" s="518">
        <v>0</v>
      </c>
      <c r="EX134" s="518">
        <v>0</v>
      </c>
      <c r="EY134" s="518">
        <v>0</v>
      </c>
      <c r="EZ134" s="518">
        <v>0</v>
      </c>
      <c r="FA134" s="518">
        <v>0</v>
      </c>
      <c r="FB134" s="518">
        <v>0</v>
      </c>
      <c r="FC134" s="518">
        <v>0</v>
      </c>
      <c r="FD134" s="518">
        <v>0</v>
      </c>
      <c r="FE134" s="518">
        <v>0</v>
      </c>
      <c r="FF134" s="518">
        <v>0</v>
      </c>
      <c r="FG134" s="518">
        <v>0</v>
      </c>
      <c r="FH134" s="518">
        <v>0</v>
      </c>
      <c r="FI134" s="518">
        <v>0</v>
      </c>
      <c r="FJ134" s="518">
        <v>0</v>
      </c>
      <c r="FK134" s="518">
        <v>0</v>
      </c>
      <c r="FL134" s="518">
        <v>0</v>
      </c>
      <c r="FM134" s="518">
        <v>0</v>
      </c>
      <c r="FN134" s="518">
        <v>0</v>
      </c>
      <c r="FO134" s="518">
        <v>0</v>
      </c>
      <c r="FP134" s="518">
        <v>0</v>
      </c>
      <c r="FQ134" s="518">
        <v>0</v>
      </c>
      <c r="FR134" s="518">
        <v>0</v>
      </c>
      <c r="FS134" s="518">
        <v>0</v>
      </c>
      <c r="FT134" s="518">
        <v>0</v>
      </c>
      <c r="FU134" s="518">
        <v>0</v>
      </c>
      <c r="FV134" s="518">
        <v>0</v>
      </c>
      <c r="FW134" s="518">
        <v>0</v>
      </c>
      <c r="FX134" s="518">
        <v>0</v>
      </c>
      <c r="FY134" s="518">
        <v>0</v>
      </c>
      <c r="FZ134" s="518">
        <v>0</v>
      </c>
      <c r="GA134" s="518">
        <v>0</v>
      </c>
      <c r="GB134" s="518">
        <v>0</v>
      </c>
      <c r="GC134" s="518">
        <v>0</v>
      </c>
      <c r="GD134" s="518">
        <v>0</v>
      </c>
      <c r="GE134" s="518">
        <v>0</v>
      </c>
      <c r="GF134" s="518">
        <v>0</v>
      </c>
      <c r="GG134" s="518">
        <v>0</v>
      </c>
      <c r="GH134" s="518">
        <v>0</v>
      </c>
      <c r="GI134" s="518">
        <v>0</v>
      </c>
      <c r="GJ134" s="518">
        <v>0</v>
      </c>
      <c r="GK134" s="518">
        <v>0</v>
      </c>
      <c r="GL134" s="518">
        <v>0</v>
      </c>
      <c r="GM134" s="518">
        <v>0</v>
      </c>
      <c r="GN134" s="518">
        <v>0</v>
      </c>
      <c r="GO134" s="518">
        <v>0</v>
      </c>
      <c r="GP134" s="518">
        <v>0</v>
      </c>
      <c r="GQ134" s="518">
        <v>0</v>
      </c>
      <c r="GR134" s="518">
        <v>0</v>
      </c>
      <c r="GS134" s="518">
        <v>0</v>
      </c>
      <c r="GT134" s="518">
        <v>0</v>
      </c>
      <c r="GU134" s="518">
        <v>0</v>
      </c>
      <c r="GV134" s="518">
        <v>0</v>
      </c>
      <c r="GW134" s="518">
        <v>0</v>
      </c>
      <c r="GX134" s="518">
        <v>0</v>
      </c>
      <c r="GY134" s="518">
        <v>0</v>
      </c>
      <c r="GZ134" s="518">
        <v>0</v>
      </c>
      <c r="HA134" s="518">
        <v>0</v>
      </c>
      <c r="HB134" s="518">
        <v>0</v>
      </c>
      <c r="HC134" s="518">
        <v>0</v>
      </c>
      <c r="HD134" s="518">
        <v>0</v>
      </c>
      <c r="HE134" s="518">
        <v>0</v>
      </c>
      <c r="HF134" s="518">
        <v>0</v>
      </c>
      <c r="HG134" s="518">
        <v>0</v>
      </c>
      <c r="HH134" s="518">
        <v>0</v>
      </c>
      <c r="HI134" s="518">
        <v>0</v>
      </c>
      <c r="HJ134" s="518">
        <v>0</v>
      </c>
      <c r="HK134" s="518">
        <v>0</v>
      </c>
      <c r="HL134" s="518">
        <v>0</v>
      </c>
      <c r="HM134" s="518">
        <v>0</v>
      </c>
      <c r="HN134" s="518">
        <v>0</v>
      </c>
      <c r="HO134" s="518">
        <v>0</v>
      </c>
      <c r="HP134" s="518">
        <v>0</v>
      </c>
      <c r="HQ134" s="518">
        <v>0</v>
      </c>
      <c r="HR134" s="518">
        <v>0</v>
      </c>
      <c r="HS134" s="518">
        <v>0</v>
      </c>
      <c r="HT134" s="518">
        <v>0</v>
      </c>
      <c r="HU134" s="518">
        <v>0</v>
      </c>
      <c r="HV134" s="518">
        <v>0</v>
      </c>
      <c r="HW134" s="518">
        <v>0</v>
      </c>
      <c r="HX134" s="518">
        <v>0</v>
      </c>
      <c r="HY134" s="518">
        <v>0</v>
      </c>
      <c r="HZ134" s="518">
        <v>0</v>
      </c>
      <c r="IA134" s="518">
        <v>0</v>
      </c>
      <c r="IB134" s="518">
        <v>0</v>
      </c>
      <c r="IC134" s="518">
        <v>0</v>
      </c>
      <c r="ID134" s="518">
        <v>0</v>
      </c>
      <c r="IE134" s="518">
        <v>0</v>
      </c>
      <c r="IF134" s="518">
        <v>0</v>
      </c>
      <c r="IG134" s="518">
        <v>0</v>
      </c>
      <c r="IH134" s="518">
        <v>0</v>
      </c>
      <c r="II134" s="518">
        <v>0</v>
      </c>
      <c r="IJ134" s="518">
        <v>0</v>
      </c>
      <c r="IK134" s="518">
        <v>0</v>
      </c>
    </row>
    <row r="135" spans="1:245" ht="16.5" hidden="1">
      <c r="A135" s="517"/>
      <c r="B135" s="517"/>
      <c r="C135" s="517"/>
      <c r="D135" s="517"/>
      <c r="E135" s="517"/>
      <c r="F135" s="517"/>
      <c r="G135" s="558"/>
      <c r="H135" s="518"/>
      <c r="I135" s="558"/>
      <c r="J135" s="494"/>
      <c r="K135" s="518"/>
      <c r="M135" s="517" t="s">
        <v>721</v>
      </c>
      <c r="N135" s="517" t="s">
        <v>1101</v>
      </c>
      <c r="O135" s="517" t="s">
        <v>25</v>
      </c>
      <c r="P135" s="518">
        <v>49</v>
      </c>
      <c r="Q135" s="494" t="str">
        <f t="shared" si="6"/>
        <v>SWUC100149</v>
      </c>
      <c r="R135" s="518">
        <v>349.8</v>
      </c>
      <c r="S135" s="518">
        <v>10000</v>
      </c>
      <c r="T135" s="518">
        <v>10000</v>
      </c>
      <c r="U135" s="518">
        <v>10000</v>
      </c>
      <c r="V135" s="518">
        <v>10000</v>
      </c>
      <c r="W135" s="518">
        <v>10000</v>
      </c>
      <c r="X135" s="518">
        <v>10000</v>
      </c>
      <c r="Y135" s="518">
        <v>10000</v>
      </c>
      <c r="Z135" s="518">
        <v>10000</v>
      </c>
      <c r="AA135" s="518">
        <v>10000</v>
      </c>
      <c r="AB135" s="518">
        <v>0</v>
      </c>
      <c r="AC135" s="518">
        <v>0</v>
      </c>
      <c r="AD135" s="518">
        <v>0</v>
      </c>
      <c r="AE135" s="518">
        <v>0</v>
      </c>
      <c r="AF135" s="518">
        <v>0</v>
      </c>
      <c r="AG135" s="518">
        <v>0</v>
      </c>
      <c r="AH135" s="518">
        <v>0</v>
      </c>
      <c r="AI135" s="518">
        <v>0</v>
      </c>
      <c r="AJ135" s="518">
        <v>0</v>
      </c>
      <c r="AK135" s="518">
        <v>0</v>
      </c>
      <c r="AL135" s="518">
        <v>0</v>
      </c>
      <c r="AM135" s="518">
        <v>0</v>
      </c>
      <c r="AN135" s="518">
        <v>0</v>
      </c>
      <c r="AO135" s="518">
        <v>0</v>
      </c>
      <c r="AP135" s="518">
        <v>0</v>
      </c>
      <c r="AQ135" s="518">
        <v>0</v>
      </c>
      <c r="AR135" s="518">
        <v>0</v>
      </c>
      <c r="AS135" s="518">
        <v>0</v>
      </c>
      <c r="AT135" s="518">
        <v>0</v>
      </c>
      <c r="AU135" s="518">
        <v>0</v>
      </c>
      <c r="AV135" s="518">
        <v>0</v>
      </c>
      <c r="AW135" s="518">
        <v>0</v>
      </c>
      <c r="AX135" s="518">
        <v>0</v>
      </c>
      <c r="AY135" s="518">
        <v>0</v>
      </c>
      <c r="AZ135" s="518">
        <v>0</v>
      </c>
      <c r="BA135" s="518">
        <v>0</v>
      </c>
      <c r="BB135" s="518">
        <v>0</v>
      </c>
      <c r="BC135" s="518">
        <v>0</v>
      </c>
      <c r="BD135" s="518">
        <v>0</v>
      </c>
      <c r="BE135" s="518">
        <v>0</v>
      </c>
      <c r="BF135" s="518">
        <v>0</v>
      </c>
      <c r="BG135" s="518">
        <v>0</v>
      </c>
      <c r="BH135" s="518">
        <v>0</v>
      </c>
      <c r="BI135" s="518">
        <v>0</v>
      </c>
      <c r="BJ135" s="518">
        <v>0</v>
      </c>
      <c r="BK135" s="518">
        <v>0</v>
      </c>
      <c r="BL135" s="518">
        <v>0</v>
      </c>
      <c r="BM135" s="518">
        <v>0</v>
      </c>
      <c r="BN135" s="518">
        <v>0</v>
      </c>
      <c r="BO135" s="518">
        <v>0</v>
      </c>
      <c r="BP135" s="518">
        <v>0</v>
      </c>
      <c r="BQ135" s="518">
        <v>0</v>
      </c>
      <c r="BR135" s="518">
        <v>0</v>
      </c>
      <c r="BS135" s="518">
        <v>0</v>
      </c>
      <c r="BT135" s="518">
        <v>0</v>
      </c>
      <c r="BU135" s="518">
        <v>0</v>
      </c>
      <c r="BV135" s="518">
        <v>0</v>
      </c>
      <c r="BW135" s="518">
        <v>0</v>
      </c>
      <c r="BX135" s="518">
        <v>0</v>
      </c>
      <c r="BY135" s="518">
        <v>0</v>
      </c>
      <c r="BZ135" s="518">
        <v>0</v>
      </c>
      <c r="CA135" s="518">
        <v>0</v>
      </c>
      <c r="CB135" s="518">
        <v>0</v>
      </c>
      <c r="CC135" s="518">
        <v>0</v>
      </c>
      <c r="CD135" s="518">
        <v>0</v>
      </c>
      <c r="CE135" s="518">
        <v>0</v>
      </c>
      <c r="CF135" s="518">
        <v>0</v>
      </c>
      <c r="CG135" s="518">
        <v>0</v>
      </c>
      <c r="CH135" s="518">
        <v>0</v>
      </c>
      <c r="CI135" s="518">
        <v>0</v>
      </c>
      <c r="CJ135" s="518">
        <v>0</v>
      </c>
      <c r="CK135" s="518">
        <v>0</v>
      </c>
      <c r="CL135" s="518">
        <v>0</v>
      </c>
      <c r="CM135" s="518">
        <v>0</v>
      </c>
      <c r="CN135" s="518">
        <v>0</v>
      </c>
      <c r="CO135" s="518">
        <v>0</v>
      </c>
      <c r="CP135" s="518">
        <v>0</v>
      </c>
      <c r="CQ135" s="518">
        <v>0</v>
      </c>
      <c r="CR135" s="518">
        <v>0</v>
      </c>
      <c r="CS135" s="518">
        <v>0</v>
      </c>
      <c r="CT135" s="518">
        <v>0</v>
      </c>
      <c r="CU135" s="518">
        <v>0</v>
      </c>
      <c r="CV135" s="518">
        <v>0</v>
      </c>
      <c r="CW135" s="518">
        <v>0</v>
      </c>
      <c r="CX135" s="518">
        <v>0</v>
      </c>
      <c r="CY135" s="518">
        <v>0</v>
      </c>
      <c r="CZ135" s="518">
        <v>0</v>
      </c>
      <c r="DA135" s="518">
        <v>0</v>
      </c>
      <c r="DB135" s="518">
        <v>0</v>
      </c>
      <c r="DC135" s="518">
        <v>0</v>
      </c>
      <c r="DD135" s="518">
        <v>0</v>
      </c>
      <c r="DE135" s="518">
        <v>0</v>
      </c>
      <c r="DF135" s="518">
        <v>0</v>
      </c>
      <c r="DG135" s="518">
        <v>0</v>
      </c>
      <c r="DH135" s="518">
        <v>0</v>
      </c>
      <c r="DI135" s="518">
        <v>0</v>
      </c>
      <c r="DJ135" s="518">
        <v>0</v>
      </c>
      <c r="DK135" s="518">
        <v>0</v>
      </c>
      <c r="DL135" s="518">
        <v>0</v>
      </c>
      <c r="DM135" s="518">
        <v>0</v>
      </c>
      <c r="DN135" s="518">
        <v>0</v>
      </c>
      <c r="DO135" s="518">
        <v>0</v>
      </c>
      <c r="DP135" s="518">
        <v>0</v>
      </c>
      <c r="DQ135" s="518">
        <v>0</v>
      </c>
      <c r="DR135" s="518">
        <v>0</v>
      </c>
      <c r="DS135" s="518">
        <v>0</v>
      </c>
      <c r="DT135" s="518">
        <v>0</v>
      </c>
      <c r="DU135" s="518">
        <v>0</v>
      </c>
      <c r="DV135" s="518">
        <v>0</v>
      </c>
      <c r="DW135" s="518">
        <v>0</v>
      </c>
      <c r="DX135" s="518">
        <v>0</v>
      </c>
      <c r="DZ135" s="517" t="s">
        <v>721</v>
      </c>
      <c r="EA135" s="517" t="s">
        <v>1101</v>
      </c>
      <c r="EB135" s="517" t="s">
        <v>25</v>
      </c>
      <c r="EC135" s="518">
        <v>49</v>
      </c>
      <c r="ED135" s="494" t="str">
        <f t="shared" si="7"/>
        <v>SWUC100149</v>
      </c>
      <c r="EE135" s="518">
        <v>349.8</v>
      </c>
      <c r="EF135" s="518">
        <v>2000</v>
      </c>
      <c r="EG135" s="518">
        <v>2000</v>
      </c>
      <c r="EH135" s="518">
        <v>2000</v>
      </c>
      <c r="EI135" s="518">
        <v>2000</v>
      </c>
      <c r="EJ135" s="518">
        <v>2098.8000000000002</v>
      </c>
      <c r="EK135" s="518">
        <v>2448.6</v>
      </c>
      <c r="EL135" s="518">
        <v>2798.4</v>
      </c>
      <c r="EM135" s="518">
        <v>3148.2</v>
      </c>
      <c r="EN135" s="518">
        <v>3498</v>
      </c>
      <c r="EO135" s="518">
        <v>0</v>
      </c>
      <c r="EP135" s="518">
        <v>0</v>
      </c>
      <c r="EQ135" s="518">
        <v>0</v>
      </c>
      <c r="ER135" s="518">
        <v>0</v>
      </c>
      <c r="ES135" s="518">
        <v>0</v>
      </c>
      <c r="ET135" s="518">
        <v>0</v>
      </c>
      <c r="EU135" s="518">
        <v>0</v>
      </c>
      <c r="EV135" s="518">
        <v>0</v>
      </c>
      <c r="EW135" s="518">
        <v>0</v>
      </c>
      <c r="EX135" s="518">
        <v>0</v>
      </c>
      <c r="EY135" s="518">
        <v>0</v>
      </c>
      <c r="EZ135" s="518">
        <v>0</v>
      </c>
      <c r="FA135" s="518">
        <v>0</v>
      </c>
      <c r="FB135" s="518">
        <v>0</v>
      </c>
      <c r="FC135" s="518">
        <v>0</v>
      </c>
      <c r="FD135" s="518">
        <v>0</v>
      </c>
      <c r="FE135" s="518">
        <v>0</v>
      </c>
      <c r="FF135" s="518">
        <v>0</v>
      </c>
      <c r="FG135" s="518">
        <v>0</v>
      </c>
      <c r="FH135" s="518">
        <v>0</v>
      </c>
      <c r="FI135" s="518">
        <v>0</v>
      </c>
      <c r="FJ135" s="518">
        <v>0</v>
      </c>
      <c r="FK135" s="518">
        <v>0</v>
      </c>
      <c r="FL135" s="518">
        <v>0</v>
      </c>
      <c r="FM135" s="518">
        <v>0</v>
      </c>
      <c r="FN135" s="518">
        <v>0</v>
      </c>
      <c r="FO135" s="518">
        <v>0</v>
      </c>
      <c r="FP135" s="518">
        <v>0</v>
      </c>
      <c r="FQ135" s="518">
        <v>0</v>
      </c>
      <c r="FR135" s="518">
        <v>0</v>
      </c>
      <c r="FS135" s="518">
        <v>0</v>
      </c>
      <c r="FT135" s="518">
        <v>0</v>
      </c>
      <c r="FU135" s="518">
        <v>0</v>
      </c>
      <c r="FV135" s="518">
        <v>0</v>
      </c>
      <c r="FW135" s="518">
        <v>0</v>
      </c>
      <c r="FX135" s="518">
        <v>0</v>
      </c>
      <c r="FY135" s="518">
        <v>0</v>
      </c>
      <c r="FZ135" s="518">
        <v>0</v>
      </c>
      <c r="GA135" s="518">
        <v>0</v>
      </c>
      <c r="GB135" s="518">
        <v>0</v>
      </c>
      <c r="GC135" s="518">
        <v>0</v>
      </c>
      <c r="GD135" s="518">
        <v>0</v>
      </c>
      <c r="GE135" s="518">
        <v>0</v>
      </c>
      <c r="GF135" s="518">
        <v>0</v>
      </c>
      <c r="GG135" s="518">
        <v>0</v>
      </c>
      <c r="GH135" s="518">
        <v>0</v>
      </c>
      <c r="GI135" s="518">
        <v>0</v>
      </c>
      <c r="GJ135" s="518">
        <v>0</v>
      </c>
      <c r="GK135" s="518">
        <v>0</v>
      </c>
      <c r="GL135" s="518">
        <v>0</v>
      </c>
      <c r="GM135" s="518">
        <v>0</v>
      </c>
      <c r="GN135" s="518">
        <v>0</v>
      </c>
      <c r="GO135" s="518">
        <v>0</v>
      </c>
      <c r="GP135" s="518">
        <v>0</v>
      </c>
      <c r="GQ135" s="518">
        <v>0</v>
      </c>
      <c r="GR135" s="518">
        <v>0</v>
      </c>
      <c r="GS135" s="518">
        <v>0</v>
      </c>
      <c r="GT135" s="518">
        <v>0</v>
      </c>
      <c r="GU135" s="518">
        <v>0</v>
      </c>
      <c r="GV135" s="518">
        <v>0</v>
      </c>
      <c r="GW135" s="518">
        <v>0</v>
      </c>
      <c r="GX135" s="518">
        <v>0</v>
      </c>
      <c r="GY135" s="518">
        <v>0</v>
      </c>
      <c r="GZ135" s="518">
        <v>0</v>
      </c>
      <c r="HA135" s="518">
        <v>0</v>
      </c>
      <c r="HB135" s="518">
        <v>0</v>
      </c>
      <c r="HC135" s="518">
        <v>0</v>
      </c>
      <c r="HD135" s="518">
        <v>0</v>
      </c>
      <c r="HE135" s="518">
        <v>0</v>
      </c>
      <c r="HF135" s="518">
        <v>0</v>
      </c>
      <c r="HG135" s="518">
        <v>0</v>
      </c>
      <c r="HH135" s="518">
        <v>0</v>
      </c>
      <c r="HI135" s="518">
        <v>0</v>
      </c>
      <c r="HJ135" s="518">
        <v>0</v>
      </c>
      <c r="HK135" s="518">
        <v>0</v>
      </c>
      <c r="HL135" s="518">
        <v>0</v>
      </c>
      <c r="HM135" s="518">
        <v>0</v>
      </c>
      <c r="HN135" s="518">
        <v>0</v>
      </c>
      <c r="HO135" s="518">
        <v>0</v>
      </c>
      <c r="HP135" s="518">
        <v>0</v>
      </c>
      <c r="HQ135" s="518">
        <v>0</v>
      </c>
      <c r="HR135" s="518">
        <v>0</v>
      </c>
      <c r="HS135" s="518">
        <v>0</v>
      </c>
      <c r="HT135" s="518">
        <v>0</v>
      </c>
      <c r="HU135" s="518">
        <v>0</v>
      </c>
      <c r="HV135" s="518">
        <v>0</v>
      </c>
      <c r="HW135" s="518">
        <v>0</v>
      </c>
      <c r="HX135" s="518">
        <v>0</v>
      </c>
      <c r="HY135" s="518">
        <v>0</v>
      </c>
      <c r="HZ135" s="518">
        <v>0</v>
      </c>
      <c r="IA135" s="518">
        <v>0</v>
      </c>
      <c r="IB135" s="518">
        <v>0</v>
      </c>
      <c r="IC135" s="518">
        <v>0</v>
      </c>
      <c r="ID135" s="518">
        <v>0</v>
      </c>
      <c r="IE135" s="518">
        <v>0</v>
      </c>
      <c r="IF135" s="518">
        <v>0</v>
      </c>
      <c r="IG135" s="518">
        <v>0</v>
      </c>
      <c r="IH135" s="518">
        <v>0</v>
      </c>
      <c r="II135" s="518">
        <v>0</v>
      </c>
      <c r="IJ135" s="518">
        <v>0</v>
      </c>
      <c r="IK135" s="518">
        <v>0</v>
      </c>
    </row>
    <row r="136" spans="1:245" ht="16.5" hidden="1">
      <c r="A136" s="517"/>
      <c r="B136" s="517"/>
      <c r="C136" s="517"/>
      <c r="D136" s="517"/>
      <c r="E136" s="517"/>
      <c r="F136" s="517"/>
      <c r="G136" s="558"/>
      <c r="H136" s="518"/>
      <c r="I136" s="558"/>
      <c r="J136" s="494"/>
      <c r="K136" s="518"/>
      <c r="M136" s="517" t="s">
        <v>721</v>
      </c>
      <c r="N136" s="517" t="s">
        <v>1101</v>
      </c>
      <c r="O136" s="517" t="s">
        <v>25</v>
      </c>
      <c r="P136" s="518">
        <v>50</v>
      </c>
      <c r="Q136" s="494" t="str">
        <f t="shared" si="6"/>
        <v>SWUC100150</v>
      </c>
      <c r="R136" s="518">
        <v>371</v>
      </c>
      <c r="S136" s="518">
        <v>10000</v>
      </c>
      <c r="T136" s="518">
        <v>10000</v>
      </c>
      <c r="U136" s="518">
        <v>10000</v>
      </c>
      <c r="V136" s="518">
        <v>10000</v>
      </c>
      <c r="W136" s="518">
        <v>10000</v>
      </c>
      <c r="X136" s="518">
        <v>10000</v>
      </c>
      <c r="Y136" s="518">
        <v>10000</v>
      </c>
      <c r="Z136" s="518">
        <v>10000</v>
      </c>
      <c r="AA136" s="518">
        <v>10000</v>
      </c>
      <c r="AB136" s="518">
        <v>0</v>
      </c>
      <c r="AC136" s="518">
        <v>0</v>
      </c>
      <c r="AD136" s="518">
        <v>0</v>
      </c>
      <c r="AE136" s="518">
        <v>0</v>
      </c>
      <c r="AF136" s="518">
        <v>0</v>
      </c>
      <c r="AG136" s="518">
        <v>0</v>
      </c>
      <c r="AH136" s="518">
        <v>0</v>
      </c>
      <c r="AI136" s="518">
        <v>0</v>
      </c>
      <c r="AJ136" s="518">
        <v>0</v>
      </c>
      <c r="AK136" s="518">
        <v>0</v>
      </c>
      <c r="AL136" s="518">
        <v>0</v>
      </c>
      <c r="AM136" s="518">
        <v>0</v>
      </c>
      <c r="AN136" s="518">
        <v>0</v>
      </c>
      <c r="AO136" s="518">
        <v>0</v>
      </c>
      <c r="AP136" s="518">
        <v>0</v>
      </c>
      <c r="AQ136" s="518">
        <v>0</v>
      </c>
      <c r="AR136" s="518">
        <v>0</v>
      </c>
      <c r="AS136" s="518">
        <v>0</v>
      </c>
      <c r="AT136" s="518">
        <v>0</v>
      </c>
      <c r="AU136" s="518">
        <v>0</v>
      </c>
      <c r="AV136" s="518">
        <v>0</v>
      </c>
      <c r="AW136" s="518">
        <v>0</v>
      </c>
      <c r="AX136" s="518">
        <v>0</v>
      </c>
      <c r="AY136" s="518">
        <v>0</v>
      </c>
      <c r="AZ136" s="518">
        <v>0</v>
      </c>
      <c r="BA136" s="518">
        <v>0</v>
      </c>
      <c r="BB136" s="518">
        <v>0</v>
      </c>
      <c r="BC136" s="518">
        <v>0</v>
      </c>
      <c r="BD136" s="518">
        <v>0</v>
      </c>
      <c r="BE136" s="518">
        <v>0</v>
      </c>
      <c r="BF136" s="518">
        <v>0</v>
      </c>
      <c r="BG136" s="518">
        <v>0</v>
      </c>
      <c r="BH136" s="518">
        <v>0</v>
      </c>
      <c r="BI136" s="518">
        <v>0</v>
      </c>
      <c r="BJ136" s="518">
        <v>0</v>
      </c>
      <c r="BK136" s="518">
        <v>0</v>
      </c>
      <c r="BL136" s="518">
        <v>0</v>
      </c>
      <c r="BM136" s="518">
        <v>0</v>
      </c>
      <c r="BN136" s="518">
        <v>0</v>
      </c>
      <c r="BO136" s="518">
        <v>0</v>
      </c>
      <c r="BP136" s="518">
        <v>0</v>
      </c>
      <c r="BQ136" s="518">
        <v>0</v>
      </c>
      <c r="BR136" s="518">
        <v>0</v>
      </c>
      <c r="BS136" s="518">
        <v>0</v>
      </c>
      <c r="BT136" s="518">
        <v>0</v>
      </c>
      <c r="BU136" s="518">
        <v>0</v>
      </c>
      <c r="BV136" s="518">
        <v>0</v>
      </c>
      <c r="BW136" s="518">
        <v>0</v>
      </c>
      <c r="BX136" s="518">
        <v>0</v>
      </c>
      <c r="BY136" s="518">
        <v>0</v>
      </c>
      <c r="BZ136" s="518">
        <v>0</v>
      </c>
      <c r="CA136" s="518">
        <v>0</v>
      </c>
      <c r="CB136" s="518">
        <v>0</v>
      </c>
      <c r="CC136" s="518">
        <v>0</v>
      </c>
      <c r="CD136" s="518">
        <v>0</v>
      </c>
      <c r="CE136" s="518">
        <v>0</v>
      </c>
      <c r="CF136" s="518">
        <v>0</v>
      </c>
      <c r="CG136" s="518">
        <v>0</v>
      </c>
      <c r="CH136" s="518">
        <v>0</v>
      </c>
      <c r="CI136" s="518">
        <v>0</v>
      </c>
      <c r="CJ136" s="518">
        <v>0</v>
      </c>
      <c r="CK136" s="518">
        <v>0</v>
      </c>
      <c r="CL136" s="518">
        <v>0</v>
      </c>
      <c r="CM136" s="518">
        <v>0</v>
      </c>
      <c r="CN136" s="518">
        <v>0</v>
      </c>
      <c r="CO136" s="518">
        <v>0</v>
      </c>
      <c r="CP136" s="518">
        <v>0</v>
      </c>
      <c r="CQ136" s="518">
        <v>0</v>
      </c>
      <c r="CR136" s="518">
        <v>0</v>
      </c>
      <c r="CS136" s="518">
        <v>0</v>
      </c>
      <c r="CT136" s="518">
        <v>0</v>
      </c>
      <c r="CU136" s="518">
        <v>0</v>
      </c>
      <c r="CV136" s="518">
        <v>0</v>
      </c>
      <c r="CW136" s="518">
        <v>0</v>
      </c>
      <c r="CX136" s="518">
        <v>0</v>
      </c>
      <c r="CY136" s="518">
        <v>0</v>
      </c>
      <c r="CZ136" s="518">
        <v>0</v>
      </c>
      <c r="DA136" s="518">
        <v>0</v>
      </c>
      <c r="DB136" s="518">
        <v>0</v>
      </c>
      <c r="DC136" s="518">
        <v>0</v>
      </c>
      <c r="DD136" s="518">
        <v>0</v>
      </c>
      <c r="DE136" s="518">
        <v>0</v>
      </c>
      <c r="DF136" s="518">
        <v>0</v>
      </c>
      <c r="DG136" s="518">
        <v>0</v>
      </c>
      <c r="DH136" s="518">
        <v>0</v>
      </c>
      <c r="DI136" s="518">
        <v>0</v>
      </c>
      <c r="DJ136" s="518">
        <v>0</v>
      </c>
      <c r="DK136" s="518">
        <v>0</v>
      </c>
      <c r="DL136" s="518">
        <v>0</v>
      </c>
      <c r="DM136" s="518">
        <v>0</v>
      </c>
      <c r="DN136" s="518">
        <v>0</v>
      </c>
      <c r="DO136" s="518">
        <v>0</v>
      </c>
      <c r="DP136" s="518">
        <v>0</v>
      </c>
      <c r="DQ136" s="518">
        <v>0</v>
      </c>
      <c r="DR136" s="518">
        <v>0</v>
      </c>
      <c r="DS136" s="518">
        <v>0</v>
      </c>
      <c r="DT136" s="518">
        <v>0</v>
      </c>
      <c r="DU136" s="518">
        <v>0</v>
      </c>
      <c r="DV136" s="518">
        <v>0</v>
      </c>
      <c r="DW136" s="518">
        <v>0</v>
      </c>
      <c r="DX136" s="518">
        <v>0</v>
      </c>
      <c r="DZ136" s="517" t="s">
        <v>721</v>
      </c>
      <c r="EA136" s="517" t="s">
        <v>1101</v>
      </c>
      <c r="EB136" s="517" t="s">
        <v>25</v>
      </c>
      <c r="EC136" s="518">
        <v>50</v>
      </c>
      <c r="ED136" s="494" t="str">
        <f t="shared" si="7"/>
        <v>SWUC100150</v>
      </c>
      <c r="EE136" s="518">
        <v>371</v>
      </c>
      <c r="EF136" s="518">
        <v>2000</v>
      </c>
      <c r="EG136" s="518">
        <v>2000</v>
      </c>
      <c r="EH136" s="518">
        <v>2000</v>
      </c>
      <c r="EI136" s="518">
        <v>2000</v>
      </c>
      <c r="EJ136" s="518">
        <v>2226</v>
      </c>
      <c r="EK136" s="518">
        <v>2597</v>
      </c>
      <c r="EL136" s="518">
        <v>2968</v>
      </c>
      <c r="EM136" s="518">
        <v>3339</v>
      </c>
      <c r="EN136" s="518">
        <v>3710</v>
      </c>
      <c r="EO136" s="518">
        <v>0</v>
      </c>
      <c r="EP136" s="518">
        <v>0</v>
      </c>
      <c r="EQ136" s="518">
        <v>0</v>
      </c>
      <c r="ER136" s="518">
        <v>0</v>
      </c>
      <c r="ES136" s="518">
        <v>0</v>
      </c>
      <c r="ET136" s="518">
        <v>0</v>
      </c>
      <c r="EU136" s="518">
        <v>0</v>
      </c>
      <c r="EV136" s="518">
        <v>0</v>
      </c>
      <c r="EW136" s="518">
        <v>0</v>
      </c>
      <c r="EX136" s="518">
        <v>0</v>
      </c>
      <c r="EY136" s="518">
        <v>0</v>
      </c>
      <c r="EZ136" s="518">
        <v>0</v>
      </c>
      <c r="FA136" s="518">
        <v>0</v>
      </c>
      <c r="FB136" s="518">
        <v>0</v>
      </c>
      <c r="FC136" s="518">
        <v>0</v>
      </c>
      <c r="FD136" s="518">
        <v>0</v>
      </c>
      <c r="FE136" s="518">
        <v>0</v>
      </c>
      <c r="FF136" s="518">
        <v>0</v>
      </c>
      <c r="FG136" s="518">
        <v>0</v>
      </c>
      <c r="FH136" s="518">
        <v>0</v>
      </c>
      <c r="FI136" s="518">
        <v>0</v>
      </c>
      <c r="FJ136" s="518">
        <v>0</v>
      </c>
      <c r="FK136" s="518">
        <v>0</v>
      </c>
      <c r="FL136" s="518">
        <v>0</v>
      </c>
      <c r="FM136" s="518">
        <v>0</v>
      </c>
      <c r="FN136" s="518">
        <v>0</v>
      </c>
      <c r="FO136" s="518">
        <v>0</v>
      </c>
      <c r="FP136" s="518">
        <v>0</v>
      </c>
      <c r="FQ136" s="518">
        <v>0</v>
      </c>
      <c r="FR136" s="518">
        <v>0</v>
      </c>
      <c r="FS136" s="518">
        <v>0</v>
      </c>
      <c r="FT136" s="518">
        <v>0</v>
      </c>
      <c r="FU136" s="518">
        <v>0</v>
      </c>
      <c r="FV136" s="518">
        <v>0</v>
      </c>
      <c r="FW136" s="518">
        <v>0</v>
      </c>
      <c r="FX136" s="518">
        <v>0</v>
      </c>
      <c r="FY136" s="518">
        <v>0</v>
      </c>
      <c r="FZ136" s="518">
        <v>0</v>
      </c>
      <c r="GA136" s="518">
        <v>0</v>
      </c>
      <c r="GB136" s="518">
        <v>0</v>
      </c>
      <c r="GC136" s="518">
        <v>0</v>
      </c>
      <c r="GD136" s="518">
        <v>0</v>
      </c>
      <c r="GE136" s="518">
        <v>0</v>
      </c>
      <c r="GF136" s="518">
        <v>0</v>
      </c>
      <c r="GG136" s="518">
        <v>0</v>
      </c>
      <c r="GH136" s="518">
        <v>0</v>
      </c>
      <c r="GI136" s="518">
        <v>0</v>
      </c>
      <c r="GJ136" s="518">
        <v>0</v>
      </c>
      <c r="GK136" s="518">
        <v>0</v>
      </c>
      <c r="GL136" s="518">
        <v>0</v>
      </c>
      <c r="GM136" s="518">
        <v>0</v>
      </c>
      <c r="GN136" s="518">
        <v>0</v>
      </c>
      <c r="GO136" s="518">
        <v>0</v>
      </c>
      <c r="GP136" s="518">
        <v>0</v>
      </c>
      <c r="GQ136" s="518">
        <v>0</v>
      </c>
      <c r="GR136" s="518">
        <v>0</v>
      </c>
      <c r="GS136" s="518">
        <v>0</v>
      </c>
      <c r="GT136" s="518">
        <v>0</v>
      </c>
      <c r="GU136" s="518">
        <v>0</v>
      </c>
      <c r="GV136" s="518">
        <v>0</v>
      </c>
      <c r="GW136" s="518">
        <v>0</v>
      </c>
      <c r="GX136" s="518">
        <v>0</v>
      </c>
      <c r="GY136" s="518">
        <v>0</v>
      </c>
      <c r="GZ136" s="518">
        <v>0</v>
      </c>
      <c r="HA136" s="518">
        <v>0</v>
      </c>
      <c r="HB136" s="518">
        <v>0</v>
      </c>
      <c r="HC136" s="518">
        <v>0</v>
      </c>
      <c r="HD136" s="518">
        <v>0</v>
      </c>
      <c r="HE136" s="518">
        <v>0</v>
      </c>
      <c r="HF136" s="518">
        <v>0</v>
      </c>
      <c r="HG136" s="518">
        <v>0</v>
      </c>
      <c r="HH136" s="518">
        <v>0</v>
      </c>
      <c r="HI136" s="518">
        <v>0</v>
      </c>
      <c r="HJ136" s="518">
        <v>0</v>
      </c>
      <c r="HK136" s="518">
        <v>0</v>
      </c>
      <c r="HL136" s="518">
        <v>0</v>
      </c>
      <c r="HM136" s="518">
        <v>0</v>
      </c>
      <c r="HN136" s="518">
        <v>0</v>
      </c>
      <c r="HO136" s="518">
        <v>0</v>
      </c>
      <c r="HP136" s="518">
        <v>0</v>
      </c>
      <c r="HQ136" s="518">
        <v>0</v>
      </c>
      <c r="HR136" s="518">
        <v>0</v>
      </c>
      <c r="HS136" s="518">
        <v>0</v>
      </c>
      <c r="HT136" s="518">
        <v>0</v>
      </c>
      <c r="HU136" s="518">
        <v>0</v>
      </c>
      <c r="HV136" s="518">
        <v>0</v>
      </c>
      <c r="HW136" s="518">
        <v>0</v>
      </c>
      <c r="HX136" s="518">
        <v>0</v>
      </c>
      <c r="HY136" s="518">
        <v>0</v>
      </c>
      <c r="HZ136" s="518">
        <v>0</v>
      </c>
      <c r="IA136" s="518">
        <v>0</v>
      </c>
      <c r="IB136" s="518">
        <v>0</v>
      </c>
      <c r="IC136" s="518">
        <v>0</v>
      </c>
      <c r="ID136" s="518">
        <v>0</v>
      </c>
      <c r="IE136" s="518">
        <v>0</v>
      </c>
      <c r="IF136" s="518">
        <v>0</v>
      </c>
      <c r="IG136" s="518">
        <v>0</v>
      </c>
      <c r="IH136" s="518">
        <v>0</v>
      </c>
      <c r="II136" s="518">
        <v>0</v>
      </c>
      <c r="IJ136" s="518">
        <v>0</v>
      </c>
      <c r="IK136" s="518">
        <v>0</v>
      </c>
    </row>
    <row r="137" spans="1:245" ht="16.5" hidden="1">
      <c r="A137" s="517"/>
      <c r="B137" s="517"/>
      <c r="C137" s="517"/>
      <c r="D137" s="517"/>
      <c r="E137" s="517"/>
      <c r="F137" s="517"/>
      <c r="G137" s="558"/>
      <c r="H137" s="518"/>
      <c r="I137" s="558"/>
      <c r="J137" s="494"/>
      <c r="K137" s="518"/>
      <c r="M137" s="517" t="s">
        <v>721</v>
      </c>
      <c r="N137" s="517" t="s">
        <v>1101</v>
      </c>
      <c r="O137" s="517" t="s">
        <v>25</v>
      </c>
      <c r="P137" s="518">
        <v>51</v>
      </c>
      <c r="Q137" s="494" t="str">
        <f t="shared" si="6"/>
        <v>SWUC100151</v>
      </c>
      <c r="R137" s="518">
        <v>403.9</v>
      </c>
      <c r="S137" s="518">
        <v>10000</v>
      </c>
      <c r="T137" s="518">
        <v>10000</v>
      </c>
      <c r="U137" s="518">
        <v>10000</v>
      </c>
      <c r="V137" s="518">
        <v>10000</v>
      </c>
      <c r="W137" s="518">
        <v>10000</v>
      </c>
      <c r="X137" s="518">
        <v>10000</v>
      </c>
      <c r="Y137" s="518">
        <v>10000</v>
      </c>
      <c r="Z137" s="518">
        <v>10000</v>
      </c>
      <c r="AA137" s="518">
        <v>10000</v>
      </c>
      <c r="AB137" s="518">
        <v>0</v>
      </c>
      <c r="AC137" s="518">
        <v>0</v>
      </c>
      <c r="AD137" s="518">
        <v>0</v>
      </c>
      <c r="AE137" s="518">
        <v>0</v>
      </c>
      <c r="AF137" s="518">
        <v>0</v>
      </c>
      <c r="AG137" s="518">
        <v>0</v>
      </c>
      <c r="AH137" s="518">
        <v>0</v>
      </c>
      <c r="AI137" s="518">
        <v>0</v>
      </c>
      <c r="AJ137" s="518">
        <v>0</v>
      </c>
      <c r="AK137" s="518">
        <v>0</v>
      </c>
      <c r="AL137" s="518">
        <v>0</v>
      </c>
      <c r="AM137" s="518">
        <v>0</v>
      </c>
      <c r="AN137" s="518">
        <v>0</v>
      </c>
      <c r="AO137" s="518">
        <v>0</v>
      </c>
      <c r="AP137" s="518">
        <v>0</v>
      </c>
      <c r="AQ137" s="518">
        <v>0</v>
      </c>
      <c r="AR137" s="518">
        <v>0</v>
      </c>
      <c r="AS137" s="518">
        <v>0</v>
      </c>
      <c r="AT137" s="518">
        <v>0</v>
      </c>
      <c r="AU137" s="518">
        <v>0</v>
      </c>
      <c r="AV137" s="518">
        <v>0</v>
      </c>
      <c r="AW137" s="518">
        <v>0</v>
      </c>
      <c r="AX137" s="518">
        <v>0</v>
      </c>
      <c r="AY137" s="518">
        <v>0</v>
      </c>
      <c r="AZ137" s="518">
        <v>0</v>
      </c>
      <c r="BA137" s="518">
        <v>0</v>
      </c>
      <c r="BB137" s="518">
        <v>0</v>
      </c>
      <c r="BC137" s="518">
        <v>0</v>
      </c>
      <c r="BD137" s="518">
        <v>0</v>
      </c>
      <c r="BE137" s="518">
        <v>0</v>
      </c>
      <c r="BF137" s="518">
        <v>0</v>
      </c>
      <c r="BG137" s="518">
        <v>0</v>
      </c>
      <c r="BH137" s="518">
        <v>0</v>
      </c>
      <c r="BI137" s="518">
        <v>0</v>
      </c>
      <c r="BJ137" s="518">
        <v>0</v>
      </c>
      <c r="BK137" s="518">
        <v>0</v>
      </c>
      <c r="BL137" s="518">
        <v>0</v>
      </c>
      <c r="BM137" s="518">
        <v>0</v>
      </c>
      <c r="BN137" s="518">
        <v>0</v>
      </c>
      <c r="BO137" s="518">
        <v>0</v>
      </c>
      <c r="BP137" s="518">
        <v>0</v>
      </c>
      <c r="BQ137" s="518">
        <v>0</v>
      </c>
      <c r="BR137" s="518">
        <v>0</v>
      </c>
      <c r="BS137" s="518">
        <v>0</v>
      </c>
      <c r="BT137" s="518">
        <v>0</v>
      </c>
      <c r="BU137" s="518">
        <v>0</v>
      </c>
      <c r="BV137" s="518">
        <v>0</v>
      </c>
      <c r="BW137" s="518">
        <v>0</v>
      </c>
      <c r="BX137" s="518">
        <v>0</v>
      </c>
      <c r="BY137" s="518">
        <v>0</v>
      </c>
      <c r="BZ137" s="518">
        <v>0</v>
      </c>
      <c r="CA137" s="518">
        <v>0</v>
      </c>
      <c r="CB137" s="518">
        <v>0</v>
      </c>
      <c r="CC137" s="518">
        <v>0</v>
      </c>
      <c r="CD137" s="518">
        <v>0</v>
      </c>
      <c r="CE137" s="518">
        <v>0</v>
      </c>
      <c r="CF137" s="518">
        <v>0</v>
      </c>
      <c r="CG137" s="518">
        <v>0</v>
      </c>
      <c r="CH137" s="518">
        <v>0</v>
      </c>
      <c r="CI137" s="518">
        <v>0</v>
      </c>
      <c r="CJ137" s="518">
        <v>0</v>
      </c>
      <c r="CK137" s="518">
        <v>0</v>
      </c>
      <c r="CL137" s="518">
        <v>0</v>
      </c>
      <c r="CM137" s="518">
        <v>0</v>
      </c>
      <c r="CN137" s="518">
        <v>0</v>
      </c>
      <c r="CO137" s="518">
        <v>0</v>
      </c>
      <c r="CP137" s="518">
        <v>0</v>
      </c>
      <c r="CQ137" s="518">
        <v>0</v>
      </c>
      <c r="CR137" s="518">
        <v>0</v>
      </c>
      <c r="CS137" s="518">
        <v>0</v>
      </c>
      <c r="CT137" s="518">
        <v>0</v>
      </c>
      <c r="CU137" s="518">
        <v>0</v>
      </c>
      <c r="CV137" s="518">
        <v>0</v>
      </c>
      <c r="CW137" s="518">
        <v>0</v>
      </c>
      <c r="CX137" s="518">
        <v>0</v>
      </c>
      <c r="CY137" s="518">
        <v>0</v>
      </c>
      <c r="CZ137" s="518">
        <v>0</v>
      </c>
      <c r="DA137" s="518">
        <v>0</v>
      </c>
      <c r="DB137" s="518">
        <v>0</v>
      </c>
      <c r="DC137" s="518">
        <v>0</v>
      </c>
      <c r="DD137" s="518">
        <v>0</v>
      </c>
      <c r="DE137" s="518">
        <v>0</v>
      </c>
      <c r="DF137" s="518">
        <v>0</v>
      </c>
      <c r="DG137" s="518">
        <v>0</v>
      </c>
      <c r="DH137" s="518">
        <v>0</v>
      </c>
      <c r="DI137" s="518">
        <v>0</v>
      </c>
      <c r="DJ137" s="518">
        <v>0</v>
      </c>
      <c r="DK137" s="518">
        <v>0</v>
      </c>
      <c r="DL137" s="518">
        <v>0</v>
      </c>
      <c r="DM137" s="518">
        <v>0</v>
      </c>
      <c r="DN137" s="518">
        <v>0</v>
      </c>
      <c r="DO137" s="518">
        <v>0</v>
      </c>
      <c r="DP137" s="518">
        <v>0</v>
      </c>
      <c r="DQ137" s="518">
        <v>0</v>
      </c>
      <c r="DR137" s="518">
        <v>0</v>
      </c>
      <c r="DS137" s="518">
        <v>0</v>
      </c>
      <c r="DT137" s="518">
        <v>0</v>
      </c>
      <c r="DU137" s="518">
        <v>0</v>
      </c>
      <c r="DV137" s="518">
        <v>0</v>
      </c>
      <c r="DW137" s="518">
        <v>0</v>
      </c>
      <c r="DX137" s="518">
        <v>0</v>
      </c>
      <c r="DZ137" s="517" t="s">
        <v>721</v>
      </c>
      <c r="EA137" s="517" t="s">
        <v>1101</v>
      </c>
      <c r="EB137" s="517" t="s">
        <v>25</v>
      </c>
      <c r="EC137" s="518">
        <v>51</v>
      </c>
      <c r="ED137" s="494" t="str">
        <f t="shared" si="7"/>
        <v>SWUC100151</v>
      </c>
      <c r="EE137" s="518">
        <v>403.9</v>
      </c>
      <c r="EF137" s="518">
        <v>2000</v>
      </c>
      <c r="EG137" s="518">
        <v>2000</v>
      </c>
      <c r="EH137" s="518">
        <v>2000</v>
      </c>
      <c r="EI137" s="518">
        <v>2019.3</v>
      </c>
      <c r="EJ137" s="518">
        <v>2423.1999999999998</v>
      </c>
      <c r="EK137" s="518">
        <v>2827</v>
      </c>
      <c r="EL137" s="518">
        <v>3230.9</v>
      </c>
      <c r="EM137" s="518">
        <v>3634.7</v>
      </c>
      <c r="EN137" s="518">
        <v>4038.6</v>
      </c>
      <c r="EO137" s="518">
        <v>0</v>
      </c>
      <c r="EP137" s="518">
        <v>0</v>
      </c>
      <c r="EQ137" s="518">
        <v>0</v>
      </c>
      <c r="ER137" s="518">
        <v>0</v>
      </c>
      <c r="ES137" s="518">
        <v>0</v>
      </c>
      <c r="ET137" s="518">
        <v>0</v>
      </c>
      <c r="EU137" s="518">
        <v>0</v>
      </c>
      <c r="EV137" s="518">
        <v>0</v>
      </c>
      <c r="EW137" s="518">
        <v>0</v>
      </c>
      <c r="EX137" s="518">
        <v>0</v>
      </c>
      <c r="EY137" s="518">
        <v>0</v>
      </c>
      <c r="EZ137" s="518">
        <v>0</v>
      </c>
      <c r="FA137" s="518">
        <v>0</v>
      </c>
      <c r="FB137" s="518">
        <v>0</v>
      </c>
      <c r="FC137" s="518">
        <v>0</v>
      </c>
      <c r="FD137" s="518">
        <v>0</v>
      </c>
      <c r="FE137" s="518">
        <v>0</v>
      </c>
      <c r="FF137" s="518">
        <v>0</v>
      </c>
      <c r="FG137" s="518">
        <v>0</v>
      </c>
      <c r="FH137" s="518">
        <v>0</v>
      </c>
      <c r="FI137" s="518">
        <v>0</v>
      </c>
      <c r="FJ137" s="518">
        <v>0</v>
      </c>
      <c r="FK137" s="518">
        <v>0</v>
      </c>
      <c r="FL137" s="518">
        <v>0</v>
      </c>
      <c r="FM137" s="518">
        <v>0</v>
      </c>
      <c r="FN137" s="518">
        <v>0</v>
      </c>
      <c r="FO137" s="518">
        <v>0</v>
      </c>
      <c r="FP137" s="518">
        <v>0</v>
      </c>
      <c r="FQ137" s="518">
        <v>0</v>
      </c>
      <c r="FR137" s="518">
        <v>0</v>
      </c>
      <c r="FS137" s="518">
        <v>0</v>
      </c>
      <c r="FT137" s="518">
        <v>0</v>
      </c>
      <c r="FU137" s="518">
        <v>0</v>
      </c>
      <c r="FV137" s="518">
        <v>0</v>
      </c>
      <c r="FW137" s="518">
        <v>0</v>
      </c>
      <c r="FX137" s="518">
        <v>0</v>
      </c>
      <c r="FY137" s="518">
        <v>0</v>
      </c>
      <c r="FZ137" s="518">
        <v>0</v>
      </c>
      <c r="GA137" s="518">
        <v>0</v>
      </c>
      <c r="GB137" s="518">
        <v>0</v>
      </c>
      <c r="GC137" s="518">
        <v>0</v>
      </c>
      <c r="GD137" s="518">
        <v>0</v>
      </c>
      <c r="GE137" s="518">
        <v>0</v>
      </c>
      <c r="GF137" s="518">
        <v>0</v>
      </c>
      <c r="GG137" s="518">
        <v>0</v>
      </c>
      <c r="GH137" s="518">
        <v>0</v>
      </c>
      <c r="GI137" s="518">
        <v>0</v>
      </c>
      <c r="GJ137" s="518">
        <v>0</v>
      </c>
      <c r="GK137" s="518">
        <v>0</v>
      </c>
      <c r="GL137" s="518">
        <v>0</v>
      </c>
      <c r="GM137" s="518">
        <v>0</v>
      </c>
      <c r="GN137" s="518">
        <v>0</v>
      </c>
      <c r="GO137" s="518">
        <v>0</v>
      </c>
      <c r="GP137" s="518">
        <v>0</v>
      </c>
      <c r="GQ137" s="518">
        <v>0</v>
      </c>
      <c r="GR137" s="518">
        <v>0</v>
      </c>
      <c r="GS137" s="518">
        <v>0</v>
      </c>
      <c r="GT137" s="518">
        <v>0</v>
      </c>
      <c r="GU137" s="518">
        <v>0</v>
      </c>
      <c r="GV137" s="518">
        <v>0</v>
      </c>
      <c r="GW137" s="518">
        <v>0</v>
      </c>
      <c r="GX137" s="518">
        <v>0</v>
      </c>
      <c r="GY137" s="518">
        <v>0</v>
      </c>
      <c r="GZ137" s="518">
        <v>0</v>
      </c>
      <c r="HA137" s="518">
        <v>0</v>
      </c>
      <c r="HB137" s="518">
        <v>0</v>
      </c>
      <c r="HC137" s="518">
        <v>0</v>
      </c>
      <c r="HD137" s="518">
        <v>0</v>
      </c>
      <c r="HE137" s="518">
        <v>0</v>
      </c>
      <c r="HF137" s="518">
        <v>0</v>
      </c>
      <c r="HG137" s="518">
        <v>0</v>
      </c>
      <c r="HH137" s="518">
        <v>0</v>
      </c>
      <c r="HI137" s="518">
        <v>0</v>
      </c>
      <c r="HJ137" s="518">
        <v>0</v>
      </c>
      <c r="HK137" s="518">
        <v>0</v>
      </c>
      <c r="HL137" s="518">
        <v>0</v>
      </c>
      <c r="HM137" s="518">
        <v>0</v>
      </c>
      <c r="HN137" s="518">
        <v>0</v>
      </c>
      <c r="HO137" s="518">
        <v>0</v>
      </c>
      <c r="HP137" s="518">
        <v>0</v>
      </c>
      <c r="HQ137" s="518">
        <v>0</v>
      </c>
      <c r="HR137" s="518">
        <v>0</v>
      </c>
      <c r="HS137" s="518">
        <v>0</v>
      </c>
      <c r="HT137" s="518">
        <v>0</v>
      </c>
      <c r="HU137" s="518">
        <v>0</v>
      </c>
      <c r="HV137" s="518">
        <v>0</v>
      </c>
      <c r="HW137" s="518">
        <v>0</v>
      </c>
      <c r="HX137" s="518">
        <v>0</v>
      </c>
      <c r="HY137" s="518">
        <v>0</v>
      </c>
      <c r="HZ137" s="518">
        <v>0</v>
      </c>
      <c r="IA137" s="518">
        <v>0</v>
      </c>
      <c r="IB137" s="518">
        <v>0</v>
      </c>
      <c r="IC137" s="518">
        <v>0</v>
      </c>
      <c r="ID137" s="518">
        <v>0</v>
      </c>
      <c r="IE137" s="518">
        <v>0</v>
      </c>
      <c r="IF137" s="518">
        <v>0</v>
      </c>
      <c r="IG137" s="518">
        <v>0</v>
      </c>
      <c r="IH137" s="518">
        <v>0</v>
      </c>
      <c r="II137" s="518">
        <v>0</v>
      </c>
      <c r="IJ137" s="518">
        <v>0</v>
      </c>
      <c r="IK137" s="518">
        <v>0</v>
      </c>
    </row>
    <row r="138" spans="1:245" ht="16.5" hidden="1">
      <c r="A138" s="517"/>
      <c r="B138" s="517"/>
      <c r="C138" s="517"/>
      <c r="D138" s="517"/>
      <c r="E138" s="517"/>
      <c r="F138" s="517"/>
      <c r="G138" s="558"/>
      <c r="H138" s="518"/>
      <c r="I138" s="558"/>
      <c r="J138" s="494"/>
      <c r="K138" s="518"/>
      <c r="M138" s="517" t="s">
        <v>721</v>
      </c>
      <c r="N138" s="517" t="s">
        <v>1101</v>
      </c>
      <c r="O138" s="517" t="s">
        <v>25</v>
      </c>
      <c r="P138" s="518">
        <v>52</v>
      </c>
      <c r="Q138" s="494" t="str">
        <f t="shared" si="6"/>
        <v>SWUC100152</v>
      </c>
      <c r="R138" s="518">
        <v>436.7</v>
      </c>
      <c r="S138" s="518">
        <v>10000</v>
      </c>
      <c r="T138" s="518">
        <v>10000</v>
      </c>
      <c r="U138" s="518">
        <v>10000</v>
      </c>
      <c r="V138" s="518">
        <v>10000</v>
      </c>
      <c r="W138" s="518">
        <v>10000</v>
      </c>
      <c r="X138" s="518">
        <v>10000</v>
      </c>
      <c r="Y138" s="518">
        <v>10000</v>
      </c>
      <c r="Z138" s="518">
        <v>10000</v>
      </c>
      <c r="AA138" s="518">
        <v>10000</v>
      </c>
      <c r="AB138" s="518">
        <v>0</v>
      </c>
      <c r="AC138" s="518">
        <v>0</v>
      </c>
      <c r="AD138" s="518">
        <v>0</v>
      </c>
      <c r="AE138" s="518">
        <v>0</v>
      </c>
      <c r="AF138" s="518">
        <v>0</v>
      </c>
      <c r="AG138" s="518">
        <v>0</v>
      </c>
      <c r="AH138" s="518">
        <v>0</v>
      </c>
      <c r="AI138" s="518">
        <v>0</v>
      </c>
      <c r="AJ138" s="518">
        <v>0</v>
      </c>
      <c r="AK138" s="518">
        <v>0</v>
      </c>
      <c r="AL138" s="518">
        <v>0</v>
      </c>
      <c r="AM138" s="518">
        <v>0</v>
      </c>
      <c r="AN138" s="518">
        <v>0</v>
      </c>
      <c r="AO138" s="518">
        <v>0</v>
      </c>
      <c r="AP138" s="518">
        <v>0</v>
      </c>
      <c r="AQ138" s="518">
        <v>0</v>
      </c>
      <c r="AR138" s="518">
        <v>0</v>
      </c>
      <c r="AS138" s="518">
        <v>0</v>
      </c>
      <c r="AT138" s="518">
        <v>0</v>
      </c>
      <c r="AU138" s="518">
        <v>0</v>
      </c>
      <c r="AV138" s="518">
        <v>0</v>
      </c>
      <c r="AW138" s="518">
        <v>0</v>
      </c>
      <c r="AX138" s="518">
        <v>0</v>
      </c>
      <c r="AY138" s="518">
        <v>0</v>
      </c>
      <c r="AZ138" s="518">
        <v>0</v>
      </c>
      <c r="BA138" s="518">
        <v>0</v>
      </c>
      <c r="BB138" s="518">
        <v>0</v>
      </c>
      <c r="BC138" s="518">
        <v>0</v>
      </c>
      <c r="BD138" s="518">
        <v>0</v>
      </c>
      <c r="BE138" s="518">
        <v>0</v>
      </c>
      <c r="BF138" s="518">
        <v>0</v>
      </c>
      <c r="BG138" s="518">
        <v>0</v>
      </c>
      <c r="BH138" s="518">
        <v>0</v>
      </c>
      <c r="BI138" s="518">
        <v>0</v>
      </c>
      <c r="BJ138" s="518">
        <v>0</v>
      </c>
      <c r="BK138" s="518">
        <v>0</v>
      </c>
      <c r="BL138" s="518">
        <v>0</v>
      </c>
      <c r="BM138" s="518">
        <v>0</v>
      </c>
      <c r="BN138" s="518">
        <v>0</v>
      </c>
      <c r="BO138" s="518">
        <v>0</v>
      </c>
      <c r="BP138" s="518">
        <v>0</v>
      </c>
      <c r="BQ138" s="518">
        <v>0</v>
      </c>
      <c r="BR138" s="518">
        <v>0</v>
      </c>
      <c r="BS138" s="518">
        <v>0</v>
      </c>
      <c r="BT138" s="518">
        <v>0</v>
      </c>
      <c r="BU138" s="518">
        <v>0</v>
      </c>
      <c r="BV138" s="518">
        <v>0</v>
      </c>
      <c r="BW138" s="518">
        <v>0</v>
      </c>
      <c r="BX138" s="518">
        <v>0</v>
      </c>
      <c r="BY138" s="518">
        <v>0</v>
      </c>
      <c r="BZ138" s="518">
        <v>0</v>
      </c>
      <c r="CA138" s="518">
        <v>0</v>
      </c>
      <c r="CB138" s="518">
        <v>0</v>
      </c>
      <c r="CC138" s="518">
        <v>0</v>
      </c>
      <c r="CD138" s="518">
        <v>0</v>
      </c>
      <c r="CE138" s="518">
        <v>0</v>
      </c>
      <c r="CF138" s="518">
        <v>0</v>
      </c>
      <c r="CG138" s="518">
        <v>0</v>
      </c>
      <c r="CH138" s="518">
        <v>0</v>
      </c>
      <c r="CI138" s="518">
        <v>0</v>
      </c>
      <c r="CJ138" s="518">
        <v>0</v>
      </c>
      <c r="CK138" s="518">
        <v>0</v>
      </c>
      <c r="CL138" s="518">
        <v>0</v>
      </c>
      <c r="CM138" s="518">
        <v>0</v>
      </c>
      <c r="CN138" s="518">
        <v>0</v>
      </c>
      <c r="CO138" s="518">
        <v>0</v>
      </c>
      <c r="CP138" s="518">
        <v>0</v>
      </c>
      <c r="CQ138" s="518">
        <v>0</v>
      </c>
      <c r="CR138" s="518">
        <v>0</v>
      </c>
      <c r="CS138" s="518">
        <v>0</v>
      </c>
      <c r="CT138" s="518">
        <v>0</v>
      </c>
      <c r="CU138" s="518">
        <v>0</v>
      </c>
      <c r="CV138" s="518">
        <v>0</v>
      </c>
      <c r="CW138" s="518">
        <v>0</v>
      </c>
      <c r="CX138" s="518">
        <v>0</v>
      </c>
      <c r="CY138" s="518">
        <v>0</v>
      </c>
      <c r="CZ138" s="518">
        <v>0</v>
      </c>
      <c r="DA138" s="518">
        <v>0</v>
      </c>
      <c r="DB138" s="518">
        <v>0</v>
      </c>
      <c r="DC138" s="518">
        <v>0</v>
      </c>
      <c r="DD138" s="518">
        <v>0</v>
      </c>
      <c r="DE138" s="518">
        <v>0</v>
      </c>
      <c r="DF138" s="518">
        <v>0</v>
      </c>
      <c r="DG138" s="518">
        <v>0</v>
      </c>
      <c r="DH138" s="518">
        <v>0</v>
      </c>
      <c r="DI138" s="518">
        <v>0</v>
      </c>
      <c r="DJ138" s="518">
        <v>0</v>
      </c>
      <c r="DK138" s="518">
        <v>0</v>
      </c>
      <c r="DL138" s="518">
        <v>0</v>
      </c>
      <c r="DM138" s="518">
        <v>0</v>
      </c>
      <c r="DN138" s="518">
        <v>0</v>
      </c>
      <c r="DO138" s="518">
        <v>0</v>
      </c>
      <c r="DP138" s="518">
        <v>0</v>
      </c>
      <c r="DQ138" s="518">
        <v>0</v>
      </c>
      <c r="DR138" s="518">
        <v>0</v>
      </c>
      <c r="DS138" s="518">
        <v>0</v>
      </c>
      <c r="DT138" s="518">
        <v>0</v>
      </c>
      <c r="DU138" s="518">
        <v>0</v>
      </c>
      <c r="DV138" s="518">
        <v>0</v>
      </c>
      <c r="DW138" s="518">
        <v>0</v>
      </c>
      <c r="DX138" s="518">
        <v>0</v>
      </c>
      <c r="DZ138" s="517" t="s">
        <v>721</v>
      </c>
      <c r="EA138" s="517" t="s">
        <v>1101</v>
      </c>
      <c r="EB138" s="517" t="s">
        <v>25</v>
      </c>
      <c r="EC138" s="518">
        <v>52</v>
      </c>
      <c r="ED138" s="494" t="str">
        <f t="shared" si="7"/>
        <v>SWUC100152</v>
      </c>
      <c r="EE138" s="518">
        <v>436.7</v>
      </c>
      <c r="EF138" s="518">
        <v>2000</v>
      </c>
      <c r="EG138" s="518">
        <v>2000</v>
      </c>
      <c r="EH138" s="518">
        <v>2000</v>
      </c>
      <c r="EI138" s="518">
        <v>2183.6</v>
      </c>
      <c r="EJ138" s="518">
        <v>2620.3000000000002</v>
      </c>
      <c r="EK138" s="518">
        <v>3057</v>
      </c>
      <c r="EL138" s="518">
        <v>3493.8</v>
      </c>
      <c r="EM138" s="518">
        <v>3930.5</v>
      </c>
      <c r="EN138" s="518">
        <v>4367.2</v>
      </c>
      <c r="EO138" s="518">
        <v>0</v>
      </c>
      <c r="EP138" s="518">
        <v>0</v>
      </c>
      <c r="EQ138" s="518">
        <v>0</v>
      </c>
      <c r="ER138" s="518">
        <v>0</v>
      </c>
      <c r="ES138" s="518">
        <v>0</v>
      </c>
      <c r="ET138" s="518">
        <v>0</v>
      </c>
      <c r="EU138" s="518">
        <v>0</v>
      </c>
      <c r="EV138" s="518">
        <v>0</v>
      </c>
      <c r="EW138" s="518">
        <v>0</v>
      </c>
      <c r="EX138" s="518">
        <v>0</v>
      </c>
      <c r="EY138" s="518">
        <v>0</v>
      </c>
      <c r="EZ138" s="518">
        <v>0</v>
      </c>
      <c r="FA138" s="518">
        <v>0</v>
      </c>
      <c r="FB138" s="518">
        <v>0</v>
      </c>
      <c r="FC138" s="518">
        <v>0</v>
      </c>
      <c r="FD138" s="518">
        <v>0</v>
      </c>
      <c r="FE138" s="518">
        <v>0</v>
      </c>
      <c r="FF138" s="518">
        <v>0</v>
      </c>
      <c r="FG138" s="518">
        <v>0</v>
      </c>
      <c r="FH138" s="518">
        <v>0</v>
      </c>
      <c r="FI138" s="518">
        <v>0</v>
      </c>
      <c r="FJ138" s="518">
        <v>0</v>
      </c>
      <c r="FK138" s="518">
        <v>0</v>
      </c>
      <c r="FL138" s="518">
        <v>0</v>
      </c>
      <c r="FM138" s="518">
        <v>0</v>
      </c>
      <c r="FN138" s="518">
        <v>0</v>
      </c>
      <c r="FO138" s="518">
        <v>0</v>
      </c>
      <c r="FP138" s="518">
        <v>0</v>
      </c>
      <c r="FQ138" s="518">
        <v>0</v>
      </c>
      <c r="FR138" s="518">
        <v>0</v>
      </c>
      <c r="FS138" s="518">
        <v>0</v>
      </c>
      <c r="FT138" s="518">
        <v>0</v>
      </c>
      <c r="FU138" s="518">
        <v>0</v>
      </c>
      <c r="FV138" s="518">
        <v>0</v>
      </c>
      <c r="FW138" s="518">
        <v>0</v>
      </c>
      <c r="FX138" s="518">
        <v>0</v>
      </c>
      <c r="FY138" s="518">
        <v>0</v>
      </c>
      <c r="FZ138" s="518">
        <v>0</v>
      </c>
      <c r="GA138" s="518">
        <v>0</v>
      </c>
      <c r="GB138" s="518">
        <v>0</v>
      </c>
      <c r="GC138" s="518">
        <v>0</v>
      </c>
      <c r="GD138" s="518">
        <v>0</v>
      </c>
      <c r="GE138" s="518">
        <v>0</v>
      </c>
      <c r="GF138" s="518">
        <v>0</v>
      </c>
      <c r="GG138" s="518">
        <v>0</v>
      </c>
      <c r="GH138" s="518">
        <v>0</v>
      </c>
      <c r="GI138" s="518">
        <v>0</v>
      </c>
      <c r="GJ138" s="518">
        <v>0</v>
      </c>
      <c r="GK138" s="518">
        <v>0</v>
      </c>
      <c r="GL138" s="518">
        <v>0</v>
      </c>
      <c r="GM138" s="518">
        <v>0</v>
      </c>
      <c r="GN138" s="518">
        <v>0</v>
      </c>
      <c r="GO138" s="518">
        <v>0</v>
      </c>
      <c r="GP138" s="518">
        <v>0</v>
      </c>
      <c r="GQ138" s="518">
        <v>0</v>
      </c>
      <c r="GR138" s="518">
        <v>0</v>
      </c>
      <c r="GS138" s="518">
        <v>0</v>
      </c>
      <c r="GT138" s="518">
        <v>0</v>
      </c>
      <c r="GU138" s="518">
        <v>0</v>
      </c>
      <c r="GV138" s="518">
        <v>0</v>
      </c>
      <c r="GW138" s="518">
        <v>0</v>
      </c>
      <c r="GX138" s="518">
        <v>0</v>
      </c>
      <c r="GY138" s="518">
        <v>0</v>
      </c>
      <c r="GZ138" s="518">
        <v>0</v>
      </c>
      <c r="HA138" s="518">
        <v>0</v>
      </c>
      <c r="HB138" s="518">
        <v>0</v>
      </c>
      <c r="HC138" s="518">
        <v>0</v>
      </c>
      <c r="HD138" s="518">
        <v>0</v>
      </c>
      <c r="HE138" s="518">
        <v>0</v>
      </c>
      <c r="HF138" s="518">
        <v>0</v>
      </c>
      <c r="HG138" s="518">
        <v>0</v>
      </c>
      <c r="HH138" s="518">
        <v>0</v>
      </c>
      <c r="HI138" s="518">
        <v>0</v>
      </c>
      <c r="HJ138" s="518">
        <v>0</v>
      </c>
      <c r="HK138" s="518">
        <v>0</v>
      </c>
      <c r="HL138" s="518">
        <v>0</v>
      </c>
      <c r="HM138" s="518">
        <v>0</v>
      </c>
      <c r="HN138" s="518">
        <v>0</v>
      </c>
      <c r="HO138" s="518">
        <v>0</v>
      </c>
      <c r="HP138" s="518">
        <v>0</v>
      </c>
      <c r="HQ138" s="518">
        <v>0</v>
      </c>
      <c r="HR138" s="518">
        <v>0</v>
      </c>
      <c r="HS138" s="518">
        <v>0</v>
      </c>
      <c r="HT138" s="518">
        <v>0</v>
      </c>
      <c r="HU138" s="518">
        <v>0</v>
      </c>
      <c r="HV138" s="518">
        <v>0</v>
      </c>
      <c r="HW138" s="518">
        <v>0</v>
      </c>
      <c r="HX138" s="518">
        <v>0</v>
      </c>
      <c r="HY138" s="518">
        <v>0</v>
      </c>
      <c r="HZ138" s="518">
        <v>0</v>
      </c>
      <c r="IA138" s="518">
        <v>0</v>
      </c>
      <c r="IB138" s="518">
        <v>0</v>
      </c>
      <c r="IC138" s="518">
        <v>0</v>
      </c>
      <c r="ID138" s="518">
        <v>0</v>
      </c>
      <c r="IE138" s="518">
        <v>0</v>
      </c>
      <c r="IF138" s="518">
        <v>0</v>
      </c>
      <c r="IG138" s="518">
        <v>0</v>
      </c>
      <c r="IH138" s="518">
        <v>0</v>
      </c>
      <c r="II138" s="518">
        <v>0</v>
      </c>
      <c r="IJ138" s="518">
        <v>0</v>
      </c>
      <c r="IK138" s="518">
        <v>0</v>
      </c>
    </row>
    <row r="139" spans="1:245" ht="16.5" hidden="1">
      <c r="A139" s="517"/>
      <c r="B139" s="517"/>
      <c r="C139" s="517"/>
      <c r="D139" s="517"/>
      <c r="E139" s="517"/>
      <c r="F139" s="517"/>
      <c r="G139" s="558"/>
      <c r="H139" s="518"/>
      <c r="I139" s="558"/>
      <c r="J139" s="494"/>
      <c r="K139" s="518"/>
      <c r="M139" s="517" t="s">
        <v>721</v>
      </c>
      <c r="N139" s="517" t="s">
        <v>1101</v>
      </c>
      <c r="O139" s="517" t="s">
        <v>25</v>
      </c>
      <c r="P139" s="518">
        <v>53</v>
      </c>
      <c r="Q139" s="494" t="str">
        <f t="shared" si="6"/>
        <v>SWUC100153</v>
      </c>
      <c r="R139" s="518">
        <v>469.6</v>
      </c>
      <c r="S139" s="518">
        <v>10000</v>
      </c>
      <c r="T139" s="518">
        <v>10000</v>
      </c>
      <c r="U139" s="518">
        <v>10000</v>
      </c>
      <c r="V139" s="518">
        <v>10000</v>
      </c>
      <c r="W139" s="518">
        <v>10000</v>
      </c>
      <c r="X139" s="518">
        <v>10000</v>
      </c>
      <c r="Y139" s="518">
        <v>10000</v>
      </c>
      <c r="Z139" s="518">
        <v>10000</v>
      </c>
      <c r="AA139" s="518">
        <v>10000</v>
      </c>
      <c r="AB139" s="518">
        <v>0</v>
      </c>
      <c r="AC139" s="518">
        <v>0</v>
      </c>
      <c r="AD139" s="518">
        <v>0</v>
      </c>
      <c r="AE139" s="518">
        <v>0</v>
      </c>
      <c r="AF139" s="518">
        <v>0</v>
      </c>
      <c r="AG139" s="518">
        <v>0</v>
      </c>
      <c r="AH139" s="518">
        <v>0</v>
      </c>
      <c r="AI139" s="518">
        <v>0</v>
      </c>
      <c r="AJ139" s="518">
        <v>0</v>
      </c>
      <c r="AK139" s="518">
        <v>0</v>
      </c>
      <c r="AL139" s="518">
        <v>0</v>
      </c>
      <c r="AM139" s="518">
        <v>0</v>
      </c>
      <c r="AN139" s="518">
        <v>0</v>
      </c>
      <c r="AO139" s="518">
        <v>0</v>
      </c>
      <c r="AP139" s="518">
        <v>0</v>
      </c>
      <c r="AQ139" s="518">
        <v>0</v>
      </c>
      <c r="AR139" s="518">
        <v>0</v>
      </c>
      <c r="AS139" s="518">
        <v>0</v>
      </c>
      <c r="AT139" s="518">
        <v>0</v>
      </c>
      <c r="AU139" s="518">
        <v>0</v>
      </c>
      <c r="AV139" s="518">
        <v>0</v>
      </c>
      <c r="AW139" s="518">
        <v>0</v>
      </c>
      <c r="AX139" s="518">
        <v>0</v>
      </c>
      <c r="AY139" s="518">
        <v>0</v>
      </c>
      <c r="AZ139" s="518">
        <v>0</v>
      </c>
      <c r="BA139" s="518">
        <v>0</v>
      </c>
      <c r="BB139" s="518">
        <v>0</v>
      </c>
      <c r="BC139" s="518">
        <v>0</v>
      </c>
      <c r="BD139" s="518">
        <v>0</v>
      </c>
      <c r="BE139" s="518">
        <v>0</v>
      </c>
      <c r="BF139" s="518">
        <v>0</v>
      </c>
      <c r="BG139" s="518">
        <v>0</v>
      </c>
      <c r="BH139" s="518">
        <v>0</v>
      </c>
      <c r="BI139" s="518">
        <v>0</v>
      </c>
      <c r="BJ139" s="518">
        <v>0</v>
      </c>
      <c r="BK139" s="518">
        <v>0</v>
      </c>
      <c r="BL139" s="518">
        <v>0</v>
      </c>
      <c r="BM139" s="518">
        <v>0</v>
      </c>
      <c r="BN139" s="518">
        <v>0</v>
      </c>
      <c r="BO139" s="518">
        <v>0</v>
      </c>
      <c r="BP139" s="518">
        <v>0</v>
      </c>
      <c r="BQ139" s="518">
        <v>0</v>
      </c>
      <c r="BR139" s="518">
        <v>0</v>
      </c>
      <c r="BS139" s="518">
        <v>0</v>
      </c>
      <c r="BT139" s="518">
        <v>0</v>
      </c>
      <c r="BU139" s="518">
        <v>0</v>
      </c>
      <c r="BV139" s="518">
        <v>0</v>
      </c>
      <c r="BW139" s="518">
        <v>0</v>
      </c>
      <c r="BX139" s="518">
        <v>0</v>
      </c>
      <c r="BY139" s="518">
        <v>0</v>
      </c>
      <c r="BZ139" s="518">
        <v>0</v>
      </c>
      <c r="CA139" s="518">
        <v>0</v>
      </c>
      <c r="CB139" s="518">
        <v>0</v>
      </c>
      <c r="CC139" s="518">
        <v>0</v>
      </c>
      <c r="CD139" s="518">
        <v>0</v>
      </c>
      <c r="CE139" s="518">
        <v>0</v>
      </c>
      <c r="CF139" s="518">
        <v>0</v>
      </c>
      <c r="CG139" s="518">
        <v>0</v>
      </c>
      <c r="CH139" s="518">
        <v>0</v>
      </c>
      <c r="CI139" s="518">
        <v>0</v>
      </c>
      <c r="CJ139" s="518">
        <v>0</v>
      </c>
      <c r="CK139" s="518">
        <v>0</v>
      </c>
      <c r="CL139" s="518">
        <v>0</v>
      </c>
      <c r="CM139" s="518">
        <v>0</v>
      </c>
      <c r="CN139" s="518">
        <v>0</v>
      </c>
      <c r="CO139" s="518">
        <v>0</v>
      </c>
      <c r="CP139" s="518">
        <v>0</v>
      </c>
      <c r="CQ139" s="518">
        <v>0</v>
      </c>
      <c r="CR139" s="518">
        <v>0</v>
      </c>
      <c r="CS139" s="518">
        <v>0</v>
      </c>
      <c r="CT139" s="518">
        <v>0</v>
      </c>
      <c r="CU139" s="518">
        <v>0</v>
      </c>
      <c r="CV139" s="518">
        <v>0</v>
      </c>
      <c r="CW139" s="518">
        <v>0</v>
      </c>
      <c r="CX139" s="518">
        <v>0</v>
      </c>
      <c r="CY139" s="518">
        <v>0</v>
      </c>
      <c r="CZ139" s="518">
        <v>0</v>
      </c>
      <c r="DA139" s="518">
        <v>0</v>
      </c>
      <c r="DB139" s="518">
        <v>0</v>
      </c>
      <c r="DC139" s="518">
        <v>0</v>
      </c>
      <c r="DD139" s="518">
        <v>0</v>
      </c>
      <c r="DE139" s="518">
        <v>0</v>
      </c>
      <c r="DF139" s="518">
        <v>0</v>
      </c>
      <c r="DG139" s="518">
        <v>0</v>
      </c>
      <c r="DH139" s="518">
        <v>0</v>
      </c>
      <c r="DI139" s="518">
        <v>0</v>
      </c>
      <c r="DJ139" s="518">
        <v>0</v>
      </c>
      <c r="DK139" s="518">
        <v>0</v>
      </c>
      <c r="DL139" s="518">
        <v>0</v>
      </c>
      <c r="DM139" s="518">
        <v>0</v>
      </c>
      <c r="DN139" s="518">
        <v>0</v>
      </c>
      <c r="DO139" s="518">
        <v>0</v>
      </c>
      <c r="DP139" s="518">
        <v>0</v>
      </c>
      <c r="DQ139" s="518">
        <v>0</v>
      </c>
      <c r="DR139" s="518">
        <v>0</v>
      </c>
      <c r="DS139" s="518">
        <v>0</v>
      </c>
      <c r="DT139" s="518">
        <v>0</v>
      </c>
      <c r="DU139" s="518">
        <v>0</v>
      </c>
      <c r="DV139" s="518">
        <v>0</v>
      </c>
      <c r="DW139" s="518">
        <v>0</v>
      </c>
      <c r="DX139" s="518">
        <v>0</v>
      </c>
      <c r="DZ139" s="517" t="s">
        <v>721</v>
      </c>
      <c r="EA139" s="517" t="s">
        <v>1101</v>
      </c>
      <c r="EB139" s="517" t="s">
        <v>25</v>
      </c>
      <c r="EC139" s="518">
        <v>53</v>
      </c>
      <c r="ED139" s="494" t="str">
        <f t="shared" si="7"/>
        <v>SWUC100153</v>
      </c>
      <c r="EE139" s="518">
        <v>469.6</v>
      </c>
      <c r="EF139" s="518">
        <v>2000</v>
      </c>
      <c r="EG139" s="518">
        <v>2000</v>
      </c>
      <c r="EH139" s="518">
        <v>2000</v>
      </c>
      <c r="EI139" s="518">
        <v>2347.9</v>
      </c>
      <c r="EJ139" s="518">
        <v>2817.5</v>
      </c>
      <c r="EK139" s="518">
        <v>3287.1</v>
      </c>
      <c r="EL139" s="518">
        <v>3756.6</v>
      </c>
      <c r="EM139" s="518">
        <v>4226.2</v>
      </c>
      <c r="EN139" s="518">
        <v>4695.8</v>
      </c>
      <c r="EO139" s="518">
        <v>0</v>
      </c>
      <c r="EP139" s="518">
        <v>0</v>
      </c>
      <c r="EQ139" s="518">
        <v>0</v>
      </c>
      <c r="ER139" s="518">
        <v>0</v>
      </c>
      <c r="ES139" s="518">
        <v>0</v>
      </c>
      <c r="ET139" s="518">
        <v>0</v>
      </c>
      <c r="EU139" s="518">
        <v>0</v>
      </c>
      <c r="EV139" s="518">
        <v>0</v>
      </c>
      <c r="EW139" s="518">
        <v>0</v>
      </c>
      <c r="EX139" s="518">
        <v>0</v>
      </c>
      <c r="EY139" s="518">
        <v>0</v>
      </c>
      <c r="EZ139" s="518">
        <v>0</v>
      </c>
      <c r="FA139" s="518">
        <v>0</v>
      </c>
      <c r="FB139" s="518">
        <v>0</v>
      </c>
      <c r="FC139" s="518">
        <v>0</v>
      </c>
      <c r="FD139" s="518">
        <v>0</v>
      </c>
      <c r="FE139" s="518">
        <v>0</v>
      </c>
      <c r="FF139" s="518">
        <v>0</v>
      </c>
      <c r="FG139" s="518">
        <v>0</v>
      </c>
      <c r="FH139" s="518">
        <v>0</v>
      </c>
      <c r="FI139" s="518">
        <v>0</v>
      </c>
      <c r="FJ139" s="518">
        <v>0</v>
      </c>
      <c r="FK139" s="518">
        <v>0</v>
      </c>
      <c r="FL139" s="518">
        <v>0</v>
      </c>
      <c r="FM139" s="518">
        <v>0</v>
      </c>
      <c r="FN139" s="518">
        <v>0</v>
      </c>
      <c r="FO139" s="518">
        <v>0</v>
      </c>
      <c r="FP139" s="518">
        <v>0</v>
      </c>
      <c r="FQ139" s="518">
        <v>0</v>
      </c>
      <c r="FR139" s="518">
        <v>0</v>
      </c>
      <c r="FS139" s="518">
        <v>0</v>
      </c>
      <c r="FT139" s="518">
        <v>0</v>
      </c>
      <c r="FU139" s="518">
        <v>0</v>
      </c>
      <c r="FV139" s="518">
        <v>0</v>
      </c>
      <c r="FW139" s="518">
        <v>0</v>
      </c>
      <c r="FX139" s="518">
        <v>0</v>
      </c>
      <c r="FY139" s="518">
        <v>0</v>
      </c>
      <c r="FZ139" s="518">
        <v>0</v>
      </c>
      <c r="GA139" s="518">
        <v>0</v>
      </c>
      <c r="GB139" s="518">
        <v>0</v>
      </c>
      <c r="GC139" s="518">
        <v>0</v>
      </c>
      <c r="GD139" s="518">
        <v>0</v>
      </c>
      <c r="GE139" s="518">
        <v>0</v>
      </c>
      <c r="GF139" s="518">
        <v>0</v>
      </c>
      <c r="GG139" s="518">
        <v>0</v>
      </c>
      <c r="GH139" s="518">
        <v>0</v>
      </c>
      <c r="GI139" s="518">
        <v>0</v>
      </c>
      <c r="GJ139" s="518">
        <v>0</v>
      </c>
      <c r="GK139" s="518">
        <v>0</v>
      </c>
      <c r="GL139" s="518">
        <v>0</v>
      </c>
      <c r="GM139" s="518">
        <v>0</v>
      </c>
      <c r="GN139" s="518">
        <v>0</v>
      </c>
      <c r="GO139" s="518">
        <v>0</v>
      </c>
      <c r="GP139" s="518">
        <v>0</v>
      </c>
      <c r="GQ139" s="518">
        <v>0</v>
      </c>
      <c r="GR139" s="518">
        <v>0</v>
      </c>
      <c r="GS139" s="518">
        <v>0</v>
      </c>
      <c r="GT139" s="518">
        <v>0</v>
      </c>
      <c r="GU139" s="518">
        <v>0</v>
      </c>
      <c r="GV139" s="518">
        <v>0</v>
      </c>
      <c r="GW139" s="518">
        <v>0</v>
      </c>
      <c r="GX139" s="518">
        <v>0</v>
      </c>
      <c r="GY139" s="518">
        <v>0</v>
      </c>
      <c r="GZ139" s="518">
        <v>0</v>
      </c>
      <c r="HA139" s="518">
        <v>0</v>
      </c>
      <c r="HB139" s="518">
        <v>0</v>
      </c>
      <c r="HC139" s="518">
        <v>0</v>
      </c>
      <c r="HD139" s="518">
        <v>0</v>
      </c>
      <c r="HE139" s="518">
        <v>0</v>
      </c>
      <c r="HF139" s="518">
        <v>0</v>
      </c>
      <c r="HG139" s="518">
        <v>0</v>
      </c>
      <c r="HH139" s="518">
        <v>0</v>
      </c>
      <c r="HI139" s="518">
        <v>0</v>
      </c>
      <c r="HJ139" s="518">
        <v>0</v>
      </c>
      <c r="HK139" s="518">
        <v>0</v>
      </c>
      <c r="HL139" s="518">
        <v>0</v>
      </c>
      <c r="HM139" s="518">
        <v>0</v>
      </c>
      <c r="HN139" s="518">
        <v>0</v>
      </c>
      <c r="HO139" s="518">
        <v>0</v>
      </c>
      <c r="HP139" s="518">
        <v>0</v>
      </c>
      <c r="HQ139" s="518">
        <v>0</v>
      </c>
      <c r="HR139" s="518">
        <v>0</v>
      </c>
      <c r="HS139" s="518">
        <v>0</v>
      </c>
      <c r="HT139" s="518">
        <v>0</v>
      </c>
      <c r="HU139" s="518">
        <v>0</v>
      </c>
      <c r="HV139" s="518">
        <v>0</v>
      </c>
      <c r="HW139" s="518">
        <v>0</v>
      </c>
      <c r="HX139" s="518">
        <v>0</v>
      </c>
      <c r="HY139" s="518">
        <v>0</v>
      </c>
      <c r="HZ139" s="518">
        <v>0</v>
      </c>
      <c r="IA139" s="518">
        <v>0</v>
      </c>
      <c r="IB139" s="518">
        <v>0</v>
      </c>
      <c r="IC139" s="518">
        <v>0</v>
      </c>
      <c r="ID139" s="518">
        <v>0</v>
      </c>
      <c r="IE139" s="518">
        <v>0</v>
      </c>
      <c r="IF139" s="518">
        <v>0</v>
      </c>
      <c r="IG139" s="518">
        <v>0</v>
      </c>
      <c r="IH139" s="518">
        <v>0</v>
      </c>
      <c r="II139" s="518">
        <v>0</v>
      </c>
      <c r="IJ139" s="518">
        <v>0</v>
      </c>
      <c r="IK139" s="518">
        <v>0</v>
      </c>
    </row>
    <row r="140" spans="1:245" ht="16.5" hidden="1">
      <c r="A140" s="517"/>
      <c r="B140" s="517"/>
      <c r="C140" s="517"/>
      <c r="D140" s="517"/>
      <c r="E140" s="517"/>
      <c r="F140" s="517"/>
      <c r="G140" s="558"/>
      <c r="H140" s="518"/>
      <c r="I140" s="558"/>
      <c r="J140" s="494"/>
      <c r="K140" s="518"/>
      <c r="M140" s="517" t="s">
        <v>721</v>
      </c>
      <c r="N140" s="517" t="s">
        <v>1101</v>
      </c>
      <c r="O140" s="517" t="s">
        <v>25</v>
      </c>
      <c r="P140" s="518">
        <v>54</v>
      </c>
      <c r="Q140" s="494" t="str">
        <f t="shared" si="6"/>
        <v>SWUC100154</v>
      </c>
      <c r="R140" s="518">
        <v>502.4</v>
      </c>
      <c r="S140" s="518">
        <v>10000</v>
      </c>
      <c r="T140" s="518">
        <v>10000</v>
      </c>
      <c r="U140" s="518">
        <v>10000</v>
      </c>
      <c r="V140" s="518">
        <v>10000</v>
      </c>
      <c r="W140" s="518">
        <v>10000</v>
      </c>
      <c r="X140" s="518">
        <v>10000</v>
      </c>
      <c r="Y140" s="518">
        <v>10000</v>
      </c>
      <c r="Z140" s="518">
        <v>10000</v>
      </c>
      <c r="AA140" s="518">
        <v>10000</v>
      </c>
      <c r="AB140" s="518">
        <v>0</v>
      </c>
      <c r="AC140" s="518">
        <v>0</v>
      </c>
      <c r="AD140" s="518">
        <v>0</v>
      </c>
      <c r="AE140" s="518">
        <v>0</v>
      </c>
      <c r="AF140" s="518">
        <v>0</v>
      </c>
      <c r="AG140" s="518">
        <v>0</v>
      </c>
      <c r="AH140" s="518">
        <v>0</v>
      </c>
      <c r="AI140" s="518">
        <v>0</v>
      </c>
      <c r="AJ140" s="518">
        <v>0</v>
      </c>
      <c r="AK140" s="518">
        <v>0</v>
      </c>
      <c r="AL140" s="518">
        <v>0</v>
      </c>
      <c r="AM140" s="518">
        <v>0</v>
      </c>
      <c r="AN140" s="518">
        <v>0</v>
      </c>
      <c r="AO140" s="518">
        <v>0</v>
      </c>
      <c r="AP140" s="518">
        <v>0</v>
      </c>
      <c r="AQ140" s="518">
        <v>0</v>
      </c>
      <c r="AR140" s="518">
        <v>0</v>
      </c>
      <c r="AS140" s="518">
        <v>0</v>
      </c>
      <c r="AT140" s="518">
        <v>0</v>
      </c>
      <c r="AU140" s="518">
        <v>0</v>
      </c>
      <c r="AV140" s="518">
        <v>0</v>
      </c>
      <c r="AW140" s="518">
        <v>0</v>
      </c>
      <c r="AX140" s="518">
        <v>0</v>
      </c>
      <c r="AY140" s="518">
        <v>0</v>
      </c>
      <c r="AZ140" s="518">
        <v>0</v>
      </c>
      <c r="BA140" s="518">
        <v>0</v>
      </c>
      <c r="BB140" s="518">
        <v>0</v>
      </c>
      <c r="BC140" s="518">
        <v>0</v>
      </c>
      <c r="BD140" s="518">
        <v>0</v>
      </c>
      <c r="BE140" s="518">
        <v>0</v>
      </c>
      <c r="BF140" s="518">
        <v>0</v>
      </c>
      <c r="BG140" s="518">
        <v>0</v>
      </c>
      <c r="BH140" s="518">
        <v>0</v>
      </c>
      <c r="BI140" s="518">
        <v>0</v>
      </c>
      <c r="BJ140" s="518">
        <v>0</v>
      </c>
      <c r="BK140" s="518">
        <v>0</v>
      </c>
      <c r="BL140" s="518">
        <v>0</v>
      </c>
      <c r="BM140" s="518">
        <v>0</v>
      </c>
      <c r="BN140" s="518">
        <v>0</v>
      </c>
      <c r="BO140" s="518">
        <v>0</v>
      </c>
      <c r="BP140" s="518">
        <v>0</v>
      </c>
      <c r="BQ140" s="518">
        <v>0</v>
      </c>
      <c r="BR140" s="518">
        <v>0</v>
      </c>
      <c r="BS140" s="518">
        <v>0</v>
      </c>
      <c r="BT140" s="518">
        <v>0</v>
      </c>
      <c r="BU140" s="518">
        <v>0</v>
      </c>
      <c r="BV140" s="518">
        <v>0</v>
      </c>
      <c r="BW140" s="518">
        <v>0</v>
      </c>
      <c r="BX140" s="518">
        <v>0</v>
      </c>
      <c r="BY140" s="518">
        <v>0</v>
      </c>
      <c r="BZ140" s="518">
        <v>0</v>
      </c>
      <c r="CA140" s="518">
        <v>0</v>
      </c>
      <c r="CB140" s="518">
        <v>0</v>
      </c>
      <c r="CC140" s="518">
        <v>0</v>
      </c>
      <c r="CD140" s="518">
        <v>0</v>
      </c>
      <c r="CE140" s="518">
        <v>0</v>
      </c>
      <c r="CF140" s="518">
        <v>0</v>
      </c>
      <c r="CG140" s="518">
        <v>0</v>
      </c>
      <c r="CH140" s="518">
        <v>0</v>
      </c>
      <c r="CI140" s="518">
        <v>0</v>
      </c>
      <c r="CJ140" s="518">
        <v>0</v>
      </c>
      <c r="CK140" s="518">
        <v>0</v>
      </c>
      <c r="CL140" s="518">
        <v>0</v>
      </c>
      <c r="CM140" s="518">
        <v>0</v>
      </c>
      <c r="CN140" s="518">
        <v>0</v>
      </c>
      <c r="CO140" s="518">
        <v>0</v>
      </c>
      <c r="CP140" s="518">
        <v>0</v>
      </c>
      <c r="CQ140" s="518">
        <v>0</v>
      </c>
      <c r="CR140" s="518">
        <v>0</v>
      </c>
      <c r="CS140" s="518">
        <v>0</v>
      </c>
      <c r="CT140" s="518">
        <v>0</v>
      </c>
      <c r="CU140" s="518">
        <v>0</v>
      </c>
      <c r="CV140" s="518">
        <v>0</v>
      </c>
      <c r="CW140" s="518">
        <v>0</v>
      </c>
      <c r="CX140" s="518">
        <v>0</v>
      </c>
      <c r="CY140" s="518">
        <v>0</v>
      </c>
      <c r="CZ140" s="518">
        <v>0</v>
      </c>
      <c r="DA140" s="518">
        <v>0</v>
      </c>
      <c r="DB140" s="518">
        <v>0</v>
      </c>
      <c r="DC140" s="518">
        <v>0</v>
      </c>
      <c r="DD140" s="518">
        <v>0</v>
      </c>
      <c r="DE140" s="518">
        <v>0</v>
      </c>
      <c r="DF140" s="518">
        <v>0</v>
      </c>
      <c r="DG140" s="518">
        <v>0</v>
      </c>
      <c r="DH140" s="518">
        <v>0</v>
      </c>
      <c r="DI140" s="518">
        <v>0</v>
      </c>
      <c r="DJ140" s="518">
        <v>0</v>
      </c>
      <c r="DK140" s="518">
        <v>0</v>
      </c>
      <c r="DL140" s="518">
        <v>0</v>
      </c>
      <c r="DM140" s="518">
        <v>0</v>
      </c>
      <c r="DN140" s="518">
        <v>0</v>
      </c>
      <c r="DO140" s="518">
        <v>0</v>
      </c>
      <c r="DP140" s="518">
        <v>0</v>
      </c>
      <c r="DQ140" s="518">
        <v>0</v>
      </c>
      <c r="DR140" s="518">
        <v>0</v>
      </c>
      <c r="DS140" s="518">
        <v>0</v>
      </c>
      <c r="DT140" s="518">
        <v>0</v>
      </c>
      <c r="DU140" s="518">
        <v>0</v>
      </c>
      <c r="DV140" s="518">
        <v>0</v>
      </c>
      <c r="DW140" s="518">
        <v>0</v>
      </c>
      <c r="DX140" s="518">
        <v>0</v>
      </c>
      <c r="DZ140" s="517" t="s">
        <v>721</v>
      </c>
      <c r="EA140" s="517" t="s">
        <v>1101</v>
      </c>
      <c r="EB140" s="517" t="s">
        <v>25</v>
      </c>
      <c r="EC140" s="518">
        <v>54</v>
      </c>
      <c r="ED140" s="494" t="str">
        <f t="shared" si="7"/>
        <v>SWUC100154</v>
      </c>
      <c r="EE140" s="518">
        <v>502.4</v>
      </c>
      <c r="EF140" s="518">
        <v>2000</v>
      </c>
      <c r="EG140" s="518">
        <v>2000</v>
      </c>
      <c r="EH140" s="518">
        <v>2009.8</v>
      </c>
      <c r="EI140" s="518">
        <v>2512.1999999999998</v>
      </c>
      <c r="EJ140" s="518">
        <v>3014.6</v>
      </c>
      <c r="EK140" s="518">
        <v>3517.1</v>
      </c>
      <c r="EL140" s="518">
        <v>4019.5</v>
      </c>
      <c r="EM140" s="518">
        <v>4522</v>
      </c>
      <c r="EN140" s="518">
        <v>5024.3999999999996</v>
      </c>
      <c r="EO140" s="518">
        <v>0</v>
      </c>
      <c r="EP140" s="518">
        <v>0</v>
      </c>
      <c r="EQ140" s="518">
        <v>0</v>
      </c>
      <c r="ER140" s="518">
        <v>0</v>
      </c>
      <c r="ES140" s="518">
        <v>0</v>
      </c>
      <c r="ET140" s="518">
        <v>0</v>
      </c>
      <c r="EU140" s="518">
        <v>0</v>
      </c>
      <c r="EV140" s="518">
        <v>0</v>
      </c>
      <c r="EW140" s="518">
        <v>0</v>
      </c>
      <c r="EX140" s="518">
        <v>0</v>
      </c>
      <c r="EY140" s="518">
        <v>0</v>
      </c>
      <c r="EZ140" s="518">
        <v>0</v>
      </c>
      <c r="FA140" s="518">
        <v>0</v>
      </c>
      <c r="FB140" s="518">
        <v>0</v>
      </c>
      <c r="FC140" s="518">
        <v>0</v>
      </c>
      <c r="FD140" s="518">
        <v>0</v>
      </c>
      <c r="FE140" s="518">
        <v>0</v>
      </c>
      <c r="FF140" s="518">
        <v>0</v>
      </c>
      <c r="FG140" s="518">
        <v>0</v>
      </c>
      <c r="FH140" s="518">
        <v>0</v>
      </c>
      <c r="FI140" s="518">
        <v>0</v>
      </c>
      <c r="FJ140" s="518">
        <v>0</v>
      </c>
      <c r="FK140" s="518">
        <v>0</v>
      </c>
      <c r="FL140" s="518">
        <v>0</v>
      </c>
      <c r="FM140" s="518">
        <v>0</v>
      </c>
      <c r="FN140" s="518">
        <v>0</v>
      </c>
      <c r="FO140" s="518">
        <v>0</v>
      </c>
      <c r="FP140" s="518">
        <v>0</v>
      </c>
      <c r="FQ140" s="518">
        <v>0</v>
      </c>
      <c r="FR140" s="518">
        <v>0</v>
      </c>
      <c r="FS140" s="518">
        <v>0</v>
      </c>
      <c r="FT140" s="518">
        <v>0</v>
      </c>
      <c r="FU140" s="518">
        <v>0</v>
      </c>
      <c r="FV140" s="518">
        <v>0</v>
      </c>
      <c r="FW140" s="518">
        <v>0</v>
      </c>
      <c r="FX140" s="518">
        <v>0</v>
      </c>
      <c r="FY140" s="518">
        <v>0</v>
      </c>
      <c r="FZ140" s="518">
        <v>0</v>
      </c>
      <c r="GA140" s="518">
        <v>0</v>
      </c>
      <c r="GB140" s="518">
        <v>0</v>
      </c>
      <c r="GC140" s="518">
        <v>0</v>
      </c>
      <c r="GD140" s="518">
        <v>0</v>
      </c>
      <c r="GE140" s="518">
        <v>0</v>
      </c>
      <c r="GF140" s="518">
        <v>0</v>
      </c>
      <c r="GG140" s="518">
        <v>0</v>
      </c>
      <c r="GH140" s="518">
        <v>0</v>
      </c>
      <c r="GI140" s="518">
        <v>0</v>
      </c>
      <c r="GJ140" s="518">
        <v>0</v>
      </c>
      <c r="GK140" s="518">
        <v>0</v>
      </c>
      <c r="GL140" s="518">
        <v>0</v>
      </c>
      <c r="GM140" s="518">
        <v>0</v>
      </c>
      <c r="GN140" s="518">
        <v>0</v>
      </c>
      <c r="GO140" s="518">
        <v>0</v>
      </c>
      <c r="GP140" s="518">
        <v>0</v>
      </c>
      <c r="GQ140" s="518">
        <v>0</v>
      </c>
      <c r="GR140" s="518">
        <v>0</v>
      </c>
      <c r="GS140" s="518">
        <v>0</v>
      </c>
      <c r="GT140" s="518">
        <v>0</v>
      </c>
      <c r="GU140" s="518">
        <v>0</v>
      </c>
      <c r="GV140" s="518">
        <v>0</v>
      </c>
      <c r="GW140" s="518">
        <v>0</v>
      </c>
      <c r="GX140" s="518">
        <v>0</v>
      </c>
      <c r="GY140" s="518">
        <v>0</v>
      </c>
      <c r="GZ140" s="518">
        <v>0</v>
      </c>
      <c r="HA140" s="518">
        <v>0</v>
      </c>
      <c r="HB140" s="518">
        <v>0</v>
      </c>
      <c r="HC140" s="518">
        <v>0</v>
      </c>
      <c r="HD140" s="518">
        <v>0</v>
      </c>
      <c r="HE140" s="518">
        <v>0</v>
      </c>
      <c r="HF140" s="518">
        <v>0</v>
      </c>
      <c r="HG140" s="518">
        <v>0</v>
      </c>
      <c r="HH140" s="518">
        <v>0</v>
      </c>
      <c r="HI140" s="518">
        <v>0</v>
      </c>
      <c r="HJ140" s="518">
        <v>0</v>
      </c>
      <c r="HK140" s="518">
        <v>0</v>
      </c>
      <c r="HL140" s="518">
        <v>0</v>
      </c>
      <c r="HM140" s="518">
        <v>0</v>
      </c>
      <c r="HN140" s="518">
        <v>0</v>
      </c>
      <c r="HO140" s="518">
        <v>0</v>
      </c>
      <c r="HP140" s="518">
        <v>0</v>
      </c>
      <c r="HQ140" s="518">
        <v>0</v>
      </c>
      <c r="HR140" s="518">
        <v>0</v>
      </c>
      <c r="HS140" s="518">
        <v>0</v>
      </c>
      <c r="HT140" s="518">
        <v>0</v>
      </c>
      <c r="HU140" s="518">
        <v>0</v>
      </c>
      <c r="HV140" s="518">
        <v>0</v>
      </c>
      <c r="HW140" s="518">
        <v>0</v>
      </c>
      <c r="HX140" s="518">
        <v>0</v>
      </c>
      <c r="HY140" s="518">
        <v>0</v>
      </c>
      <c r="HZ140" s="518">
        <v>0</v>
      </c>
      <c r="IA140" s="518">
        <v>0</v>
      </c>
      <c r="IB140" s="518">
        <v>0</v>
      </c>
      <c r="IC140" s="518">
        <v>0</v>
      </c>
      <c r="ID140" s="518">
        <v>0</v>
      </c>
      <c r="IE140" s="518">
        <v>0</v>
      </c>
      <c r="IF140" s="518">
        <v>0</v>
      </c>
      <c r="IG140" s="518">
        <v>0</v>
      </c>
      <c r="IH140" s="518">
        <v>0</v>
      </c>
      <c r="II140" s="518">
        <v>0</v>
      </c>
      <c r="IJ140" s="518">
        <v>0</v>
      </c>
      <c r="IK140" s="518">
        <v>0</v>
      </c>
    </row>
    <row r="141" spans="1:245" ht="16.5" hidden="1">
      <c r="A141" s="517"/>
      <c r="B141" s="517"/>
      <c r="C141" s="517"/>
      <c r="D141" s="517"/>
      <c r="E141" s="517"/>
      <c r="F141" s="517"/>
      <c r="G141" s="558"/>
      <c r="H141" s="518"/>
      <c r="I141" s="558"/>
      <c r="J141" s="494"/>
      <c r="K141" s="518"/>
      <c r="M141" s="517" t="s">
        <v>721</v>
      </c>
      <c r="N141" s="517" t="s">
        <v>1101</v>
      </c>
      <c r="O141" s="517" t="s">
        <v>25</v>
      </c>
      <c r="P141" s="518">
        <v>55</v>
      </c>
      <c r="Q141" s="494" t="str">
        <f t="shared" si="6"/>
        <v>SWUC100155</v>
      </c>
      <c r="R141" s="518">
        <v>535.29999999999995</v>
      </c>
      <c r="S141" s="518">
        <v>10000</v>
      </c>
      <c r="T141" s="518">
        <v>10000</v>
      </c>
      <c r="U141" s="518">
        <v>10000</v>
      </c>
      <c r="V141" s="518">
        <v>10000</v>
      </c>
      <c r="W141" s="518">
        <v>10000</v>
      </c>
      <c r="X141" s="518">
        <v>10000</v>
      </c>
      <c r="Y141" s="518">
        <v>10000</v>
      </c>
      <c r="Z141" s="518">
        <v>10000</v>
      </c>
      <c r="AA141" s="518">
        <v>10000</v>
      </c>
      <c r="AB141" s="518">
        <v>0</v>
      </c>
      <c r="AC141" s="518">
        <v>0</v>
      </c>
      <c r="AD141" s="518">
        <v>0</v>
      </c>
      <c r="AE141" s="518">
        <v>0</v>
      </c>
      <c r="AF141" s="518">
        <v>0</v>
      </c>
      <c r="AG141" s="518">
        <v>0</v>
      </c>
      <c r="AH141" s="518">
        <v>0</v>
      </c>
      <c r="AI141" s="518">
        <v>0</v>
      </c>
      <c r="AJ141" s="518">
        <v>0</v>
      </c>
      <c r="AK141" s="518">
        <v>0</v>
      </c>
      <c r="AL141" s="518">
        <v>0</v>
      </c>
      <c r="AM141" s="518">
        <v>0</v>
      </c>
      <c r="AN141" s="518">
        <v>0</v>
      </c>
      <c r="AO141" s="518">
        <v>0</v>
      </c>
      <c r="AP141" s="518">
        <v>0</v>
      </c>
      <c r="AQ141" s="518">
        <v>0</v>
      </c>
      <c r="AR141" s="518">
        <v>0</v>
      </c>
      <c r="AS141" s="518">
        <v>0</v>
      </c>
      <c r="AT141" s="518">
        <v>0</v>
      </c>
      <c r="AU141" s="518">
        <v>0</v>
      </c>
      <c r="AV141" s="518">
        <v>0</v>
      </c>
      <c r="AW141" s="518">
        <v>0</v>
      </c>
      <c r="AX141" s="518">
        <v>0</v>
      </c>
      <c r="AY141" s="518">
        <v>0</v>
      </c>
      <c r="AZ141" s="518">
        <v>0</v>
      </c>
      <c r="BA141" s="518">
        <v>0</v>
      </c>
      <c r="BB141" s="518">
        <v>0</v>
      </c>
      <c r="BC141" s="518">
        <v>0</v>
      </c>
      <c r="BD141" s="518">
        <v>0</v>
      </c>
      <c r="BE141" s="518">
        <v>0</v>
      </c>
      <c r="BF141" s="518">
        <v>0</v>
      </c>
      <c r="BG141" s="518">
        <v>0</v>
      </c>
      <c r="BH141" s="518">
        <v>0</v>
      </c>
      <c r="BI141" s="518">
        <v>0</v>
      </c>
      <c r="BJ141" s="518">
        <v>0</v>
      </c>
      <c r="BK141" s="518">
        <v>0</v>
      </c>
      <c r="BL141" s="518">
        <v>0</v>
      </c>
      <c r="BM141" s="518">
        <v>0</v>
      </c>
      <c r="BN141" s="518">
        <v>0</v>
      </c>
      <c r="BO141" s="518">
        <v>0</v>
      </c>
      <c r="BP141" s="518">
        <v>0</v>
      </c>
      <c r="BQ141" s="518">
        <v>0</v>
      </c>
      <c r="BR141" s="518">
        <v>0</v>
      </c>
      <c r="BS141" s="518">
        <v>0</v>
      </c>
      <c r="BT141" s="518">
        <v>0</v>
      </c>
      <c r="BU141" s="518">
        <v>0</v>
      </c>
      <c r="BV141" s="518">
        <v>0</v>
      </c>
      <c r="BW141" s="518">
        <v>0</v>
      </c>
      <c r="BX141" s="518">
        <v>0</v>
      </c>
      <c r="BY141" s="518">
        <v>0</v>
      </c>
      <c r="BZ141" s="518">
        <v>0</v>
      </c>
      <c r="CA141" s="518">
        <v>0</v>
      </c>
      <c r="CB141" s="518">
        <v>0</v>
      </c>
      <c r="CC141" s="518">
        <v>0</v>
      </c>
      <c r="CD141" s="518">
        <v>0</v>
      </c>
      <c r="CE141" s="518">
        <v>0</v>
      </c>
      <c r="CF141" s="518">
        <v>0</v>
      </c>
      <c r="CG141" s="518">
        <v>0</v>
      </c>
      <c r="CH141" s="518">
        <v>0</v>
      </c>
      <c r="CI141" s="518">
        <v>0</v>
      </c>
      <c r="CJ141" s="518">
        <v>0</v>
      </c>
      <c r="CK141" s="518">
        <v>0</v>
      </c>
      <c r="CL141" s="518">
        <v>0</v>
      </c>
      <c r="CM141" s="518">
        <v>0</v>
      </c>
      <c r="CN141" s="518">
        <v>0</v>
      </c>
      <c r="CO141" s="518">
        <v>0</v>
      </c>
      <c r="CP141" s="518">
        <v>0</v>
      </c>
      <c r="CQ141" s="518">
        <v>0</v>
      </c>
      <c r="CR141" s="518">
        <v>0</v>
      </c>
      <c r="CS141" s="518">
        <v>0</v>
      </c>
      <c r="CT141" s="518">
        <v>0</v>
      </c>
      <c r="CU141" s="518">
        <v>0</v>
      </c>
      <c r="CV141" s="518">
        <v>0</v>
      </c>
      <c r="CW141" s="518">
        <v>0</v>
      </c>
      <c r="CX141" s="518">
        <v>0</v>
      </c>
      <c r="CY141" s="518">
        <v>0</v>
      </c>
      <c r="CZ141" s="518">
        <v>0</v>
      </c>
      <c r="DA141" s="518">
        <v>0</v>
      </c>
      <c r="DB141" s="518">
        <v>0</v>
      </c>
      <c r="DC141" s="518">
        <v>0</v>
      </c>
      <c r="DD141" s="518">
        <v>0</v>
      </c>
      <c r="DE141" s="518">
        <v>0</v>
      </c>
      <c r="DF141" s="518">
        <v>0</v>
      </c>
      <c r="DG141" s="518">
        <v>0</v>
      </c>
      <c r="DH141" s="518">
        <v>0</v>
      </c>
      <c r="DI141" s="518">
        <v>0</v>
      </c>
      <c r="DJ141" s="518">
        <v>0</v>
      </c>
      <c r="DK141" s="518">
        <v>0</v>
      </c>
      <c r="DL141" s="518">
        <v>0</v>
      </c>
      <c r="DM141" s="518">
        <v>0</v>
      </c>
      <c r="DN141" s="518">
        <v>0</v>
      </c>
      <c r="DO141" s="518">
        <v>0</v>
      </c>
      <c r="DP141" s="518">
        <v>0</v>
      </c>
      <c r="DQ141" s="518">
        <v>0</v>
      </c>
      <c r="DR141" s="518">
        <v>0</v>
      </c>
      <c r="DS141" s="518">
        <v>0</v>
      </c>
      <c r="DT141" s="518">
        <v>0</v>
      </c>
      <c r="DU141" s="518">
        <v>0</v>
      </c>
      <c r="DV141" s="518">
        <v>0</v>
      </c>
      <c r="DW141" s="518">
        <v>0</v>
      </c>
      <c r="DX141" s="518">
        <v>0</v>
      </c>
      <c r="DZ141" s="517" t="s">
        <v>721</v>
      </c>
      <c r="EA141" s="517" t="s">
        <v>1101</v>
      </c>
      <c r="EB141" s="517" t="s">
        <v>25</v>
      </c>
      <c r="EC141" s="518">
        <v>55</v>
      </c>
      <c r="ED141" s="494" t="str">
        <f t="shared" si="7"/>
        <v>SWUC100155</v>
      </c>
      <c r="EE141" s="518">
        <v>535.29999999999995</v>
      </c>
      <c r="EF141" s="518">
        <v>2000</v>
      </c>
      <c r="EG141" s="518">
        <v>2000</v>
      </c>
      <c r="EH141" s="518">
        <v>2141.1999999999998</v>
      </c>
      <c r="EI141" s="518">
        <v>2676.5</v>
      </c>
      <c r="EJ141" s="518">
        <v>3211.8</v>
      </c>
      <c r="EK141" s="518">
        <v>3747.1</v>
      </c>
      <c r="EL141" s="518">
        <v>4282.3999999999996</v>
      </c>
      <c r="EM141" s="518">
        <v>4817.7</v>
      </c>
      <c r="EN141" s="518">
        <v>5353</v>
      </c>
      <c r="EO141" s="518">
        <v>0</v>
      </c>
      <c r="EP141" s="518">
        <v>0</v>
      </c>
      <c r="EQ141" s="518">
        <v>0</v>
      </c>
      <c r="ER141" s="518">
        <v>0</v>
      </c>
      <c r="ES141" s="518">
        <v>0</v>
      </c>
      <c r="ET141" s="518">
        <v>0</v>
      </c>
      <c r="EU141" s="518">
        <v>0</v>
      </c>
      <c r="EV141" s="518">
        <v>0</v>
      </c>
      <c r="EW141" s="518">
        <v>0</v>
      </c>
      <c r="EX141" s="518">
        <v>0</v>
      </c>
      <c r="EY141" s="518">
        <v>0</v>
      </c>
      <c r="EZ141" s="518">
        <v>0</v>
      </c>
      <c r="FA141" s="518">
        <v>0</v>
      </c>
      <c r="FB141" s="518">
        <v>0</v>
      </c>
      <c r="FC141" s="518">
        <v>0</v>
      </c>
      <c r="FD141" s="518">
        <v>0</v>
      </c>
      <c r="FE141" s="518">
        <v>0</v>
      </c>
      <c r="FF141" s="518">
        <v>0</v>
      </c>
      <c r="FG141" s="518">
        <v>0</v>
      </c>
      <c r="FH141" s="518">
        <v>0</v>
      </c>
      <c r="FI141" s="518">
        <v>0</v>
      </c>
      <c r="FJ141" s="518">
        <v>0</v>
      </c>
      <c r="FK141" s="518">
        <v>0</v>
      </c>
      <c r="FL141" s="518">
        <v>0</v>
      </c>
      <c r="FM141" s="518">
        <v>0</v>
      </c>
      <c r="FN141" s="518">
        <v>0</v>
      </c>
      <c r="FO141" s="518">
        <v>0</v>
      </c>
      <c r="FP141" s="518">
        <v>0</v>
      </c>
      <c r="FQ141" s="518">
        <v>0</v>
      </c>
      <c r="FR141" s="518">
        <v>0</v>
      </c>
      <c r="FS141" s="518">
        <v>0</v>
      </c>
      <c r="FT141" s="518">
        <v>0</v>
      </c>
      <c r="FU141" s="518">
        <v>0</v>
      </c>
      <c r="FV141" s="518">
        <v>0</v>
      </c>
      <c r="FW141" s="518">
        <v>0</v>
      </c>
      <c r="FX141" s="518">
        <v>0</v>
      </c>
      <c r="FY141" s="518">
        <v>0</v>
      </c>
      <c r="FZ141" s="518">
        <v>0</v>
      </c>
      <c r="GA141" s="518">
        <v>0</v>
      </c>
      <c r="GB141" s="518">
        <v>0</v>
      </c>
      <c r="GC141" s="518">
        <v>0</v>
      </c>
      <c r="GD141" s="518">
        <v>0</v>
      </c>
      <c r="GE141" s="518">
        <v>0</v>
      </c>
      <c r="GF141" s="518">
        <v>0</v>
      </c>
      <c r="GG141" s="518">
        <v>0</v>
      </c>
      <c r="GH141" s="518">
        <v>0</v>
      </c>
      <c r="GI141" s="518">
        <v>0</v>
      </c>
      <c r="GJ141" s="518">
        <v>0</v>
      </c>
      <c r="GK141" s="518">
        <v>0</v>
      </c>
      <c r="GL141" s="518">
        <v>0</v>
      </c>
      <c r="GM141" s="518">
        <v>0</v>
      </c>
      <c r="GN141" s="518">
        <v>0</v>
      </c>
      <c r="GO141" s="518">
        <v>0</v>
      </c>
      <c r="GP141" s="518">
        <v>0</v>
      </c>
      <c r="GQ141" s="518">
        <v>0</v>
      </c>
      <c r="GR141" s="518">
        <v>0</v>
      </c>
      <c r="GS141" s="518">
        <v>0</v>
      </c>
      <c r="GT141" s="518">
        <v>0</v>
      </c>
      <c r="GU141" s="518">
        <v>0</v>
      </c>
      <c r="GV141" s="518">
        <v>0</v>
      </c>
      <c r="GW141" s="518">
        <v>0</v>
      </c>
      <c r="GX141" s="518">
        <v>0</v>
      </c>
      <c r="GY141" s="518">
        <v>0</v>
      </c>
      <c r="GZ141" s="518">
        <v>0</v>
      </c>
      <c r="HA141" s="518">
        <v>0</v>
      </c>
      <c r="HB141" s="518">
        <v>0</v>
      </c>
      <c r="HC141" s="518">
        <v>0</v>
      </c>
      <c r="HD141" s="518">
        <v>0</v>
      </c>
      <c r="HE141" s="518">
        <v>0</v>
      </c>
      <c r="HF141" s="518">
        <v>0</v>
      </c>
      <c r="HG141" s="518">
        <v>0</v>
      </c>
      <c r="HH141" s="518">
        <v>0</v>
      </c>
      <c r="HI141" s="518">
        <v>0</v>
      </c>
      <c r="HJ141" s="518">
        <v>0</v>
      </c>
      <c r="HK141" s="518">
        <v>0</v>
      </c>
      <c r="HL141" s="518">
        <v>0</v>
      </c>
      <c r="HM141" s="518">
        <v>0</v>
      </c>
      <c r="HN141" s="518">
        <v>0</v>
      </c>
      <c r="HO141" s="518">
        <v>0</v>
      </c>
      <c r="HP141" s="518">
        <v>0</v>
      </c>
      <c r="HQ141" s="518">
        <v>0</v>
      </c>
      <c r="HR141" s="518">
        <v>0</v>
      </c>
      <c r="HS141" s="518">
        <v>0</v>
      </c>
      <c r="HT141" s="518">
        <v>0</v>
      </c>
      <c r="HU141" s="518">
        <v>0</v>
      </c>
      <c r="HV141" s="518">
        <v>0</v>
      </c>
      <c r="HW141" s="518">
        <v>0</v>
      </c>
      <c r="HX141" s="518">
        <v>0</v>
      </c>
      <c r="HY141" s="518">
        <v>0</v>
      </c>
      <c r="HZ141" s="518">
        <v>0</v>
      </c>
      <c r="IA141" s="518">
        <v>0</v>
      </c>
      <c r="IB141" s="518">
        <v>0</v>
      </c>
      <c r="IC141" s="518">
        <v>0</v>
      </c>
      <c r="ID141" s="518">
        <v>0</v>
      </c>
      <c r="IE141" s="518">
        <v>0</v>
      </c>
      <c r="IF141" s="518">
        <v>0</v>
      </c>
      <c r="IG141" s="518">
        <v>0</v>
      </c>
      <c r="IH141" s="518">
        <v>0</v>
      </c>
      <c r="II141" s="518">
        <v>0</v>
      </c>
      <c r="IJ141" s="518">
        <v>0</v>
      </c>
      <c r="IK141" s="518">
        <v>0</v>
      </c>
    </row>
    <row r="142" spans="1:245" ht="16.5" hidden="1">
      <c r="A142" s="517"/>
      <c r="B142" s="517"/>
      <c r="C142" s="517"/>
      <c r="D142" s="517"/>
      <c r="E142" s="517"/>
      <c r="F142" s="517"/>
      <c r="G142" s="558"/>
      <c r="H142" s="518"/>
      <c r="I142" s="558"/>
      <c r="J142" s="494"/>
      <c r="K142" s="518"/>
      <c r="M142" s="517" t="s">
        <v>721</v>
      </c>
      <c r="N142" s="517" t="s">
        <v>1101</v>
      </c>
      <c r="O142" s="517" t="s">
        <v>25</v>
      </c>
      <c r="P142" s="518">
        <v>56</v>
      </c>
      <c r="Q142" s="494" t="str">
        <f t="shared" si="6"/>
        <v>SWUC100156</v>
      </c>
      <c r="R142" s="518">
        <v>568.20000000000005</v>
      </c>
      <c r="S142" s="518">
        <v>10000</v>
      </c>
      <c r="T142" s="518">
        <v>10000</v>
      </c>
      <c r="U142" s="518">
        <v>10000</v>
      </c>
      <c r="V142" s="518">
        <v>10000</v>
      </c>
      <c r="W142" s="518">
        <v>10000</v>
      </c>
      <c r="X142" s="518">
        <v>10000</v>
      </c>
      <c r="Y142" s="518">
        <v>10000</v>
      </c>
      <c r="Z142" s="518">
        <v>10000</v>
      </c>
      <c r="AA142" s="518">
        <v>10000</v>
      </c>
      <c r="AB142" s="518">
        <v>0</v>
      </c>
      <c r="AC142" s="518">
        <v>0</v>
      </c>
      <c r="AD142" s="518">
        <v>0</v>
      </c>
      <c r="AE142" s="518">
        <v>0</v>
      </c>
      <c r="AF142" s="518">
        <v>0</v>
      </c>
      <c r="AG142" s="518">
        <v>0</v>
      </c>
      <c r="AH142" s="518">
        <v>0</v>
      </c>
      <c r="AI142" s="518">
        <v>0</v>
      </c>
      <c r="AJ142" s="518">
        <v>0</v>
      </c>
      <c r="AK142" s="518">
        <v>0</v>
      </c>
      <c r="AL142" s="518">
        <v>0</v>
      </c>
      <c r="AM142" s="518">
        <v>0</v>
      </c>
      <c r="AN142" s="518">
        <v>0</v>
      </c>
      <c r="AO142" s="518">
        <v>0</v>
      </c>
      <c r="AP142" s="518">
        <v>0</v>
      </c>
      <c r="AQ142" s="518">
        <v>0</v>
      </c>
      <c r="AR142" s="518">
        <v>0</v>
      </c>
      <c r="AS142" s="518">
        <v>0</v>
      </c>
      <c r="AT142" s="518">
        <v>0</v>
      </c>
      <c r="AU142" s="518">
        <v>0</v>
      </c>
      <c r="AV142" s="518">
        <v>0</v>
      </c>
      <c r="AW142" s="518">
        <v>0</v>
      </c>
      <c r="AX142" s="518">
        <v>0</v>
      </c>
      <c r="AY142" s="518">
        <v>0</v>
      </c>
      <c r="AZ142" s="518">
        <v>0</v>
      </c>
      <c r="BA142" s="518">
        <v>0</v>
      </c>
      <c r="BB142" s="518">
        <v>0</v>
      </c>
      <c r="BC142" s="518">
        <v>0</v>
      </c>
      <c r="BD142" s="518">
        <v>0</v>
      </c>
      <c r="BE142" s="518">
        <v>0</v>
      </c>
      <c r="BF142" s="518">
        <v>0</v>
      </c>
      <c r="BG142" s="518">
        <v>0</v>
      </c>
      <c r="BH142" s="518">
        <v>0</v>
      </c>
      <c r="BI142" s="518">
        <v>0</v>
      </c>
      <c r="BJ142" s="518">
        <v>0</v>
      </c>
      <c r="BK142" s="518">
        <v>0</v>
      </c>
      <c r="BL142" s="518">
        <v>0</v>
      </c>
      <c r="BM142" s="518">
        <v>0</v>
      </c>
      <c r="BN142" s="518">
        <v>0</v>
      </c>
      <c r="BO142" s="518">
        <v>0</v>
      </c>
      <c r="BP142" s="518">
        <v>0</v>
      </c>
      <c r="BQ142" s="518">
        <v>0</v>
      </c>
      <c r="BR142" s="518">
        <v>0</v>
      </c>
      <c r="BS142" s="518">
        <v>0</v>
      </c>
      <c r="BT142" s="518">
        <v>0</v>
      </c>
      <c r="BU142" s="518">
        <v>0</v>
      </c>
      <c r="BV142" s="518">
        <v>0</v>
      </c>
      <c r="BW142" s="518">
        <v>0</v>
      </c>
      <c r="BX142" s="518">
        <v>0</v>
      </c>
      <c r="BY142" s="518">
        <v>0</v>
      </c>
      <c r="BZ142" s="518">
        <v>0</v>
      </c>
      <c r="CA142" s="518">
        <v>0</v>
      </c>
      <c r="CB142" s="518">
        <v>0</v>
      </c>
      <c r="CC142" s="518">
        <v>0</v>
      </c>
      <c r="CD142" s="518">
        <v>0</v>
      </c>
      <c r="CE142" s="518">
        <v>0</v>
      </c>
      <c r="CF142" s="518">
        <v>0</v>
      </c>
      <c r="CG142" s="518">
        <v>0</v>
      </c>
      <c r="CH142" s="518">
        <v>0</v>
      </c>
      <c r="CI142" s="518">
        <v>0</v>
      </c>
      <c r="CJ142" s="518">
        <v>0</v>
      </c>
      <c r="CK142" s="518">
        <v>0</v>
      </c>
      <c r="CL142" s="518">
        <v>0</v>
      </c>
      <c r="CM142" s="518">
        <v>0</v>
      </c>
      <c r="CN142" s="518">
        <v>0</v>
      </c>
      <c r="CO142" s="518">
        <v>0</v>
      </c>
      <c r="CP142" s="518">
        <v>0</v>
      </c>
      <c r="CQ142" s="518">
        <v>0</v>
      </c>
      <c r="CR142" s="518">
        <v>0</v>
      </c>
      <c r="CS142" s="518">
        <v>0</v>
      </c>
      <c r="CT142" s="518">
        <v>0</v>
      </c>
      <c r="CU142" s="518">
        <v>0</v>
      </c>
      <c r="CV142" s="518">
        <v>0</v>
      </c>
      <c r="CW142" s="518">
        <v>0</v>
      </c>
      <c r="CX142" s="518">
        <v>0</v>
      </c>
      <c r="CY142" s="518">
        <v>0</v>
      </c>
      <c r="CZ142" s="518">
        <v>0</v>
      </c>
      <c r="DA142" s="518">
        <v>0</v>
      </c>
      <c r="DB142" s="518">
        <v>0</v>
      </c>
      <c r="DC142" s="518">
        <v>0</v>
      </c>
      <c r="DD142" s="518">
        <v>0</v>
      </c>
      <c r="DE142" s="518">
        <v>0</v>
      </c>
      <c r="DF142" s="518">
        <v>0</v>
      </c>
      <c r="DG142" s="518">
        <v>0</v>
      </c>
      <c r="DH142" s="518">
        <v>0</v>
      </c>
      <c r="DI142" s="518">
        <v>0</v>
      </c>
      <c r="DJ142" s="518">
        <v>0</v>
      </c>
      <c r="DK142" s="518">
        <v>0</v>
      </c>
      <c r="DL142" s="518">
        <v>0</v>
      </c>
      <c r="DM142" s="518">
        <v>0</v>
      </c>
      <c r="DN142" s="518">
        <v>0</v>
      </c>
      <c r="DO142" s="518">
        <v>0</v>
      </c>
      <c r="DP142" s="518">
        <v>0</v>
      </c>
      <c r="DQ142" s="518">
        <v>0</v>
      </c>
      <c r="DR142" s="518">
        <v>0</v>
      </c>
      <c r="DS142" s="518">
        <v>0</v>
      </c>
      <c r="DT142" s="518">
        <v>0</v>
      </c>
      <c r="DU142" s="518">
        <v>0</v>
      </c>
      <c r="DV142" s="518">
        <v>0</v>
      </c>
      <c r="DW142" s="518">
        <v>0</v>
      </c>
      <c r="DX142" s="518">
        <v>0</v>
      </c>
      <c r="DZ142" s="517" t="s">
        <v>721</v>
      </c>
      <c r="EA142" s="517" t="s">
        <v>1101</v>
      </c>
      <c r="EB142" s="517" t="s">
        <v>25</v>
      </c>
      <c r="EC142" s="518">
        <v>56</v>
      </c>
      <c r="ED142" s="494" t="str">
        <f t="shared" si="7"/>
        <v>SWUC100156</v>
      </c>
      <c r="EE142" s="518">
        <v>568.20000000000005</v>
      </c>
      <c r="EF142" s="518">
        <v>2000</v>
      </c>
      <c r="EG142" s="518">
        <v>2000</v>
      </c>
      <c r="EH142" s="518">
        <v>2272.6</v>
      </c>
      <c r="EI142" s="518">
        <v>2840.8</v>
      </c>
      <c r="EJ142" s="518">
        <v>3409</v>
      </c>
      <c r="EK142" s="518">
        <v>3977.1</v>
      </c>
      <c r="EL142" s="518">
        <v>4545.3</v>
      </c>
      <c r="EM142" s="518">
        <v>5113.3999999999996</v>
      </c>
      <c r="EN142" s="518">
        <v>5681.6</v>
      </c>
      <c r="EO142" s="518">
        <v>0</v>
      </c>
      <c r="EP142" s="518">
        <v>0</v>
      </c>
      <c r="EQ142" s="518">
        <v>0</v>
      </c>
      <c r="ER142" s="518">
        <v>0</v>
      </c>
      <c r="ES142" s="518">
        <v>0</v>
      </c>
      <c r="ET142" s="518">
        <v>0</v>
      </c>
      <c r="EU142" s="518">
        <v>0</v>
      </c>
      <c r="EV142" s="518">
        <v>0</v>
      </c>
      <c r="EW142" s="518">
        <v>0</v>
      </c>
      <c r="EX142" s="518">
        <v>0</v>
      </c>
      <c r="EY142" s="518">
        <v>0</v>
      </c>
      <c r="EZ142" s="518">
        <v>0</v>
      </c>
      <c r="FA142" s="518">
        <v>0</v>
      </c>
      <c r="FB142" s="518">
        <v>0</v>
      </c>
      <c r="FC142" s="518">
        <v>0</v>
      </c>
      <c r="FD142" s="518">
        <v>0</v>
      </c>
      <c r="FE142" s="518">
        <v>0</v>
      </c>
      <c r="FF142" s="518">
        <v>0</v>
      </c>
      <c r="FG142" s="518">
        <v>0</v>
      </c>
      <c r="FH142" s="518">
        <v>0</v>
      </c>
      <c r="FI142" s="518">
        <v>0</v>
      </c>
      <c r="FJ142" s="518">
        <v>0</v>
      </c>
      <c r="FK142" s="518">
        <v>0</v>
      </c>
      <c r="FL142" s="518">
        <v>0</v>
      </c>
      <c r="FM142" s="518">
        <v>0</v>
      </c>
      <c r="FN142" s="518">
        <v>0</v>
      </c>
      <c r="FO142" s="518">
        <v>0</v>
      </c>
      <c r="FP142" s="518">
        <v>0</v>
      </c>
      <c r="FQ142" s="518">
        <v>0</v>
      </c>
      <c r="FR142" s="518">
        <v>0</v>
      </c>
      <c r="FS142" s="518">
        <v>0</v>
      </c>
      <c r="FT142" s="518">
        <v>0</v>
      </c>
      <c r="FU142" s="518">
        <v>0</v>
      </c>
      <c r="FV142" s="518">
        <v>0</v>
      </c>
      <c r="FW142" s="518">
        <v>0</v>
      </c>
      <c r="FX142" s="518">
        <v>0</v>
      </c>
      <c r="FY142" s="518">
        <v>0</v>
      </c>
      <c r="FZ142" s="518">
        <v>0</v>
      </c>
      <c r="GA142" s="518">
        <v>0</v>
      </c>
      <c r="GB142" s="518">
        <v>0</v>
      </c>
      <c r="GC142" s="518">
        <v>0</v>
      </c>
      <c r="GD142" s="518">
        <v>0</v>
      </c>
      <c r="GE142" s="518">
        <v>0</v>
      </c>
      <c r="GF142" s="518">
        <v>0</v>
      </c>
      <c r="GG142" s="518">
        <v>0</v>
      </c>
      <c r="GH142" s="518">
        <v>0</v>
      </c>
      <c r="GI142" s="518">
        <v>0</v>
      </c>
      <c r="GJ142" s="518">
        <v>0</v>
      </c>
      <c r="GK142" s="518">
        <v>0</v>
      </c>
      <c r="GL142" s="518">
        <v>0</v>
      </c>
      <c r="GM142" s="518">
        <v>0</v>
      </c>
      <c r="GN142" s="518">
        <v>0</v>
      </c>
      <c r="GO142" s="518">
        <v>0</v>
      </c>
      <c r="GP142" s="518">
        <v>0</v>
      </c>
      <c r="GQ142" s="518">
        <v>0</v>
      </c>
      <c r="GR142" s="518">
        <v>0</v>
      </c>
      <c r="GS142" s="518">
        <v>0</v>
      </c>
      <c r="GT142" s="518">
        <v>0</v>
      </c>
      <c r="GU142" s="518">
        <v>0</v>
      </c>
      <c r="GV142" s="518">
        <v>0</v>
      </c>
      <c r="GW142" s="518">
        <v>0</v>
      </c>
      <c r="GX142" s="518">
        <v>0</v>
      </c>
      <c r="GY142" s="518">
        <v>0</v>
      </c>
      <c r="GZ142" s="518">
        <v>0</v>
      </c>
      <c r="HA142" s="518">
        <v>0</v>
      </c>
      <c r="HB142" s="518">
        <v>0</v>
      </c>
      <c r="HC142" s="518">
        <v>0</v>
      </c>
      <c r="HD142" s="518">
        <v>0</v>
      </c>
      <c r="HE142" s="518">
        <v>0</v>
      </c>
      <c r="HF142" s="518">
        <v>0</v>
      </c>
      <c r="HG142" s="518">
        <v>0</v>
      </c>
      <c r="HH142" s="518">
        <v>0</v>
      </c>
      <c r="HI142" s="518">
        <v>0</v>
      </c>
      <c r="HJ142" s="518">
        <v>0</v>
      </c>
      <c r="HK142" s="518">
        <v>0</v>
      </c>
      <c r="HL142" s="518">
        <v>0</v>
      </c>
      <c r="HM142" s="518">
        <v>0</v>
      </c>
      <c r="HN142" s="518">
        <v>0</v>
      </c>
      <c r="HO142" s="518">
        <v>0</v>
      </c>
      <c r="HP142" s="518">
        <v>0</v>
      </c>
      <c r="HQ142" s="518">
        <v>0</v>
      </c>
      <c r="HR142" s="518">
        <v>0</v>
      </c>
      <c r="HS142" s="518">
        <v>0</v>
      </c>
      <c r="HT142" s="518">
        <v>0</v>
      </c>
      <c r="HU142" s="518">
        <v>0</v>
      </c>
      <c r="HV142" s="518">
        <v>0</v>
      </c>
      <c r="HW142" s="518">
        <v>0</v>
      </c>
      <c r="HX142" s="518">
        <v>0</v>
      </c>
      <c r="HY142" s="518">
        <v>0</v>
      </c>
      <c r="HZ142" s="518">
        <v>0</v>
      </c>
      <c r="IA142" s="518">
        <v>0</v>
      </c>
      <c r="IB142" s="518">
        <v>0</v>
      </c>
      <c r="IC142" s="518">
        <v>0</v>
      </c>
      <c r="ID142" s="518">
        <v>0</v>
      </c>
      <c r="IE142" s="518">
        <v>0</v>
      </c>
      <c r="IF142" s="518">
        <v>0</v>
      </c>
      <c r="IG142" s="518">
        <v>0</v>
      </c>
      <c r="IH142" s="518">
        <v>0</v>
      </c>
      <c r="II142" s="518">
        <v>0</v>
      </c>
      <c r="IJ142" s="518">
        <v>0</v>
      </c>
      <c r="IK142" s="518">
        <v>0</v>
      </c>
    </row>
    <row r="143" spans="1:245" ht="16.5" hidden="1">
      <c r="A143" s="517"/>
      <c r="B143" s="517"/>
      <c r="C143" s="517"/>
      <c r="D143" s="517"/>
      <c r="E143" s="517"/>
      <c r="F143" s="517"/>
      <c r="G143" s="558"/>
      <c r="H143" s="518"/>
      <c r="I143" s="558"/>
      <c r="J143" s="494"/>
      <c r="K143" s="518"/>
      <c r="M143" s="517" t="s">
        <v>721</v>
      </c>
      <c r="N143" s="517" t="s">
        <v>1101</v>
      </c>
      <c r="O143" s="517" t="s">
        <v>25</v>
      </c>
      <c r="P143" s="518">
        <v>57</v>
      </c>
      <c r="Q143" s="494" t="str">
        <f t="shared" si="6"/>
        <v>SWUC100157</v>
      </c>
      <c r="R143" s="518">
        <v>601</v>
      </c>
      <c r="S143" s="518">
        <v>10000</v>
      </c>
      <c r="T143" s="518">
        <v>10000</v>
      </c>
      <c r="U143" s="518">
        <v>10000</v>
      </c>
      <c r="V143" s="518">
        <v>10000</v>
      </c>
      <c r="W143" s="518">
        <v>10000</v>
      </c>
      <c r="X143" s="518">
        <v>10000</v>
      </c>
      <c r="Y143" s="518">
        <v>10000</v>
      </c>
      <c r="Z143" s="518">
        <v>10000</v>
      </c>
      <c r="AA143" s="518">
        <v>10000</v>
      </c>
      <c r="AB143" s="518">
        <v>0</v>
      </c>
      <c r="AC143" s="518">
        <v>0</v>
      </c>
      <c r="AD143" s="518">
        <v>0</v>
      </c>
      <c r="AE143" s="518">
        <v>0</v>
      </c>
      <c r="AF143" s="518">
        <v>0</v>
      </c>
      <c r="AG143" s="518">
        <v>0</v>
      </c>
      <c r="AH143" s="518">
        <v>0</v>
      </c>
      <c r="AI143" s="518">
        <v>0</v>
      </c>
      <c r="AJ143" s="518">
        <v>0</v>
      </c>
      <c r="AK143" s="518">
        <v>0</v>
      </c>
      <c r="AL143" s="518">
        <v>0</v>
      </c>
      <c r="AM143" s="518">
        <v>0</v>
      </c>
      <c r="AN143" s="518">
        <v>0</v>
      </c>
      <c r="AO143" s="518">
        <v>0</v>
      </c>
      <c r="AP143" s="518">
        <v>0</v>
      </c>
      <c r="AQ143" s="518">
        <v>0</v>
      </c>
      <c r="AR143" s="518">
        <v>0</v>
      </c>
      <c r="AS143" s="518">
        <v>0</v>
      </c>
      <c r="AT143" s="518">
        <v>0</v>
      </c>
      <c r="AU143" s="518">
        <v>0</v>
      </c>
      <c r="AV143" s="518">
        <v>0</v>
      </c>
      <c r="AW143" s="518">
        <v>0</v>
      </c>
      <c r="AX143" s="518">
        <v>0</v>
      </c>
      <c r="AY143" s="518">
        <v>0</v>
      </c>
      <c r="AZ143" s="518">
        <v>0</v>
      </c>
      <c r="BA143" s="518">
        <v>0</v>
      </c>
      <c r="BB143" s="518">
        <v>0</v>
      </c>
      <c r="BC143" s="518">
        <v>0</v>
      </c>
      <c r="BD143" s="518">
        <v>0</v>
      </c>
      <c r="BE143" s="518">
        <v>0</v>
      </c>
      <c r="BF143" s="518">
        <v>0</v>
      </c>
      <c r="BG143" s="518">
        <v>0</v>
      </c>
      <c r="BH143" s="518">
        <v>0</v>
      </c>
      <c r="BI143" s="518">
        <v>0</v>
      </c>
      <c r="BJ143" s="518">
        <v>0</v>
      </c>
      <c r="BK143" s="518">
        <v>0</v>
      </c>
      <c r="BL143" s="518">
        <v>0</v>
      </c>
      <c r="BM143" s="518">
        <v>0</v>
      </c>
      <c r="BN143" s="518">
        <v>0</v>
      </c>
      <c r="BO143" s="518">
        <v>0</v>
      </c>
      <c r="BP143" s="518">
        <v>0</v>
      </c>
      <c r="BQ143" s="518">
        <v>0</v>
      </c>
      <c r="BR143" s="518">
        <v>0</v>
      </c>
      <c r="BS143" s="518">
        <v>0</v>
      </c>
      <c r="BT143" s="518">
        <v>0</v>
      </c>
      <c r="BU143" s="518">
        <v>0</v>
      </c>
      <c r="BV143" s="518">
        <v>0</v>
      </c>
      <c r="BW143" s="518">
        <v>0</v>
      </c>
      <c r="BX143" s="518">
        <v>0</v>
      </c>
      <c r="BY143" s="518">
        <v>0</v>
      </c>
      <c r="BZ143" s="518">
        <v>0</v>
      </c>
      <c r="CA143" s="518">
        <v>0</v>
      </c>
      <c r="CB143" s="518">
        <v>0</v>
      </c>
      <c r="CC143" s="518">
        <v>0</v>
      </c>
      <c r="CD143" s="518">
        <v>0</v>
      </c>
      <c r="CE143" s="518">
        <v>0</v>
      </c>
      <c r="CF143" s="518">
        <v>0</v>
      </c>
      <c r="CG143" s="518">
        <v>0</v>
      </c>
      <c r="CH143" s="518">
        <v>0</v>
      </c>
      <c r="CI143" s="518">
        <v>0</v>
      </c>
      <c r="CJ143" s="518">
        <v>0</v>
      </c>
      <c r="CK143" s="518">
        <v>0</v>
      </c>
      <c r="CL143" s="518">
        <v>0</v>
      </c>
      <c r="CM143" s="518">
        <v>0</v>
      </c>
      <c r="CN143" s="518">
        <v>0</v>
      </c>
      <c r="CO143" s="518">
        <v>0</v>
      </c>
      <c r="CP143" s="518">
        <v>0</v>
      </c>
      <c r="CQ143" s="518">
        <v>0</v>
      </c>
      <c r="CR143" s="518">
        <v>0</v>
      </c>
      <c r="CS143" s="518">
        <v>0</v>
      </c>
      <c r="CT143" s="518">
        <v>0</v>
      </c>
      <c r="CU143" s="518">
        <v>0</v>
      </c>
      <c r="CV143" s="518">
        <v>0</v>
      </c>
      <c r="CW143" s="518">
        <v>0</v>
      </c>
      <c r="CX143" s="518">
        <v>0</v>
      </c>
      <c r="CY143" s="518">
        <v>0</v>
      </c>
      <c r="CZ143" s="518">
        <v>0</v>
      </c>
      <c r="DA143" s="518">
        <v>0</v>
      </c>
      <c r="DB143" s="518">
        <v>0</v>
      </c>
      <c r="DC143" s="518">
        <v>0</v>
      </c>
      <c r="DD143" s="518">
        <v>0</v>
      </c>
      <c r="DE143" s="518">
        <v>0</v>
      </c>
      <c r="DF143" s="518">
        <v>0</v>
      </c>
      <c r="DG143" s="518">
        <v>0</v>
      </c>
      <c r="DH143" s="518">
        <v>0</v>
      </c>
      <c r="DI143" s="518">
        <v>0</v>
      </c>
      <c r="DJ143" s="518">
        <v>0</v>
      </c>
      <c r="DK143" s="518">
        <v>0</v>
      </c>
      <c r="DL143" s="518">
        <v>0</v>
      </c>
      <c r="DM143" s="518">
        <v>0</v>
      </c>
      <c r="DN143" s="518">
        <v>0</v>
      </c>
      <c r="DO143" s="518">
        <v>0</v>
      </c>
      <c r="DP143" s="518">
        <v>0</v>
      </c>
      <c r="DQ143" s="518">
        <v>0</v>
      </c>
      <c r="DR143" s="518">
        <v>0</v>
      </c>
      <c r="DS143" s="518">
        <v>0</v>
      </c>
      <c r="DT143" s="518">
        <v>0</v>
      </c>
      <c r="DU143" s="518">
        <v>0</v>
      </c>
      <c r="DV143" s="518">
        <v>0</v>
      </c>
      <c r="DW143" s="518">
        <v>0</v>
      </c>
      <c r="DX143" s="518">
        <v>0</v>
      </c>
      <c r="DZ143" s="517" t="s">
        <v>721</v>
      </c>
      <c r="EA143" s="517" t="s">
        <v>1101</v>
      </c>
      <c r="EB143" s="517" t="s">
        <v>25</v>
      </c>
      <c r="EC143" s="518">
        <v>57</v>
      </c>
      <c r="ED143" s="494" t="str">
        <f t="shared" si="7"/>
        <v>SWUC100157</v>
      </c>
      <c r="EE143" s="518">
        <v>601</v>
      </c>
      <c r="EF143" s="518">
        <v>2000</v>
      </c>
      <c r="EG143" s="518">
        <v>2000</v>
      </c>
      <c r="EH143" s="518">
        <v>2404.1</v>
      </c>
      <c r="EI143" s="518">
        <v>3005.1</v>
      </c>
      <c r="EJ143" s="518">
        <v>3606.1</v>
      </c>
      <c r="EK143" s="518">
        <v>4207.1000000000004</v>
      </c>
      <c r="EL143" s="518">
        <v>4808.2</v>
      </c>
      <c r="EM143" s="518">
        <v>5409.2</v>
      </c>
      <c r="EN143" s="518">
        <v>6010.2</v>
      </c>
      <c r="EO143" s="518">
        <v>0</v>
      </c>
      <c r="EP143" s="518">
        <v>0</v>
      </c>
      <c r="EQ143" s="518">
        <v>0</v>
      </c>
      <c r="ER143" s="518">
        <v>0</v>
      </c>
      <c r="ES143" s="518">
        <v>0</v>
      </c>
      <c r="ET143" s="518">
        <v>0</v>
      </c>
      <c r="EU143" s="518">
        <v>0</v>
      </c>
      <c r="EV143" s="518">
        <v>0</v>
      </c>
      <c r="EW143" s="518">
        <v>0</v>
      </c>
      <c r="EX143" s="518">
        <v>0</v>
      </c>
      <c r="EY143" s="518">
        <v>0</v>
      </c>
      <c r="EZ143" s="518">
        <v>0</v>
      </c>
      <c r="FA143" s="518">
        <v>0</v>
      </c>
      <c r="FB143" s="518">
        <v>0</v>
      </c>
      <c r="FC143" s="518">
        <v>0</v>
      </c>
      <c r="FD143" s="518">
        <v>0</v>
      </c>
      <c r="FE143" s="518">
        <v>0</v>
      </c>
      <c r="FF143" s="518">
        <v>0</v>
      </c>
      <c r="FG143" s="518">
        <v>0</v>
      </c>
      <c r="FH143" s="518">
        <v>0</v>
      </c>
      <c r="FI143" s="518">
        <v>0</v>
      </c>
      <c r="FJ143" s="518">
        <v>0</v>
      </c>
      <c r="FK143" s="518">
        <v>0</v>
      </c>
      <c r="FL143" s="518">
        <v>0</v>
      </c>
      <c r="FM143" s="518">
        <v>0</v>
      </c>
      <c r="FN143" s="518">
        <v>0</v>
      </c>
      <c r="FO143" s="518">
        <v>0</v>
      </c>
      <c r="FP143" s="518">
        <v>0</v>
      </c>
      <c r="FQ143" s="518">
        <v>0</v>
      </c>
      <c r="FR143" s="518">
        <v>0</v>
      </c>
      <c r="FS143" s="518">
        <v>0</v>
      </c>
      <c r="FT143" s="518">
        <v>0</v>
      </c>
      <c r="FU143" s="518">
        <v>0</v>
      </c>
      <c r="FV143" s="518">
        <v>0</v>
      </c>
      <c r="FW143" s="518">
        <v>0</v>
      </c>
      <c r="FX143" s="518">
        <v>0</v>
      </c>
      <c r="FY143" s="518">
        <v>0</v>
      </c>
      <c r="FZ143" s="518">
        <v>0</v>
      </c>
      <c r="GA143" s="518">
        <v>0</v>
      </c>
      <c r="GB143" s="518">
        <v>0</v>
      </c>
      <c r="GC143" s="518">
        <v>0</v>
      </c>
      <c r="GD143" s="518">
        <v>0</v>
      </c>
      <c r="GE143" s="518">
        <v>0</v>
      </c>
      <c r="GF143" s="518">
        <v>0</v>
      </c>
      <c r="GG143" s="518">
        <v>0</v>
      </c>
      <c r="GH143" s="518">
        <v>0</v>
      </c>
      <c r="GI143" s="518">
        <v>0</v>
      </c>
      <c r="GJ143" s="518">
        <v>0</v>
      </c>
      <c r="GK143" s="518">
        <v>0</v>
      </c>
      <c r="GL143" s="518">
        <v>0</v>
      </c>
      <c r="GM143" s="518">
        <v>0</v>
      </c>
      <c r="GN143" s="518">
        <v>0</v>
      </c>
      <c r="GO143" s="518">
        <v>0</v>
      </c>
      <c r="GP143" s="518">
        <v>0</v>
      </c>
      <c r="GQ143" s="518">
        <v>0</v>
      </c>
      <c r="GR143" s="518">
        <v>0</v>
      </c>
      <c r="GS143" s="518">
        <v>0</v>
      </c>
      <c r="GT143" s="518">
        <v>0</v>
      </c>
      <c r="GU143" s="518">
        <v>0</v>
      </c>
      <c r="GV143" s="518">
        <v>0</v>
      </c>
      <c r="GW143" s="518">
        <v>0</v>
      </c>
      <c r="GX143" s="518">
        <v>0</v>
      </c>
      <c r="GY143" s="518">
        <v>0</v>
      </c>
      <c r="GZ143" s="518">
        <v>0</v>
      </c>
      <c r="HA143" s="518">
        <v>0</v>
      </c>
      <c r="HB143" s="518">
        <v>0</v>
      </c>
      <c r="HC143" s="518">
        <v>0</v>
      </c>
      <c r="HD143" s="518">
        <v>0</v>
      </c>
      <c r="HE143" s="518">
        <v>0</v>
      </c>
      <c r="HF143" s="518">
        <v>0</v>
      </c>
      <c r="HG143" s="518">
        <v>0</v>
      </c>
      <c r="HH143" s="518">
        <v>0</v>
      </c>
      <c r="HI143" s="518">
        <v>0</v>
      </c>
      <c r="HJ143" s="518">
        <v>0</v>
      </c>
      <c r="HK143" s="518">
        <v>0</v>
      </c>
      <c r="HL143" s="518">
        <v>0</v>
      </c>
      <c r="HM143" s="518">
        <v>0</v>
      </c>
      <c r="HN143" s="518">
        <v>0</v>
      </c>
      <c r="HO143" s="518">
        <v>0</v>
      </c>
      <c r="HP143" s="518">
        <v>0</v>
      </c>
      <c r="HQ143" s="518">
        <v>0</v>
      </c>
      <c r="HR143" s="518">
        <v>0</v>
      </c>
      <c r="HS143" s="518">
        <v>0</v>
      </c>
      <c r="HT143" s="518">
        <v>0</v>
      </c>
      <c r="HU143" s="518">
        <v>0</v>
      </c>
      <c r="HV143" s="518">
        <v>0</v>
      </c>
      <c r="HW143" s="518">
        <v>0</v>
      </c>
      <c r="HX143" s="518">
        <v>0</v>
      </c>
      <c r="HY143" s="518">
        <v>0</v>
      </c>
      <c r="HZ143" s="518">
        <v>0</v>
      </c>
      <c r="IA143" s="518">
        <v>0</v>
      </c>
      <c r="IB143" s="518">
        <v>0</v>
      </c>
      <c r="IC143" s="518">
        <v>0</v>
      </c>
      <c r="ID143" s="518">
        <v>0</v>
      </c>
      <c r="IE143" s="518">
        <v>0</v>
      </c>
      <c r="IF143" s="518">
        <v>0</v>
      </c>
      <c r="IG143" s="518">
        <v>0</v>
      </c>
      <c r="IH143" s="518">
        <v>0</v>
      </c>
      <c r="II143" s="518">
        <v>0</v>
      </c>
      <c r="IJ143" s="518">
        <v>0</v>
      </c>
      <c r="IK143" s="518">
        <v>0</v>
      </c>
    </row>
    <row r="144" spans="1:245" ht="16.5" hidden="1">
      <c r="A144" s="517"/>
      <c r="B144" s="517"/>
      <c r="C144" s="517"/>
      <c r="D144" s="517"/>
      <c r="E144" s="517"/>
      <c r="F144" s="517"/>
      <c r="G144" s="558"/>
      <c r="H144" s="518"/>
      <c r="I144" s="558"/>
      <c r="J144" s="494"/>
      <c r="K144" s="518"/>
      <c r="M144" s="517" t="s">
        <v>721</v>
      </c>
      <c r="N144" s="517" t="s">
        <v>1101</v>
      </c>
      <c r="O144" s="517" t="s">
        <v>25</v>
      </c>
      <c r="P144" s="518">
        <v>58</v>
      </c>
      <c r="Q144" s="494" t="str">
        <f t="shared" si="6"/>
        <v>SWUC100158</v>
      </c>
      <c r="R144" s="518">
        <v>633.9</v>
      </c>
      <c r="S144" s="518">
        <v>10000</v>
      </c>
      <c r="T144" s="518">
        <v>10000</v>
      </c>
      <c r="U144" s="518">
        <v>10000</v>
      </c>
      <c r="V144" s="518">
        <v>10000</v>
      </c>
      <c r="W144" s="518">
        <v>10000</v>
      </c>
      <c r="X144" s="518">
        <v>10000</v>
      </c>
      <c r="Y144" s="518">
        <v>10000</v>
      </c>
      <c r="Z144" s="518">
        <v>10000</v>
      </c>
      <c r="AA144" s="518">
        <v>10000</v>
      </c>
      <c r="AB144" s="518">
        <v>0</v>
      </c>
      <c r="AC144" s="518">
        <v>0</v>
      </c>
      <c r="AD144" s="518">
        <v>0</v>
      </c>
      <c r="AE144" s="518">
        <v>0</v>
      </c>
      <c r="AF144" s="518">
        <v>0</v>
      </c>
      <c r="AG144" s="518">
        <v>0</v>
      </c>
      <c r="AH144" s="518">
        <v>0</v>
      </c>
      <c r="AI144" s="518">
        <v>0</v>
      </c>
      <c r="AJ144" s="518">
        <v>0</v>
      </c>
      <c r="AK144" s="518">
        <v>0</v>
      </c>
      <c r="AL144" s="518">
        <v>0</v>
      </c>
      <c r="AM144" s="518">
        <v>0</v>
      </c>
      <c r="AN144" s="518">
        <v>0</v>
      </c>
      <c r="AO144" s="518">
        <v>0</v>
      </c>
      <c r="AP144" s="518">
        <v>0</v>
      </c>
      <c r="AQ144" s="518">
        <v>0</v>
      </c>
      <c r="AR144" s="518">
        <v>0</v>
      </c>
      <c r="AS144" s="518">
        <v>0</v>
      </c>
      <c r="AT144" s="518">
        <v>0</v>
      </c>
      <c r="AU144" s="518">
        <v>0</v>
      </c>
      <c r="AV144" s="518">
        <v>0</v>
      </c>
      <c r="AW144" s="518">
        <v>0</v>
      </c>
      <c r="AX144" s="518">
        <v>0</v>
      </c>
      <c r="AY144" s="518">
        <v>0</v>
      </c>
      <c r="AZ144" s="518">
        <v>0</v>
      </c>
      <c r="BA144" s="518">
        <v>0</v>
      </c>
      <c r="BB144" s="518">
        <v>0</v>
      </c>
      <c r="BC144" s="518">
        <v>0</v>
      </c>
      <c r="BD144" s="518">
        <v>0</v>
      </c>
      <c r="BE144" s="518">
        <v>0</v>
      </c>
      <c r="BF144" s="518">
        <v>0</v>
      </c>
      <c r="BG144" s="518">
        <v>0</v>
      </c>
      <c r="BH144" s="518">
        <v>0</v>
      </c>
      <c r="BI144" s="518">
        <v>0</v>
      </c>
      <c r="BJ144" s="518">
        <v>0</v>
      </c>
      <c r="BK144" s="518">
        <v>0</v>
      </c>
      <c r="BL144" s="518">
        <v>0</v>
      </c>
      <c r="BM144" s="518">
        <v>0</v>
      </c>
      <c r="BN144" s="518">
        <v>0</v>
      </c>
      <c r="BO144" s="518">
        <v>0</v>
      </c>
      <c r="BP144" s="518">
        <v>0</v>
      </c>
      <c r="BQ144" s="518">
        <v>0</v>
      </c>
      <c r="BR144" s="518">
        <v>0</v>
      </c>
      <c r="BS144" s="518">
        <v>0</v>
      </c>
      <c r="BT144" s="518">
        <v>0</v>
      </c>
      <c r="BU144" s="518">
        <v>0</v>
      </c>
      <c r="BV144" s="518">
        <v>0</v>
      </c>
      <c r="BW144" s="518">
        <v>0</v>
      </c>
      <c r="BX144" s="518">
        <v>0</v>
      </c>
      <c r="BY144" s="518">
        <v>0</v>
      </c>
      <c r="BZ144" s="518">
        <v>0</v>
      </c>
      <c r="CA144" s="518">
        <v>0</v>
      </c>
      <c r="CB144" s="518">
        <v>0</v>
      </c>
      <c r="CC144" s="518">
        <v>0</v>
      </c>
      <c r="CD144" s="518">
        <v>0</v>
      </c>
      <c r="CE144" s="518">
        <v>0</v>
      </c>
      <c r="CF144" s="518">
        <v>0</v>
      </c>
      <c r="CG144" s="518">
        <v>0</v>
      </c>
      <c r="CH144" s="518">
        <v>0</v>
      </c>
      <c r="CI144" s="518">
        <v>0</v>
      </c>
      <c r="CJ144" s="518">
        <v>0</v>
      </c>
      <c r="CK144" s="518">
        <v>0</v>
      </c>
      <c r="CL144" s="518">
        <v>0</v>
      </c>
      <c r="CM144" s="518">
        <v>0</v>
      </c>
      <c r="CN144" s="518">
        <v>0</v>
      </c>
      <c r="CO144" s="518">
        <v>0</v>
      </c>
      <c r="CP144" s="518">
        <v>0</v>
      </c>
      <c r="CQ144" s="518">
        <v>0</v>
      </c>
      <c r="CR144" s="518">
        <v>0</v>
      </c>
      <c r="CS144" s="518">
        <v>0</v>
      </c>
      <c r="CT144" s="518">
        <v>0</v>
      </c>
      <c r="CU144" s="518">
        <v>0</v>
      </c>
      <c r="CV144" s="518">
        <v>0</v>
      </c>
      <c r="CW144" s="518">
        <v>0</v>
      </c>
      <c r="CX144" s="518">
        <v>0</v>
      </c>
      <c r="CY144" s="518">
        <v>0</v>
      </c>
      <c r="CZ144" s="518">
        <v>0</v>
      </c>
      <c r="DA144" s="518">
        <v>0</v>
      </c>
      <c r="DB144" s="518">
        <v>0</v>
      </c>
      <c r="DC144" s="518">
        <v>0</v>
      </c>
      <c r="DD144" s="518">
        <v>0</v>
      </c>
      <c r="DE144" s="518">
        <v>0</v>
      </c>
      <c r="DF144" s="518">
        <v>0</v>
      </c>
      <c r="DG144" s="518">
        <v>0</v>
      </c>
      <c r="DH144" s="518">
        <v>0</v>
      </c>
      <c r="DI144" s="518">
        <v>0</v>
      </c>
      <c r="DJ144" s="518">
        <v>0</v>
      </c>
      <c r="DK144" s="518">
        <v>0</v>
      </c>
      <c r="DL144" s="518">
        <v>0</v>
      </c>
      <c r="DM144" s="518">
        <v>0</v>
      </c>
      <c r="DN144" s="518">
        <v>0</v>
      </c>
      <c r="DO144" s="518">
        <v>0</v>
      </c>
      <c r="DP144" s="518">
        <v>0</v>
      </c>
      <c r="DQ144" s="518">
        <v>0</v>
      </c>
      <c r="DR144" s="518">
        <v>0</v>
      </c>
      <c r="DS144" s="518">
        <v>0</v>
      </c>
      <c r="DT144" s="518">
        <v>0</v>
      </c>
      <c r="DU144" s="518">
        <v>0</v>
      </c>
      <c r="DV144" s="518">
        <v>0</v>
      </c>
      <c r="DW144" s="518">
        <v>0</v>
      </c>
      <c r="DX144" s="518">
        <v>0</v>
      </c>
      <c r="DZ144" s="517" t="s">
        <v>721</v>
      </c>
      <c r="EA144" s="517" t="s">
        <v>1101</v>
      </c>
      <c r="EB144" s="517" t="s">
        <v>25</v>
      </c>
      <c r="EC144" s="518">
        <v>58</v>
      </c>
      <c r="ED144" s="494" t="str">
        <f t="shared" si="7"/>
        <v>SWUC100158</v>
      </c>
      <c r="EE144" s="518">
        <v>633.9</v>
      </c>
      <c r="EF144" s="518">
        <v>2000</v>
      </c>
      <c r="EG144" s="518">
        <v>2000</v>
      </c>
      <c r="EH144" s="518">
        <v>2535.5</v>
      </c>
      <c r="EI144" s="518">
        <v>3169.4</v>
      </c>
      <c r="EJ144" s="518">
        <v>3803.3</v>
      </c>
      <c r="EK144" s="518">
        <v>4437.2</v>
      </c>
      <c r="EL144" s="518">
        <v>5071</v>
      </c>
      <c r="EM144" s="518">
        <v>5704.9</v>
      </c>
      <c r="EN144" s="518">
        <v>6338.8</v>
      </c>
      <c r="EO144" s="518">
        <v>0</v>
      </c>
      <c r="EP144" s="518">
        <v>0</v>
      </c>
      <c r="EQ144" s="518">
        <v>0</v>
      </c>
      <c r="ER144" s="518">
        <v>0</v>
      </c>
      <c r="ES144" s="518">
        <v>0</v>
      </c>
      <c r="ET144" s="518">
        <v>0</v>
      </c>
      <c r="EU144" s="518">
        <v>0</v>
      </c>
      <c r="EV144" s="518">
        <v>0</v>
      </c>
      <c r="EW144" s="518">
        <v>0</v>
      </c>
      <c r="EX144" s="518">
        <v>0</v>
      </c>
      <c r="EY144" s="518">
        <v>0</v>
      </c>
      <c r="EZ144" s="518">
        <v>0</v>
      </c>
      <c r="FA144" s="518">
        <v>0</v>
      </c>
      <c r="FB144" s="518">
        <v>0</v>
      </c>
      <c r="FC144" s="518">
        <v>0</v>
      </c>
      <c r="FD144" s="518">
        <v>0</v>
      </c>
      <c r="FE144" s="518">
        <v>0</v>
      </c>
      <c r="FF144" s="518">
        <v>0</v>
      </c>
      <c r="FG144" s="518">
        <v>0</v>
      </c>
      <c r="FH144" s="518">
        <v>0</v>
      </c>
      <c r="FI144" s="518">
        <v>0</v>
      </c>
      <c r="FJ144" s="518">
        <v>0</v>
      </c>
      <c r="FK144" s="518">
        <v>0</v>
      </c>
      <c r="FL144" s="518">
        <v>0</v>
      </c>
      <c r="FM144" s="518">
        <v>0</v>
      </c>
      <c r="FN144" s="518">
        <v>0</v>
      </c>
      <c r="FO144" s="518">
        <v>0</v>
      </c>
      <c r="FP144" s="518">
        <v>0</v>
      </c>
      <c r="FQ144" s="518">
        <v>0</v>
      </c>
      <c r="FR144" s="518">
        <v>0</v>
      </c>
      <c r="FS144" s="518">
        <v>0</v>
      </c>
      <c r="FT144" s="518">
        <v>0</v>
      </c>
      <c r="FU144" s="518">
        <v>0</v>
      </c>
      <c r="FV144" s="518">
        <v>0</v>
      </c>
      <c r="FW144" s="518">
        <v>0</v>
      </c>
      <c r="FX144" s="518">
        <v>0</v>
      </c>
      <c r="FY144" s="518">
        <v>0</v>
      </c>
      <c r="FZ144" s="518">
        <v>0</v>
      </c>
      <c r="GA144" s="518">
        <v>0</v>
      </c>
      <c r="GB144" s="518">
        <v>0</v>
      </c>
      <c r="GC144" s="518">
        <v>0</v>
      </c>
      <c r="GD144" s="518">
        <v>0</v>
      </c>
      <c r="GE144" s="518">
        <v>0</v>
      </c>
      <c r="GF144" s="518">
        <v>0</v>
      </c>
      <c r="GG144" s="518">
        <v>0</v>
      </c>
      <c r="GH144" s="518">
        <v>0</v>
      </c>
      <c r="GI144" s="518">
        <v>0</v>
      </c>
      <c r="GJ144" s="518">
        <v>0</v>
      </c>
      <c r="GK144" s="518">
        <v>0</v>
      </c>
      <c r="GL144" s="518">
        <v>0</v>
      </c>
      <c r="GM144" s="518">
        <v>0</v>
      </c>
      <c r="GN144" s="518">
        <v>0</v>
      </c>
      <c r="GO144" s="518">
        <v>0</v>
      </c>
      <c r="GP144" s="518">
        <v>0</v>
      </c>
      <c r="GQ144" s="518">
        <v>0</v>
      </c>
      <c r="GR144" s="518">
        <v>0</v>
      </c>
      <c r="GS144" s="518">
        <v>0</v>
      </c>
      <c r="GT144" s="518">
        <v>0</v>
      </c>
      <c r="GU144" s="518">
        <v>0</v>
      </c>
      <c r="GV144" s="518">
        <v>0</v>
      </c>
      <c r="GW144" s="518">
        <v>0</v>
      </c>
      <c r="GX144" s="518">
        <v>0</v>
      </c>
      <c r="GY144" s="518">
        <v>0</v>
      </c>
      <c r="GZ144" s="518">
        <v>0</v>
      </c>
      <c r="HA144" s="518">
        <v>0</v>
      </c>
      <c r="HB144" s="518">
        <v>0</v>
      </c>
      <c r="HC144" s="518">
        <v>0</v>
      </c>
      <c r="HD144" s="518">
        <v>0</v>
      </c>
      <c r="HE144" s="518">
        <v>0</v>
      </c>
      <c r="HF144" s="518">
        <v>0</v>
      </c>
      <c r="HG144" s="518">
        <v>0</v>
      </c>
      <c r="HH144" s="518">
        <v>0</v>
      </c>
      <c r="HI144" s="518">
        <v>0</v>
      </c>
      <c r="HJ144" s="518">
        <v>0</v>
      </c>
      <c r="HK144" s="518">
        <v>0</v>
      </c>
      <c r="HL144" s="518">
        <v>0</v>
      </c>
      <c r="HM144" s="518">
        <v>0</v>
      </c>
      <c r="HN144" s="518">
        <v>0</v>
      </c>
      <c r="HO144" s="518">
        <v>0</v>
      </c>
      <c r="HP144" s="518">
        <v>0</v>
      </c>
      <c r="HQ144" s="518">
        <v>0</v>
      </c>
      <c r="HR144" s="518">
        <v>0</v>
      </c>
      <c r="HS144" s="518">
        <v>0</v>
      </c>
      <c r="HT144" s="518">
        <v>0</v>
      </c>
      <c r="HU144" s="518">
        <v>0</v>
      </c>
      <c r="HV144" s="518">
        <v>0</v>
      </c>
      <c r="HW144" s="518">
        <v>0</v>
      </c>
      <c r="HX144" s="518">
        <v>0</v>
      </c>
      <c r="HY144" s="518">
        <v>0</v>
      </c>
      <c r="HZ144" s="518">
        <v>0</v>
      </c>
      <c r="IA144" s="518">
        <v>0</v>
      </c>
      <c r="IB144" s="518">
        <v>0</v>
      </c>
      <c r="IC144" s="518">
        <v>0</v>
      </c>
      <c r="ID144" s="518">
        <v>0</v>
      </c>
      <c r="IE144" s="518">
        <v>0</v>
      </c>
      <c r="IF144" s="518">
        <v>0</v>
      </c>
      <c r="IG144" s="518">
        <v>0</v>
      </c>
      <c r="IH144" s="518">
        <v>0</v>
      </c>
      <c r="II144" s="518">
        <v>0</v>
      </c>
      <c r="IJ144" s="518">
        <v>0</v>
      </c>
      <c r="IK144" s="518">
        <v>0</v>
      </c>
    </row>
    <row r="145" spans="1:245" ht="16.5" hidden="1">
      <c r="A145" s="517"/>
      <c r="B145" s="517"/>
      <c r="C145" s="517"/>
      <c r="D145" s="517"/>
      <c r="E145" s="517"/>
      <c r="F145" s="517"/>
      <c r="G145" s="558"/>
      <c r="H145" s="518"/>
      <c r="I145" s="558"/>
      <c r="J145" s="494"/>
      <c r="K145" s="518"/>
      <c r="M145" s="517" t="s">
        <v>721</v>
      </c>
      <c r="N145" s="517" t="s">
        <v>1101</v>
      </c>
      <c r="O145" s="517" t="s">
        <v>25</v>
      </c>
      <c r="P145" s="518">
        <v>59</v>
      </c>
      <c r="Q145" s="494" t="str">
        <f t="shared" si="6"/>
        <v>SWUC100159</v>
      </c>
      <c r="R145" s="518">
        <v>666.7</v>
      </c>
      <c r="S145" s="518">
        <v>10000</v>
      </c>
      <c r="T145" s="518">
        <v>10000</v>
      </c>
      <c r="U145" s="518">
        <v>10000</v>
      </c>
      <c r="V145" s="518">
        <v>10000</v>
      </c>
      <c r="W145" s="518">
        <v>10000</v>
      </c>
      <c r="X145" s="518">
        <v>10000</v>
      </c>
      <c r="Y145" s="518">
        <v>10000</v>
      </c>
      <c r="Z145" s="518">
        <v>10000</v>
      </c>
      <c r="AA145" s="518">
        <v>10000</v>
      </c>
      <c r="AB145" s="518">
        <v>0</v>
      </c>
      <c r="AC145" s="518">
        <v>0</v>
      </c>
      <c r="AD145" s="518">
        <v>0</v>
      </c>
      <c r="AE145" s="518">
        <v>0</v>
      </c>
      <c r="AF145" s="518">
        <v>0</v>
      </c>
      <c r="AG145" s="518">
        <v>0</v>
      </c>
      <c r="AH145" s="518">
        <v>0</v>
      </c>
      <c r="AI145" s="518">
        <v>0</v>
      </c>
      <c r="AJ145" s="518">
        <v>0</v>
      </c>
      <c r="AK145" s="518">
        <v>0</v>
      </c>
      <c r="AL145" s="518">
        <v>0</v>
      </c>
      <c r="AM145" s="518">
        <v>0</v>
      </c>
      <c r="AN145" s="518">
        <v>0</v>
      </c>
      <c r="AO145" s="518">
        <v>0</v>
      </c>
      <c r="AP145" s="518">
        <v>0</v>
      </c>
      <c r="AQ145" s="518">
        <v>0</v>
      </c>
      <c r="AR145" s="518">
        <v>0</v>
      </c>
      <c r="AS145" s="518">
        <v>0</v>
      </c>
      <c r="AT145" s="518">
        <v>0</v>
      </c>
      <c r="AU145" s="518">
        <v>0</v>
      </c>
      <c r="AV145" s="518">
        <v>0</v>
      </c>
      <c r="AW145" s="518">
        <v>0</v>
      </c>
      <c r="AX145" s="518">
        <v>0</v>
      </c>
      <c r="AY145" s="518">
        <v>0</v>
      </c>
      <c r="AZ145" s="518">
        <v>0</v>
      </c>
      <c r="BA145" s="518">
        <v>0</v>
      </c>
      <c r="BB145" s="518">
        <v>0</v>
      </c>
      <c r="BC145" s="518">
        <v>0</v>
      </c>
      <c r="BD145" s="518">
        <v>0</v>
      </c>
      <c r="BE145" s="518">
        <v>0</v>
      </c>
      <c r="BF145" s="518">
        <v>0</v>
      </c>
      <c r="BG145" s="518">
        <v>0</v>
      </c>
      <c r="BH145" s="518">
        <v>0</v>
      </c>
      <c r="BI145" s="518">
        <v>0</v>
      </c>
      <c r="BJ145" s="518">
        <v>0</v>
      </c>
      <c r="BK145" s="518">
        <v>0</v>
      </c>
      <c r="BL145" s="518">
        <v>0</v>
      </c>
      <c r="BM145" s="518">
        <v>0</v>
      </c>
      <c r="BN145" s="518">
        <v>0</v>
      </c>
      <c r="BO145" s="518">
        <v>0</v>
      </c>
      <c r="BP145" s="518">
        <v>0</v>
      </c>
      <c r="BQ145" s="518">
        <v>0</v>
      </c>
      <c r="BR145" s="518">
        <v>0</v>
      </c>
      <c r="BS145" s="518">
        <v>0</v>
      </c>
      <c r="BT145" s="518">
        <v>0</v>
      </c>
      <c r="BU145" s="518">
        <v>0</v>
      </c>
      <c r="BV145" s="518">
        <v>0</v>
      </c>
      <c r="BW145" s="518">
        <v>0</v>
      </c>
      <c r="BX145" s="518">
        <v>0</v>
      </c>
      <c r="BY145" s="518">
        <v>0</v>
      </c>
      <c r="BZ145" s="518">
        <v>0</v>
      </c>
      <c r="CA145" s="518">
        <v>0</v>
      </c>
      <c r="CB145" s="518">
        <v>0</v>
      </c>
      <c r="CC145" s="518">
        <v>0</v>
      </c>
      <c r="CD145" s="518">
        <v>0</v>
      </c>
      <c r="CE145" s="518">
        <v>0</v>
      </c>
      <c r="CF145" s="518">
        <v>0</v>
      </c>
      <c r="CG145" s="518">
        <v>0</v>
      </c>
      <c r="CH145" s="518">
        <v>0</v>
      </c>
      <c r="CI145" s="518">
        <v>0</v>
      </c>
      <c r="CJ145" s="518">
        <v>0</v>
      </c>
      <c r="CK145" s="518">
        <v>0</v>
      </c>
      <c r="CL145" s="518">
        <v>0</v>
      </c>
      <c r="CM145" s="518">
        <v>0</v>
      </c>
      <c r="CN145" s="518">
        <v>0</v>
      </c>
      <c r="CO145" s="518">
        <v>0</v>
      </c>
      <c r="CP145" s="518">
        <v>0</v>
      </c>
      <c r="CQ145" s="518">
        <v>0</v>
      </c>
      <c r="CR145" s="518">
        <v>0</v>
      </c>
      <c r="CS145" s="518">
        <v>0</v>
      </c>
      <c r="CT145" s="518">
        <v>0</v>
      </c>
      <c r="CU145" s="518">
        <v>0</v>
      </c>
      <c r="CV145" s="518">
        <v>0</v>
      </c>
      <c r="CW145" s="518">
        <v>0</v>
      </c>
      <c r="CX145" s="518">
        <v>0</v>
      </c>
      <c r="CY145" s="518">
        <v>0</v>
      </c>
      <c r="CZ145" s="518">
        <v>0</v>
      </c>
      <c r="DA145" s="518">
        <v>0</v>
      </c>
      <c r="DB145" s="518">
        <v>0</v>
      </c>
      <c r="DC145" s="518">
        <v>0</v>
      </c>
      <c r="DD145" s="518">
        <v>0</v>
      </c>
      <c r="DE145" s="518">
        <v>0</v>
      </c>
      <c r="DF145" s="518">
        <v>0</v>
      </c>
      <c r="DG145" s="518">
        <v>0</v>
      </c>
      <c r="DH145" s="518">
        <v>0</v>
      </c>
      <c r="DI145" s="518">
        <v>0</v>
      </c>
      <c r="DJ145" s="518">
        <v>0</v>
      </c>
      <c r="DK145" s="518">
        <v>0</v>
      </c>
      <c r="DL145" s="518">
        <v>0</v>
      </c>
      <c r="DM145" s="518">
        <v>0</v>
      </c>
      <c r="DN145" s="518">
        <v>0</v>
      </c>
      <c r="DO145" s="518">
        <v>0</v>
      </c>
      <c r="DP145" s="518">
        <v>0</v>
      </c>
      <c r="DQ145" s="518">
        <v>0</v>
      </c>
      <c r="DR145" s="518">
        <v>0</v>
      </c>
      <c r="DS145" s="518">
        <v>0</v>
      </c>
      <c r="DT145" s="518">
        <v>0</v>
      </c>
      <c r="DU145" s="518">
        <v>0</v>
      </c>
      <c r="DV145" s="518">
        <v>0</v>
      </c>
      <c r="DW145" s="518">
        <v>0</v>
      </c>
      <c r="DX145" s="518">
        <v>0</v>
      </c>
      <c r="DZ145" s="517" t="s">
        <v>721</v>
      </c>
      <c r="EA145" s="517" t="s">
        <v>1101</v>
      </c>
      <c r="EB145" s="517" t="s">
        <v>25</v>
      </c>
      <c r="EC145" s="518">
        <v>59</v>
      </c>
      <c r="ED145" s="494" t="str">
        <f t="shared" si="7"/>
        <v>SWUC100159</v>
      </c>
      <c r="EE145" s="518">
        <v>666.7</v>
      </c>
      <c r="EF145" s="518">
        <v>2000</v>
      </c>
      <c r="EG145" s="518">
        <v>2000.2</v>
      </c>
      <c r="EH145" s="518">
        <v>2667</v>
      </c>
      <c r="EI145" s="518">
        <v>3333.7</v>
      </c>
      <c r="EJ145" s="518">
        <v>4000.4</v>
      </c>
      <c r="EK145" s="518">
        <v>4667.2</v>
      </c>
      <c r="EL145" s="518">
        <v>5333.9</v>
      </c>
      <c r="EM145" s="518">
        <v>6000.7</v>
      </c>
      <c r="EN145" s="518">
        <v>6667.4</v>
      </c>
      <c r="EO145" s="518">
        <v>0</v>
      </c>
      <c r="EP145" s="518">
        <v>0</v>
      </c>
      <c r="EQ145" s="518">
        <v>0</v>
      </c>
      <c r="ER145" s="518">
        <v>0</v>
      </c>
      <c r="ES145" s="518">
        <v>0</v>
      </c>
      <c r="ET145" s="518">
        <v>0</v>
      </c>
      <c r="EU145" s="518">
        <v>0</v>
      </c>
      <c r="EV145" s="518">
        <v>0</v>
      </c>
      <c r="EW145" s="518">
        <v>0</v>
      </c>
      <c r="EX145" s="518">
        <v>0</v>
      </c>
      <c r="EY145" s="518">
        <v>0</v>
      </c>
      <c r="EZ145" s="518">
        <v>0</v>
      </c>
      <c r="FA145" s="518">
        <v>0</v>
      </c>
      <c r="FB145" s="518">
        <v>0</v>
      </c>
      <c r="FC145" s="518">
        <v>0</v>
      </c>
      <c r="FD145" s="518">
        <v>0</v>
      </c>
      <c r="FE145" s="518">
        <v>0</v>
      </c>
      <c r="FF145" s="518">
        <v>0</v>
      </c>
      <c r="FG145" s="518">
        <v>0</v>
      </c>
      <c r="FH145" s="518">
        <v>0</v>
      </c>
      <c r="FI145" s="518">
        <v>0</v>
      </c>
      <c r="FJ145" s="518">
        <v>0</v>
      </c>
      <c r="FK145" s="518">
        <v>0</v>
      </c>
      <c r="FL145" s="518">
        <v>0</v>
      </c>
      <c r="FM145" s="518">
        <v>0</v>
      </c>
      <c r="FN145" s="518">
        <v>0</v>
      </c>
      <c r="FO145" s="518">
        <v>0</v>
      </c>
      <c r="FP145" s="518">
        <v>0</v>
      </c>
      <c r="FQ145" s="518">
        <v>0</v>
      </c>
      <c r="FR145" s="518">
        <v>0</v>
      </c>
      <c r="FS145" s="518">
        <v>0</v>
      </c>
      <c r="FT145" s="518">
        <v>0</v>
      </c>
      <c r="FU145" s="518">
        <v>0</v>
      </c>
      <c r="FV145" s="518">
        <v>0</v>
      </c>
      <c r="FW145" s="518">
        <v>0</v>
      </c>
      <c r="FX145" s="518">
        <v>0</v>
      </c>
      <c r="FY145" s="518">
        <v>0</v>
      </c>
      <c r="FZ145" s="518">
        <v>0</v>
      </c>
      <c r="GA145" s="518">
        <v>0</v>
      </c>
      <c r="GB145" s="518">
        <v>0</v>
      </c>
      <c r="GC145" s="518">
        <v>0</v>
      </c>
      <c r="GD145" s="518">
        <v>0</v>
      </c>
      <c r="GE145" s="518">
        <v>0</v>
      </c>
      <c r="GF145" s="518">
        <v>0</v>
      </c>
      <c r="GG145" s="518">
        <v>0</v>
      </c>
      <c r="GH145" s="518">
        <v>0</v>
      </c>
      <c r="GI145" s="518">
        <v>0</v>
      </c>
      <c r="GJ145" s="518">
        <v>0</v>
      </c>
      <c r="GK145" s="518">
        <v>0</v>
      </c>
      <c r="GL145" s="518">
        <v>0</v>
      </c>
      <c r="GM145" s="518">
        <v>0</v>
      </c>
      <c r="GN145" s="518">
        <v>0</v>
      </c>
      <c r="GO145" s="518">
        <v>0</v>
      </c>
      <c r="GP145" s="518">
        <v>0</v>
      </c>
      <c r="GQ145" s="518">
        <v>0</v>
      </c>
      <c r="GR145" s="518">
        <v>0</v>
      </c>
      <c r="GS145" s="518">
        <v>0</v>
      </c>
      <c r="GT145" s="518">
        <v>0</v>
      </c>
      <c r="GU145" s="518">
        <v>0</v>
      </c>
      <c r="GV145" s="518">
        <v>0</v>
      </c>
      <c r="GW145" s="518">
        <v>0</v>
      </c>
      <c r="GX145" s="518">
        <v>0</v>
      </c>
      <c r="GY145" s="518">
        <v>0</v>
      </c>
      <c r="GZ145" s="518">
        <v>0</v>
      </c>
      <c r="HA145" s="518">
        <v>0</v>
      </c>
      <c r="HB145" s="518">
        <v>0</v>
      </c>
      <c r="HC145" s="518">
        <v>0</v>
      </c>
      <c r="HD145" s="518">
        <v>0</v>
      </c>
      <c r="HE145" s="518">
        <v>0</v>
      </c>
      <c r="HF145" s="518">
        <v>0</v>
      </c>
      <c r="HG145" s="518">
        <v>0</v>
      </c>
      <c r="HH145" s="518">
        <v>0</v>
      </c>
      <c r="HI145" s="518">
        <v>0</v>
      </c>
      <c r="HJ145" s="518">
        <v>0</v>
      </c>
      <c r="HK145" s="518">
        <v>0</v>
      </c>
      <c r="HL145" s="518">
        <v>0</v>
      </c>
      <c r="HM145" s="518">
        <v>0</v>
      </c>
      <c r="HN145" s="518">
        <v>0</v>
      </c>
      <c r="HO145" s="518">
        <v>0</v>
      </c>
      <c r="HP145" s="518">
        <v>0</v>
      </c>
      <c r="HQ145" s="518">
        <v>0</v>
      </c>
      <c r="HR145" s="518">
        <v>0</v>
      </c>
      <c r="HS145" s="518">
        <v>0</v>
      </c>
      <c r="HT145" s="518">
        <v>0</v>
      </c>
      <c r="HU145" s="518">
        <v>0</v>
      </c>
      <c r="HV145" s="518">
        <v>0</v>
      </c>
      <c r="HW145" s="518">
        <v>0</v>
      </c>
      <c r="HX145" s="518">
        <v>0</v>
      </c>
      <c r="HY145" s="518">
        <v>0</v>
      </c>
      <c r="HZ145" s="518">
        <v>0</v>
      </c>
      <c r="IA145" s="518">
        <v>0</v>
      </c>
      <c r="IB145" s="518">
        <v>0</v>
      </c>
      <c r="IC145" s="518">
        <v>0</v>
      </c>
      <c r="ID145" s="518">
        <v>0</v>
      </c>
      <c r="IE145" s="518">
        <v>0</v>
      </c>
      <c r="IF145" s="518">
        <v>0</v>
      </c>
      <c r="IG145" s="518">
        <v>0</v>
      </c>
      <c r="IH145" s="518">
        <v>0</v>
      </c>
      <c r="II145" s="518">
        <v>0</v>
      </c>
      <c r="IJ145" s="518">
        <v>0</v>
      </c>
      <c r="IK145" s="518">
        <v>0</v>
      </c>
    </row>
    <row r="146" spans="1:245" ht="16.5" hidden="1">
      <c r="A146" s="517"/>
      <c r="B146" s="517"/>
      <c r="C146" s="517"/>
      <c r="D146" s="517"/>
      <c r="E146" s="517"/>
      <c r="F146" s="517"/>
      <c r="G146" s="558"/>
      <c r="H146" s="518"/>
      <c r="I146" s="558"/>
      <c r="J146" s="494"/>
      <c r="K146" s="518"/>
      <c r="M146" s="517" t="s">
        <v>721</v>
      </c>
      <c r="N146" s="517" t="s">
        <v>1101</v>
      </c>
      <c r="O146" s="517" t="s">
        <v>25</v>
      </c>
      <c r="P146" s="518">
        <v>60</v>
      </c>
      <c r="Q146" s="494" t="str">
        <f t="shared" si="6"/>
        <v>SWUC100160</v>
      </c>
      <c r="R146" s="518">
        <v>701.7</v>
      </c>
      <c r="S146" s="518">
        <v>10000</v>
      </c>
      <c r="T146" s="518">
        <v>10000</v>
      </c>
      <c r="U146" s="518">
        <v>10000</v>
      </c>
      <c r="V146" s="518">
        <v>10000</v>
      </c>
      <c r="W146" s="518">
        <v>10000</v>
      </c>
      <c r="X146" s="518">
        <v>10000</v>
      </c>
      <c r="Y146" s="518">
        <v>10000</v>
      </c>
      <c r="Z146" s="518">
        <v>10000</v>
      </c>
      <c r="AA146" s="518">
        <v>10000</v>
      </c>
      <c r="AB146" s="518">
        <v>0</v>
      </c>
      <c r="AC146" s="518">
        <v>0</v>
      </c>
      <c r="AD146" s="518">
        <v>0</v>
      </c>
      <c r="AE146" s="518">
        <v>0</v>
      </c>
      <c r="AF146" s="518">
        <v>0</v>
      </c>
      <c r="AG146" s="518">
        <v>0</v>
      </c>
      <c r="AH146" s="518">
        <v>0</v>
      </c>
      <c r="AI146" s="518">
        <v>0</v>
      </c>
      <c r="AJ146" s="518">
        <v>0</v>
      </c>
      <c r="AK146" s="518">
        <v>0</v>
      </c>
      <c r="AL146" s="518">
        <v>0</v>
      </c>
      <c r="AM146" s="518">
        <v>0</v>
      </c>
      <c r="AN146" s="518">
        <v>0</v>
      </c>
      <c r="AO146" s="518">
        <v>0</v>
      </c>
      <c r="AP146" s="518">
        <v>0</v>
      </c>
      <c r="AQ146" s="518">
        <v>0</v>
      </c>
      <c r="AR146" s="518">
        <v>0</v>
      </c>
      <c r="AS146" s="518">
        <v>0</v>
      </c>
      <c r="AT146" s="518">
        <v>0</v>
      </c>
      <c r="AU146" s="518">
        <v>0</v>
      </c>
      <c r="AV146" s="518">
        <v>0</v>
      </c>
      <c r="AW146" s="518">
        <v>0</v>
      </c>
      <c r="AX146" s="518">
        <v>0</v>
      </c>
      <c r="AY146" s="518">
        <v>0</v>
      </c>
      <c r="AZ146" s="518">
        <v>0</v>
      </c>
      <c r="BA146" s="518">
        <v>0</v>
      </c>
      <c r="BB146" s="518">
        <v>0</v>
      </c>
      <c r="BC146" s="518">
        <v>0</v>
      </c>
      <c r="BD146" s="518">
        <v>0</v>
      </c>
      <c r="BE146" s="518">
        <v>0</v>
      </c>
      <c r="BF146" s="518">
        <v>0</v>
      </c>
      <c r="BG146" s="518">
        <v>0</v>
      </c>
      <c r="BH146" s="518">
        <v>0</v>
      </c>
      <c r="BI146" s="518">
        <v>0</v>
      </c>
      <c r="BJ146" s="518">
        <v>0</v>
      </c>
      <c r="BK146" s="518">
        <v>0</v>
      </c>
      <c r="BL146" s="518">
        <v>0</v>
      </c>
      <c r="BM146" s="518">
        <v>0</v>
      </c>
      <c r="BN146" s="518">
        <v>0</v>
      </c>
      <c r="BO146" s="518">
        <v>0</v>
      </c>
      <c r="BP146" s="518">
        <v>0</v>
      </c>
      <c r="BQ146" s="518">
        <v>0</v>
      </c>
      <c r="BR146" s="518">
        <v>0</v>
      </c>
      <c r="BS146" s="518">
        <v>0</v>
      </c>
      <c r="BT146" s="518">
        <v>0</v>
      </c>
      <c r="BU146" s="518">
        <v>0</v>
      </c>
      <c r="BV146" s="518">
        <v>0</v>
      </c>
      <c r="BW146" s="518">
        <v>0</v>
      </c>
      <c r="BX146" s="518">
        <v>0</v>
      </c>
      <c r="BY146" s="518">
        <v>0</v>
      </c>
      <c r="BZ146" s="518">
        <v>0</v>
      </c>
      <c r="CA146" s="518">
        <v>0</v>
      </c>
      <c r="CB146" s="518">
        <v>0</v>
      </c>
      <c r="CC146" s="518">
        <v>0</v>
      </c>
      <c r="CD146" s="518">
        <v>0</v>
      </c>
      <c r="CE146" s="518">
        <v>0</v>
      </c>
      <c r="CF146" s="518">
        <v>0</v>
      </c>
      <c r="CG146" s="518">
        <v>0</v>
      </c>
      <c r="CH146" s="518">
        <v>0</v>
      </c>
      <c r="CI146" s="518">
        <v>0</v>
      </c>
      <c r="CJ146" s="518">
        <v>0</v>
      </c>
      <c r="CK146" s="518">
        <v>0</v>
      </c>
      <c r="CL146" s="518">
        <v>0</v>
      </c>
      <c r="CM146" s="518">
        <v>0</v>
      </c>
      <c r="CN146" s="518">
        <v>0</v>
      </c>
      <c r="CO146" s="518">
        <v>0</v>
      </c>
      <c r="CP146" s="518">
        <v>0</v>
      </c>
      <c r="CQ146" s="518">
        <v>0</v>
      </c>
      <c r="CR146" s="518">
        <v>0</v>
      </c>
      <c r="CS146" s="518">
        <v>0</v>
      </c>
      <c r="CT146" s="518">
        <v>0</v>
      </c>
      <c r="CU146" s="518">
        <v>0</v>
      </c>
      <c r="CV146" s="518">
        <v>0</v>
      </c>
      <c r="CW146" s="518">
        <v>0</v>
      </c>
      <c r="CX146" s="518">
        <v>0</v>
      </c>
      <c r="CY146" s="518">
        <v>0</v>
      </c>
      <c r="CZ146" s="518">
        <v>0</v>
      </c>
      <c r="DA146" s="518">
        <v>0</v>
      </c>
      <c r="DB146" s="518">
        <v>0</v>
      </c>
      <c r="DC146" s="518">
        <v>0</v>
      </c>
      <c r="DD146" s="518">
        <v>0</v>
      </c>
      <c r="DE146" s="518">
        <v>0</v>
      </c>
      <c r="DF146" s="518">
        <v>0</v>
      </c>
      <c r="DG146" s="518">
        <v>0</v>
      </c>
      <c r="DH146" s="518">
        <v>0</v>
      </c>
      <c r="DI146" s="518">
        <v>0</v>
      </c>
      <c r="DJ146" s="518">
        <v>0</v>
      </c>
      <c r="DK146" s="518">
        <v>0</v>
      </c>
      <c r="DL146" s="518">
        <v>0</v>
      </c>
      <c r="DM146" s="518">
        <v>0</v>
      </c>
      <c r="DN146" s="518">
        <v>0</v>
      </c>
      <c r="DO146" s="518">
        <v>0</v>
      </c>
      <c r="DP146" s="518">
        <v>0</v>
      </c>
      <c r="DQ146" s="518">
        <v>0</v>
      </c>
      <c r="DR146" s="518">
        <v>0</v>
      </c>
      <c r="DS146" s="518">
        <v>0</v>
      </c>
      <c r="DT146" s="518">
        <v>0</v>
      </c>
      <c r="DU146" s="518">
        <v>0</v>
      </c>
      <c r="DV146" s="518">
        <v>0</v>
      </c>
      <c r="DW146" s="518">
        <v>0</v>
      </c>
      <c r="DX146" s="518">
        <v>0</v>
      </c>
      <c r="DZ146" s="517" t="s">
        <v>721</v>
      </c>
      <c r="EA146" s="517" t="s">
        <v>1101</v>
      </c>
      <c r="EB146" s="517" t="s">
        <v>25</v>
      </c>
      <c r="EC146" s="518">
        <v>60</v>
      </c>
      <c r="ED146" s="494" t="str">
        <f t="shared" si="7"/>
        <v>SWUC100160</v>
      </c>
      <c r="EE146" s="518">
        <v>701.7</v>
      </c>
      <c r="EF146" s="518">
        <v>2000</v>
      </c>
      <c r="EG146" s="518">
        <v>2105.1999999999998</v>
      </c>
      <c r="EH146" s="518">
        <v>2806.9</v>
      </c>
      <c r="EI146" s="518">
        <v>3508.6</v>
      </c>
      <c r="EJ146" s="518">
        <v>4210.3</v>
      </c>
      <c r="EK146" s="518">
        <v>4912</v>
      </c>
      <c r="EL146" s="518">
        <v>5613.8</v>
      </c>
      <c r="EM146" s="518">
        <v>6315.5</v>
      </c>
      <c r="EN146" s="518">
        <v>7017.2</v>
      </c>
      <c r="EO146" s="518">
        <v>0</v>
      </c>
      <c r="EP146" s="518">
        <v>0</v>
      </c>
      <c r="EQ146" s="518">
        <v>0</v>
      </c>
      <c r="ER146" s="518">
        <v>0</v>
      </c>
      <c r="ES146" s="518">
        <v>0</v>
      </c>
      <c r="ET146" s="518">
        <v>0</v>
      </c>
      <c r="EU146" s="518">
        <v>0</v>
      </c>
      <c r="EV146" s="518">
        <v>0</v>
      </c>
      <c r="EW146" s="518">
        <v>0</v>
      </c>
      <c r="EX146" s="518">
        <v>0</v>
      </c>
      <c r="EY146" s="518">
        <v>0</v>
      </c>
      <c r="EZ146" s="518">
        <v>0</v>
      </c>
      <c r="FA146" s="518">
        <v>0</v>
      </c>
      <c r="FB146" s="518">
        <v>0</v>
      </c>
      <c r="FC146" s="518">
        <v>0</v>
      </c>
      <c r="FD146" s="518">
        <v>0</v>
      </c>
      <c r="FE146" s="518">
        <v>0</v>
      </c>
      <c r="FF146" s="518">
        <v>0</v>
      </c>
      <c r="FG146" s="518">
        <v>0</v>
      </c>
      <c r="FH146" s="518">
        <v>0</v>
      </c>
      <c r="FI146" s="518">
        <v>0</v>
      </c>
      <c r="FJ146" s="518">
        <v>0</v>
      </c>
      <c r="FK146" s="518">
        <v>0</v>
      </c>
      <c r="FL146" s="518">
        <v>0</v>
      </c>
      <c r="FM146" s="518">
        <v>0</v>
      </c>
      <c r="FN146" s="518">
        <v>0</v>
      </c>
      <c r="FO146" s="518">
        <v>0</v>
      </c>
      <c r="FP146" s="518">
        <v>0</v>
      </c>
      <c r="FQ146" s="518">
        <v>0</v>
      </c>
      <c r="FR146" s="518">
        <v>0</v>
      </c>
      <c r="FS146" s="518">
        <v>0</v>
      </c>
      <c r="FT146" s="518">
        <v>0</v>
      </c>
      <c r="FU146" s="518">
        <v>0</v>
      </c>
      <c r="FV146" s="518">
        <v>0</v>
      </c>
      <c r="FW146" s="518">
        <v>0</v>
      </c>
      <c r="FX146" s="518">
        <v>0</v>
      </c>
      <c r="FY146" s="518">
        <v>0</v>
      </c>
      <c r="FZ146" s="518">
        <v>0</v>
      </c>
      <c r="GA146" s="518">
        <v>0</v>
      </c>
      <c r="GB146" s="518">
        <v>0</v>
      </c>
      <c r="GC146" s="518">
        <v>0</v>
      </c>
      <c r="GD146" s="518">
        <v>0</v>
      </c>
      <c r="GE146" s="518">
        <v>0</v>
      </c>
      <c r="GF146" s="518">
        <v>0</v>
      </c>
      <c r="GG146" s="518">
        <v>0</v>
      </c>
      <c r="GH146" s="518">
        <v>0</v>
      </c>
      <c r="GI146" s="518">
        <v>0</v>
      </c>
      <c r="GJ146" s="518">
        <v>0</v>
      </c>
      <c r="GK146" s="518">
        <v>0</v>
      </c>
      <c r="GL146" s="518">
        <v>0</v>
      </c>
      <c r="GM146" s="518">
        <v>0</v>
      </c>
      <c r="GN146" s="518">
        <v>0</v>
      </c>
      <c r="GO146" s="518">
        <v>0</v>
      </c>
      <c r="GP146" s="518">
        <v>0</v>
      </c>
      <c r="GQ146" s="518">
        <v>0</v>
      </c>
      <c r="GR146" s="518">
        <v>0</v>
      </c>
      <c r="GS146" s="518">
        <v>0</v>
      </c>
      <c r="GT146" s="518">
        <v>0</v>
      </c>
      <c r="GU146" s="518">
        <v>0</v>
      </c>
      <c r="GV146" s="518">
        <v>0</v>
      </c>
      <c r="GW146" s="518">
        <v>0</v>
      </c>
      <c r="GX146" s="518">
        <v>0</v>
      </c>
      <c r="GY146" s="518">
        <v>0</v>
      </c>
      <c r="GZ146" s="518">
        <v>0</v>
      </c>
      <c r="HA146" s="518">
        <v>0</v>
      </c>
      <c r="HB146" s="518">
        <v>0</v>
      </c>
      <c r="HC146" s="518">
        <v>0</v>
      </c>
      <c r="HD146" s="518">
        <v>0</v>
      </c>
      <c r="HE146" s="518">
        <v>0</v>
      </c>
      <c r="HF146" s="518">
        <v>0</v>
      </c>
      <c r="HG146" s="518">
        <v>0</v>
      </c>
      <c r="HH146" s="518">
        <v>0</v>
      </c>
      <c r="HI146" s="518">
        <v>0</v>
      </c>
      <c r="HJ146" s="518">
        <v>0</v>
      </c>
      <c r="HK146" s="518">
        <v>0</v>
      </c>
      <c r="HL146" s="518">
        <v>0</v>
      </c>
      <c r="HM146" s="518">
        <v>0</v>
      </c>
      <c r="HN146" s="518">
        <v>0</v>
      </c>
      <c r="HO146" s="518">
        <v>0</v>
      </c>
      <c r="HP146" s="518">
        <v>0</v>
      </c>
      <c r="HQ146" s="518">
        <v>0</v>
      </c>
      <c r="HR146" s="518">
        <v>0</v>
      </c>
      <c r="HS146" s="518">
        <v>0</v>
      </c>
      <c r="HT146" s="518">
        <v>0</v>
      </c>
      <c r="HU146" s="518">
        <v>0</v>
      </c>
      <c r="HV146" s="518">
        <v>0</v>
      </c>
      <c r="HW146" s="518">
        <v>0</v>
      </c>
      <c r="HX146" s="518">
        <v>0</v>
      </c>
      <c r="HY146" s="518">
        <v>0</v>
      </c>
      <c r="HZ146" s="518">
        <v>0</v>
      </c>
      <c r="IA146" s="518">
        <v>0</v>
      </c>
      <c r="IB146" s="518">
        <v>0</v>
      </c>
      <c r="IC146" s="518">
        <v>0</v>
      </c>
      <c r="ID146" s="518">
        <v>0</v>
      </c>
      <c r="IE146" s="518">
        <v>0</v>
      </c>
      <c r="IF146" s="518">
        <v>0</v>
      </c>
      <c r="IG146" s="518">
        <v>0</v>
      </c>
      <c r="IH146" s="518">
        <v>0</v>
      </c>
      <c r="II146" s="518">
        <v>0</v>
      </c>
      <c r="IJ146" s="518">
        <v>0</v>
      </c>
      <c r="IK146" s="518">
        <v>0</v>
      </c>
    </row>
    <row r="147" spans="1:245" ht="16.5" hidden="1">
      <c r="A147" s="517"/>
      <c r="B147" s="517"/>
      <c r="C147" s="517"/>
      <c r="D147" s="517"/>
      <c r="E147" s="517"/>
      <c r="F147" s="517"/>
      <c r="G147" s="558"/>
      <c r="H147" s="518"/>
      <c r="I147" s="558"/>
      <c r="J147" s="494"/>
      <c r="K147" s="518"/>
      <c r="M147" s="517" t="s">
        <v>721</v>
      </c>
      <c r="N147" s="517" t="s">
        <v>1101</v>
      </c>
      <c r="O147" s="517" t="s">
        <v>25</v>
      </c>
      <c r="P147" s="518">
        <v>61</v>
      </c>
      <c r="Q147" s="494" t="str">
        <f t="shared" si="6"/>
        <v>SWUC100161</v>
      </c>
      <c r="R147" s="518">
        <v>744.1</v>
      </c>
      <c r="S147" s="518">
        <v>10000</v>
      </c>
      <c r="T147" s="518">
        <v>10000</v>
      </c>
      <c r="U147" s="518">
        <v>10000</v>
      </c>
      <c r="V147" s="518">
        <v>10000</v>
      </c>
      <c r="W147" s="518">
        <v>10000</v>
      </c>
      <c r="X147" s="518">
        <v>10000</v>
      </c>
      <c r="Y147" s="518">
        <v>10000</v>
      </c>
      <c r="Z147" s="518">
        <v>10000</v>
      </c>
      <c r="AA147" s="518">
        <v>10000</v>
      </c>
      <c r="AB147" s="518">
        <v>0</v>
      </c>
      <c r="AC147" s="518">
        <v>0</v>
      </c>
      <c r="AD147" s="518">
        <v>0</v>
      </c>
      <c r="AE147" s="518">
        <v>0</v>
      </c>
      <c r="AF147" s="518">
        <v>0</v>
      </c>
      <c r="AG147" s="518">
        <v>0</v>
      </c>
      <c r="AH147" s="518">
        <v>0</v>
      </c>
      <c r="AI147" s="518">
        <v>0</v>
      </c>
      <c r="AJ147" s="518">
        <v>0</v>
      </c>
      <c r="AK147" s="518">
        <v>0</v>
      </c>
      <c r="AL147" s="518">
        <v>0</v>
      </c>
      <c r="AM147" s="518">
        <v>0</v>
      </c>
      <c r="AN147" s="518">
        <v>0</v>
      </c>
      <c r="AO147" s="518">
        <v>0</v>
      </c>
      <c r="AP147" s="518">
        <v>0</v>
      </c>
      <c r="AQ147" s="518">
        <v>0</v>
      </c>
      <c r="AR147" s="518">
        <v>0</v>
      </c>
      <c r="AS147" s="518">
        <v>0</v>
      </c>
      <c r="AT147" s="518">
        <v>0</v>
      </c>
      <c r="AU147" s="518">
        <v>0</v>
      </c>
      <c r="AV147" s="518">
        <v>0</v>
      </c>
      <c r="AW147" s="518">
        <v>0</v>
      </c>
      <c r="AX147" s="518">
        <v>0</v>
      </c>
      <c r="AY147" s="518">
        <v>0</v>
      </c>
      <c r="AZ147" s="518">
        <v>0</v>
      </c>
      <c r="BA147" s="518">
        <v>0</v>
      </c>
      <c r="BB147" s="518">
        <v>0</v>
      </c>
      <c r="BC147" s="518">
        <v>0</v>
      </c>
      <c r="BD147" s="518">
        <v>0</v>
      </c>
      <c r="BE147" s="518">
        <v>0</v>
      </c>
      <c r="BF147" s="518">
        <v>0</v>
      </c>
      <c r="BG147" s="518">
        <v>0</v>
      </c>
      <c r="BH147" s="518">
        <v>0</v>
      </c>
      <c r="BI147" s="518">
        <v>0</v>
      </c>
      <c r="BJ147" s="518">
        <v>0</v>
      </c>
      <c r="BK147" s="518">
        <v>0</v>
      </c>
      <c r="BL147" s="518">
        <v>0</v>
      </c>
      <c r="BM147" s="518">
        <v>0</v>
      </c>
      <c r="BN147" s="518">
        <v>0</v>
      </c>
      <c r="BO147" s="518">
        <v>0</v>
      </c>
      <c r="BP147" s="518">
        <v>0</v>
      </c>
      <c r="BQ147" s="518">
        <v>0</v>
      </c>
      <c r="BR147" s="518">
        <v>0</v>
      </c>
      <c r="BS147" s="518">
        <v>0</v>
      </c>
      <c r="BT147" s="518">
        <v>0</v>
      </c>
      <c r="BU147" s="518">
        <v>0</v>
      </c>
      <c r="BV147" s="518">
        <v>0</v>
      </c>
      <c r="BW147" s="518">
        <v>0</v>
      </c>
      <c r="BX147" s="518">
        <v>0</v>
      </c>
      <c r="BY147" s="518">
        <v>0</v>
      </c>
      <c r="BZ147" s="518">
        <v>0</v>
      </c>
      <c r="CA147" s="518">
        <v>0</v>
      </c>
      <c r="CB147" s="518">
        <v>0</v>
      </c>
      <c r="CC147" s="518">
        <v>0</v>
      </c>
      <c r="CD147" s="518">
        <v>0</v>
      </c>
      <c r="CE147" s="518">
        <v>0</v>
      </c>
      <c r="CF147" s="518">
        <v>0</v>
      </c>
      <c r="CG147" s="518">
        <v>0</v>
      </c>
      <c r="CH147" s="518">
        <v>0</v>
      </c>
      <c r="CI147" s="518">
        <v>0</v>
      </c>
      <c r="CJ147" s="518">
        <v>0</v>
      </c>
      <c r="CK147" s="518">
        <v>0</v>
      </c>
      <c r="CL147" s="518">
        <v>0</v>
      </c>
      <c r="CM147" s="518">
        <v>0</v>
      </c>
      <c r="CN147" s="518">
        <v>0</v>
      </c>
      <c r="CO147" s="518">
        <v>0</v>
      </c>
      <c r="CP147" s="518">
        <v>0</v>
      </c>
      <c r="CQ147" s="518">
        <v>0</v>
      </c>
      <c r="CR147" s="518">
        <v>0</v>
      </c>
      <c r="CS147" s="518">
        <v>0</v>
      </c>
      <c r="CT147" s="518">
        <v>0</v>
      </c>
      <c r="CU147" s="518">
        <v>0</v>
      </c>
      <c r="CV147" s="518">
        <v>0</v>
      </c>
      <c r="CW147" s="518">
        <v>0</v>
      </c>
      <c r="CX147" s="518">
        <v>0</v>
      </c>
      <c r="CY147" s="518">
        <v>0</v>
      </c>
      <c r="CZ147" s="518">
        <v>0</v>
      </c>
      <c r="DA147" s="518">
        <v>0</v>
      </c>
      <c r="DB147" s="518">
        <v>0</v>
      </c>
      <c r="DC147" s="518">
        <v>0</v>
      </c>
      <c r="DD147" s="518">
        <v>0</v>
      </c>
      <c r="DE147" s="518">
        <v>0</v>
      </c>
      <c r="DF147" s="518">
        <v>0</v>
      </c>
      <c r="DG147" s="518">
        <v>0</v>
      </c>
      <c r="DH147" s="518">
        <v>0</v>
      </c>
      <c r="DI147" s="518">
        <v>0</v>
      </c>
      <c r="DJ147" s="518">
        <v>0</v>
      </c>
      <c r="DK147" s="518">
        <v>0</v>
      </c>
      <c r="DL147" s="518">
        <v>0</v>
      </c>
      <c r="DM147" s="518">
        <v>0</v>
      </c>
      <c r="DN147" s="518">
        <v>0</v>
      </c>
      <c r="DO147" s="518">
        <v>0</v>
      </c>
      <c r="DP147" s="518">
        <v>0</v>
      </c>
      <c r="DQ147" s="518">
        <v>0</v>
      </c>
      <c r="DR147" s="518">
        <v>0</v>
      </c>
      <c r="DS147" s="518">
        <v>0</v>
      </c>
      <c r="DT147" s="518">
        <v>0</v>
      </c>
      <c r="DU147" s="518">
        <v>0</v>
      </c>
      <c r="DV147" s="518">
        <v>0</v>
      </c>
      <c r="DW147" s="518">
        <v>0</v>
      </c>
      <c r="DX147" s="518">
        <v>0</v>
      </c>
      <c r="DZ147" s="517" t="s">
        <v>721</v>
      </c>
      <c r="EA147" s="517" t="s">
        <v>1101</v>
      </c>
      <c r="EB147" s="517" t="s">
        <v>25</v>
      </c>
      <c r="EC147" s="518">
        <v>61</v>
      </c>
      <c r="ED147" s="494" t="str">
        <f t="shared" si="7"/>
        <v>SWUC100161</v>
      </c>
      <c r="EE147" s="518">
        <v>744.1</v>
      </c>
      <c r="EF147" s="518">
        <v>2000</v>
      </c>
      <c r="EG147" s="518">
        <v>2232.4</v>
      </c>
      <c r="EH147" s="518">
        <v>2976.5</v>
      </c>
      <c r="EI147" s="518">
        <v>3720.6</v>
      </c>
      <c r="EJ147" s="518">
        <v>4464.7</v>
      </c>
      <c r="EK147" s="518">
        <v>5208.8</v>
      </c>
      <c r="EL147" s="518">
        <v>5953</v>
      </c>
      <c r="EM147" s="518">
        <v>6697.1</v>
      </c>
      <c r="EN147" s="518">
        <v>7441.2</v>
      </c>
      <c r="EO147" s="518">
        <v>0</v>
      </c>
      <c r="EP147" s="518">
        <v>0</v>
      </c>
      <c r="EQ147" s="518">
        <v>0</v>
      </c>
      <c r="ER147" s="518">
        <v>0</v>
      </c>
      <c r="ES147" s="518">
        <v>0</v>
      </c>
      <c r="ET147" s="518">
        <v>0</v>
      </c>
      <c r="EU147" s="518">
        <v>0</v>
      </c>
      <c r="EV147" s="518">
        <v>0</v>
      </c>
      <c r="EW147" s="518">
        <v>0</v>
      </c>
      <c r="EX147" s="518">
        <v>0</v>
      </c>
      <c r="EY147" s="518">
        <v>0</v>
      </c>
      <c r="EZ147" s="518">
        <v>0</v>
      </c>
      <c r="FA147" s="518">
        <v>0</v>
      </c>
      <c r="FB147" s="518">
        <v>0</v>
      </c>
      <c r="FC147" s="518">
        <v>0</v>
      </c>
      <c r="FD147" s="518">
        <v>0</v>
      </c>
      <c r="FE147" s="518">
        <v>0</v>
      </c>
      <c r="FF147" s="518">
        <v>0</v>
      </c>
      <c r="FG147" s="518">
        <v>0</v>
      </c>
      <c r="FH147" s="518">
        <v>0</v>
      </c>
      <c r="FI147" s="518">
        <v>0</v>
      </c>
      <c r="FJ147" s="518">
        <v>0</v>
      </c>
      <c r="FK147" s="518">
        <v>0</v>
      </c>
      <c r="FL147" s="518">
        <v>0</v>
      </c>
      <c r="FM147" s="518">
        <v>0</v>
      </c>
      <c r="FN147" s="518">
        <v>0</v>
      </c>
      <c r="FO147" s="518">
        <v>0</v>
      </c>
      <c r="FP147" s="518">
        <v>0</v>
      </c>
      <c r="FQ147" s="518">
        <v>0</v>
      </c>
      <c r="FR147" s="518">
        <v>0</v>
      </c>
      <c r="FS147" s="518">
        <v>0</v>
      </c>
      <c r="FT147" s="518">
        <v>0</v>
      </c>
      <c r="FU147" s="518">
        <v>0</v>
      </c>
      <c r="FV147" s="518">
        <v>0</v>
      </c>
      <c r="FW147" s="518">
        <v>0</v>
      </c>
      <c r="FX147" s="518">
        <v>0</v>
      </c>
      <c r="FY147" s="518">
        <v>0</v>
      </c>
      <c r="FZ147" s="518">
        <v>0</v>
      </c>
      <c r="GA147" s="518">
        <v>0</v>
      </c>
      <c r="GB147" s="518">
        <v>0</v>
      </c>
      <c r="GC147" s="518">
        <v>0</v>
      </c>
      <c r="GD147" s="518">
        <v>0</v>
      </c>
      <c r="GE147" s="518">
        <v>0</v>
      </c>
      <c r="GF147" s="518">
        <v>0</v>
      </c>
      <c r="GG147" s="518">
        <v>0</v>
      </c>
      <c r="GH147" s="518">
        <v>0</v>
      </c>
      <c r="GI147" s="518">
        <v>0</v>
      </c>
      <c r="GJ147" s="518">
        <v>0</v>
      </c>
      <c r="GK147" s="518">
        <v>0</v>
      </c>
      <c r="GL147" s="518">
        <v>0</v>
      </c>
      <c r="GM147" s="518">
        <v>0</v>
      </c>
      <c r="GN147" s="518">
        <v>0</v>
      </c>
      <c r="GO147" s="518">
        <v>0</v>
      </c>
      <c r="GP147" s="518">
        <v>0</v>
      </c>
      <c r="GQ147" s="518">
        <v>0</v>
      </c>
      <c r="GR147" s="518">
        <v>0</v>
      </c>
      <c r="GS147" s="518">
        <v>0</v>
      </c>
      <c r="GT147" s="518">
        <v>0</v>
      </c>
      <c r="GU147" s="518">
        <v>0</v>
      </c>
      <c r="GV147" s="518">
        <v>0</v>
      </c>
      <c r="GW147" s="518">
        <v>0</v>
      </c>
      <c r="GX147" s="518">
        <v>0</v>
      </c>
      <c r="GY147" s="518">
        <v>0</v>
      </c>
      <c r="GZ147" s="518">
        <v>0</v>
      </c>
      <c r="HA147" s="518">
        <v>0</v>
      </c>
      <c r="HB147" s="518">
        <v>0</v>
      </c>
      <c r="HC147" s="518">
        <v>0</v>
      </c>
      <c r="HD147" s="518">
        <v>0</v>
      </c>
      <c r="HE147" s="518">
        <v>0</v>
      </c>
      <c r="HF147" s="518">
        <v>0</v>
      </c>
      <c r="HG147" s="518">
        <v>0</v>
      </c>
      <c r="HH147" s="518">
        <v>0</v>
      </c>
      <c r="HI147" s="518">
        <v>0</v>
      </c>
      <c r="HJ147" s="518">
        <v>0</v>
      </c>
      <c r="HK147" s="518">
        <v>0</v>
      </c>
      <c r="HL147" s="518">
        <v>0</v>
      </c>
      <c r="HM147" s="518">
        <v>0</v>
      </c>
      <c r="HN147" s="518">
        <v>0</v>
      </c>
      <c r="HO147" s="518">
        <v>0</v>
      </c>
      <c r="HP147" s="518">
        <v>0</v>
      </c>
      <c r="HQ147" s="518">
        <v>0</v>
      </c>
      <c r="HR147" s="518">
        <v>0</v>
      </c>
      <c r="HS147" s="518">
        <v>0</v>
      </c>
      <c r="HT147" s="518">
        <v>0</v>
      </c>
      <c r="HU147" s="518">
        <v>0</v>
      </c>
      <c r="HV147" s="518">
        <v>0</v>
      </c>
      <c r="HW147" s="518">
        <v>0</v>
      </c>
      <c r="HX147" s="518">
        <v>0</v>
      </c>
      <c r="HY147" s="518">
        <v>0</v>
      </c>
      <c r="HZ147" s="518">
        <v>0</v>
      </c>
      <c r="IA147" s="518">
        <v>0</v>
      </c>
      <c r="IB147" s="518">
        <v>0</v>
      </c>
      <c r="IC147" s="518">
        <v>0</v>
      </c>
      <c r="ID147" s="518">
        <v>0</v>
      </c>
      <c r="IE147" s="518">
        <v>0</v>
      </c>
      <c r="IF147" s="518">
        <v>0</v>
      </c>
      <c r="IG147" s="518">
        <v>0</v>
      </c>
      <c r="IH147" s="518">
        <v>0</v>
      </c>
      <c r="II147" s="518">
        <v>0</v>
      </c>
      <c r="IJ147" s="518">
        <v>0</v>
      </c>
      <c r="IK147" s="518">
        <v>0</v>
      </c>
    </row>
    <row r="148" spans="1:245" ht="16.5" hidden="1">
      <c r="A148" s="517"/>
      <c r="B148" s="517"/>
      <c r="C148" s="517"/>
      <c r="D148" s="517"/>
      <c r="E148" s="517"/>
      <c r="F148" s="517"/>
      <c r="G148" s="558"/>
      <c r="H148" s="518"/>
      <c r="I148" s="558"/>
      <c r="J148" s="494"/>
      <c r="K148" s="518"/>
      <c r="M148" s="517" t="s">
        <v>721</v>
      </c>
      <c r="N148" s="517" t="s">
        <v>1101</v>
      </c>
      <c r="O148" s="517" t="s">
        <v>26</v>
      </c>
      <c r="P148" s="518">
        <v>15</v>
      </c>
      <c r="Q148" s="494" t="str">
        <f t="shared" si="6"/>
        <v>SWUC100215</v>
      </c>
      <c r="R148" s="518">
        <v>41.3</v>
      </c>
      <c r="S148" s="518">
        <v>10000</v>
      </c>
      <c r="T148" s="518">
        <v>10000</v>
      </c>
      <c r="U148" s="518">
        <v>10000</v>
      </c>
      <c r="V148" s="518">
        <v>10000</v>
      </c>
      <c r="W148" s="518">
        <v>10000</v>
      </c>
      <c r="X148" s="518">
        <v>10000</v>
      </c>
      <c r="Y148" s="518">
        <v>10000</v>
      </c>
      <c r="Z148" s="518">
        <v>10000</v>
      </c>
      <c r="AA148" s="518">
        <v>10000</v>
      </c>
      <c r="AB148" s="518">
        <v>0</v>
      </c>
      <c r="AC148" s="518">
        <v>0</v>
      </c>
      <c r="AD148" s="518">
        <v>0</v>
      </c>
      <c r="AE148" s="518">
        <v>0</v>
      </c>
      <c r="AF148" s="518">
        <v>0</v>
      </c>
      <c r="AG148" s="518">
        <v>0</v>
      </c>
      <c r="AH148" s="518">
        <v>0</v>
      </c>
      <c r="AI148" s="518">
        <v>0</v>
      </c>
      <c r="AJ148" s="518">
        <v>0</v>
      </c>
      <c r="AK148" s="518">
        <v>0</v>
      </c>
      <c r="AL148" s="518">
        <v>0</v>
      </c>
      <c r="AM148" s="518">
        <v>0</v>
      </c>
      <c r="AN148" s="518">
        <v>0</v>
      </c>
      <c r="AO148" s="518">
        <v>0</v>
      </c>
      <c r="AP148" s="518">
        <v>0</v>
      </c>
      <c r="AQ148" s="518">
        <v>0</v>
      </c>
      <c r="AR148" s="518">
        <v>0</v>
      </c>
      <c r="AS148" s="518">
        <v>0</v>
      </c>
      <c r="AT148" s="518">
        <v>0</v>
      </c>
      <c r="AU148" s="518">
        <v>0</v>
      </c>
      <c r="AV148" s="518">
        <v>0</v>
      </c>
      <c r="AW148" s="518">
        <v>0</v>
      </c>
      <c r="AX148" s="518">
        <v>0</v>
      </c>
      <c r="AY148" s="518">
        <v>0</v>
      </c>
      <c r="AZ148" s="518">
        <v>0</v>
      </c>
      <c r="BA148" s="518">
        <v>0</v>
      </c>
      <c r="BB148" s="518">
        <v>0</v>
      </c>
      <c r="BC148" s="518">
        <v>0</v>
      </c>
      <c r="BD148" s="518">
        <v>0</v>
      </c>
      <c r="BE148" s="518">
        <v>0</v>
      </c>
      <c r="BF148" s="518">
        <v>0</v>
      </c>
      <c r="BG148" s="518">
        <v>0</v>
      </c>
      <c r="BH148" s="518">
        <v>0</v>
      </c>
      <c r="BI148" s="518">
        <v>0</v>
      </c>
      <c r="BJ148" s="518">
        <v>0</v>
      </c>
      <c r="BK148" s="518">
        <v>0</v>
      </c>
      <c r="BL148" s="518">
        <v>0</v>
      </c>
      <c r="BM148" s="518">
        <v>0</v>
      </c>
      <c r="BN148" s="518">
        <v>0</v>
      </c>
      <c r="BO148" s="518">
        <v>0</v>
      </c>
      <c r="BP148" s="518">
        <v>0</v>
      </c>
      <c r="BQ148" s="518">
        <v>0</v>
      </c>
      <c r="BR148" s="518">
        <v>0</v>
      </c>
      <c r="BS148" s="518">
        <v>0</v>
      </c>
      <c r="BT148" s="518">
        <v>0</v>
      </c>
      <c r="BU148" s="518">
        <v>0</v>
      </c>
      <c r="BV148" s="518">
        <v>0</v>
      </c>
      <c r="BW148" s="518">
        <v>0</v>
      </c>
      <c r="BX148" s="518">
        <v>0</v>
      </c>
      <c r="BY148" s="518">
        <v>0</v>
      </c>
      <c r="BZ148" s="518">
        <v>0</v>
      </c>
      <c r="CA148" s="518">
        <v>0</v>
      </c>
      <c r="CB148" s="518">
        <v>0</v>
      </c>
      <c r="CC148" s="518">
        <v>0</v>
      </c>
      <c r="CD148" s="518">
        <v>0</v>
      </c>
      <c r="CE148" s="518">
        <v>0</v>
      </c>
      <c r="CF148" s="518">
        <v>0</v>
      </c>
      <c r="CG148" s="518">
        <v>0</v>
      </c>
      <c r="CH148" s="518">
        <v>0</v>
      </c>
      <c r="CI148" s="518">
        <v>0</v>
      </c>
      <c r="CJ148" s="518">
        <v>0</v>
      </c>
      <c r="CK148" s="518">
        <v>0</v>
      </c>
      <c r="CL148" s="518">
        <v>0</v>
      </c>
      <c r="CM148" s="518">
        <v>0</v>
      </c>
      <c r="CN148" s="518">
        <v>0</v>
      </c>
      <c r="CO148" s="518">
        <v>0</v>
      </c>
      <c r="CP148" s="518">
        <v>0</v>
      </c>
      <c r="CQ148" s="518">
        <v>0</v>
      </c>
      <c r="CR148" s="518">
        <v>0</v>
      </c>
      <c r="CS148" s="518">
        <v>0</v>
      </c>
      <c r="CT148" s="518">
        <v>0</v>
      </c>
      <c r="CU148" s="518">
        <v>0</v>
      </c>
      <c r="CV148" s="518">
        <v>0</v>
      </c>
      <c r="CW148" s="518">
        <v>0</v>
      </c>
      <c r="CX148" s="518">
        <v>0</v>
      </c>
      <c r="CY148" s="518">
        <v>0</v>
      </c>
      <c r="CZ148" s="518">
        <v>0</v>
      </c>
      <c r="DA148" s="518">
        <v>0</v>
      </c>
      <c r="DB148" s="518">
        <v>0</v>
      </c>
      <c r="DC148" s="518">
        <v>0</v>
      </c>
      <c r="DD148" s="518">
        <v>0</v>
      </c>
      <c r="DE148" s="518">
        <v>0</v>
      </c>
      <c r="DF148" s="518">
        <v>0</v>
      </c>
      <c r="DG148" s="518">
        <v>0</v>
      </c>
      <c r="DH148" s="518">
        <v>0</v>
      </c>
      <c r="DI148" s="518">
        <v>0</v>
      </c>
      <c r="DJ148" s="518">
        <v>0</v>
      </c>
      <c r="DK148" s="518">
        <v>0</v>
      </c>
      <c r="DL148" s="518">
        <v>0</v>
      </c>
      <c r="DM148" s="518">
        <v>0</v>
      </c>
      <c r="DN148" s="518">
        <v>0</v>
      </c>
      <c r="DO148" s="518">
        <v>0</v>
      </c>
      <c r="DP148" s="518">
        <v>0</v>
      </c>
      <c r="DQ148" s="518">
        <v>0</v>
      </c>
      <c r="DR148" s="518">
        <v>0</v>
      </c>
      <c r="DS148" s="518">
        <v>0</v>
      </c>
      <c r="DT148" s="518">
        <v>0</v>
      </c>
      <c r="DU148" s="518">
        <v>0</v>
      </c>
      <c r="DV148" s="518">
        <v>0</v>
      </c>
      <c r="DW148" s="518">
        <v>0</v>
      </c>
      <c r="DX148" s="518">
        <v>0</v>
      </c>
      <c r="DZ148" s="517" t="s">
        <v>721</v>
      </c>
      <c r="EA148" s="517" t="s">
        <v>1101</v>
      </c>
      <c r="EB148" s="517" t="s">
        <v>26</v>
      </c>
      <c r="EC148" s="518">
        <v>15</v>
      </c>
      <c r="ED148" s="494" t="str">
        <f t="shared" si="7"/>
        <v>SWUC100215</v>
      </c>
      <c r="EE148" s="518">
        <v>41.3</v>
      </c>
      <c r="EF148" s="518">
        <v>2000</v>
      </c>
      <c r="EG148" s="518">
        <v>2000</v>
      </c>
      <c r="EH148" s="518">
        <v>2000</v>
      </c>
      <c r="EI148" s="518">
        <v>2000</v>
      </c>
      <c r="EJ148" s="518">
        <v>2000</v>
      </c>
      <c r="EK148" s="518">
        <v>2000</v>
      </c>
      <c r="EL148" s="518">
        <v>2000</v>
      </c>
      <c r="EM148" s="518">
        <v>2000</v>
      </c>
      <c r="EN148" s="518">
        <v>2000</v>
      </c>
      <c r="EO148" s="518">
        <v>0</v>
      </c>
      <c r="EP148" s="518">
        <v>0</v>
      </c>
      <c r="EQ148" s="518">
        <v>0</v>
      </c>
      <c r="ER148" s="518">
        <v>0</v>
      </c>
      <c r="ES148" s="518">
        <v>0</v>
      </c>
      <c r="ET148" s="518">
        <v>0</v>
      </c>
      <c r="EU148" s="518">
        <v>0</v>
      </c>
      <c r="EV148" s="518">
        <v>0</v>
      </c>
      <c r="EW148" s="518">
        <v>0</v>
      </c>
      <c r="EX148" s="518">
        <v>0</v>
      </c>
      <c r="EY148" s="518">
        <v>0</v>
      </c>
      <c r="EZ148" s="518">
        <v>0</v>
      </c>
      <c r="FA148" s="518">
        <v>0</v>
      </c>
      <c r="FB148" s="518">
        <v>0</v>
      </c>
      <c r="FC148" s="518">
        <v>0</v>
      </c>
      <c r="FD148" s="518">
        <v>0</v>
      </c>
      <c r="FE148" s="518">
        <v>0</v>
      </c>
      <c r="FF148" s="518">
        <v>0</v>
      </c>
      <c r="FG148" s="518">
        <v>0</v>
      </c>
      <c r="FH148" s="518">
        <v>0</v>
      </c>
      <c r="FI148" s="518">
        <v>0</v>
      </c>
      <c r="FJ148" s="518">
        <v>0</v>
      </c>
      <c r="FK148" s="518">
        <v>0</v>
      </c>
      <c r="FL148" s="518">
        <v>0</v>
      </c>
      <c r="FM148" s="518">
        <v>0</v>
      </c>
      <c r="FN148" s="518">
        <v>0</v>
      </c>
      <c r="FO148" s="518">
        <v>0</v>
      </c>
      <c r="FP148" s="518">
        <v>0</v>
      </c>
      <c r="FQ148" s="518">
        <v>0</v>
      </c>
      <c r="FR148" s="518">
        <v>0</v>
      </c>
      <c r="FS148" s="518">
        <v>0</v>
      </c>
      <c r="FT148" s="518">
        <v>0</v>
      </c>
      <c r="FU148" s="518">
        <v>0</v>
      </c>
      <c r="FV148" s="518">
        <v>0</v>
      </c>
      <c r="FW148" s="518">
        <v>0</v>
      </c>
      <c r="FX148" s="518">
        <v>0</v>
      </c>
      <c r="FY148" s="518">
        <v>0</v>
      </c>
      <c r="FZ148" s="518">
        <v>0</v>
      </c>
      <c r="GA148" s="518">
        <v>0</v>
      </c>
      <c r="GB148" s="518">
        <v>0</v>
      </c>
      <c r="GC148" s="518">
        <v>0</v>
      </c>
      <c r="GD148" s="518">
        <v>0</v>
      </c>
      <c r="GE148" s="518">
        <v>0</v>
      </c>
      <c r="GF148" s="518">
        <v>0</v>
      </c>
      <c r="GG148" s="518">
        <v>0</v>
      </c>
      <c r="GH148" s="518">
        <v>0</v>
      </c>
      <c r="GI148" s="518">
        <v>0</v>
      </c>
      <c r="GJ148" s="518">
        <v>0</v>
      </c>
      <c r="GK148" s="518">
        <v>0</v>
      </c>
      <c r="GL148" s="518">
        <v>0</v>
      </c>
      <c r="GM148" s="518">
        <v>0</v>
      </c>
      <c r="GN148" s="518">
        <v>0</v>
      </c>
      <c r="GO148" s="518">
        <v>0</v>
      </c>
      <c r="GP148" s="518">
        <v>0</v>
      </c>
      <c r="GQ148" s="518">
        <v>0</v>
      </c>
      <c r="GR148" s="518">
        <v>0</v>
      </c>
      <c r="GS148" s="518">
        <v>0</v>
      </c>
      <c r="GT148" s="518">
        <v>0</v>
      </c>
      <c r="GU148" s="518">
        <v>0</v>
      </c>
      <c r="GV148" s="518">
        <v>0</v>
      </c>
      <c r="GW148" s="518">
        <v>0</v>
      </c>
      <c r="GX148" s="518">
        <v>0</v>
      </c>
      <c r="GY148" s="518">
        <v>0</v>
      </c>
      <c r="GZ148" s="518">
        <v>0</v>
      </c>
      <c r="HA148" s="518">
        <v>0</v>
      </c>
      <c r="HB148" s="518">
        <v>0</v>
      </c>
      <c r="HC148" s="518">
        <v>0</v>
      </c>
      <c r="HD148" s="518">
        <v>0</v>
      </c>
      <c r="HE148" s="518">
        <v>0</v>
      </c>
      <c r="HF148" s="518">
        <v>0</v>
      </c>
      <c r="HG148" s="518">
        <v>0</v>
      </c>
      <c r="HH148" s="518">
        <v>0</v>
      </c>
      <c r="HI148" s="518">
        <v>0</v>
      </c>
      <c r="HJ148" s="518">
        <v>0</v>
      </c>
      <c r="HK148" s="518">
        <v>0</v>
      </c>
      <c r="HL148" s="518">
        <v>0</v>
      </c>
      <c r="HM148" s="518">
        <v>0</v>
      </c>
      <c r="HN148" s="518">
        <v>0</v>
      </c>
      <c r="HO148" s="518">
        <v>0</v>
      </c>
      <c r="HP148" s="518">
        <v>0</v>
      </c>
      <c r="HQ148" s="518">
        <v>0</v>
      </c>
      <c r="HR148" s="518">
        <v>0</v>
      </c>
      <c r="HS148" s="518">
        <v>0</v>
      </c>
      <c r="HT148" s="518">
        <v>0</v>
      </c>
      <c r="HU148" s="518">
        <v>0</v>
      </c>
      <c r="HV148" s="518">
        <v>0</v>
      </c>
      <c r="HW148" s="518">
        <v>0</v>
      </c>
      <c r="HX148" s="518">
        <v>0</v>
      </c>
      <c r="HY148" s="518">
        <v>0</v>
      </c>
      <c r="HZ148" s="518">
        <v>0</v>
      </c>
      <c r="IA148" s="518">
        <v>0</v>
      </c>
      <c r="IB148" s="518">
        <v>0</v>
      </c>
      <c r="IC148" s="518">
        <v>0</v>
      </c>
      <c r="ID148" s="518">
        <v>0</v>
      </c>
      <c r="IE148" s="518">
        <v>0</v>
      </c>
      <c r="IF148" s="518">
        <v>0</v>
      </c>
      <c r="IG148" s="518">
        <v>0</v>
      </c>
      <c r="IH148" s="518">
        <v>0</v>
      </c>
      <c r="II148" s="518">
        <v>0</v>
      </c>
      <c r="IJ148" s="518">
        <v>0</v>
      </c>
      <c r="IK148" s="518">
        <v>0</v>
      </c>
    </row>
    <row r="149" spans="1:245" ht="16.5" hidden="1">
      <c r="A149" s="517"/>
      <c r="B149" s="517"/>
      <c r="C149" s="517"/>
      <c r="D149" s="517"/>
      <c r="E149" s="517"/>
      <c r="F149" s="517"/>
      <c r="G149" s="558"/>
      <c r="H149" s="518"/>
      <c r="I149" s="558"/>
      <c r="J149" s="494"/>
      <c r="K149" s="518"/>
      <c r="M149" s="517" t="s">
        <v>721</v>
      </c>
      <c r="N149" s="517" t="s">
        <v>1101</v>
      </c>
      <c r="O149" s="517" t="s">
        <v>26</v>
      </c>
      <c r="P149" s="518">
        <v>16</v>
      </c>
      <c r="Q149" s="494" t="str">
        <f t="shared" si="6"/>
        <v>SWUC100216</v>
      </c>
      <c r="R149" s="518">
        <v>43.5</v>
      </c>
      <c r="S149" s="518">
        <v>10000</v>
      </c>
      <c r="T149" s="518">
        <v>10000</v>
      </c>
      <c r="U149" s="518">
        <v>10000</v>
      </c>
      <c r="V149" s="518">
        <v>10000</v>
      </c>
      <c r="W149" s="518">
        <v>10000</v>
      </c>
      <c r="X149" s="518">
        <v>10000</v>
      </c>
      <c r="Y149" s="518">
        <v>10000</v>
      </c>
      <c r="Z149" s="518">
        <v>10000</v>
      </c>
      <c r="AA149" s="518">
        <v>10000</v>
      </c>
      <c r="AB149" s="518">
        <v>0</v>
      </c>
      <c r="AC149" s="518">
        <v>0</v>
      </c>
      <c r="AD149" s="518">
        <v>0</v>
      </c>
      <c r="AE149" s="518">
        <v>0</v>
      </c>
      <c r="AF149" s="518">
        <v>0</v>
      </c>
      <c r="AG149" s="518">
        <v>0</v>
      </c>
      <c r="AH149" s="518">
        <v>0</v>
      </c>
      <c r="AI149" s="518">
        <v>0</v>
      </c>
      <c r="AJ149" s="518">
        <v>0</v>
      </c>
      <c r="AK149" s="518">
        <v>0</v>
      </c>
      <c r="AL149" s="518">
        <v>0</v>
      </c>
      <c r="AM149" s="518">
        <v>0</v>
      </c>
      <c r="AN149" s="518">
        <v>0</v>
      </c>
      <c r="AO149" s="518">
        <v>0</v>
      </c>
      <c r="AP149" s="518">
        <v>0</v>
      </c>
      <c r="AQ149" s="518">
        <v>0</v>
      </c>
      <c r="AR149" s="518">
        <v>0</v>
      </c>
      <c r="AS149" s="518">
        <v>0</v>
      </c>
      <c r="AT149" s="518">
        <v>0</v>
      </c>
      <c r="AU149" s="518">
        <v>0</v>
      </c>
      <c r="AV149" s="518">
        <v>0</v>
      </c>
      <c r="AW149" s="518">
        <v>0</v>
      </c>
      <c r="AX149" s="518">
        <v>0</v>
      </c>
      <c r="AY149" s="518">
        <v>0</v>
      </c>
      <c r="AZ149" s="518">
        <v>0</v>
      </c>
      <c r="BA149" s="518">
        <v>0</v>
      </c>
      <c r="BB149" s="518">
        <v>0</v>
      </c>
      <c r="BC149" s="518">
        <v>0</v>
      </c>
      <c r="BD149" s="518">
        <v>0</v>
      </c>
      <c r="BE149" s="518">
        <v>0</v>
      </c>
      <c r="BF149" s="518">
        <v>0</v>
      </c>
      <c r="BG149" s="518">
        <v>0</v>
      </c>
      <c r="BH149" s="518">
        <v>0</v>
      </c>
      <c r="BI149" s="518">
        <v>0</v>
      </c>
      <c r="BJ149" s="518">
        <v>0</v>
      </c>
      <c r="BK149" s="518">
        <v>0</v>
      </c>
      <c r="BL149" s="518">
        <v>0</v>
      </c>
      <c r="BM149" s="518">
        <v>0</v>
      </c>
      <c r="BN149" s="518">
        <v>0</v>
      </c>
      <c r="BO149" s="518">
        <v>0</v>
      </c>
      <c r="BP149" s="518">
        <v>0</v>
      </c>
      <c r="BQ149" s="518">
        <v>0</v>
      </c>
      <c r="BR149" s="518">
        <v>0</v>
      </c>
      <c r="BS149" s="518">
        <v>0</v>
      </c>
      <c r="BT149" s="518">
        <v>0</v>
      </c>
      <c r="BU149" s="518">
        <v>0</v>
      </c>
      <c r="BV149" s="518">
        <v>0</v>
      </c>
      <c r="BW149" s="518">
        <v>0</v>
      </c>
      <c r="BX149" s="518">
        <v>0</v>
      </c>
      <c r="BY149" s="518">
        <v>0</v>
      </c>
      <c r="BZ149" s="518">
        <v>0</v>
      </c>
      <c r="CA149" s="518">
        <v>0</v>
      </c>
      <c r="CB149" s="518">
        <v>0</v>
      </c>
      <c r="CC149" s="518">
        <v>0</v>
      </c>
      <c r="CD149" s="518">
        <v>0</v>
      </c>
      <c r="CE149" s="518">
        <v>0</v>
      </c>
      <c r="CF149" s="518">
        <v>0</v>
      </c>
      <c r="CG149" s="518">
        <v>0</v>
      </c>
      <c r="CH149" s="518">
        <v>0</v>
      </c>
      <c r="CI149" s="518">
        <v>0</v>
      </c>
      <c r="CJ149" s="518">
        <v>0</v>
      </c>
      <c r="CK149" s="518">
        <v>0</v>
      </c>
      <c r="CL149" s="518">
        <v>0</v>
      </c>
      <c r="CM149" s="518">
        <v>0</v>
      </c>
      <c r="CN149" s="518">
        <v>0</v>
      </c>
      <c r="CO149" s="518">
        <v>0</v>
      </c>
      <c r="CP149" s="518">
        <v>0</v>
      </c>
      <c r="CQ149" s="518">
        <v>0</v>
      </c>
      <c r="CR149" s="518">
        <v>0</v>
      </c>
      <c r="CS149" s="518">
        <v>0</v>
      </c>
      <c r="CT149" s="518">
        <v>0</v>
      </c>
      <c r="CU149" s="518">
        <v>0</v>
      </c>
      <c r="CV149" s="518">
        <v>0</v>
      </c>
      <c r="CW149" s="518">
        <v>0</v>
      </c>
      <c r="CX149" s="518">
        <v>0</v>
      </c>
      <c r="CY149" s="518">
        <v>0</v>
      </c>
      <c r="CZ149" s="518">
        <v>0</v>
      </c>
      <c r="DA149" s="518">
        <v>0</v>
      </c>
      <c r="DB149" s="518">
        <v>0</v>
      </c>
      <c r="DC149" s="518">
        <v>0</v>
      </c>
      <c r="DD149" s="518">
        <v>0</v>
      </c>
      <c r="DE149" s="518">
        <v>0</v>
      </c>
      <c r="DF149" s="518">
        <v>0</v>
      </c>
      <c r="DG149" s="518">
        <v>0</v>
      </c>
      <c r="DH149" s="518">
        <v>0</v>
      </c>
      <c r="DI149" s="518">
        <v>0</v>
      </c>
      <c r="DJ149" s="518">
        <v>0</v>
      </c>
      <c r="DK149" s="518">
        <v>0</v>
      </c>
      <c r="DL149" s="518">
        <v>0</v>
      </c>
      <c r="DM149" s="518">
        <v>0</v>
      </c>
      <c r="DN149" s="518">
        <v>0</v>
      </c>
      <c r="DO149" s="518">
        <v>0</v>
      </c>
      <c r="DP149" s="518">
        <v>0</v>
      </c>
      <c r="DQ149" s="518">
        <v>0</v>
      </c>
      <c r="DR149" s="518">
        <v>0</v>
      </c>
      <c r="DS149" s="518">
        <v>0</v>
      </c>
      <c r="DT149" s="518">
        <v>0</v>
      </c>
      <c r="DU149" s="518">
        <v>0</v>
      </c>
      <c r="DV149" s="518">
        <v>0</v>
      </c>
      <c r="DW149" s="518">
        <v>0</v>
      </c>
      <c r="DX149" s="518">
        <v>0</v>
      </c>
      <c r="DZ149" s="517" t="s">
        <v>721</v>
      </c>
      <c r="EA149" s="517" t="s">
        <v>1101</v>
      </c>
      <c r="EB149" s="517" t="s">
        <v>26</v>
      </c>
      <c r="EC149" s="518">
        <v>16</v>
      </c>
      <c r="ED149" s="494" t="str">
        <f t="shared" si="7"/>
        <v>SWUC100216</v>
      </c>
      <c r="EE149" s="518">
        <v>43.5</v>
      </c>
      <c r="EF149" s="518">
        <v>2000</v>
      </c>
      <c r="EG149" s="518">
        <v>2000</v>
      </c>
      <c r="EH149" s="518">
        <v>2000</v>
      </c>
      <c r="EI149" s="518">
        <v>2000</v>
      </c>
      <c r="EJ149" s="518">
        <v>2000</v>
      </c>
      <c r="EK149" s="518">
        <v>2000</v>
      </c>
      <c r="EL149" s="518">
        <v>2000</v>
      </c>
      <c r="EM149" s="518">
        <v>2000</v>
      </c>
      <c r="EN149" s="518">
        <v>2000</v>
      </c>
      <c r="EO149" s="518">
        <v>0</v>
      </c>
      <c r="EP149" s="518">
        <v>0</v>
      </c>
      <c r="EQ149" s="518">
        <v>0</v>
      </c>
      <c r="ER149" s="518">
        <v>0</v>
      </c>
      <c r="ES149" s="518">
        <v>0</v>
      </c>
      <c r="ET149" s="518">
        <v>0</v>
      </c>
      <c r="EU149" s="518">
        <v>0</v>
      </c>
      <c r="EV149" s="518">
        <v>0</v>
      </c>
      <c r="EW149" s="518">
        <v>0</v>
      </c>
      <c r="EX149" s="518">
        <v>0</v>
      </c>
      <c r="EY149" s="518">
        <v>0</v>
      </c>
      <c r="EZ149" s="518">
        <v>0</v>
      </c>
      <c r="FA149" s="518">
        <v>0</v>
      </c>
      <c r="FB149" s="518">
        <v>0</v>
      </c>
      <c r="FC149" s="518">
        <v>0</v>
      </c>
      <c r="FD149" s="518">
        <v>0</v>
      </c>
      <c r="FE149" s="518">
        <v>0</v>
      </c>
      <c r="FF149" s="518">
        <v>0</v>
      </c>
      <c r="FG149" s="518">
        <v>0</v>
      </c>
      <c r="FH149" s="518">
        <v>0</v>
      </c>
      <c r="FI149" s="518">
        <v>0</v>
      </c>
      <c r="FJ149" s="518">
        <v>0</v>
      </c>
      <c r="FK149" s="518">
        <v>0</v>
      </c>
      <c r="FL149" s="518">
        <v>0</v>
      </c>
      <c r="FM149" s="518">
        <v>0</v>
      </c>
      <c r="FN149" s="518">
        <v>0</v>
      </c>
      <c r="FO149" s="518">
        <v>0</v>
      </c>
      <c r="FP149" s="518">
        <v>0</v>
      </c>
      <c r="FQ149" s="518">
        <v>0</v>
      </c>
      <c r="FR149" s="518">
        <v>0</v>
      </c>
      <c r="FS149" s="518">
        <v>0</v>
      </c>
      <c r="FT149" s="518">
        <v>0</v>
      </c>
      <c r="FU149" s="518">
        <v>0</v>
      </c>
      <c r="FV149" s="518">
        <v>0</v>
      </c>
      <c r="FW149" s="518">
        <v>0</v>
      </c>
      <c r="FX149" s="518">
        <v>0</v>
      </c>
      <c r="FY149" s="518">
        <v>0</v>
      </c>
      <c r="FZ149" s="518">
        <v>0</v>
      </c>
      <c r="GA149" s="518">
        <v>0</v>
      </c>
      <c r="GB149" s="518">
        <v>0</v>
      </c>
      <c r="GC149" s="518">
        <v>0</v>
      </c>
      <c r="GD149" s="518">
        <v>0</v>
      </c>
      <c r="GE149" s="518">
        <v>0</v>
      </c>
      <c r="GF149" s="518">
        <v>0</v>
      </c>
      <c r="GG149" s="518">
        <v>0</v>
      </c>
      <c r="GH149" s="518">
        <v>0</v>
      </c>
      <c r="GI149" s="518">
        <v>0</v>
      </c>
      <c r="GJ149" s="518">
        <v>0</v>
      </c>
      <c r="GK149" s="518">
        <v>0</v>
      </c>
      <c r="GL149" s="518">
        <v>0</v>
      </c>
      <c r="GM149" s="518">
        <v>0</v>
      </c>
      <c r="GN149" s="518">
        <v>0</v>
      </c>
      <c r="GO149" s="518">
        <v>0</v>
      </c>
      <c r="GP149" s="518">
        <v>0</v>
      </c>
      <c r="GQ149" s="518">
        <v>0</v>
      </c>
      <c r="GR149" s="518">
        <v>0</v>
      </c>
      <c r="GS149" s="518">
        <v>0</v>
      </c>
      <c r="GT149" s="518">
        <v>0</v>
      </c>
      <c r="GU149" s="518">
        <v>0</v>
      </c>
      <c r="GV149" s="518">
        <v>0</v>
      </c>
      <c r="GW149" s="518">
        <v>0</v>
      </c>
      <c r="GX149" s="518">
        <v>0</v>
      </c>
      <c r="GY149" s="518">
        <v>0</v>
      </c>
      <c r="GZ149" s="518">
        <v>0</v>
      </c>
      <c r="HA149" s="518">
        <v>0</v>
      </c>
      <c r="HB149" s="518">
        <v>0</v>
      </c>
      <c r="HC149" s="518">
        <v>0</v>
      </c>
      <c r="HD149" s="518">
        <v>0</v>
      </c>
      <c r="HE149" s="518">
        <v>0</v>
      </c>
      <c r="HF149" s="518">
        <v>0</v>
      </c>
      <c r="HG149" s="518">
        <v>0</v>
      </c>
      <c r="HH149" s="518">
        <v>0</v>
      </c>
      <c r="HI149" s="518">
        <v>0</v>
      </c>
      <c r="HJ149" s="518">
        <v>0</v>
      </c>
      <c r="HK149" s="518">
        <v>0</v>
      </c>
      <c r="HL149" s="518">
        <v>0</v>
      </c>
      <c r="HM149" s="518">
        <v>0</v>
      </c>
      <c r="HN149" s="518">
        <v>0</v>
      </c>
      <c r="HO149" s="518">
        <v>0</v>
      </c>
      <c r="HP149" s="518">
        <v>0</v>
      </c>
      <c r="HQ149" s="518">
        <v>0</v>
      </c>
      <c r="HR149" s="518">
        <v>0</v>
      </c>
      <c r="HS149" s="518">
        <v>0</v>
      </c>
      <c r="HT149" s="518">
        <v>0</v>
      </c>
      <c r="HU149" s="518">
        <v>0</v>
      </c>
      <c r="HV149" s="518">
        <v>0</v>
      </c>
      <c r="HW149" s="518">
        <v>0</v>
      </c>
      <c r="HX149" s="518">
        <v>0</v>
      </c>
      <c r="HY149" s="518">
        <v>0</v>
      </c>
      <c r="HZ149" s="518">
        <v>0</v>
      </c>
      <c r="IA149" s="518">
        <v>0</v>
      </c>
      <c r="IB149" s="518">
        <v>0</v>
      </c>
      <c r="IC149" s="518">
        <v>0</v>
      </c>
      <c r="ID149" s="518">
        <v>0</v>
      </c>
      <c r="IE149" s="518">
        <v>0</v>
      </c>
      <c r="IF149" s="518">
        <v>0</v>
      </c>
      <c r="IG149" s="518">
        <v>0</v>
      </c>
      <c r="IH149" s="518">
        <v>0</v>
      </c>
      <c r="II149" s="518">
        <v>0</v>
      </c>
      <c r="IJ149" s="518">
        <v>0</v>
      </c>
      <c r="IK149" s="518">
        <v>0</v>
      </c>
    </row>
    <row r="150" spans="1:245" ht="16.5" hidden="1">
      <c r="A150" s="517"/>
      <c r="B150" s="517"/>
      <c r="C150" s="517"/>
      <c r="D150" s="517"/>
      <c r="E150" s="517"/>
      <c r="F150" s="517"/>
      <c r="G150" s="558"/>
      <c r="H150" s="518"/>
      <c r="I150" s="558"/>
      <c r="J150" s="494"/>
      <c r="K150" s="518"/>
      <c r="M150" s="517" t="s">
        <v>721</v>
      </c>
      <c r="N150" s="517" t="s">
        <v>1101</v>
      </c>
      <c r="O150" s="517" t="s">
        <v>26</v>
      </c>
      <c r="P150" s="518">
        <v>17</v>
      </c>
      <c r="Q150" s="494" t="str">
        <f t="shared" si="6"/>
        <v>SWUC100217</v>
      </c>
      <c r="R150" s="518">
        <v>47.7</v>
      </c>
      <c r="S150" s="518">
        <v>10000</v>
      </c>
      <c r="T150" s="518">
        <v>10000</v>
      </c>
      <c r="U150" s="518">
        <v>10000</v>
      </c>
      <c r="V150" s="518">
        <v>10000</v>
      </c>
      <c r="W150" s="518">
        <v>10000</v>
      </c>
      <c r="X150" s="518">
        <v>10000</v>
      </c>
      <c r="Y150" s="518">
        <v>10000</v>
      </c>
      <c r="Z150" s="518">
        <v>10000</v>
      </c>
      <c r="AA150" s="518">
        <v>10000</v>
      </c>
      <c r="AB150" s="518">
        <v>0</v>
      </c>
      <c r="AC150" s="518">
        <v>0</v>
      </c>
      <c r="AD150" s="518">
        <v>0</v>
      </c>
      <c r="AE150" s="518">
        <v>0</v>
      </c>
      <c r="AF150" s="518">
        <v>0</v>
      </c>
      <c r="AG150" s="518">
        <v>0</v>
      </c>
      <c r="AH150" s="518">
        <v>0</v>
      </c>
      <c r="AI150" s="518">
        <v>0</v>
      </c>
      <c r="AJ150" s="518">
        <v>0</v>
      </c>
      <c r="AK150" s="518">
        <v>0</v>
      </c>
      <c r="AL150" s="518">
        <v>0</v>
      </c>
      <c r="AM150" s="518">
        <v>0</v>
      </c>
      <c r="AN150" s="518">
        <v>0</v>
      </c>
      <c r="AO150" s="518">
        <v>0</v>
      </c>
      <c r="AP150" s="518">
        <v>0</v>
      </c>
      <c r="AQ150" s="518">
        <v>0</v>
      </c>
      <c r="AR150" s="518">
        <v>0</v>
      </c>
      <c r="AS150" s="518">
        <v>0</v>
      </c>
      <c r="AT150" s="518">
        <v>0</v>
      </c>
      <c r="AU150" s="518">
        <v>0</v>
      </c>
      <c r="AV150" s="518">
        <v>0</v>
      </c>
      <c r="AW150" s="518">
        <v>0</v>
      </c>
      <c r="AX150" s="518">
        <v>0</v>
      </c>
      <c r="AY150" s="518">
        <v>0</v>
      </c>
      <c r="AZ150" s="518">
        <v>0</v>
      </c>
      <c r="BA150" s="518">
        <v>0</v>
      </c>
      <c r="BB150" s="518">
        <v>0</v>
      </c>
      <c r="BC150" s="518">
        <v>0</v>
      </c>
      <c r="BD150" s="518">
        <v>0</v>
      </c>
      <c r="BE150" s="518">
        <v>0</v>
      </c>
      <c r="BF150" s="518">
        <v>0</v>
      </c>
      <c r="BG150" s="518">
        <v>0</v>
      </c>
      <c r="BH150" s="518">
        <v>0</v>
      </c>
      <c r="BI150" s="518">
        <v>0</v>
      </c>
      <c r="BJ150" s="518">
        <v>0</v>
      </c>
      <c r="BK150" s="518">
        <v>0</v>
      </c>
      <c r="BL150" s="518">
        <v>0</v>
      </c>
      <c r="BM150" s="518">
        <v>0</v>
      </c>
      <c r="BN150" s="518">
        <v>0</v>
      </c>
      <c r="BO150" s="518">
        <v>0</v>
      </c>
      <c r="BP150" s="518">
        <v>0</v>
      </c>
      <c r="BQ150" s="518">
        <v>0</v>
      </c>
      <c r="BR150" s="518">
        <v>0</v>
      </c>
      <c r="BS150" s="518">
        <v>0</v>
      </c>
      <c r="BT150" s="518">
        <v>0</v>
      </c>
      <c r="BU150" s="518">
        <v>0</v>
      </c>
      <c r="BV150" s="518">
        <v>0</v>
      </c>
      <c r="BW150" s="518">
        <v>0</v>
      </c>
      <c r="BX150" s="518">
        <v>0</v>
      </c>
      <c r="BY150" s="518">
        <v>0</v>
      </c>
      <c r="BZ150" s="518">
        <v>0</v>
      </c>
      <c r="CA150" s="518">
        <v>0</v>
      </c>
      <c r="CB150" s="518">
        <v>0</v>
      </c>
      <c r="CC150" s="518">
        <v>0</v>
      </c>
      <c r="CD150" s="518">
        <v>0</v>
      </c>
      <c r="CE150" s="518">
        <v>0</v>
      </c>
      <c r="CF150" s="518">
        <v>0</v>
      </c>
      <c r="CG150" s="518">
        <v>0</v>
      </c>
      <c r="CH150" s="518">
        <v>0</v>
      </c>
      <c r="CI150" s="518">
        <v>0</v>
      </c>
      <c r="CJ150" s="518">
        <v>0</v>
      </c>
      <c r="CK150" s="518">
        <v>0</v>
      </c>
      <c r="CL150" s="518">
        <v>0</v>
      </c>
      <c r="CM150" s="518">
        <v>0</v>
      </c>
      <c r="CN150" s="518">
        <v>0</v>
      </c>
      <c r="CO150" s="518">
        <v>0</v>
      </c>
      <c r="CP150" s="518">
        <v>0</v>
      </c>
      <c r="CQ150" s="518">
        <v>0</v>
      </c>
      <c r="CR150" s="518">
        <v>0</v>
      </c>
      <c r="CS150" s="518">
        <v>0</v>
      </c>
      <c r="CT150" s="518">
        <v>0</v>
      </c>
      <c r="CU150" s="518">
        <v>0</v>
      </c>
      <c r="CV150" s="518">
        <v>0</v>
      </c>
      <c r="CW150" s="518">
        <v>0</v>
      </c>
      <c r="CX150" s="518">
        <v>0</v>
      </c>
      <c r="CY150" s="518">
        <v>0</v>
      </c>
      <c r="CZ150" s="518">
        <v>0</v>
      </c>
      <c r="DA150" s="518">
        <v>0</v>
      </c>
      <c r="DB150" s="518">
        <v>0</v>
      </c>
      <c r="DC150" s="518">
        <v>0</v>
      </c>
      <c r="DD150" s="518">
        <v>0</v>
      </c>
      <c r="DE150" s="518">
        <v>0</v>
      </c>
      <c r="DF150" s="518">
        <v>0</v>
      </c>
      <c r="DG150" s="518">
        <v>0</v>
      </c>
      <c r="DH150" s="518">
        <v>0</v>
      </c>
      <c r="DI150" s="518">
        <v>0</v>
      </c>
      <c r="DJ150" s="518">
        <v>0</v>
      </c>
      <c r="DK150" s="518">
        <v>0</v>
      </c>
      <c r="DL150" s="518">
        <v>0</v>
      </c>
      <c r="DM150" s="518">
        <v>0</v>
      </c>
      <c r="DN150" s="518">
        <v>0</v>
      </c>
      <c r="DO150" s="518">
        <v>0</v>
      </c>
      <c r="DP150" s="518">
        <v>0</v>
      </c>
      <c r="DQ150" s="518">
        <v>0</v>
      </c>
      <c r="DR150" s="518">
        <v>0</v>
      </c>
      <c r="DS150" s="518">
        <v>0</v>
      </c>
      <c r="DT150" s="518">
        <v>0</v>
      </c>
      <c r="DU150" s="518">
        <v>0</v>
      </c>
      <c r="DV150" s="518">
        <v>0</v>
      </c>
      <c r="DW150" s="518">
        <v>0</v>
      </c>
      <c r="DX150" s="518">
        <v>0</v>
      </c>
      <c r="DZ150" s="517" t="s">
        <v>721</v>
      </c>
      <c r="EA150" s="517" t="s">
        <v>1101</v>
      </c>
      <c r="EB150" s="517" t="s">
        <v>26</v>
      </c>
      <c r="EC150" s="518">
        <v>17</v>
      </c>
      <c r="ED150" s="494" t="str">
        <f t="shared" si="7"/>
        <v>SWUC100217</v>
      </c>
      <c r="EE150" s="518">
        <v>47.7</v>
      </c>
      <c r="EF150" s="518">
        <v>2000</v>
      </c>
      <c r="EG150" s="518">
        <v>2000</v>
      </c>
      <c r="EH150" s="518">
        <v>2000</v>
      </c>
      <c r="EI150" s="518">
        <v>2000</v>
      </c>
      <c r="EJ150" s="518">
        <v>2000</v>
      </c>
      <c r="EK150" s="518">
        <v>2000</v>
      </c>
      <c r="EL150" s="518">
        <v>2000</v>
      </c>
      <c r="EM150" s="518">
        <v>2000</v>
      </c>
      <c r="EN150" s="518">
        <v>2000</v>
      </c>
      <c r="EO150" s="518">
        <v>0</v>
      </c>
      <c r="EP150" s="518">
        <v>0</v>
      </c>
      <c r="EQ150" s="518">
        <v>0</v>
      </c>
      <c r="ER150" s="518">
        <v>0</v>
      </c>
      <c r="ES150" s="518">
        <v>0</v>
      </c>
      <c r="ET150" s="518">
        <v>0</v>
      </c>
      <c r="EU150" s="518">
        <v>0</v>
      </c>
      <c r="EV150" s="518">
        <v>0</v>
      </c>
      <c r="EW150" s="518">
        <v>0</v>
      </c>
      <c r="EX150" s="518">
        <v>0</v>
      </c>
      <c r="EY150" s="518">
        <v>0</v>
      </c>
      <c r="EZ150" s="518">
        <v>0</v>
      </c>
      <c r="FA150" s="518">
        <v>0</v>
      </c>
      <c r="FB150" s="518">
        <v>0</v>
      </c>
      <c r="FC150" s="518">
        <v>0</v>
      </c>
      <c r="FD150" s="518">
        <v>0</v>
      </c>
      <c r="FE150" s="518">
        <v>0</v>
      </c>
      <c r="FF150" s="518">
        <v>0</v>
      </c>
      <c r="FG150" s="518">
        <v>0</v>
      </c>
      <c r="FH150" s="518">
        <v>0</v>
      </c>
      <c r="FI150" s="518">
        <v>0</v>
      </c>
      <c r="FJ150" s="518">
        <v>0</v>
      </c>
      <c r="FK150" s="518">
        <v>0</v>
      </c>
      <c r="FL150" s="518">
        <v>0</v>
      </c>
      <c r="FM150" s="518">
        <v>0</v>
      </c>
      <c r="FN150" s="518">
        <v>0</v>
      </c>
      <c r="FO150" s="518">
        <v>0</v>
      </c>
      <c r="FP150" s="518">
        <v>0</v>
      </c>
      <c r="FQ150" s="518">
        <v>0</v>
      </c>
      <c r="FR150" s="518">
        <v>0</v>
      </c>
      <c r="FS150" s="518">
        <v>0</v>
      </c>
      <c r="FT150" s="518">
        <v>0</v>
      </c>
      <c r="FU150" s="518">
        <v>0</v>
      </c>
      <c r="FV150" s="518">
        <v>0</v>
      </c>
      <c r="FW150" s="518">
        <v>0</v>
      </c>
      <c r="FX150" s="518">
        <v>0</v>
      </c>
      <c r="FY150" s="518">
        <v>0</v>
      </c>
      <c r="FZ150" s="518">
        <v>0</v>
      </c>
      <c r="GA150" s="518">
        <v>0</v>
      </c>
      <c r="GB150" s="518">
        <v>0</v>
      </c>
      <c r="GC150" s="518">
        <v>0</v>
      </c>
      <c r="GD150" s="518">
        <v>0</v>
      </c>
      <c r="GE150" s="518">
        <v>0</v>
      </c>
      <c r="GF150" s="518">
        <v>0</v>
      </c>
      <c r="GG150" s="518">
        <v>0</v>
      </c>
      <c r="GH150" s="518">
        <v>0</v>
      </c>
      <c r="GI150" s="518">
        <v>0</v>
      </c>
      <c r="GJ150" s="518">
        <v>0</v>
      </c>
      <c r="GK150" s="518">
        <v>0</v>
      </c>
      <c r="GL150" s="518">
        <v>0</v>
      </c>
      <c r="GM150" s="518">
        <v>0</v>
      </c>
      <c r="GN150" s="518">
        <v>0</v>
      </c>
      <c r="GO150" s="518">
        <v>0</v>
      </c>
      <c r="GP150" s="518">
        <v>0</v>
      </c>
      <c r="GQ150" s="518">
        <v>0</v>
      </c>
      <c r="GR150" s="518">
        <v>0</v>
      </c>
      <c r="GS150" s="518">
        <v>0</v>
      </c>
      <c r="GT150" s="518">
        <v>0</v>
      </c>
      <c r="GU150" s="518">
        <v>0</v>
      </c>
      <c r="GV150" s="518">
        <v>0</v>
      </c>
      <c r="GW150" s="518">
        <v>0</v>
      </c>
      <c r="GX150" s="518">
        <v>0</v>
      </c>
      <c r="GY150" s="518">
        <v>0</v>
      </c>
      <c r="GZ150" s="518">
        <v>0</v>
      </c>
      <c r="HA150" s="518">
        <v>0</v>
      </c>
      <c r="HB150" s="518">
        <v>0</v>
      </c>
      <c r="HC150" s="518">
        <v>0</v>
      </c>
      <c r="HD150" s="518">
        <v>0</v>
      </c>
      <c r="HE150" s="518">
        <v>0</v>
      </c>
      <c r="HF150" s="518">
        <v>0</v>
      </c>
      <c r="HG150" s="518">
        <v>0</v>
      </c>
      <c r="HH150" s="518">
        <v>0</v>
      </c>
      <c r="HI150" s="518">
        <v>0</v>
      </c>
      <c r="HJ150" s="518">
        <v>0</v>
      </c>
      <c r="HK150" s="518">
        <v>0</v>
      </c>
      <c r="HL150" s="518">
        <v>0</v>
      </c>
      <c r="HM150" s="518">
        <v>0</v>
      </c>
      <c r="HN150" s="518">
        <v>0</v>
      </c>
      <c r="HO150" s="518">
        <v>0</v>
      </c>
      <c r="HP150" s="518">
        <v>0</v>
      </c>
      <c r="HQ150" s="518">
        <v>0</v>
      </c>
      <c r="HR150" s="518">
        <v>0</v>
      </c>
      <c r="HS150" s="518">
        <v>0</v>
      </c>
      <c r="HT150" s="518">
        <v>0</v>
      </c>
      <c r="HU150" s="518">
        <v>0</v>
      </c>
      <c r="HV150" s="518">
        <v>0</v>
      </c>
      <c r="HW150" s="518">
        <v>0</v>
      </c>
      <c r="HX150" s="518">
        <v>0</v>
      </c>
      <c r="HY150" s="518">
        <v>0</v>
      </c>
      <c r="HZ150" s="518">
        <v>0</v>
      </c>
      <c r="IA150" s="518">
        <v>0</v>
      </c>
      <c r="IB150" s="518">
        <v>0</v>
      </c>
      <c r="IC150" s="518">
        <v>0</v>
      </c>
      <c r="ID150" s="518">
        <v>0</v>
      </c>
      <c r="IE150" s="518">
        <v>0</v>
      </c>
      <c r="IF150" s="518">
        <v>0</v>
      </c>
      <c r="IG150" s="518">
        <v>0</v>
      </c>
      <c r="IH150" s="518">
        <v>0</v>
      </c>
      <c r="II150" s="518">
        <v>0</v>
      </c>
      <c r="IJ150" s="518">
        <v>0</v>
      </c>
      <c r="IK150" s="518">
        <v>0</v>
      </c>
    </row>
    <row r="151" spans="1:245" ht="16.5" hidden="1">
      <c r="A151" s="517"/>
      <c r="B151" s="517"/>
      <c r="C151" s="517"/>
      <c r="D151" s="517"/>
      <c r="E151" s="517"/>
      <c r="F151" s="517"/>
      <c r="G151" s="558"/>
      <c r="H151" s="518"/>
      <c r="I151" s="558"/>
      <c r="J151" s="494"/>
      <c r="K151" s="518"/>
      <c r="M151" s="517" t="s">
        <v>721</v>
      </c>
      <c r="N151" s="517" t="s">
        <v>1101</v>
      </c>
      <c r="O151" s="517" t="s">
        <v>26</v>
      </c>
      <c r="P151" s="518">
        <v>18</v>
      </c>
      <c r="Q151" s="494" t="str">
        <f t="shared" si="6"/>
        <v>SWUC100218</v>
      </c>
      <c r="R151" s="518">
        <v>51.9</v>
      </c>
      <c r="S151" s="518">
        <v>10000</v>
      </c>
      <c r="T151" s="518">
        <v>10000</v>
      </c>
      <c r="U151" s="518">
        <v>10000</v>
      </c>
      <c r="V151" s="518">
        <v>10000</v>
      </c>
      <c r="W151" s="518">
        <v>10000</v>
      </c>
      <c r="X151" s="518">
        <v>10000</v>
      </c>
      <c r="Y151" s="518">
        <v>10000</v>
      </c>
      <c r="Z151" s="518">
        <v>10000</v>
      </c>
      <c r="AA151" s="518">
        <v>10000</v>
      </c>
      <c r="AB151" s="518">
        <v>0</v>
      </c>
      <c r="AC151" s="518">
        <v>0</v>
      </c>
      <c r="AD151" s="518">
        <v>0</v>
      </c>
      <c r="AE151" s="518">
        <v>0</v>
      </c>
      <c r="AF151" s="518">
        <v>0</v>
      </c>
      <c r="AG151" s="518">
        <v>0</v>
      </c>
      <c r="AH151" s="518">
        <v>0</v>
      </c>
      <c r="AI151" s="518">
        <v>0</v>
      </c>
      <c r="AJ151" s="518">
        <v>0</v>
      </c>
      <c r="AK151" s="518">
        <v>0</v>
      </c>
      <c r="AL151" s="518">
        <v>0</v>
      </c>
      <c r="AM151" s="518">
        <v>0</v>
      </c>
      <c r="AN151" s="518">
        <v>0</v>
      </c>
      <c r="AO151" s="518">
        <v>0</v>
      </c>
      <c r="AP151" s="518">
        <v>0</v>
      </c>
      <c r="AQ151" s="518">
        <v>0</v>
      </c>
      <c r="AR151" s="518">
        <v>0</v>
      </c>
      <c r="AS151" s="518">
        <v>0</v>
      </c>
      <c r="AT151" s="518">
        <v>0</v>
      </c>
      <c r="AU151" s="518">
        <v>0</v>
      </c>
      <c r="AV151" s="518">
        <v>0</v>
      </c>
      <c r="AW151" s="518">
        <v>0</v>
      </c>
      <c r="AX151" s="518">
        <v>0</v>
      </c>
      <c r="AY151" s="518">
        <v>0</v>
      </c>
      <c r="AZ151" s="518">
        <v>0</v>
      </c>
      <c r="BA151" s="518">
        <v>0</v>
      </c>
      <c r="BB151" s="518">
        <v>0</v>
      </c>
      <c r="BC151" s="518">
        <v>0</v>
      </c>
      <c r="BD151" s="518">
        <v>0</v>
      </c>
      <c r="BE151" s="518">
        <v>0</v>
      </c>
      <c r="BF151" s="518">
        <v>0</v>
      </c>
      <c r="BG151" s="518">
        <v>0</v>
      </c>
      <c r="BH151" s="518">
        <v>0</v>
      </c>
      <c r="BI151" s="518">
        <v>0</v>
      </c>
      <c r="BJ151" s="518">
        <v>0</v>
      </c>
      <c r="BK151" s="518">
        <v>0</v>
      </c>
      <c r="BL151" s="518">
        <v>0</v>
      </c>
      <c r="BM151" s="518">
        <v>0</v>
      </c>
      <c r="BN151" s="518">
        <v>0</v>
      </c>
      <c r="BO151" s="518">
        <v>0</v>
      </c>
      <c r="BP151" s="518">
        <v>0</v>
      </c>
      <c r="BQ151" s="518">
        <v>0</v>
      </c>
      <c r="BR151" s="518">
        <v>0</v>
      </c>
      <c r="BS151" s="518">
        <v>0</v>
      </c>
      <c r="BT151" s="518">
        <v>0</v>
      </c>
      <c r="BU151" s="518">
        <v>0</v>
      </c>
      <c r="BV151" s="518">
        <v>0</v>
      </c>
      <c r="BW151" s="518">
        <v>0</v>
      </c>
      <c r="BX151" s="518">
        <v>0</v>
      </c>
      <c r="BY151" s="518">
        <v>0</v>
      </c>
      <c r="BZ151" s="518">
        <v>0</v>
      </c>
      <c r="CA151" s="518">
        <v>0</v>
      </c>
      <c r="CB151" s="518">
        <v>0</v>
      </c>
      <c r="CC151" s="518">
        <v>0</v>
      </c>
      <c r="CD151" s="518">
        <v>0</v>
      </c>
      <c r="CE151" s="518">
        <v>0</v>
      </c>
      <c r="CF151" s="518">
        <v>0</v>
      </c>
      <c r="CG151" s="518">
        <v>0</v>
      </c>
      <c r="CH151" s="518">
        <v>0</v>
      </c>
      <c r="CI151" s="518">
        <v>0</v>
      </c>
      <c r="CJ151" s="518">
        <v>0</v>
      </c>
      <c r="CK151" s="518">
        <v>0</v>
      </c>
      <c r="CL151" s="518">
        <v>0</v>
      </c>
      <c r="CM151" s="518">
        <v>0</v>
      </c>
      <c r="CN151" s="518">
        <v>0</v>
      </c>
      <c r="CO151" s="518">
        <v>0</v>
      </c>
      <c r="CP151" s="518">
        <v>0</v>
      </c>
      <c r="CQ151" s="518">
        <v>0</v>
      </c>
      <c r="CR151" s="518">
        <v>0</v>
      </c>
      <c r="CS151" s="518">
        <v>0</v>
      </c>
      <c r="CT151" s="518">
        <v>0</v>
      </c>
      <c r="CU151" s="518">
        <v>0</v>
      </c>
      <c r="CV151" s="518">
        <v>0</v>
      </c>
      <c r="CW151" s="518">
        <v>0</v>
      </c>
      <c r="CX151" s="518">
        <v>0</v>
      </c>
      <c r="CY151" s="518">
        <v>0</v>
      </c>
      <c r="CZ151" s="518">
        <v>0</v>
      </c>
      <c r="DA151" s="518">
        <v>0</v>
      </c>
      <c r="DB151" s="518">
        <v>0</v>
      </c>
      <c r="DC151" s="518">
        <v>0</v>
      </c>
      <c r="DD151" s="518">
        <v>0</v>
      </c>
      <c r="DE151" s="518">
        <v>0</v>
      </c>
      <c r="DF151" s="518">
        <v>0</v>
      </c>
      <c r="DG151" s="518">
        <v>0</v>
      </c>
      <c r="DH151" s="518">
        <v>0</v>
      </c>
      <c r="DI151" s="518">
        <v>0</v>
      </c>
      <c r="DJ151" s="518">
        <v>0</v>
      </c>
      <c r="DK151" s="518">
        <v>0</v>
      </c>
      <c r="DL151" s="518">
        <v>0</v>
      </c>
      <c r="DM151" s="518">
        <v>0</v>
      </c>
      <c r="DN151" s="518">
        <v>0</v>
      </c>
      <c r="DO151" s="518">
        <v>0</v>
      </c>
      <c r="DP151" s="518">
        <v>0</v>
      </c>
      <c r="DQ151" s="518">
        <v>0</v>
      </c>
      <c r="DR151" s="518">
        <v>0</v>
      </c>
      <c r="DS151" s="518">
        <v>0</v>
      </c>
      <c r="DT151" s="518">
        <v>0</v>
      </c>
      <c r="DU151" s="518">
        <v>0</v>
      </c>
      <c r="DV151" s="518">
        <v>0</v>
      </c>
      <c r="DW151" s="518">
        <v>0</v>
      </c>
      <c r="DX151" s="518">
        <v>0</v>
      </c>
      <c r="DZ151" s="517" t="s">
        <v>721</v>
      </c>
      <c r="EA151" s="517" t="s">
        <v>1101</v>
      </c>
      <c r="EB151" s="517" t="s">
        <v>26</v>
      </c>
      <c r="EC151" s="518">
        <v>18</v>
      </c>
      <c r="ED151" s="494" t="str">
        <f t="shared" si="7"/>
        <v>SWUC100218</v>
      </c>
      <c r="EE151" s="518">
        <v>51.9</v>
      </c>
      <c r="EF151" s="518">
        <v>2000</v>
      </c>
      <c r="EG151" s="518">
        <v>2000</v>
      </c>
      <c r="EH151" s="518">
        <v>2000</v>
      </c>
      <c r="EI151" s="518">
        <v>2000</v>
      </c>
      <c r="EJ151" s="518">
        <v>2000</v>
      </c>
      <c r="EK151" s="518">
        <v>2000</v>
      </c>
      <c r="EL151" s="518">
        <v>2000</v>
      </c>
      <c r="EM151" s="518">
        <v>2000</v>
      </c>
      <c r="EN151" s="518">
        <v>2000</v>
      </c>
      <c r="EO151" s="518">
        <v>0</v>
      </c>
      <c r="EP151" s="518">
        <v>0</v>
      </c>
      <c r="EQ151" s="518">
        <v>0</v>
      </c>
      <c r="ER151" s="518">
        <v>0</v>
      </c>
      <c r="ES151" s="518">
        <v>0</v>
      </c>
      <c r="ET151" s="518">
        <v>0</v>
      </c>
      <c r="EU151" s="518">
        <v>0</v>
      </c>
      <c r="EV151" s="518">
        <v>0</v>
      </c>
      <c r="EW151" s="518">
        <v>0</v>
      </c>
      <c r="EX151" s="518">
        <v>0</v>
      </c>
      <c r="EY151" s="518">
        <v>0</v>
      </c>
      <c r="EZ151" s="518">
        <v>0</v>
      </c>
      <c r="FA151" s="518">
        <v>0</v>
      </c>
      <c r="FB151" s="518">
        <v>0</v>
      </c>
      <c r="FC151" s="518">
        <v>0</v>
      </c>
      <c r="FD151" s="518">
        <v>0</v>
      </c>
      <c r="FE151" s="518">
        <v>0</v>
      </c>
      <c r="FF151" s="518">
        <v>0</v>
      </c>
      <c r="FG151" s="518">
        <v>0</v>
      </c>
      <c r="FH151" s="518">
        <v>0</v>
      </c>
      <c r="FI151" s="518">
        <v>0</v>
      </c>
      <c r="FJ151" s="518">
        <v>0</v>
      </c>
      <c r="FK151" s="518">
        <v>0</v>
      </c>
      <c r="FL151" s="518">
        <v>0</v>
      </c>
      <c r="FM151" s="518">
        <v>0</v>
      </c>
      <c r="FN151" s="518">
        <v>0</v>
      </c>
      <c r="FO151" s="518">
        <v>0</v>
      </c>
      <c r="FP151" s="518">
        <v>0</v>
      </c>
      <c r="FQ151" s="518">
        <v>0</v>
      </c>
      <c r="FR151" s="518">
        <v>0</v>
      </c>
      <c r="FS151" s="518">
        <v>0</v>
      </c>
      <c r="FT151" s="518">
        <v>0</v>
      </c>
      <c r="FU151" s="518">
        <v>0</v>
      </c>
      <c r="FV151" s="518">
        <v>0</v>
      </c>
      <c r="FW151" s="518">
        <v>0</v>
      </c>
      <c r="FX151" s="518">
        <v>0</v>
      </c>
      <c r="FY151" s="518">
        <v>0</v>
      </c>
      <c r="FZ151" s="518">
        <v>0</v>
      </c>
      <c r="GA151" s="518">
        <v>0</v>
      </c>
      <c r="GB151" s="518">
        <v>0</v>
      </c>
      <c r="GC151" s="518">
        <v>0</v>
      </c>
      <c r="GD151" s="518">
        <v>0</v>
      </c>
      <c r="GE151" s="518">
        <v>0</v>
      </c>
      <c r="GF151" s="518">
        <v>0</v>
      </c>
      <c r="GG151" s="518">
        <v>0</v>
      </c>
      <c r="GH151" s="518">
        <v>0</v>
      </c>
      <c r="GI151" s="518">
        <v>0</v>
      </c>
      <c r="GJ151" s="518">
        <v>0</v>
      </c>
      <c r="GK151" s="518">
        <v>0</v>
      </c>
      <c r="GL151" s="518">
        <v>0</v>
      </c>
      <c r="GM151" s="518">
        <v>0</v>
      </c>
      <c r="GN151" s="518">
        <v>0</v>
      </c>
      <c r="GO151" s="518">
        <v>0</v>
      </c>
      <c r="GP151" s="518">
        <v>0</v>
      </c>
      <c r="GQ151" s="518">
        <v>0</v>
      </c>
      <c r="GR151" s="518">
        <v>0</v>
      </c>
      <c r="GS151" s="518">
        <v>0</v>
      </c>
      <c r="GT151" s="518">
        <v>0</v>
      </c>
      <c r="GU151" s="518">
        <v>0</v>
      </c>
      <c r="GV151" s="518">
        <v>0</v>
      </c>
      <c r="GW151" s="518">
        <v>0</v>
      </c>
      <c r="GX151" s="518">
        <v>0</v>
      </c>
      <c r="GY151" s="518">
        <v>0</v>
      </c>
      <c r="GZ151" s="518">
        <v>0</v>
      </c>
      <c r="HA151" s="518">
        <v>0</v>
      </c>
      <c r="HB151" s="518">
        <v>0</v>
      </c>
      <c r="HC151" s="518">
        <v>0</v>
      </c>
      <c r="HD151" s="518">
        <v>0</v>
      </c>
      <c r="HE151" s="518">
        <v>0</v>
      </c>
      <c r="HF151" s="518">
        <v>0</v>
      </c>
      <c r="HG151" s="518">
        <v>0</v>
      </c>
      <c r="HH151" s="518">
        <v>0</v>
      </c>
      <c r="HI151" s="518">
        <v>0</v>
      </c>
      <c r="HJ151" s="518">
        <v>0</v>
      </c>
      <c r="HK151" s="518">
        <v>0</v>
      </c>
      <c r="HL151" s="518">
        <v>0</v>
      </c>
      <c r="HM151" s="518">
        <v>0</v>
      </c>
      <c r="HN151" s="518">
        <v>0</v>
      </c>
      <c r="HO151" s="518">
        <v>0</v>
      </c>
      <c r="HP151" s="518">
        <v>0</v>
      </c>
      <c r="HQ151" s="518">
        <v>0</v>
      </c>
      <c r="HR151" s="518">
        <v>0</v>
      </c>
      <c r="HS151" s="518">
        <v>0</v>
      </c>
      <c r="HT151" s="518">
        <v>0</v>
      </c>
      <c r="HU151" s="518">
        <v>0</v>
      </c>
      <c r="HV151" s="518">
        <v>0</v>
      </c>
      <c r="HW151" s="518">
        <v>0</v>
      </c>
      <c r="HX151" s="518">
        <v>0</v>
      </c>
      <c r="HY151" s="518">
        <v>0</v>
      </c>
      <c r="HZ151" s="518">
        <v>0</v>
      </c>
      <c r="IA151" s="518">
        <v>0</v>
      </c>
      <c r="IB151" s="518">
        <v>0</v>
      </c>
      <c r="IC151" s="518">
        <v>0</v>
      </c>
      <c r="ID151" s="518">
        <v>0</v>
      </c>
      <c r="IE151" s="518">
        <v>0</v>
      </c>
      <c r="IF151" s="518">
        <v>0</v>
      </c>
      <c r="IG151" s="518">
        <v>0</v>
      </c>
      <c r="IH151" s="518">
        <v>0</v>
      </c>
      <c r="II151" s="518">
        <v>0</v>
      </c>
      <c r="IJ151" s="518">
        <v>0</v>
      </c>
      <c r="IK151" s="518">
        <v>0</v>
      </c>
    </row>
    <row r="152" spans="1:245" ht="16.5" hidden="1">
      <c r="A152" s="517"/>
      <c r="B152" s="517"/>
      <c r="C152" s="517"/>
      <c r="D152" s="517"/>
      <c r="E152" s="517"/>
      <c r="F152" s="517"/>
      <c r="G152" s="558"/>
      <c r="H152" s="518"/>
      <c r="I152" s="558"/>
      <c r="J152" s="494"/>
      <c r="K152" s="518"/>
      <c r="M152" s="517" t="s">
        <v>721</v>
      </c>
      <c r="N152" s="517" t="s">
        <v>1101</v>
      </c>
      <c r="O152" s="517" t="s">
        <v>26</v>
      </c>
      <c r="P152" s="518">
        <v>19</v>
      </c>
      <c r="Q152" s="494" t="str">
        <f t="shared" si="6"/>
        <v>SWUC100219</v>
      </c>
      <c r="R152" s="518">
        <v>56.2</v>
      </c>
      <c r="S152" s="518">
        <v>10000</v>
      </c>
      <c r="T152" s="518">
        <v>10000</v>
      </c>
      <c r="U152" s="518">
        <v>10000</v>
      </c>
      <c r="V152" s="518">
        <v>10000</v>
      </c>
      <c r="W152" s="518">
        <v>10000</v>
      </c>
      <c r="X152" s="518">
        <v>10000</v>
      </c>
      <c r="Y152" s="518">
        <v>10000</v>
      </c>
      <c r="Z152" s="518">
        <v>10000</v>
      </c>
      <c r="AA152" s="518">
        <v>10000</v>
      </c>
      <c r="AB152" s="518">
        <v>0</v>
      </c>
      <c r="AC152" s="518">
        <v>0</v>
      </c>
      <c r="AD152" s="518">
        <v>0</v>
      </c>
      <c r="AE152" s="518">
        <v>0</v>
      </c>
      <c r="AF152" s="518">
        <v>0</v>
      </c>
      <c r="AG152" s="518">
        <v>0</v>
      </c>
      <c r="AH152" s="518">
        <v>0</v>
      </c>
      <c r="AI152" s="518">
        <v>0</v>
      </c>
      <c r="AJ152" s="518">
        <v>0</v>
      </c>
      <c r="AK152" s="518">
        <v>0</v>
      </c>
      <c r="AL152" s="518">
        <v>0</v>
      </c>
      <c r="AM152" s="518">
        <v>0</v>
      </c>
      <c r="AN152" s="518">
        <v>0</v>
      </c>
      <c r="AO152" s="518">
        <v>0</v>
      </c>
      <c r="AP152" s="518">
        <v>0</v>
      </c>
      <c r="AQ152" s="518">
        <v>0</v>
      </c>
      <c r="AR152" s="518">
        <v>0</v>
      </c>
      <c r="AS152" s="518">
        <v>0</v>
      </c>
      <c r="AT152" s="518">
        <v>0</v>
      </c>
      <c r="AU152" s="518">
        <v>0</v>
      </c>
      <c r="AV152" s="518">
        <v>0</v>
      </c>
      <c r="AW152" s="518">
        <v>0</v>
      </c>
      <c r="AX152" s="518">
        <v>0</v>
      </c>
      <c r="AY152" s="518">
        <v>0</v>
      </c>
      <c r="AZ152" s="518">
        <v>0</v>
      </c>
      <c r="BA152" s="518">
        <v>0</v>
      </c>
      <c r="BB152" s="518">
        <v>0</v>
      </c>
      <c r="BC152" s="518">
        <v>0</v>
      </c>
      <c r="BD152" s="518">
        <v>0</v>
      </c>
      <c r="BE152" s="518">
        <v>0</v>
      </c>
      <c r="BF152" s="518">
        <v>0</v>
      </c>
      <c r="BG152" s="518">
        <v>0</v>
      </c>
      <c r="BH152" s="518">
        <v>0</v>
      </c>
      <c r="BI152" s="518">
        <v>0</v>
      </c>
      <c r="BJ152" s="518">
        <v>0</v>
      </c>
      <c r="BK152" s="518">
        <v>0</v>
      </c>
      <c r="BL152" s="518">
        <v>0</v>
      </c>
      <c r="BM152" s="518">
        <v>0</v>
      </c>
      <c r="BN152" s="518">
        <v>0</v>
      </c>
      <c r="BO152" s="518">
        <v>0</v>
      </c>
      <c r="BP152" s="518">
        <v>0</v>
      </c>
      <c r="BQ152" s="518">
        <v>0</v>
      </c>
      <c r="BR152" s="518">
        <v>0</v>
      </c>
      <c r="BS152" s="518">
        <v>0</v>
      </c>
      <c r="BT152" s="518">
        <v>0</v>
      </c>
      <c r="BU152" s="518">
        <v>0</v>
      </c>
      <c r="BV152" s="518">
        <v>0</v>
      </c>
      <c r="BW152" s="518">
        <v>0</v>
      </c>
      <c r="BX152" s="518">
        <v>0</v>
      </c>
      <c r="BY152" s="518">
        <v>0</v>
      </c>
      <c r="BZ152" s="518">
        <v>0</v>
      </c>
      <c r="CA152" s="518">
        <v>0</v>
      </c>
      <c r="CB152" s="518">
        <v>0</v>
      </c>
      <c r="CC152" s="518">
        <v>0</v>
      </c>
      <c r="CD152" s="518">
        <v>0</v>
      </c>
      <c r="CE152" s="518">
        <v>0</v>
      </c>
      <c r="CF152" s="518">
        <v>0</v>
      </c>
      <c r="CG152" s="518">
        <v>0</v>
      </c>
      <c r="CH152" s="518">
        <v>0</v>
      </c>
      <c r="CI152" s="518">
        <v>0</v>
      </c>
      <c r="CJ152" s="518">
        <v>0</v>
      </c>
      <c r="CK152" s="518">
        <v>0</v>
      </c>
      <c r="CL152" s="518">
        <v>0</v>
      </c>
      <c r="CM152" s="518">
        <v>0</v>
      </c>
      <c r="CN152" s="518">
        <v>0</v>
      </c>
      <c r="CO152" s="518">
        <v>0</v>
      </c>
      <c r="CP152" s="518">
        <v>0</v>
      </c>
      <c r="CQ152" s="518">
        <v>0</v>
      </c>
      <c r="CR152" s="518">
        <v>0</v>
      </c>
      <c r="CS152" s="518">
        <v>0</v>
      </c>
      <c r="CT152" s="518">
        <v>0</v>
      </c>
      <c r="CU152" s="518">
        <v>0</v>
      </c>
      <c r="CV152" s="518">
        <v>0</v>
      </c>
      <c r="CW152" s="518">
        <v>0</v>
      </c>
      <c r="CX152" s="518">
        <v>0</v>
      </c>
      <c r="CY152" s="518">
        <v>0</v>
      </c>
      <c r="CZ152" s="518">
        <v>0</v>
      </c>
      <c r="DA152" s="518">
        <v>0</v>
      </c>
      <c r="DB152" s="518">
        <v>0</v>
      </c>
      <c r="DC152" s="518">
        <v>0</v>
      </c>
      <c r="DD152" s="518">
        <v>0</v>
      </c>
      <c r="DE152" s="518">
        <v>0</v>
      </c>
      <c r="DF152" s="518">
        <v>0</v>
      </c>
      <c r="DG152" s="518">
        <v>0</v>
      </c>
      <c r="DH152" s="518">
        <v>0</v>
      </c>
      <c r="DI152" s="518">
        <v>0</v>
      </c>
      <c r="DJ152" s="518">
        <v>0</v>
      </c>
      <c r="DK152" s="518">
        <v>0</v>
      </c>
      <c r="DL152" s="518">
        <v>0</v>
      </c>
      <c r="DM152" s="518">
        <v>0</v>
      </c>
      <c r="DN152" s="518">
        <v>0</v>
      </c>
      <c r="DO152" s="518">
        <v>0</v>
      </c>
      <c r="DP152" s="518">
        <v>0</v>
      </c>
      <c r="DQ152" s="518">
        <v>0</v>
      </c>
      <c r="DR152" s="518">
        <v>0</v>
      </c>
      <c r="DS152" s="518">
        <v>0</v>
      </c>
      <c r="DT152" s="518">
        <v>0</v>
      </c>
      <c r="DU152" s="518">
        <v>0</v>
      </c>
      <c r="DV152" s="518">
        <v>0</v>
      </c>
      <c r="DW152" s="518">
        <v>0</v>
      </c>
      <c r="DX152" s="518">
        <v>0</v>
      </c>
      <c r="DZ152" s="517" t="s">
        <v>721</v>
      </c>
      <c r="EA152" s="517" t="s">
        <v>1101</v>
      </c>
      <c r="EB152" s="517" t="s">
        <v>26</v>
      </c>
      <c r="EC152" s="518">
        <v>19</v>
      </c>
      <c r="ED152" s="494" t="str">
        <f t="shared" si="7"/>
        <v>SWUC100219</v>
      </c>
      <c r="EE152" s="518">
        <v>56.2</v>
      </c>
      <c r="EF152" s="518">
        <v>2000</v>
      </c>
      <c r="EG152" s="518">
        <v>2000</v>
      </c>
      <c r="EH152" s="518">
        <v>2000</v>
      </c>
      <c r="EI152" s="518">
        <v>2000</v>
      </c>
      <c r="EJ152" s="518">
        <v>2000</v>
      </c>
      <c r="EK152" s="518">
        <v>2000</v>
      </c>
      <c r="EL152" s="518">
        <v>2000</v>
      </c>
      <c r="EM152" s="518">
        <v>2000</v>
      </c>
      <c r="EN152" s="518">
        <v>2000</v>
      </c>
      <c r="EO152" s="518">
        <v>0</v>
      </c>
      <c r="EP152" s="518">
        <v>0</v>
      </c>
      <c r="EQ152" s="518">
        <v>0</v>
      </c>
      <c r="ER152" s="518">
        <v>0</v>
      </c>
      <c r="ES152" s="518">
        <v>0</v>
      </c>
      <c r="ET152" s="518">
        <v>0</v>
      </c>
      <c r="EU152" s="518">
        <v>0</v>
      </c>
      <c r="EV152" s="518">
        <v>0</v>
      </c>
      <c r="EW152" s="518">
        <v>0</v>
      </c>
      <c r="EX152" s="518">
        <v>0</v>
      </c>
      <c r="EY152" s="518">
        <v>0</v>
      </c>
      <c r="EZ152" s="518">
        <v>0</v>
      </c>
      <c r="FA152" s="518">
        <v>0</v>
      </c>
      <c r="FB152" s="518">
        <v>0</v>
      </c>
      <c r="FC152" s="518">
        <v>0</v>
      </c>
      <c r="FD152" s="518">
        <v>0</v>
      </c>
      <c r="FE152" s="518">
        <v>0</v>
      </c>
      <c r="FF152" s="518">
        <v>0</v>
      </c>
      <c r="FG152" s="518">
        <v>0</v>
      </c>
      <c r="FH152" s="518">
        <v>0</v>
      </c>
      <c r="FI152" s="518">
        <v>0</v>
      </c>
      <c r="FJ152" s="518">
        <v>0</v>
      </c>
      <c r="FK152" s="518">
        <v>0</v>
      </c>
      <c r="FL152" s="518">
        <v>0</v>
      </c>
      <c r="FM152" s="518">
        <v>0</v>
      </c>
      <c r="FN152" s="518">
        <v>0</v>
      </c>
      <c r="FO152" s="518">
        <v>0</v>
      </c>
      <c r="FP152" s="518">
        <v>0</v>
      </c>
      <c r="FQ152" s="518">
        <v>0</v>
      </c>
      <c r="FR152" s="518">
        <v>0</v>
      </c>
      <c r="FS152" s="518">
        <v>0</v>
      </c>
      <c r="FT152" s="518">
        <v>0</v>
      </c>
      <c r="FU152" s="518">
        <v>0</v>
      </c>
      <c r="FV152" s="518">
        <v>0</v>
      </c>
      <c r="FW152" s="518">
        <v>0</v>
      </c>
      <c r="FX152" s="518">
        <v>0</v>
      </c>
      <c r="FY152" s="518">
        <v>0</v>
      </c>
      <c r="FZ152" s="518">
        <v>0</v>
      </c>
      <c r="GA152" s="518">
        <v>0</v>
      </c>
      <c r="GB152" s="518">
        <v>0</v>
      </c>
      <c r="GC152" s="518">
        <v>0</v>
      </c>
      <c r="GD152" s="518">
        <v>0</v>
      </c>
      <c r="GE152" s="518">
        <v>0</v>
      </c>
      <c r="GF152" s="518">
        <v>0</v>
      </c>
      <c r="GG152" s="518">
        <v>0</v>
      </c>
      <c r="GH152" s="518">
        <v>0</v>
      </c>
      <c r="GI152" s="518">
        <v>0</v>
      </c>
      <c r="GJ152" s="518">
        <v>0</v>
      </c>
      <c r="GK152" s="518">
        <v>0</v>
      </c>
      <c r="GL152" s="518">
        <v>0</v>
      </c>
      <c r="GM152" s="518">
        <v>0</v>
      </c>
      <c r="GN152" s="518">
        <v>0</v>
      </c>
      <c r="GO152" s="518">
        <v>0</v>
      </c>
      <c r="GP152" s="518">
        <v>0</v>
      </c>
      <c r="GQ152" s="518">
        <v>0</v>
      </c>
      <c r="GR152" s="518">
        <v>0</v>
      </c>
      <c r="GS152" s="518">
        <v>0</v>
      </c>
      <c r="GT152" s="518">
        <v>0</v>
      </c>
      <c r="GU152" s="518">
        <v>0</v>
      </c>
      <c r="GV152" s="518">
        <v>0</v>
      </c>
      <c r="GW152" s="518">
        <v>0</v>
      </c>
      <c r="GX152" s="518">
        <v>0</v>
      </c>
      <c r="GY152" s="518">
        <v>0</v>
      </c>
      <c r="GZ152" s="518">
        <v>0</v>
      </c>
      <c r="HA152" s="518">
        <v>0</v>
      </c>
      <c r="HB152" s="518">
        <v>0</v>
      </c>
      <c r="HC152" s="518">
        <v>0</v>
      </c>
      <c r="HD152" s="518">
        <v>0</v>
      </c>
      <c r="HE152" s="518">
        <v>0</v>
      </c>
      <c r="HF152" s="518">
        <v>0</v>
      </c>
      <c r="HG152" s="518">
        <v>0</v>
      </c>
      <c r="HH152" s="518">
        <v>0</v>
      </c>
      <c r="HI152" s="518">
        <v>0</v>
      </c>
      <c r="HJ152" s="518">
        <v>0</v>
      </c>
      <c r="HK152" s="518">
        <v>0</v>
      </c>
      <c r="HL152" s="518">
        <v>0</v>
      </c>
      <c r="HM152" s="518">
        <v>0</v>
      </c>
      <c r="HN152" s="518">
        <v>0</v>
      </c>
      <c r="HO152" s="518">
        <v>0</v>
      </c>
      <c r="HP152" s="518">
        <v>0</v>
      </c>
      <c r="HQ152" s="518">
        <v>0</v>
      </c>
      <c r="HR152" s="518">
        <v>0</v>
      </c>
      <c r="HS152" s="518">
        <v>0</v>
      </c>
      <c r="HT152" s="518">
        <v>0</v>
      </c>
      <c r="HU152" s="518">
        <v>0</v>
      </c>
      <c r="HV152" s="518">
        <v>0</v>
      </c>
      <c r="HW152" s="518">
        <v>0</v>
      </c>
      <c r="HX152" s="518">
        <v>0</v>
      </c>
      <c r="HY152" s="518">
        <v>0</v>
      </c>
      <c r="HZ152" s="518">
        <v>0</v>
      </c>
      <c r="IA152" s="518">
        <v>0</v>
      </c>
      <c r="IB152" s="518">
        <v>0</v>
      </c>
      <c r="IC152" s="518">
        <v>0</v>
      </c>
      <c r="ID152" s="518">
        <v>0</v>
      </c>
      <c r="IE152" s="518">
        <v>0</v>
      </c>
      <c r="IF152" s="518">
        <v>0</v>
      </c>
      <c r="IG152" s="518">
        <v>0</v>
      </c>
      <c r="IH152" s="518">
        <v>0</v>
      </c>
      <c r="II152" s="518">
        <v>0</v>
      </c>
      <c r="IJ152" s="518">
        <v>0</v>
      </c>
      <c r="IK152" s="518">
        <v>0</v>
      </c>
    </row>
    <row r="153" spans="1:245" ht="16.5" hidden="1">
      <c r="A153" s="517"/>
      <c r="B153" s="517"/>
      <c r="C153" s="517"/>
      <c r="D153" s="517"/>
      <c r="E153" s="517"/>
      <c r="F153" s="517"/>
      <c r="G153" s="558"/>
      <c r="H153" s="518"/>
      <c r="I153" s="558"/>
      <c r="J153" s="494"/>
      <c r="K153" s="518"/>
      <c r="M153" s="517" t="s">
        <v>721</v>
      </c>
      <c r="N153" s="517" t="s">
        <v>1101</v>
      </c>
      <c r="O153" s="517" t="s">
        <v>26</v>
      </c>
      <c r="P153" s="518">
        <v>20</v>
      </c>
      <c r="Q153" s="494" t="str">
        <f t="shared" si="6"/>
        <v>SWUC100220</v>
      </c>
      <c r="R153" s="518">
        <v>60.4</v>
      </c>
      <c r="S153" s="518">
        <v>10000</v>
      </c>
      <c r="T153" s="518">
        <v>10000</v>
      </c>
      <c r="U153" s="518">
        <v>10000</v>
      </c>
      <c r="V153" s="518">
        <v>10000</v>
      </c>
      <c r="W153" s="518">
        <v>10000</v>
      </c>
      <c r="X153" s="518">
        <v>10000</v>
      </c>
      <c r="Y153" s="518">
        <v>10000</v>
      </c>
      <c r="Z153" s="518">
        <v>10000</v>
      </c>
      <c r="AA153" s="518">
        <v>10000</v>
      </c>
      <c r="AB153" s="518">
        <v>0</v>
      </c>
      <c r="AC153" s="518">
        <v>0</v>
      </c>
      <c r="AD153" s="518">
        <v>0</v>
      </c>
      <c r="AE153" s="518">
        <v>0</v>
      </c>
      <c r="AF153" s="518">
        <v>0</v>
      </c>
      <c r="AG153" s="518">
        <v>0</v>
      </c>
      <c r="AH153" s="518">
        <v>0</v>
      </c>
      <c r="AI153" s="518">
        <v>0</v>
      </c>
      <c r="AJ153" s="518">
        <v>0</v>
      </c>
      <c r="AK153" s="518">
        <v>0</v>
      </c>
      <c r="AL153" s="518">
        <v>0</v>
      </c>
      <c r="AM153" s="518">
        <v>0</v>
      </c>
      <c r="AN153" s="518">
        <v>0</v>
      </c>
      <c r="AO153" s="518">
        <v>0</v>
      </c>
      <c r="AP153" s="518">
        <v>0</v>
      </c>
      <c r="AQ153" s="518">
        <v>0</v>
      </c>
      <c r="AR153" s="518">
        <v>0</v>
      </c>
      <c r="AS153" s="518">
        <v>0</v>
      </c>
      <c r="AT153" s="518">
        <v>0</v>
      </c>
      <c r="AU153" s="518">
        <v>0</v>
      </c>
      <c r="AV153" s="518">
        <v>0</v>
      </c>
      <c r="AW153" s="518">
        <v>0</v>
      </c>
      <c r="AX153" s="518">
        <v>0</v>
      </c>
      <c r="AY153" s="518">
        <v>0</v>
      </c>
      <c r="AZ153" s="518">
        <v>0</v>
      </c>
      <c r="BA153" s="518">
        <v>0</v>
      </c>
      <c r="BB153" s="518">
        <v>0</v>
      </c>
      <c r="BC153" s="518">
        <v>0</v>
      </c>
      <c r="BD153" s="518">
        <v>0</v>
      </c>
      <c r="BE153" s="518">
        <v>0</v>
      </c>
      <c r="BF153" s="518">
        <v>0</v>
      </c>
      <c r="BG153" s="518">
        <v>0</v>
      </c>
      <c r="BH153" s="518">
        <v>0</v>
      </c>
      <c r="BI153" s="518">
        <v>0</v>
      </c>
      <c r="BJ153" s="518">
        <v>0</v>
      </c>
      <c r="BK153" s="518">
        <v>0</v>
      </c>
      <c r="BL153" s="518">
        <v>0</v>
      </c>
      <c r="BM153" s="518">
        <v>0</v>
      </c>
      <c r="BN153" s="518">
        <v>0</v>
      </c>
      <c r="BO153" s="518">
        <v>0</v>
      </c>
      <c r="BP153" s="518">
        <v>0</v>
      </c>
      <c r="BQ153" s="518">
        <v>0</v>
      </c>
      <c r="BR153" s="518">
        <v>0</v>
      </c>
      <c r="BS153" s="518">
        <v>0</v>
      </c>
      <c r="BT153" s="518">
        <v>0</v>
      </c>
      <c r="BU153" s="518">
        <v>0</v>
      </c>
      <c r="BV153" s="518">
        <v>0</v>
      </c>
      <c r="BW153" s="518">
        <v>0</v>
      </c>
      <c r="BX153" s="518">
        <v>0</v>
      </c>
      <c r="BY153" s="518">
        <v>0</v>
      </c>
      <c r="BZ153" s="518">
        <v>0</v>
      </c>
      <c r="CA153" s="518">
        <v>0</v>
      </c>
      <c r="CB153" s="518">
        <v>0</v>
      </c>
      <c r="CC153" s="518">
        <v>0</v>
      </c>
      <c r="CD153" s="518">
        <v>0</v>
      </c>
      <c r="CE153" s="518">
        <v>0</v>
      </c>
      <c r="CF153" s="518">
        <v>0</v>
      </c>
      <c r="CG153" s="518">
        <v>0</v>
      </c>
      <c r="CH153" s="518">
        <v>0</v>
      </c>
      <c r="CI153" s="518">
        <v>0</v>
      </c>
      <c r="CJ153" s="518">
        <v>0</v>
      </c>
      <c r="CK153" s="518">
        <v>0</v>
      </c>
      <c r="CL153" s="518">
        <v>0</v>
      </c>
      <c r="CM153" s="518">
        <v>0</v>
      </c>
      <c r="CN153" s="518">
        <v>0</v>
      </c>
      <c r="CO153" s="518">
        <v>0</v>
      </c>
      <c r="CP153" s="518">
        <v>0</v>
      </c>
      <c r="CQ153" s="518">
        <v>0</v>
      </c>
      <c r="CR153" s="518">
        <v>0</v>
      </c>
      <c r="CS153" s="518">
        <v>0</v>
      </c>
      <c r="CT153" s="518">
        <v>0</v>
      </c>
      <c r="CU153" s="518">
        <v>0</v>
      </c>
      <c r="CV153" s="518">
        <v>0</v>
      </c>
      <c r="CW153" s="518">
        <v>0</v>
      </c>
      <c r="CX153" s="518">
        <v>0</v>
      </c>
      <c r="CY153" s="518">
        <v>0</v>
      </c>
      <c r="CZ153" s="518">
        <v>0</v>
      </c>
      <c r="DA153" s="518">
        <v>0</v>
      </c>
      <c r="DB153" s="518">
        <v>0</v>
      </c>
      <c r="DC153" s="518">
        <v>0</v>
      </c>
      <c r="DD153" s="518">
        <v>0</v>
      </c>
      <c r="DE153" s="518">
        <v>0</v>
      </c>
      <c r="DF153" s="518">
        <v>0</v>
      </c>
      <c r="DG153" s="518">
        <v>0</v>
      </c>
      <c r="DH153" s="518">
        <v>0</v>
      </c>
      <c r="DI153" s="518">
        <v>0</v>
      </c>
      <c r="DJ153" s="518">
        <v>0</v>
      </c>
      <c r="DK153" s="518">
        <v>0</v>
      </c>
      <c r="DL153" s="518">
        <v>0</v>
      </c>
      <c r="DM153" s="518">
        <v>0</v>
      </c>
      <c r="DN153" s="518">
        <v>0</v>
      </c>
      <c r="DO153" s="518">
        <v>0</v>
      </c>
      <c r="DP153" s="518">
        <v>0</v>
      </c>
      <c r="DQ153" s="518">
        <v>0</v>
      </c>
      <c r="DR153" s="518">
        <v>0</v>
      </c>
      <c r="DS153" s="518">
        <v>0</v>
      </c>
      <c r="DT153" s="518">
        <v>0</v>
      </c>
      <c r="DU153" s="518">
        <v>0</v>
      </c>
      <c r="DV153" s="518">
        <v>0</v>
      </c>
      <c r="DW153" s="518">
        <v>0</v>
      </c>
      <c r="DX153" s="518">
        <v>0</v>
      </c>
      <c r="DZ153" s="517" t="s">
        <v>721</v>
      </c>
      <c r="EA153" s="517" t="s">
        <v>1101</v>
      </c>
      <c r="EB153" s="517" t="s">
        <v>26</v>
      </c>
      <c r="EC153" s="518">
        <v>20</v>
      </c>
      <c r="ED153" s="494" t="str">
        <f t="shared" si="7"/>
        <v>SWUC100220</v>
      </c>
      <c r="EE153" s="518">
        <v>60.4</v>
      </c>
      <c r="EF153" s="518">
        <v>2000</v>
      </c>
      <c r="EG153" s="518">
        <v>2000</v>
      </c>
      <c r="EH153" s="518">
        <v>2000</v>
      </c>
      <c r="EI153" s="518">
        <v>2000</v>
      </c>
      <c r="EJ153" s="518">
        <v>2000</v>
      </c>
      <c r="EK153" s="518">
        <v>2000</v>
      </c>
      <c r="EL153" s="518">
        <v>2000</v>
      </c>
      <c r="EM153" s="518">
        <v>2000</v>
      </c>
      <c r="EN153" s="518">
        <v>2000</v>
      </c>
      <c r="EO153" s="518">
        <v>0</v>
      </c>
      <c r="EP153" s="518">
        <v>0</v>
      </c>
      <c r="EQ153" s="518">
        <v>0</v>
      </c>
      <c r="ER153" s="518">
        <v>0</v>
      </c>
      <c r="ES153" s="518">
        <v>0</v>
      </c>
      <c r="ET153" s="518">
        <v>0</v>
      </c>
      <c r="EU153" s="518">
        <v>0</v>
      </c>
      <c r="EV153" s="518">
        <v>0</v>
      </c>
      <c r="EW153" s="518">
        <v>0</v>
      </c>
      <c r="EX153" s="518">
        <v>0</v>
      </c>
      <c r="EY153" s="518">
        <v>0</v>
      </c>
      <c r="EZ153" s="518">
        <v>0</v>
      </c>
      <c r="FA153" s="518">
        <v>0</v>
      </c>
      <c r="FB153" s="518">
        <v>0</v>
      </c>
      <c r="FC153" s="518">
        <v>0</v>
      </c>
      <c r="FD153" s="518">
        <v>0</v>
      </c>
      <c r="FE153" s="518">
        <v>0</v>
      </c>
      <c r="FF153" s="518">
        <v>0</v>
      </c>
      <c r="FG153" s="518">
        <v>0</v>
      </c>
      <c r="FH153" s="518">
        <v>0</v>
      </c>
      <c r="FI153" s="518">
        <v>0</v>
      </c>
      <c r="FJ153" s="518">
        <v>0</v>
      </c>
      <c r="FK153" s="518">
        <v>0</v>
      </c>
      <c r="FL153" s="518">
        <v>0</v>
      </c>
      <c r="FM153" s="518">
        <v>0</v>
      </c>
      <c r="FN153" s="518">
        <v>0</v>
      </c>
      <c r="FO153" s="518">
        <v>0</v>
      </c>
      <c r="FP153" s="518">
        <v>0</v>
      </c>
      <c r="FQ153" s="518">
        <v>0</v>
      </c>
      <c r="FR153" s="518">
        <v>0</v>
      </c>
      <c r="FS153" s="518">
        <v>0</v>
      </c>
      <c r="FT153" s="518">
        <v>0</v>
      </c>
      <c r="FU153" s="518">
        <v>0</v>
      </c>
      <c r="FV153" s="518">
        <v>0</v>
      </c>
      <c r="FW153" s="518">
        <v>0</v>
      </c>
      <c r="FX153" s="518">
        <v>0</v>
      </c>
      <c r="FY153" s="518">
        <v>0</v>
      </c>
      <c r="FZ153" s="518">
        <v>0</v>
      </c>
      <c r="GA153" s="518">
        <v>0</v>
      </c>
      <c r="GB153" s="518">
        <v>0</v>
      </c>
      <c r="GC153" s="518">
        <v>0</v>
      </c>
      <c r="GD153" s="518">
        <v>0</v>
      </c>
      <c r="GE153" s="518">
        <v>0</v>
      </c>
      <c r="GF153" s="518">
        <v>0</v>
      </c>
      <c r="GG153" s="518">
        <v>0</v>
      </c>
      <c r="GH153" s="518">
        <v>0</v>
      </c>
      <c r="GI153" s="518">
        <v>0</v>
      </c>
      <c r="GJ153" s="518">
        <v>0</v>
      </c>
      <c r="GK153" s="518">
        <v>0</v>
      </c>
      <c r="GL153" s="518">
        <v>0</v>
      </c>
      <c r="GM153" s="518">
        <v>0</v>
      </c>
      <c r="GN153" s="518">
        <v>0</v>
      </c>
      <c r="GO153" s="518">
        <v>0</v>
      </c>
      <c r="GP153" s="518">
        <v>0</v>
      </c>
      <c r="GQ153" s="518">
        <v>0</v>
      </c>
      <c r="GR153" s="518">
        <v>0</v>
      </c>
      <c r="GS153" s="518">
        <v>0</v>
      </c>
      <c r="GT153" s="518">
        <v>0</v>
      </c>
      <c r="GU153" s="518">
        <v>0</v>
      </c>
      <c r="GV153" s="518">
        <v>0</v>
      </c>
      <c r="GW153" s="518">
        <v>0</v>
      </c>
      <c r="GX153" s="518">
        <v>0</v>
      </c>
      <c r="GY153" s="518">
        <v>0</v>
      </c>
      <c r="GZ153" s="518">
        <v>0</v>
      </c>
      <c r="HA153" s="518">
        <v>0</v>
      </c>
      <c r="HB153" s="518">
        <v>0</v>
      </c>
      <c r="HC153" s="518">
        <v>0</v>
      </c>
      <c r="HD153" s="518">
        <v>0</v>
      </c>
      <c r="HE153" s="518">
        <v>0</v>
      </c>
      <c r="HF153" s="518">
        <v>0</v>
      </c>
      <c r="HG153" s="518">
        <v>0</v>
      </c>
      <c r="HH153" s="518">
        <v>0</v>
      </c>
      <c r="HI153" s="518">
        <v>0</v>
      </c>
      <c r="HJ153" s="518">
        <v>0</v>
      </c>
      <c r="HK153" s="518">
        <v>0</v>
      </c>
      <c r="HL153" s="518">
        <v>0</v>
      </c>
      <c r="HM153" s="518">
        <v>0</v>
      </c>
      <c r="HN153" s="518">
        <v>0</v>
      </c>
      <c r="HO153" s="518">
        <v>0</v>
      </c>
      <c r="HP153" s="518">
        <v>0</v>
      </c>
      <c r="HQ153" s="518">
        <v>0</v>
      </c>
      <c r="HR153" s="518">
        <v>0</v>
      </c>
      <c r="HS153" s="518">
        <v>0</v>
      </c>
      <c r="HT153" s="518">
        <v>0</v>
      </c>
      <c r="HU153" s="518">
        <v>0</v>
      </c>
      <c r="HV153" s="518">
        <v>0</v>
      </c>
      <c r="HW153" s="518">
        <v>0</v>
      </c>
      <c r="HX153" s="518">
        <v>0</v>
      </c>
      <c r="HY153" s="518">
        <v>0</v>
      </c>
      <c r="HZ153" s="518">
        <v>0</v>
      </c>
      <c r="IA153" s="518">
        <v>0</v>
      </c>
      <c r="IB153" s="518">
        <v>0</v>
      </c>
      <c r="IC153" s="518">
        <v>0</v>
      </c>
      <c r="ID153" s="518">
        <v>0</v>
      </c>
      <c r="IE153" s="518">
        <v>0</v>
      </c>
      <c r="IF153" s="518">
        <v>0</v>
      </c>
      <c r="IG153" s="518">
        <v>0</v>
      </c>
      <c r="IH153" s="518">
        <v>0</v>
      </c>
      <c r="II153" s="518">
        <v>0</v>
      </c>
      <c r="IJ153" s="518">
        <v>0</v>
      </c>
      <c r="IK153" s="518">
        <v>0</v>
      </c>
    </row>
    <row r="154" spans="1:245" ht="16.5" hidden="1">
      <c r="A154" s="517"/>
      <c r="B154" s="517"/>
      <c r="C154" s="517"/>
      <c r="D154" s="517"/>
      <c r="E154" s="517"/>
      <c r="F154" s="517"/>
      <c r="G154" s="558"/>
      <c r="H154" s="518"/>
      <c r="I154" s="558"/>
      <c r="J154" s="494"/>
      <c r="K154" s="518"/>
      <c r="M154" s="517" t="s">
        <v>721</v>
      </c>
      <c r="N154" s="517" t="s">
        <v>1101</v>
      </c>
      <c r="O154" s="517" t="s">
        <v>26</v>
      </c>
      <c r="P154" s="518">
        <v>21</v>
      </c>
      <c r="Q154" s="494" t="str">
        <f t="shared" si="6"/>
        <v>SWUC100221</v>
      </c>
      <c r="R154" s="518">
        <v>63.6</v>
      </c>
      <c r="S154" s="518">
        <v>10000</v>
      </c>
      <c r="T154" s="518">
        <v>10000</v>
      </c>
      <c r="U154" s="518">
        <v>10000</v>
      </c>
      <c r="V154" s="518">
        <v>10000</v>
      </c>
      <c r="W154" s="518">
        <v>10000</v>
      </c>
      <c r="X154" s="518">
        <v>10000</v>
      </c>
      <c r="Y154" s="518">
        <v>10000</v>
      </c>
      <c r="Z154" s="518">
        <v>10000</v>
      </c>
      <c r="AA154" s="518">
        <v>10000</v>
      </c>
      <c r="AB154" s="518">
        <v>0</v>
      </c>
      <c r="AC154" s="518">
        <v>0</v>
      </c>
      <c r="AD154" s="518">
        <v>0</v>
      </c>
      <c r="AE154" s="518">
        <v>0</v>
      </c>
      <c r="AF154" s="518">
        <v>0</v>
      </c>
      <c r="AG154" s="518">
        <v>0</v>
      </c>
      <c r="AH154" s="518">
        <v>0</v>
      </c>
      <c r="AI154" s="518">
        <v>0</v>
      </c>
      <c r="AJ154" s="518">
        <v>0</v>
      </c>
      <c r="AK154" s="518">
        <v>0</v>
      </c>
      <c r="AL154" s="518">
        <v>0</v>
      </c>
      <c r="AM154" s="518">
        <v>0</v>
      </c>
      <c r="AN154" s="518">
        <v>0</v>
      </c>
      <c r="AO154" s="518">
        <v>0</v>
      </c>
      <c r="AP154" s="518">
        <v>0</v>
      </c>
      <c r="AQ154" s="518">
        <v>0</v>
      </c>
      <c r="AR154" s="518">
        <v>0</v>
      </c>
      <c r="AS154" s="518">
        <v>0</v>
      </c>
      <c r="AT154" s="518">
        <v>0</v>
      </c>
      <c r="AU154" s="518">
        <v>0</v>
      </c>
      <c r="AV154" s="518">
        <v>0</v>
      </c>
      <c r="AW154" s="518">
        <v>0</v>
      </c>
      <c r="AX154" s="518">
        <v>0</v>
      </c>
      <c r="AY154" s="518">
        <v>0</v>
      </c>
      <c r="AZ154" s="518">
        <v>0</v>
      </c>
      <c r="BA154" s="518">
        <v>0</v>
      </c>
      <c r="BB154" s="518">
        <v>0</v>
      </c>
      <c r="BC154" s="518">
        <v>0</v>
      </c>
      <c r="BD154" s="518">
        <v>0</v>
      </c>
      <c r="BE154" s="518">
        <v>0</v>
      </c>
      <c r="BF154" s="518">
        <v>0</v>
      </c>
      <c r="BG154" s="518">
        <v>0</v>
      </c>
      <c r="BH154" s="518">
        <v>0</v>
      </c>
      <c r="BI154" s="518">
        <v>0</v>
      </c>
      <c r="BJ154" s="518">
        <v>0</v>
      </c>
      <c r="BK154" s="518">
        <v>0</v>
      </c>
      <c r="BL154" s="518">
        <v>0</v>
      </c>
      <c r="BM154" s="518">
        <v>0</v>
      </c>
      <c r="BN154" s="518">
        <v>0</v>
      </c>
      <c r="BO154" s="518">
        <v>0</v>
      </c>
      <c r="BP154" s="518">
        <v>0</v>
      </c>
      <c r="BQ154" s="518">
        <v>0</v>
      </c>
      <c r="BR154" s="518">
        <v>0</v>
      </c>
      <c r="BS154" s="518">
        <v>0</v>
      </c>
      <c r="BT154" s="518">
        <v>0</v>
      </c>
      <c r="BU154" s="518">
        <v>0</v>
      </c>
      <c r="BV154" s="518">
        <v>0</v>
      </c>
      <c r="BW154" s="518">
        <v>0</v>
      </c>
      <c r="BX154" s="518">
        <v>0</v>
      </c>
      <c r="BY154" s="518">
        <v>0</v>
      </c>
      <c r="BZ154" s="518">
        <v>0</v>
      </c>
      <c r="CA154" s="518">
        <v>0</v>
      </c>
      <c r="CB154" s="518">
        <v>0</v>
      </c>
      <c r="CC154" s="518">
        <v>0</v>
      </c>
      <c r="CD154" s="518">
        <v>0</v>
      </c>
      <c r="CE154" s="518">
        <v>0</v>
      </c>
      <c r="CF154" s="518">
        <v>0</v>
      </c>
      <c r="CG154" s="518">
        <v>0</v>
      </c>
      <c r="CH154" s="518">
        <v>0</v>
      </c>
      <c r="CI154" s="518">
        <v>0</v>
      </c>
      <c r="CJ154" s="518">
        <v>0</v>
      </c>
      <c r="CK154" s="518">
        <v>0</v>
      </c>
      <c r="CL154" s="518">
        <v>0</v>
      </c>
      <c r="CM154" s="518">
        <v>0</v>
      </c>
      <c r="CN154" s="518">
        <v>0</v>
      </c>
      <c r="CO154" s="518">
        <v>0</v>
      </c>
      <c r="CP154" s="518">
        <v>0</v>
      </c>
      <c r="CQ154" s="518">
        <v>0</v>
      </c>
      <c r="CR154" s="518">
        <v>0</v>
      </c>
      <c r="CS154" s="518">
        <v>0</v>
      </c>
      <c r="CT154" s="518">
        <v>0</v>
      </c>
      <c r="CU154" s="518">
        <v>0</v>
      </c>
      <c r="CV154" s="518">
        <v>0</v>
      </c>
      <c r="CW154" s="518">
        <v>0</v>
      </c>
      <c r="CX154" s="518">
        <v>0</v>
      </c>
      <c r="CY154" s="518">
        <v>0</v>
      </c>
      <c r="CZ154" s="518">
        <v>0</v>
      </c>
      <c r="DA154" s="518">
        <v>0</v>
      </c>
      <c r="DB154" s="518">
        <v>0</v>
      </c>
      <c r="DC154" s="518">
        <v>0</v>
      </c>
      <c r="DD154" s="518">
        <v>0</v>
      </c>
      <c r="DE154" s="518">
        <v>0</v>
      </c>
      <c r="DF154" s="518">
        <v>0</v>
      </c>
      <c r="DG154" s="518">
        <v>0</v>
      </c>
      <c r="DH154" s="518">
        <v>0</v>
      </c>
      <c r="DI154" s="518">
        <v>0</v>
      </c>
      <c r="DJ154" s="518">
        <v>0</v>
      </c>
      <c r="DK154" s="518">
        <v>0</v>
      </c>
      <c r="DL154" s="518">
        <v>0</v>
      </c>
      <c r="DM154" s="518">
        <v>0</v>
      </c>
      <c r="DN154" s="518">
        <v>0</v>
      </c>
      <c r="DO154" s="518">
        <v>0</v>
      </c>
      <c r="DP154" s="518">
        <v>0</v>
      </c>
      <c r="DQ154" s="518">
        <v>0</v>
      </c>
      <c r="DR154" s="518">
        <v>0</v>
      </c>
      <c r="DS154" s="518">
        <v>0</v>
      </c>
      <c r="DT154" s="518">
        <v>0</v>
      </c>
      <c r="DU154" s="518">
        <v>0</v>
      </c>
      <c r="DV154" s="518">
        <v>0</v>
      </c>
      <c r="DW154" s="518">
        <v>0</v>
      </c>
      <c r="DX154" s="518">
        <v>0</v>
      </c>
      <c r="DZ154" s="517" t="s">
        <v>721</v>
      </c>
      <c r="EA154" s="517" t="s">
        <v>1101</v>
      </c>
      <c r="EB154" s="517" t="s">
        <v>26</v>
      </c>
      <c r="EC154" s="518">
        <v>21</v>
      </c>
      <c r="ED154" s="494" t="str">
        <f t="shared" si="7"/>
        <v>SWUC100221</v>
      </c>
      <c r="EE154" s="518">
        <v>63.6</v>
      </c>
      <c r="EF154" s="518">
        <v>2000</v>
      </c>
      <c r="EG154" s="518">
        <v>2000</v>
      </c>
      <c r="EH154" s="518">
        <v>2000</v>
      </c>
      <c r="EI154" s="518">
        <v>2000</v>
      </c>
      <c r="EJ154" s="518">
        <v>2000</v>
      </c>
      <c r="EK154" s="518">
        <v>2000</v>
      </c>
      <c r="EL154" s="518">
        <v>2000</v>
      </c>
      <c r="EM154" s="518">
        <v>2000</v>
      </c>
      <c r="EN154" s="518">
        <v>2000</v>
      </c>
      <c r="EO154" s="518">
        <v>0</v>
      </c>
      <c r="EP154" s="518">
        <v>0</v>
      </c>
      <c r="EQ154" s="518">
        <v>0</v>
      </c>
      <c r="ER154" s="518">
        <v>0</v>
      </c>
      <c r="ES154" s="518">
        <v>0</v>
      </c>
      <c r="ET154" s="518">
        <v>0</v>
      </c>
      <c r="EU154" s="518">
        <v>0</v>
      </c>
      <c r="EV154" s="518">
        <v>0</v>
      </c>
      <c r="EW154" s="518">
        <v>0</v>
      </c>
      <c r="EX154" s="518">
        <v>0</v>
      </c>
      <c r="EY154" s="518">
        <v>0</v>
      </c>
      <c r="EZ154" s="518">
        <v>0</v>
      </c>
      <c r="FA154" s="518">
        <v>0</v>
      </c>
      <c r="FB154" s="518">
        <v>0</v>
      </c>
      <c r="FC154" s="518">
        <v>0</v>
      </c>
      <c r="FD154" s="518">
        <v>0</v>
      </c>
      <c r="FE154" s="518">
        <v>0</v>
      </c>
      <c r="FF154" s="518">
        <v>0</v>
      </c>
      <c r="FG154" s="518">
        <v>0</v>
      </c>
      <c r="FH154" s="518">
        <v>0</v>
      </c>
      <c r="FI154" s="518">
        <v>0</v>
      </c>
      <c r="FJ154" s="518">
        <v>0</v>
      </c>
      <c r="FK154" s="518">
        <v>0</v>
      </c>
      <c r="FL154" s="518">
        <v>0</v>
      </c>
      <c r="FM154" s="518">
        <v>0</v>
      </c>
      <c r="FN154" s="518">
        <v>0</v>
      </c>
      <c r="FO154" s="518">
        <v>0</v>
      </c>
      <c r="FP154" s="518">
        <v>0</v>
      </c>
      <c r="FQ154" s="518">
        <v>0</v>
      </c>
      <c r="FR154" s="518">
        <v>0</v>
      </c>
      <c r="FS154" s="518">
        <v>0</v>
      </c>
      <c r="FT154" s="518">
        <v>0</v>
      </c>
      <c r="FU154" s="518">
        <v>0</v>
      </c>
      <c r="FV154" s="518">
        <v>0</v>
      </c>
      <c r="FW154" s="518">
        <v>0</v>
      </c>
      <c r="FX154" s="518">
        <v>0</v>
      </c>
      <c r="FY154" s="518">
        <v>0</v>
      </c>
      <c r="FZ154" s="518">
        <v>0</v>
      </c>
      <c r="GA154" s="518">
        <v>0</v>
      </c>
      <c r="GB154" s="518">
        <v>0</v>
      </c>
      <c r="GC154" s="518">
        <v>0</v>
      </c>
      <c r="GD154" s="518">
        <v>0</v>
      </c>
      <c r="GE154" s="518">
        <v>0</v>
      </c>
      <c r="GF154" s="518">
        <v>0</v>
      </c>
      <c r="GG154" s="518">
        <v>0</v>
      </c>
      <c r="GH154" s="518">
        <v>0</v>
      </c>
      <c r="GI154" s="518">
        <v>0</v>
      </c>
      <c r="GJ154" s="518">
        <v>0</v>
      </c>
      <c r="GK154" s="518">
        <v>0</v>
      </c>
      <c r="GL154" s="518">
        <v>0</v>
      </c>
      <c r="GM154" s="518">
        <v>0</v>
      </c>
      <c r="GN154" s="518">
        <v>0</v>
      </c>
      <c r="GO154" s="518">
        <v>0</v>
      </c>
      <c r="GP154" s="518">
        <v>0</v>
      </c>
      <c r="GQ154" s="518">
        <v>0</v>
      </c>
      <c r="GR154" s="518">
        <v>0</v>
      </c>
      <c r="GS154" s="518">
        <v>0</v>
      </c>
      <c r="GT154" s="518">
        <v>0</v>
      </c>
      <c r="GU154" s="518">
        <v>0</v>
      </c>
      <c r="GV154" s="518">
        <v>0</v>
      </c>
      <c r="GW154" s="518">
        <v>0</v>
      </c>
      <c r="GX154" s="518">
        <v>0</v>
      </c>
      <c r="GY154" s="518">
        <v>0</v>
      </c>
      <c r="GZ154" s="518">
        <v>0</v>
      </c>
      <c r="HA154" s="518">
        <v>0</v>
      </c>
      <c r="HB154" s="518">
        <v>0</v>
      </c>
      <c r="HC154" s="518">
        <v>0</v>
      </c>
      <c r="HD154" s="518">
        <v>0</v>
      </c>
      <c r="HE154" s="518">
        <v>0</v>
      </c>
      <c r="HF154" s="518">
        <v>0</v>
      </c>
      <c r="HG154" s="518">
        <v>0</v>
      </c>
      <c r="HH154" s="518">
        <v>0</v>
      </c>
      <c r="HI154" s="518">
        <v>0</v>
      </c>
      <c r="HJ154" s="518">
        <v>0</v>
      </c>
      <c r="HK154" s="518">
        <v>0</v>
      </c>
      <c r="HL154" s="518">
        <v>0</v>
      </c>
      <c r="HM154" s="518">
        <v>0</v>
      </c>
      <c r="HN154" s="518">
        <v>0</v>
      </c>
      <c r="HO154" s="518">
        <v>0</v>
      </c>
      <c r="HP154" s="518">
        <v>0</v>
      </c>
      <c r="HQ154" s="518">
        <v>0</v>
      </c>
      <c r="HR154" s="518">
        <v>0</v>
      </c>
      <c r="HS154" s="518">
        <v>0</v>
      </c>
      <c r="HT154" s="518">
        <v>0</v>
      </c>
      <c r="HU154" s="518">
        <v>0</v>
      </c>
      <c r="HV154" s="518">
        <v>0</v>
      </c>
      <c r="HW154" s="518">
        <v>0</v>
      </c>
      <c r="HX154" s="518">
        <v>0</v>
      </c>
      <c r="HY154" s="518">
        <v>0</v>
      </c>
      <c r="HZ154" s="518">
        <v>0</v>
      </c>
      <c r="IA154" s="518">
        <v>0</v>
      </c>
      <c r="IB154" s="518">
        <v>0</v>
      </c>
      <c r="IC154" s="518">
        <v>0</v>
      </c>
      <c r="ID154" s="518">
        <v>0</v>
      </c>
      <c r="IE154" s="518">
        <v>0</v>
      </c>
      <c r="IF154" s="518">
        <v>0</v>
      </c>
      <c r="IG154" s="518">
        <v>0</v>
      </c>
      <c r="IH154" s="518">
        <v>0</v>
      </c>
      <c r="II154" s="518">
        <v>0</v>
      </c>
      <c r="IJ154" s="518">
        <v>0</v>
      </c>
      <c r="IK154" s="518">
        <v>0</v>
      </c>
    </row>
    <row r="155" spans="1:245" ht="16.5" hidden="1">
      <c r="A155" s="517"/>
      <c r="B155" s="517"/>
      <c r="C155" s="517"/>
      <c r="D155" s="517"/>
      <c r="E155" s="517"/>
      <c r="F155" s="517"/>
      <c r="G155" s="558"/>
      <c r="H155" s="518"/>
      <c r="I155" s="558"/>
      <c r="J155" s="494"/>
      <c r="K155" s="518"/>
      <c r="M155" s="517" t="s">
        <v>721</v>
      </c>
      <c r="N155" s="517" t="s">
        <v>1101</v>
      </c>
      <c r="O155" s="517" t="s">
        <v>26</v>
      </c>
      <c r="P155" s="518">
        <v>22</v>
      </c>
      <c r="Q155" s="494" t="str">
        <f t="shared" si="6"/>
        <v>SWUC100222</v>
      </c>
      <c r="R155" s="518">
        <v>66.8</v>
      </c>
      <c r="S155" s="518">
        <v>10000</v>
      </c>
      <c r="T155" s="518">
        <v>10000</v>
      </c>
      <c r="U155" s="518">
        <v>10000</v>
      </c>
      <c r="V155" s="518">
        <v>10000</v>
      </c>
      <c r="W155" s="518">
        <v>10000</v>
      </c>
      <c r="X155" s="518">
        <v>10000</v>
      </c>
      <c r="Y155" s="518">
        <v>10000</v>
      </c>
      <c r="Z155" s="518">
        <v>10000</v>
      </c>
      <c r="AA155" s="518">
        <v>10000</v>
      </c>
      <c r="AB155" s="518">
        <v>0</v>
      </c>
      <c r="AC155" s="518">
        <v>0</v>
      </c>
      <c r="AD155" s="518">
        <v>0</v>
      </c>
      <c r="AE155" s="518">
        <v>0</v>
      </c>
      <c r="AF155" s="518">
        <v>0</v>
      </c>
      <c r="AG155" s="518">
        <v>0</v>
      </c>
      <c r="AH155" s="518">
        <v>0</v>
      </c>
      <c r="AI155" s="518">
        <v>0</v>
      </c>
      <c r="AJ155" s="518">
        <v>0</v>
      </c>
      <c r="AK155" s="518">
        <v>0</v>
      </c>
      <c r="AL155" s="518">
        <v>0</v>
      </c>
      <c r="AM155" s="518">
        <v>0</v>
      </c>
      <c r="AN155" s="518">
        <v>0</v>
      </c>
      <c r="AO155" s="518">
        <v>0</v>
      </c>
      <c r="AP155" s="518">
        <v>0</v>
      </c>
      <c r="AQ155" s="518">
        <v>0</v>
      </c>
      <c r="AR155" s="518">
        <v>0</v>
      </c>
      <c r="AS155" s="518">
        <v>0</v>
      </c>
      <c r="AT155" s="518">
        <v>0</v>
      </c>
      <c r="AU155" s="518">
        <v>0</v>
      </c>
      <c r="AV155" s="518">
        <v>0</v>
      </c>
      <c r="AW155" s="518">
        <v>0</v>
      </c>
      <c r="AX155" s="518">
        <v>0</v>
      </c>
      <c r="AY155" s="518">
        <v>0</v>
      </c>
      <c r="AZ155" s="518">
        <v>0</v>
      </c>
      <c r="BA155" s="518">
        <v>0</v>
      </c>
      <c r="BB155" s="518">
        <v>0</v>
      </c>
      <c r="BC155" s="518">
        <v>0</v>
      </c>
      <c r="BD155" s="518">
        <v>0</v>
      </c>
      <c r="BE155" s="518">
        <v>0</v>
      </c>
      <c r="BF155" s="518">
        <v>0</v>
      </c>
      <c r="BG155" s="518">
        <v>0</v>
      </c>
      <c r="BH155" s="518">
        <v>0</v>
      </c>
      <c r="BI155" s="518">
        <v>0</v>
      </c>
      <c r="BJ155" s="518">
        <v>0</v>
      </c>
      <c r="BK155" s="518">
        <v>0</v>
      </c>
      <c r="BL155" s="518">
        <v>0</v>
      </c>
      <c r="BM155" s="518">
        <v>0</v>
      </c>
      <c r="BN155" s="518">
        <v>0</v>
      </c>
      <c r="BO155" s="518">
        <v>0</v>
      </c>
      <c r="BP155" s="518">
        <v>0</v>
      </c>
      <c r="BQ155" s="518">
        <v>0</v>
      </c>
      <c r="BR155" s="518">
        <v>0</v>
      </c>
      <c r="BS155" s="518">
        <v>0</v>
      </c>
      <c r="BT155" s="518">
        <v>0</v>
      </c>
      <c r="BU155" s="518">
        <v>0</v>
      </c>
      <c r="BV155" s="518">
        <v>0</v>
      </c>
      <c r="BW155" s="518">
        <v>0</v>
      </c>
      <c r="BX155" s="518">
        <v>0</v>
      </c>
      <c r="BY155" s="518">
        <v>0</v>
      </c>
      <c r="BZ155" s="518">
        <v>0</v>
      </c>
      <c r="CA155" s="518">
        <v>0</v>
      </c>
      <c r="CB155" s="518">
        <v>0</v>
      </c>
      <c r="CC155" s="518">
        <v>0</v>
      </c>
      <c r="CD155" s="518">
        <v>0</v>
      </c>
      <c r="CE155" s="518">
        <v>0</v>
      </c>
      <c r="CF155" s="518">
        <v>0</v>
      </c>
      <c r="CG155" s="518">
        <v>0</v>
      </c>
      <c r="CH155" s="518">
        <v>0</v>
      </c>
      <c r="CI155" s="518">
        <v>0</v>
      </c>
      <c r="CJ155" s="518">
        <v>0</v>
      </c>
      <c r="CK155" s="518">
        <v>0</v>
      </c>
      <c r="CL155" s="518">
        <v>0</v>
      </c>
      <c r="CM155" s="518">
        <v>0</v>
      </c>
      <c r="CN155" s="518">
        <v>0</v>
      </c>
      <c r="CO155" s="518">
        <v>0</v>
      </c>
      <c r="CP155" s="518">
        <v>0</v>
      </c>
      <c r="CQ155" s="518">
        <v>0</v>
      </c>
      <c r="CR155" s="518">
        <v>0</v>
      </c>
      <c r="CS155" s="518">
        <v>0</v>
      </c>
      <c r="CT155" s="518">
        <v>0</v>
      </c>
      <c r="CU155" s="518">
        <v>0</v>
      </c>
      <c r="CV155" s="518">
        <v>0</v>
      </c>
      <c r="CW155" s="518">
        <v>0</v>
      </c>
      <c r="CX155" s="518">
        <v>0</v>
      </c>
      <c r="CY155" s="518">
        <v>0</v>
      </c>
      <c r="CZ155" s="518">
        <v>0</v>
      </c>
      <c r="DA155" s="518">
        <v>0</v>
      </c>
      <c r="DB155" s="518">
        <v>0</v>
      </c>
      <c r="DC155" s="518">
        <v>0</v>
      </c>
      <c r="DD155" s="518">
        <v>0</v>
      </c>
      <c r="DE155" s="518">
        <v>0</v>
      </c>
      <c r="DF155" s="518">
        <v>0</v>
      </c>
      <c r="DG155" s="518">
        <v>0</v>
      </c>
      <c r="DH155" s="518">
        <v>0</v>
      </c>
      <c r="DI155" s="518">
        <v>0</v>
      </c>
      <c r="DJ155" s="518">
        <v>0</v>
      </c>
      <c r="DK155" s="518">
        <v>0</v>
      </c>
      <c r="DL155" s="518">
        <v>0</v>
      </c>
      <c r="DM155" s="518">
        <v>0</v>
      </c>
      <c r="DN155" s="518">
        <v>0</v>
      </c>
      <c r="DO155" s="518">
        <v>0</v>
      </c>
      <c r="DP155" s="518">
        <v>0</v>
      </c>
      <c r="DQ155" s="518">
        <v>0</v>
      </c>
      <c r="DR155" s="518">
        <v>0</v>
      </c>
      <c r="DS155" s="518">
        <v>0</v>
      </c>
      <c r="DT155" s="518">
        <v>0</v>
      </c>
      <c r="DU155" s="518">
        <v>0</v>
      </c>
      <c r="DV155" s="518">
        <v>0</v>
      </c>
      <c r="DW155" s="518">
        <v>0</v>
      </c>
      <c r="DX155" s="518">
        <v>0</v>
      </c>
      <c r="DZ155" s="517" t="s">
        <v>721</v>
      </c>
      <c r="EA155" s="517" t="s">
        <v>1101</v>
      </c>
      <c r="EB155" s="517" t="s">
        <v>26</v>
      </c>
      <c r="EC155" s="518">
        <v>22</v>
      </c>
      <c r="ED155" s="494" t="str">
        <f t="shared" si="7"/>
        <v>SWUC100222</v>
      </c>
      <c r="EE155" s="518">
        <v>66.8</v>
      </c>
      <c r="EF155" s="518">
        <v>2000</v>
      </c>
      <c r="EG155" s="518">
        <v>2000</v>
      </c>
      <c r="EH155" s="518">
        <v>2000</v>
      </c>
      <c r="EI155" s="518">
        <v>2000</v>
      </c>
      <c r="EJ155" s="518">
        <v>2000</v>
      </c>
      <c r="EK155" s="518">
        <v>2000</v>
      </c>
      <c r="EL155" s="518">
        <v>2000</v>
      </c>
      <c r="EM155" s="518">
        <v>2000</v>
      </c>
      <c r="EN155" s="518">
        <v>2000</v>
      </c>
      <c r="EO155" s="518">
        <v>0</v>
      </c>
      <c r="EP155" s="518">
        <v>0</v>
      </c>
      <c r="EQ155" s="518">
        <v>0</v>
      </c>
      <c r="ER155" s="518">
        <v>0</v>
      </c>
      <c r="ES155" s="518">
        <v>0</v>
      </c>
      <c r="ET155" s="518">
        <v>0</v>
      </c>
      <c r="EU155" s="518">
        <v>0</v>
      </c>
      <c r="EV155" s="518">
        <v>0</v>
      </c>
      <c r="EW155" s="518">
        <v>0</v>
      </c>
      <c r="EX155" s="518">
        <v>0</v>
      </c>
      <c r="EY155" s="518">
        <v>0</v>
      </c>
      <c r="EZ155" s="518">
        <v>0</v>
      </c>
      <c r="FA155" s="518">
        <v>0</v>
      </c>
      <c r="FB155" s="518">
        <v>0</v>
      </c>
      <c r="FC155" s="518">
        <v>0</v>
      </c>
      <c r="FD155" s="518">
        <v>0</v>
      </c>
      <c r="FE155" s="518">
        <v>0</v>
      </c>
      <c r="FF155" s="518">
        <v>0</v>
      </c>
      <c r="FG155" s="518">
        <v>0</v>
      </c>
      <c r="FH155" s="518">
        <v>0</v>
      </c>
      <c r="FI155" s="518">
        <v>0</v>
      </c>
      <c r="FJ155" s="518">
        <v>0</v>
      </c>
      <c r="FK155" s="518">
        <v>0</v>
      </c>
      <c r="FL155" s="518">
        <v>0</v>
      </c>
      <c r="FM155" s="518">
        <v>0</v>
      </c>
      <c r="FN155" s="518">
        <v>0</v>
      </c>
      <c r="FO155" s="518">
        <v>0</v>
      </c>
      <c r="FP155" s="518">
        <v>0</v>
      </c>
      <c r="FQ155" s="518">
        <v>0</v>
      </c>
      <c r="FR155" s="518">
        <v>0</v>
      </c>
      <c r="FS155" s="518">
        <v>0</v>
      </c>
      <c r="FT155" s="518">
        <v>0</v>
      </c>
      <c r="FU155" s="518">
        <v>0</v>
      </c>
      <c r="FV155" s="518">
        <v>0</v>
      </c>
      <c r="FW155" s="518">
        <v>0</v>
      </c>
      <c r="FX155" s="518">
        <v>0</v>
      </c>
      <c r="FY155" s="518">
        <v>0</v>
      </c>
      <c r="FZ155" s="518">
        <v>0</v>
      </c>
      <c r="GA155" s="518">
        <v>0</v>
      </c>
      <c r="GB155" s="518">
        <v>0</v>
      </c>
      <c r="GC155" s="518">
        <v>0</v>
      </c>
      <c r="GD155" s="518">
        <v>0</v>
      </c>
      <c r="GE155" s="518">
        <v>0</v>
      </c>
      <c r="GF155" s="518">
        <v>0</v>
      </c>
      <c r="GG155" s="518">
        <v>0</v>
      </c>
      <c r="GH155" s="518">
        <v>0</v>
      </c>
      <c r="GI155" s="518">
        <v>0</v>
      </c>
      <c r="GJ155" s="518">
        <v>0</v>
      </c>
      <c r="GK155" s="518">
        <v>0</v>
      </c>
      <c r="GL155" s="518">
        <v>0</v>
      </c>
      <c r="GM155" s="518">
        <v>0</v>
      </c>
      <c r="GN155" s="518">
        <v>0</v>
      </c>
      <c r="GO155" s="518">
        <v>0</v>
      </c>
      <c r="GP155" s="518">
        <v>0</v>
      </c>
      <c r="GQ155" s="518">
        <v>0</v>
      </c>
      <c r="GR155" s="518">
        <v>0</v>
      </c>
      <c r="GS155" s="518">
        <v>0</v>
      </c>
      <c r="GT155" s="518">
        <v>0</v>
      </c>
      <c r="GU155" s="518">
        <v>0</v>
      </c>
      <c r="GV155" s="518">
        <v>0</v>
      </c>
      <c r="GW155" s="518">
        <v>0</v>
      </c>
      <c r="GX155" s="518">
        <v>0</v>
      </c>
      <c r="GY155" s="518">
        <v>0</v>
      </c>
      <c r="GZ155" s="518">
        <v>0</v>
      </c>
      <c r="HA155" s="518">
        <v>0</v>
      </c>
      <c r="HB155" s="518">
        <v>0</v>
      </c>
      <c r="HC155" s="518">
        <v>0</v>
      </c>
      <c r="HD155" s="518">
        <v>0</v>
      </c>
      <c r="HE155" s="518">
        <v>0</v>
      </c>
      <c r="HF155" s="518">
        <v>0</v>
      </c>
      <c r="HG155" s="518">
        <v>0</v>
      </c>
      <c r="HH155" s="518">
        <v>0</v>
      </c>
      <c r="HI155" s="518">
        <v>0</v>
      </c>
      <c r="HJ155" s="518">
        <v>0</v>
      </c>
      <c r="HK155" s="518">
        <v>0</v>
      </c>
      <c r="HL155" s="518">
        <v>0</v>
      </c>
      <c r="HM155" s="518">
        <v>0</v>
      </c>
      <c r="HN155" s="518">
        <v>0</v>
      </c>
      <c r="HO155" s="518">
        <v>0</v>
      </c>
      <c r="HP155" s="518">
        <v>0</v>
      </c>
      <c r="HQ155" s="518">
        <v>0</v>
      </c>
      <c r="HR155" s="518">
        <v>0</v>
      </c>
      <c r="HS155" s="518">
        <v>0</v>
      </c>
      <c r="HT155" s="518">
        <v>0</v>
      </c>
      <c r="HU155" s="518">
        <v>0</v>
      </c>
      <c r="HV155" s="518">
        <v>0</v>
      </c>
      <c r="HW155" s="518">
        <v>0</v>
      </c>
      <c r="HX155" s="518">
        <v>0</v>
      </c>
      <c r="HY155" s="518">
        <v>0</v>
      </c>
      <c r="HZ155" s="518">
        <v>0</v>
      </c>
      <c r="IA155" s="518">
        <v>0</v>
      </c>
      <c r="IB155" s="518">
        <v>0</v>
      </c>
      <c r="IC155" s="518">
        <v>0</v>
      </c>
      <c r="ID155" s="518">
        <v>0</v>
      </c>
      <c r="IE155" s="518">
        <v>0</v>
      </c>
      <c r="IF155" s="518">
        <v>0</v>
      </c>
      <c r="IG155" s="518">
        <v>0</v>
      </c>
      <c r="IH155" s="518">
        <v>0</v>
      </c>
      <c r="II155" s="518">
        <v>0</v>
      </c>
      <c r="IJ155" s="518">
        <v>0</v>
      </c>
      <c r="IK155" s="518">
        <v>0</v>
      </c>
    </row>
    <row r="156" spans="1:245" ht="16.5" hidden="1">
      <c r="A156" s="517"/>
      <c r="B156" s="517"/>
      <c r="C156" s="517"/>
      <c r="D156" s="517"/>
      <c r="E156" s="517"/>
      <c r="F156" s="517"/>
      <c r="G156" s="558"/>
      <c r="H156" s="518"/>
      <c r="I156" s="558"/>
      <c r="J156" s="494"/>
      <c r="K156" s="518"/>
      <c r="M156" s="517" t="s">
        <v>721</v>
      </c>
      <c r="N156" s="517" t="s">
        <v>1101</v>
      </c>
      <c r="O156" s="517" t="s">
        <v>26</v>
      </c>
      <c r="P156" s="518">
        <v>23</v>
      </c>
      <c r="Q156" s="494" t="str">
        <f t="shared" si="6"/>
        <v>SWUC100223</v>
      </c>
      <c r="R156" s="518">
        <v>70</v>
      </c>
      <c r="S156" s="518">
        <v>10000</v>
      </c>
      <c r="T156" s="518">
        <v>10000</v>
      </c>
      <c r="U156" s="518">
        <v>10000</v>
      </c>
      <c r="V156" s="518">
        <v>10000</v>
      </c>
      <c r="W156" s="518">
        <v>10000</v>
      </c>
      <c r="X156" s="518">
        <v>10000</v>
      </c>
      <c r="Y156" s="518">
        <v>10000</v>
      </c>
      <c r="Z156" s="518">
        <v>10000</v>
      </c>
      <c r="AA156" s="518">
        <v>10000</v>
      </c>
      <c r="AB156" s="518">
        <v>0</v>
      </c>
      <c r="AC156" s="518">
        <v>0</v>
      </c>
      <c r="AD156" s="518">
        <v>0</v>
      </c>
      <c r="AE156" s="518">
        <v>0</v>
      </c>
      <c r="AF156" s="518">
        <v>0</v>
      </c>
      <c r="AG156" s="518">
        <v>0</v>
      </c>
      <c r="AH156" s="518">
        <v>0</v>
      </c>
      <c r="AI156" s="518">
        <v>0</v>
      </c>
      <c r="AJ156" s="518">
        <v>0</v>
      </c>
      <c r="AK156" s="518">
        <v>0</v>
      </c>
      <c r="AL156" s="518">
        <v>0</v>
      </c>
      <c r="AM156" s="518">
        <v>0</v>
      </c>
      <c r="AN156" s="518">
        <v>0</v>
      </c>
      <c r="AO156" s="518">
        <v>0</v>
      </c>
      <c r="AP156" s="518">
        <v>0</v>
      </c>
      <c r="AQ156" s="518">
        <v>0</v>
      </c>
      <c r="AR156" s="518">
        <v>0</v>
      </c>
      <c r="AS156" s="518">
        <v>0</v>
      </c>
      <c r="AT156" s="518">
        <v>0</v>
      </c>
      <c r="AU156" s="518">
        <v>0</v>
      </c>
      <c r="AV156" s="518">
        <v>0</v>
      </c>
      <c r="AW156" s="518">
        <v>0</v>
      </c>
      <c r="AX156" s="518">
        <v>0</v>
      </c>
      <c r="AY156" s="518">
        <v>0</v>
      </c>
      <c r="AZ156" s="518">
        <v>0</v>
      </c>
      <c r="BA156" s="518">
        <v>0</v>
      </c>
      <c r="BB156" s="518">
        <v>0</v>
      </c>
      <c r="BC156" s="518">
        <v>0</v>
      </c>
      <c r="BD156" s="518">
        <v>0</v>
      </c>
      <c r="BE156" s="518">
        <v>0</v>
      </c>
      <c r="BF156" s="518">
        <v>0</v>
      </c>
      <c r="BG156" s="518">
        <v>0</v>
      </c>
      <c r="BH156" s="518">
        <v>0</v>
      </c>
      <c r="BI156" s="518">
        <v>0</v>
      </c>
      <c r="BJ156" s="518">
        <v>0</v>
      </c>
      <c r="BK156" s="518">
        <v>0</v>
      </c>
      <c r="BL156" s="518">
        <v>0</v>
      </c>
      <c r="BM156" s="518">
        <v>0</v>
      </c>
      <c r="BN156" s="518">
        <v>0</v>
      </c>
      <c r="BO156" s="518">
        <v>0</v>
      </c>
      <c r="BP156" s="518">
        <v>0</v>
      </c>
      <c r="BQ156" s="518">
        <v>0</v>
      </c>
      <c r="BR156" s="518">
        <v>0</v>
      </c>
      <c r="BS156" s="518">
        <v>0</v>
      </c>
      <c r="BT156" s="518">
        <v>0</v>
      </c>
      <c r="BU156" s="518">
        <v>0</v>
      </c>
      <c r="BV156" s="518">
        <v>0</v>
      </c>
      <c r="BW156" s="518">
        <v>0</v>
      </c>
      <c r="BX156" s="518">
        <v>0</v>
      </c>
      <c r="BY156" s="518">
        <v>0</v>
      </c>
      <c r="BZ156" s="518">
        <v>0</v>
      </c>
      <c r="CA156" s="518">
        <v>0</v>
      </c>
      <c r="CB156" s="518">
        <v>0</v>
      </c>
      <c r="CC156" s="518">
        <v>0</v>
      </c>
      <c r="CD156" s="518">
        <v>0</v>
      </c>
      <c r="CE156" s="518">
        <v>0</v>
      </c>
      <c r="CF156" s="518">
        <v>0</v>
      </c>
      <c r="CG156" s="518">
        <v>0</v>
      </c>
      <c r="CH156" s="518">
        <v>0</v>
      </c>
      <c r="CI156" s="518">
        <v>0</v>
      </c>
      <c r="CJ156" s="518">
        <v>0</v>
      </c>
      <c r="CK156" s="518">
        <v>0</v>
      </c>
      <c r="CL156" s="518">
        <v>0</v>
      </c>
      <c r="CM156" s="518">
        <v>0</v>
      </c>
      <c r="CN156" s="518">
        <v>0</v>
      </c>
      <c r="CO156" s="518">
        <v>0</v>
      </c>
      <c r="CP156" s="518">
        <v>0</v>
      </c>
      <c r="CQ156" s="518">
        <v>0</v>
      </c>
      <c r="CR156" s="518">
        <v>0</v>
      </c>
      <c r="CS156" s="518">
        <v>0</v>
      </c>
      <c r="CT156" s="518">
        <v>0</v>
      </c>
      <c r="CU156" s="518">
        <v>0</v>
      </c>
      <c r="CV156" s="518">
        <v>0</v>
      </c>
      <c r="CW156" s="518">
        <v>0</v>
      </c>
      <c r="CX156" s="518">
        <v>0</v>
      </c>
      <c r="CY156" s="518">
        <v>0</v>
      </c>
      <c r="CZ156" s="518">
        <v>0</v>
      </c>
      <c r="DA156" s="518">
        <v>0</v>
      </c>
      <c r="DB156" s="518">
        <v>0</v>
      </c>
      <c r="DC156" s="518">
        <v>0</v>
      </c>
      <c r="DD156" s="518">
        <v>0</v>
      </c>
      <c r="DE156" s="518">
        <v>0</v>
      </c>
      <c r="DF156" s="518">
        <v>0</v>
      </c>
      <c r="DG156" s="518">
        <v>0</v>
      </c>
      <c r="DH156" s="518">
        <v>0</v>
      </c>
      <c r="DI156" s="518">
        <v>0</v>
      </c>
      <c r="DJ156" s="518">
        <v>0</v>
      </c>
      <c r="DK156" s="518">
        <v>0</v>
      </c>
      <c r="DL156" s="518">
        <v>0</v>
      </c>
      <c r="DM156" s="518">
        <v>0</v>
      </c>
      <c r="DN156" s="518">
        <v>0</v>
      </c>
      <c r="DO156" s="518">
        <v>0</v>
      </c>
      <c r="DP156" s="518">
        <v>0</v>
      </c>
      <c r="DQ156" s="518">
        <v>0</v>
      </c>
      <c r="DR156" s="518">
        <v>0</v>
      </c>
      <c r="DS156" s="518">
        <v>0</v>
      </c>
      <c r="DT156" s="518">
        <v>0</v>
      </c>
      <c r="DU156" s="518">
        <v>0</v>
      </c>
      <c r="DV156" s="518">
        <v>0</v>
      </c>
      <c r="DW156" s="518">
        <v>0</v>
      </c>
      <c r="DX156" s="518">
        <v>0</v>
      </c>
      <c r="DZ156" s="517" t="s">
        <v>721</v>
      </c>
      <c r="EA156" s="517" t="s">
        <v>1101</v>
      </c>
      <c r="EB156" s="517" t="s">
        <v>26</v>
      </c>
      <c r="EC156" s="518">
        <v>23</v>
      </c>
      <c r="ED156" s="494" t="str">
        <f t="shared" si="7"/>
        <v>SWUC100223</v>
      </c>
      <c r="EE156" s="518">
        <v>70</v>
      </c>
      <c r="EF156" s="518">
        <v>2000</v>
      </c>
      <c r="EG156" s="518">
        <v>2000</v>
      </c>
      <c r="EH156" s="518">
        <v>2000</v>
      </c>
      <c r="EI156" s="518">
        <v>2000</v>
      </c>
      <c r="EJ156" s="518">
        <v>2000</v>
      </c>
      <c r="EK156" s="518">
        <v>2000</v>
      </c>
      <c r="EL156" s="518">
        <v>2000</v>
      </c>
      <c r="EM156" s="518">
        <v>2000</v>
      </c>
      <c r="EN156" s="518">
        <v>2000</v>
      </c>
      <c r="EO156" s="518">
        <v>0</v>
      </c>
      <c r="EP156" s="518">
        <v>0</v>
      </c>
      <c r="EQ156" s="518">
        <v>0</v>
      </c>
      <c r="ER156" s="518">
        <v>0</v>
      </c>
      <c r="ES156" s="518">
        <v>0</v>
      </c>
      <c r="ET156" s="518">
        <v>0</v>
      </c>
      <c r="EU156" s="518">
        <v>0</v>
      </c>
      <c r="EV156" s="518">
        <v>0</v>
      </c>
      <c r="EW156" s="518">
        <v>0</v>
      </c>
      <c r="EX156" s="518">
        <v>0</v>
      </c>
      <c r="EY156" s="518">
        <v>0</v>
      </c>
      <c r="EZ156" s="518">
        <v>0</v>
      </c>
      <c r="FA156" s="518">
        <v>0</v>
      </c>
      <c r="FB156" s="518">
        <v>0</v>
      </c>
      <c r="FC156" s="518">
        <v>0</v>
      </c>
      <c r="FD156" s="518">
        <v>0</v>
      </c>
      <c r="FE156" s="518">
        <v>0</v>
      </c>
      <c r="FF156" s="518">
        <v>0</v>
      </c>
      <c r="FG156" s="518">
        <v>0</v>
      </c>
      <c r="FH156" s="518">
        <v>0</v>
      </c>
      <c r="FI156" s="518">
        <v>0</v>
      </c>
      <c r="FJ156" s="518">
        <v>0</v>
      </c>
      <c r="FK156" s="518">
        <v>0</v>
      </c>
      <c r="FL156" s="518">
        <v>0</v>
      </c>
      <c r="FM156" s="518">
        <v>0</v>
      </c>
      <c r="FN156" s="518">
        <v>0</v>
      </c>
      <c r="FO156" s="518">
        <v>0</v>
      </c>
      <c r="FP156" s="518">
        <v>0</v>
      </c>
      <c r="FQ156" s="518">
        <v>0</v>
      </c>
      <c r="FR156" s="518">
        <v>0</v>
      </c>
      <c r="FS156" s="518">
        <v>0</v>
      </c>
      <c r="FT156" s="518">
        <v>0</v>
      </c>
      <c r="FU156" s="518">
        <v>0</v>
      </c>
      <c r="FV156" s="518">
        <v>0</v>
      </c>
      <c r="FW156" s="518">
        <v>0</v>
      </c>
      <c r="FX156" s="518">
        <v>0</v>
      </c>
      <c r="FY156" s="518">
        <v>0</v>
      </c>
      <c r="FZ156" s="518">
        <v>0</v>
      </c>
      <c r="GA156" s="518">
        <v>0</v>
      </c>
      <c r="GB156" s="518">
        <v>0</v>
      </c>
      <c r="GC156" s="518">
        <v>0</v>
      </c>
      <c r="GD156" s="518">
        <v>0</v>
      </c>
      <c r="GE156" s="518">
        <v>0</v>
      </c>
      <c r="GF156" s="518">
        <v>0</v>
      </c>
      <c r="GG156" s="518">
        <v>0</v>
      </c>
      <c r="GH156" s="518">
        <v>0</v>
      </c>
      <c r="GI156" s="518">
        <v>0</v>
      </c>
      <c r="GJ156" s="518">
        <v>0</v>
      </c>
      <c r="GK156" s="518">
        <v>0</v>
      </c>
      <c r="GL156" s="518">
        <v>0</v>
      </c>
      <c r="GM156" s="518">
        <v>0</v>
      </c>
      <c r="GN156" s="518">
        <v>0</v>
      </c>
      <c r="GO156" s="518">
        <v>0</v>
      </c>
      <c r="GP156" s="518">
        <v>0</v>
      </c>
      <c r="GQ156" s="518">
        <v>0</v>
      </c>
      <c r="GR156" s="518">
        <v>0</v>
      </c>
      <c r="GS156" s="518">
        <v>0</v>
      </c>
      <c r="GT156" s="518">
        <v>0</v>
      </c>
      <c r="GU156" s="518">
        <v>0</v>
      </c>
      <c r="GV156" s="518">
        <v>0</v>
      </c>
      <c r="GW156" s="518">
        <v>0</v>
      </c>
      <c r="GX156" s="518">
        <v>0</v>
      </c>
      <c r="GY156" s="518">
        <v>0</v>
      </c>
      <c r="GZ156" s="518">
        <v>0</v>
      </c>
      <c r="HA156" s="518">
        <v>0</v>
      </c>
      <c r="HB156" s="518">
        <v>0</v>
      </c>
      <c r="HC156" s="518">
        <v>0</v>
      </c>
      <c r="HD156" s="518">
        <v>0</v>
      </c>
      <c r="HE156" s="518">
        <v>0</v>
      </c>
      <c r="HF156" s="518">
        <v>0</v>
      </c>
      <c r="HG156" s="518">
        <v>0</v>
      </c>
      <c r="HH156" s="518">
        <v>0</v>
      </c>
      <c r="HI156" s="518">
        <v>0</v>
      </c>
      <c r="HJ156" s="518">
        <v>0</v>
      </c>
      <c r="HK156" s="518">
        <v>0</v>
      </c>
      <c r="HL156" s="518">
        <v>0</v>
      </c>
      <c r="HM156" s="518">
        <v>0</v>
      </c>
      <c r="HN156" s="518">
        <v>0</v>
      </c>
      <c r="HO156" s="518">
        <v>0</v>
      </c>
      <c r="HP156" s="518">
        <v>0</v>
      </c>
      <c r="HQ156" s="518">
        <v>0</v>
      </c>
      <c r="HR156" s="518">
        <v>0</v>
      </c>
      <c r="HS156" s="518">
        <v>0</v>
      </c>
      <c r="HT156" s="518">
        <v>0</v>
      </c>
      <c r="HU156" s="518">
        <v>0</v>
      </c>
      <c r="HV156" s="518">
        <v>0</v>
      </c>
      <c r="HW156" s="518">
        <v>0</v>
      </c>
      <c r="HX156" s="518">
        <v>0</v>
      </c>
      <c r="HY156" s="518">
        <v>0</v>
      </c>
      <c r="HZ156" s="518">
        <v>0</v>
      </c>
      <c r="IA156" s="518">
        <v>0</v>
      </c>
      <c r="IB156" s="518">
        <v>0</v>
      </c>
      <c r="IC156" s="518">
        <v>0</v>
      </c>
      <c r="ID156" s="518">
        <v>0</v>
      </c>
      <c r="IE156" s="518">
        <v>0</v>
      </c>
      <c r="IF156" s="518">
        <v>0</v>
      </c>
      <c r="IG156" s="518">
        <v>0</v>
      </c>
      <c r="IH156" s="518">
        <v>0</v>
      </c>
      <c r="II156" s="518">
        <v>0</v>
      </c>
      <c r="IJ156" s="518">
        <v>0</v>
      </c>
      <c r="IK156" s="518">
        <v>0</v>
      </c>
    </row>
    <row r="157" spans="1:245" ht="16.5" hidden="1">
      <c r="A157" s="517"/>
      <c r="B157" s="517"/>
      <c r="C157" s="517"/>
      <c r="D157" s="517"/>
      <c r="E157" s="517"/>
      <c r="F157" s="517"/>
      <c r="G157" s="558"/>
      <c r="H157" s="518"/>
      <c r="I157" s="558"/>
      <c r="J157" s="494"/>
      <c r="K157" s="518"/>
      <c r="M157" s="517" t="s">
        <v>721</v>
      </c>
      <c r="N157" s="517" t="s">
        <v>1101</v>
      </c>
      <c r="O157" s="517" t="s">
        <v>26</v>
      </c>
      <c r="P157" s="518">
        <v>24</v>
      </c>
      <c r="Q157" s="494" t="str">
        <f t="shared" si="6"/>
        <v>SWUC100224</v>
      </c>
      <c r="R157" s="518">
        <v>73.099999999999994</v>
      </c>
      <c r="S157" s="518">
        <v>10000</v>
      </c>
      <c r="T157" s="518">
        <v>10000</v>
      </c>
      <c r="U157" s="518">
        <v>10000</v>
      </c>
      <c r="V157" s="518">
        <v>10000</v>
      </c>
      <c r="W157" s="518">
        <v>10000</v>
      </c>
      <c r="X157" s="518">
        <v>10000</v>
      </c>
      <c r="Y157" s="518">
        <v>10000</v>
      </c>
      <c r="Z157" s="518">
        <v>10000</v>
      </c>
      <c r="AA157" s="518">
        <v>10000</v>
      </c>
      <c r="AB157" s="518">
        <v>0</v>
      </c>
      <c r="AC157" s="518">
        <v>0</v>
      </c>
      <c r="AD157" s="518">
        <v>0</v>
      </c>
      <c r="AE157" s="518">
        <v>0</v>
      </c>
      <c r="AF157" s="518">
        <v>0</v>
      </c>
      <c r="AG157" s="518">
        <v>0</v>
      </c>
      <c r="AH157" s="518">
        <v>0</v>
      </c>
      <c r="AI157" s="518">
        <v>0</v>
      </c>
      <c r="AJ157" s="518">
        <v>0</v>
      </c>
      <c r="AK157" s="518">
        <v>0</v>
      </c>
      <c r="AL157" s="518">
        <v>0</v>
      </c>
      <c r="AM157" s="518">
        <v>0</v>
      </c>
      <c r="AN157" s="518">
        <v>0</v>
      </c>
      <c r="AO157" s="518">
        <v>0</v>
      </c>
      <c r="AP157" s="518">
        <v>0</v>
      </c>
      <c r="AQ157" s="518">
        <v>0</v>
      </c>
      <c r="AR157" s="518">
        <v>0</v>
      </c>
      <c r="AS157" s="518">
        <v>0</v>
      </c>
      <c r="AT157" s="518">
        <v>0</v>
      </c>
      <c r="AU157" s="518">
        <v>0</v>
      </c>
      <c r="AV157" s="518">
        <v>0</v>
      </c>
      <c r="AW157" s="518">
        <v>0</v>
      </c>
      <c r="AX157" s="518">
        <v>0</v>
      </c>
      <c r="AY157" s="518">
        <v>0</v>
      </c>
      <c r="AZ157" s="518">
        <v>0</v>
      </c>
      <c r="BA157" s="518">
        <v>0</v>
      </c>
      <c r="BB157" s="518">
        <v>0</v>
      </c>
      <c r="BC157" s="518">
        <v>0</v>
      </c>
      <c r="BD157" s="518">
        <v>0</v>
      </c>
      <c r="BE157" s="518">
        <v>0</v>
      </c>
      <c r="BF157" s="518">
        <v>0</v>
      </c>
      <c r="BG157" s="518">
        <v>0</v>
      </c>
      <c r="BH157" s="518">
        <v>0</v>
      </c>
      <c r="BI157" s="518">
        <v>0</v>
      </c>
      <c r="BJ157" s="518">
        <v>0</v>
      </c>
      <c r="BK157" s="518">
        <v>0</v>
      </c>
      <c r="BL157" s="518">
        <v>0</v>
      </c>
      <c r="BM157" s="518">
        <v>0</v>
      </c>
      <c r="BN157" s="518">
        <v>0</v>
      </c>
      <c r="BO157" s="518">
        <v>0</v>
      </c>
      <c r="BP157" s="518">
        <v>0</v>
      </c>
      <c r="BQ157" s="518">
        <v>0</v>
      </c>
      <c r="BR157" s="518">
        <v>0</v>
      </c>
      <c r="BS157" s="518">
        <v>0</v>
      </c>
      <c r="BT157" s="518">
        <v>0</v>
      </c>
      <c r="BU157" s="518">
        <v>0</v>
      </c>
      <c r="BV157" s="518">
        <v>0</v>
      </c>
      <c r="BW157" s="518">
        <v>0</v>
      </c>
      <c r="BX157" s="518">
        <v>0</v>
      </c>
      <c r="BY157" s="518">
        <v>0</v>
      </c>
      <c r="BZ157" s="518">
        <v>0</v>
      </c>
      <c r="CA157" s="518">
        <v>0</v>
      </c>
      <c r="CB157" s="518">
        <v>0</v>
      </c>
      <c r="CC157" s="518">
        <v>0</v>
      </c>
      <c r="CD157" s="518">
        <v>0</v>
      </c>
      <c r="CE157" s="518">
        <v>0</v>
      </c>
      <c r="CF157" s="518">
        <v>0</v>
      </c>
      <c r="CG157" s="518">
        <v>0</v>
      </c>
      <c r="CH157" s="518">
        <v>0</v>
      </c>
      <c r="CI157" s="518">
        <v>0</v>
      </c>
      <c r="CJ157" s="518">
        <v>0</v>
      </c>
      <c r="CK157" s="518">
        <v>0</v>
      </c>
      <c r="CL157" s="518">
        <v>0</v>
      </c>
      <c r="CM157" s="518">
        <v>0</v>
      </c>
      <c r="CN157" s="518">
        <v>0</v>
      </c>
      <c r="CO157" s="518">
        <v>0</v>
      </c>
      <c r="CP157" s="518">
        <v>0</v>
      </c>
      <c r="CQ157" s="518">
        <v>0</v>
      </c>
      <c r="CR157" s="518">
        <v>0</v>
      </c>
      <c r="CS157" s="518">
        <v>0</v>
      </c>
      <c r="CT157" s="518">
        <v>0</v>
      </c>
      <c r="CU157" s="518">
        <v>0</v>
      </c>
      <c r="CV157" s="518">
        <v>0</v>
      </c>
      <c r="CW157" s="518">
        <v>0</v>
      </c>
      <c r="CX157" s="518">
        <v>0</v>
      </c>
      <c r="CY157" s="518">
        <v>0</v>
      </c>
      <c r="CZ157" s="518">
        <v>0</v>
      </c>
      <c r="DA157" s="518">
        <v>0</v>
      </c>
      <c r="DB157" s="518">
        <v>0</v>
      </c>
      <c r="DC157" s="518">
        <v>0</v>
      </c>
      <c r="DD157" s="518">
        <v>0</v>
      </c>
      <c r="DE157" s="518">
        <v>0</v>
      </c>
      <c r="DF157" s="518">
        <v>0</v>
      </c>
      <c r="DG157" s="518">
        <v>0</v>
      </c>
      <c r="DH157" s="518">
        <v>0</v>
      </c>
      <c r="DI157" s="518">
        <v>0</v>
      </c>
      <c r="DJ157" s="518">
        <v>0</v>
      </c>
      <c r="DK157" s="518">
        <v>0</v>
      </c>
      <c r="DL157" s="518">
        <v>0</v>
      </c>
      <c r="DM157" s="518">
        <v>0</v>
      </c>
      <c r="DN157" s="518">
        <v>0</v>
      </c>
      <c r="DO157" s="518">
        <v>0</v>
      </c>
      <c r="DP157" s="518">
        <v>0</v>
      </c>
      <c r="DQ157" s="518">
        <v>0</v>
      </c>
      <c r="DR157" s="518">
        <v>0</v>
      </c>
      <c r="DS157" s="518">
        <v>0</v>
      </c>
      <c r="DT157" s="518">
        <v>0</v>
      </c>
      <c r="DU157" s="518">
        <v>0</v>
      </c>
      <c r="DV157" s="518">
        <v>0</v>
      </c>
      <c r="DW157" s="518">
        <v>0</v>
      </c>
      <c r="DX157" s="518">
        <v>0</v>
      </c>
      <c r="DZ157" s="517" t="s">
        <v>721</v>
      </c>
      <c r="EA157" s="517" t="s">
        <v>1101</v>
      </c>
      <c r="EB157" s="517" t="s">
        <v>26</v>
      </c>
      <c r="EC157" s="518">
        <v>24</v>
      </c>
      <c r="ED157" s="494" t="str">
        <f t="shared" si="7"/>
        <v>SWUC100224</v>
      </c>
      <c r="EE157" s="518">
        <v>73.099999999999994</v>
      </c>
      <c r="EF157" s="518">
        <v>2000</v>
      </c>
      <c r="EG157" s="518">
        <v>2000</v>
      </c>
      <c r="EH157" s="518">
        <v>2000</v>
      </c>
      <c r="EI157" s="518">
        <v>2000</v>
      </c>
      <c r="EJ157" s="518">
        <v>2000</v>
      </c>
      <c r="EK157" s="518">
        <v>2000</v>
      </c>
      <c r="EL157" s="518">
        <v>2000</v>
      </c>
      <c r="EM157" s="518">
        <v>2000</v>
      </c>
      <c r="EN157" s="518">
        <v>2000</v>
      </c>
      <c r="EO157" s="518">
        <v>0</v>
      </c>
      <c r="EP157" s="518">
        <v>0</v>
      </c>
      <c r="EQ157" s="518">
        <v>0</v>
      </c>
      <c r="ER157" s="518">
        <v>0</v>
      </c>
      <c r="ES157" s="518">
        <v>0</v>
      </c>
      <c r="ET157" s="518">
        <v>0</v>
      </c>
      <c r="EU157" s="518">
        <v>0</v>
      </c>
      <c r="EV157" s="518">
        <v>0</v>
      </c>
      <c r="EW157" s="518">
        <v>0</v>
      </c>
      <c r="EX157" s="518">
        <v>0</v>
      </c>
      <c r="EY157" s="518">
        <v>0</v>
      </c>
      <c r="EZ157" s="518">
        <v>0</v>
      </c>
      <c r="FA157" s="518">
        <v>0</v>
      </c>
      <c r="FB157" s="518">
        <v>0</v>
      </c>
      <c r="FC157" s="518">
        <v>0</v>
      </c>
      <c r="FD157" s="518">
        <v>0</v>
      </c>
      <c r="FE157" s="518">
        <v>0</v>
      </c>
      <c r="FF157" s="518">
        <v>0</v>
      </c>
      <c r="FG157" s="518">
        <v>0</v>
      </c>
      <c r="FH157" s="518">
        <v>0</v>
      </c>
      <c r="FI157" s="518">
        <v>0</v>
      </c>
      <c r="FJ157" s="518">
        <v>0</v>
      </c>
      <c r="FK157" s="518">
        <v>0</v>
      </c>
      <c r="FL157" s="518">
        <v>0</v>
      </c>
      <c r="FM157" s="518">
        <v>0</v>
      </c>
      <c r="FN157" s="518">
        <v>0</v>
      </c>
      <c r="FO157" s="518">
        <v>0</v>
      </c>
      <c r="FP157" s="518">
        <v>0</v>
      </c>
      <c r="FQ157" s="518">
        <v>0</v>
      </c>
      <c r="FR157" s="518">
        <v>0</v>
      </c>
      <c r="FS157" s="518">
        <v>0</v>
      </c>
      <c r="FT157" s="518">
        <v>0</v>
      </c>
      <c r="FU157" s="518">
        <v>0</v>
      </c>
      <c r="FV157" s="518">
        <v>0</v>
      </c>
      <c r="FW157" s="518">
        <v>0</v>
      </c>
      <c r="FX157" s="518">
        <v>0</v>
      </c>
      <c r="FY157" s="518">
        <v>0</v>
      </c>
      <c r="FZ157" s="518">
        <v>0</v>
      </c>
      <c r="GA157" s="518">
        <v>0</v>
      </c>
      <c r="GB157" s="518">
        <v>0</v>
      </c>
      <c r="GC157" s="518">
        <v>0</v>
      </c>
      <c r="GD157" s="518">
        <v>0</v>
      </c>
      <c r="GE157" s="518">
        <v>0</v>
      </c>
      <c r="GF157" s="518">
        <v>0</v>
      </c>
      <c r="GG157" s="518">
        <v>0</v>
      </c>
      <c r="GH157" s="518">
        <v>0</v>
      </c>
      <c r="GI157" s="518">
        <v>0</v>
      </c>
      <c r="GJ157" s="518">
        <v>0</v>
      </c>
      <c r="GK157" s="518">
        <v>0</v>
      </c>
      <c r="GL157" s="518">
        <v>0</v>
      </c>
      <c r="GM157" s="518">
        <v>0</v>
      </c>
      <c r="GN157" s="518">
        <v>0</v>
      </c>
      <c r="GO157" s="518">
        <v>0</v>
      </c>
      <c r="GP157" s="518">
        <v>0</v>
      </c>
      <c r="GQ157" s="518">
        <v>0</v>
      </c>
      <c r="GR157" s="518">
        <v>0</v>
      </c>
      <c r="GS157" s="518">
        <v>0</v>
      </c>
      <c r="GT157" s="518">
        <v>0</v>
      </c>
      <c r="GU157" s="518">
        <v>0</v>
      </c>
      <c r="GV157" s="518">
        <v>0</v>
      </c>
      <c r="GW157" s="518">
        <v>0</v>
      </c>
      <c r="GX157" s="518">
        <v>0</v>
      </c>
      <c r="GY157" s="518">
        <v>0</v>
      </c>
      <c r="GZ157" s="518">
        <v>0</v>
      </c>
      <c r="HA157" s="518">
        <v>0</v>
      </c>
      <c r="HB157" s="518">
        <v>0</v>
      </c>
      <c r="HC157" s="518">
        <v>0</v>
      </c>
      <c r="HD157" s="518">
        <v>0</v>
      </c>
      <c r="HE157" s="518">
        <v>0</v>
      </c>
      <c r="HF157" s="518">
        <v>0</v>
      </c>
      <c r="HG157" s="518">
        <v>0</v>
      </c>
      <c r="HH157" s="518">
        <v>0</v>
      </c>
      <c r="HI157" s="518">
        <v>0</v>
      </c>
      <c r="HJ157" s="518">
        <v>0</v>
      </c>
      <c r="HK157" s="518">
        <v>0</v>
      </c>
      <c r="HL157" s="518">
        <v>0</v>
      </c>
      <c r="HM157" s="518">
        <v>0</v>
      </c>
      <c r="HN157" s="518">
        <v>0</v>
      </c>
      <c r="HO157" s="518">
        <v>0</v>
      </c>
      <c r="HP157" s="518">
        <v>0</v>
      </c>
      <c r="HQ157" s="518">
        <v>0</v>
      </c>
      <c r="HR157" s="518">
        <v>0</v>
      </c>
      <c r="HS157" s="518">
        <v>0</v>
      </c>
      <c r="HT157" s="518">
        <v>0</v>
      </c>
      <c r="HU157" s="518">
        <v>0</v>
      </c>
      <c r="HV157" s="518">
        <v>0</v>
      </c>
      <c r="HW157" s="518">
        <v>0</v>
      </c>
      <c r="HX157" s="518">
        <v>0</v>
      </c>
      <c r="HY157" s="518">
        <v>0</v>
      </c>
      <c r="HZ157" s="518">
        <v>0</v>
      </c>
      <c r="IA157" s="518">
        <v>0</v>
      </c>
      <c r="IB157" s="518">
        <v>0</v>
      </c>
      <c r="IC157" s="518">
        <v>0</v>
      </c>
      <c r="ID157" s="518">
        <v>0</v>
      </c>
      <c r="IE157" s="518">
        <v>0</v>
      </c>
      <c r="IF157" s="518">
        <v>0</v>
      </c>
      <c r="IG157" s="518">
        <v>0</v>
      </c>
      <c r="IH157" s="518">
        <v>0</v>
      </c>
      <c r="II157" s="518">
        <v>0</v>
      </c>
      <c r="IJ157" s="518">
        <v>0</v>
      </c>
      <c r="IK157" s="518">
        <v>0</v>
      </c>
    </row>
    <row r="158" spans="1:245" ht="16.5" hidden="1">
      <c r="A158" s="517"/>
      <c r="B158" s="517"/>
      <c r="C158" s="517"/>
      <c r="D158" s="517"/>
      <c r="E158" s="517"/>
      <c r="F158" s="517"/>
      <c r="G158" s="558"/>
      <c r="H158" s="518"/>
      <c r="I158" s="558"/>
      <c r="J158" s="494"/>
      <c r="K158" s="518"/>
      <c r="M158" s="517" t="s">
        <v>721</v>
      </c>
      <c r="N158" s="517" t="s">
        <v>1101</v>
      </c>
      <c r="O158" s="517" t="s">
        <v>26</v>
      </c>
      <c r="P158" s="518">
        <v>25</v>
      </c>
      <c r="Q158" s="494" t="str">
        <f t="shared" si="6"/>
        <v>SWUC100225</v>
      </c>
      <c r="R158" s="518">
        <v>76.3</v>
      </c>
      <c r="S158" s="518">
        <v>10000</v>
      </c>
      <c r="T158" s="518">
        <v>10000</v>
      </c>
      <c r="U158" s="518">
        <v>10000</v>
      </c>
      <c r="V158" s="518">
        <v>10000</v>
      </c>
      <c r="W158" s="518">
        <v>10000</v>
      </c>
      <c r="X158" s="518">
        <v>10000</v>
      </c>
      <c r="Y158" s="518">
        <v>10000</v>
      </c>
      <c r="Z158" s="518">
        <v>10000</v>
      </c>
      <c r="AA158" s="518">
        <v>10000</v>
      </c>
      <c r="AB158" s="518">
        <v>0</v>
      </c>
      <c r="AC158" s="518">
        <v>0</v>
      </c>
      <c r="AD158" s="518">
        <v>0</v>
      </c>
      <c r="AE158" s="518">
        <v>0</v>
      </c>
      <c r="AF158" s="518">
        <v>0</v>
      </c>
      <c r="AG158" s="518">
        <v>0</v>
      </c>
      <c r="AH158" s="518">
        <v>0</v>
      </c>
      <c r="AI158" s="518">
        <v>0</v>
      </c>
      <c r="AJ158" s="518">
        <v>0</v>
      </c>
      <c r="AK158" s="518">
        <v>0</v>
      </c>
      <c r="AL158" s="518">
        <v>0</v>
      </c>
      <c r="AM158" s="518">
        <v>0</v>
      </c>
      <c r="AN158" s="518">
        <v>0</v>
      </c>
      <c r="AO158" s="518">
        <v>0</v>
      </c>
      <c r="AP158" s="518">
        <v>0</v>
      </c>
      <c r="AQ158" s="518">
        <v>0</v>
      </c>
      <c r="AR158" s="518">
        <v>0</v>
      </c>
      <c r="AS158" s="518">
        <v>0</v>
      </c>
      <c r="AT158" s="518">
        <v>0</v>
      </c>
      <c r="AU158" s="518">
        <v>0</v>
      </c>
      <c r="AV158" s="518">
        <v>0</v>
      </c>
      <c r="AW158" s="518">
        <v>0</v>
      </c>
      <c r="AX158" s="518">
        <v>0</v>
      </c>
      <c r="AY158" s="518">
        <v>0</v>
      </c>
      <c r="AZ158" s="518">
        <v>0</v>
      </c>
      <c r="BA158" s="518">
        <v>0</v>
      </c>
      <c r="BB158" s="518">
        <v>0</v>
      </c>
      <c r="BC158" s="518">
        <v>0</v>
      </c>
      <c r="BD158" s="518">
        <v>0</v>
      </c>
      <c r="BE158" s="518">
        <v>0</v>
      </c>
      <c r="BF158" s="518">
        <v>0</v>
      </c>
      <c r="BG158" s="518">
        <v>0</v>
      </c>
      <c r="BH158" s="518">
        <v>0</v>
      </c>
      <c r="BI158" s="518">
        <v>0</v>
      </c>
      <c r="BJ158" s="518">
        <v>0</v>
      </c>
      <c r="BK158" s="518">
        <v>0</v>
      </c>
      <c r="BL158" s="518">
        <v>0</v>
      </c>
      <c r="BM158" s="518">
        <v>0</v>
      </c>
      <c r="BN158" s="518">
        <v>0</v>
      </c>
      <c r="BO158" s="518">
        <v>0</v>
      </c>
      <c r="BP158" s="518">
        <v>0</v>
      </c>
      <c r="BQ158" s="518">
        <v>0</v>
      </c>
      <c r="BR158" s="518">
        <v>0</v>
      </c>
      <c r="BS158" s="518">
        <v>0</v>
      </c>
      <c r="BT158" s="518">
        <v>0</v>
      </c>
      <c r="BU158" s="518">
        <v>0</v>
      </c>
      <c r="BV158" s="518">
        <v>0</v>
      </c>
      <c r="BW158" s="518">
        <v>0</v>
      </c>
      <c r="BX158" s="518">
        <v>0</v>
      </c>
      <c r="BY158" s="518">
        <v>0</v>
      </c>
      <c r="BZ158" s="518">
        <v>0</v>
      </c>
      <c r="CA158" s="518">
        <v>0</v>
      </c>
      <c r="CB158" s="518">
        <v>0</v>
      </c>
      <c r="CC158" s="518">
        <v>0</v>
      </c>
      <c r="CD158" s="518">
        <v>0</v>
      </c>
      <c r="CE158" s="518">
        <v>0</v>
      </c>
      <c r="CF158" s="518">
        <v>0</v>
      </c>
      <c r="CG158" s="518">
        <v>0</v>
      </c>
      <c r="CH158" s="518">
        <v>0</v>
      </c>
      <c r="CI158" s="518">
        <v>0</v>
      </c>
      <c r="CJ158" s="518">
        <v>0</v>
      </c>
      <c r="CK158" s="518">
        <v>0</v>
      </c>
      <c r="CL158" s="518">
        <v>0</v>
      </c>
      <c r="CM158" s="518">
        <v>0</v>
      </c>
      <c r="CN158" s="518">
        <v>0</v>
      </c>
      <c r="CO158" s="518">
        <v>0</v>
      </c>
      <c r="CP158" s="518">
        <v>0</v>
      </c>
      <c r="CQ158" s="518">
        <v>0</v>
      </c>
      <c r="CR158" s="518">
        <v>0</v>
      </c>
      <c r="CS158" s="518">
        <v>0</v>
      </c>
      <c r="CT158" s="518">
        <v>0</v>
      </c>
      <c r="CU158" s="518">
        <v>0</v>
      </c>
      <c r="CV158" s="518">
        <v>0</v>
      </c>
      <c r="CW158" s="518">
        <v>0</v>
      </c>
      <c r="CX158" s="518">
        <v>0</v>
      </c>
      <c r="CY158" s="518">
        <v>0</v>
      </c>
      <c r="CZ158" s="518">
        <v>0</v>
      </c>
      <c r="DA158" s="518">
        <v>0</v>
      </c>
      <c r="DB158" s="518">
        <v>0</v>
      </c>
      <c r="DC158" s="518">
        <v>0</v>
      </c>
      <c r="DD158" s="518">
        <v>0</v>
      </c>
      <c r="DE158" s="518">
        <v>0</v>
      </c>
      <c r="DF158" s="518">
        <v>0</v>
      </c>
      <c r="DG158" s="518">
        <v>0</v>
      </c>
      <c r="DH158" s="518">
        <v>0</v>
      </c>
      <c r="DI158" s="518">
        <v>0</v>
      </c>
      <c r="DJ158" s="518">
        <v>0</v>
      </c>
      <c r="DK158" s="518">
        <v>0</v>
      </c>
      <c r="DL158" s="518">
        <v>0</v>
      </c>
      <c r="DM158" s="518">
        <v>0</v>
      </c>
      <c r="DN158" s="518">
        <v>0</v>
      </c>
      <c r="DO158" s="518">
        <v>0</v>
      </c>
      <c r="DP158" s="518">
        <v>0</v>
      </c>
      <c r="DQ158" s="518">
        <v>0</v>
      </c>
      <c r="DR158" s="518">
        <v>0</v>
      </c>
      <c r="DS158" s="518">
        <v>0</v>
      </c>
      <c r="DT158" s="518">
        <v>0</v>
      </c>
      <c r="DU158" s="518">
        <v>0</v>
      </c>
      <c r="DV158" s="518">
        <v>0</v>
      </c>
      <c r="DW158" s="518">
        <v>0</v>
      </c>
      <c r="DX158" s="518">
        <v>0</v>
      </c>
      <c r="DZ158" s="517" t="s">
        <v>721</v>
      </c>
      <c r="EA158" s="517" t="s">
        <v>1101</v>
      </c>
      <c r="EB158" s="517" t="s">
        <v>26</v>
      </c>
      <c r="EC158" s="518">
        <v>25</v>
      </c>
      <c r="ED158" s="494" t="str">
        <f t="shared" si="7"/>
        <v>SWUC100225</v>
      </c>
      <c r="EE158" s="518">
        <v>76.3</v>
      </c>
      <c r="EF158" s="518">
        <v>2000</v>
      </c>
      <c r="EG158" s="518">
        <v>2000</v>
      </c>
      <c r="EH158" s="518">
        <v>2000</v>
      </c>
      <c r="EI158" s="518">
        <v>2000</v>
      </c>
      <c r="EJ158" s="518">
        <v>2000</v>
      </c>
      <c r="EK158" s="518">
        <v>2000</v>
      </c>
      <c r="EL158" s="518">
        <v>2000</v>
      </c>
      <c r="EM158" s="518">
        <v>2000</v>
      </c>
      <c r="EN158" s="518">
        <v>2000</v>
      </c>
      <c r="EO158" s="518">
        <v>0</v>
      </c>
      <c r="EP158" s="518">
        <v>0</v>
      </c>
      <c r="EQ158" s="518">
        <v>0</v>
      </c>
      <c r="ER158" s="518">
        <v>0</v>
      </c>
      <c r="ES158" s="518">
        <v>0</v>
      </c>
      <c r="ET158" s="518">
        <v>0</v>
      </c>
      <c r="EU158" s="518">
        <v>0</v>
      </c>
      <c r="EV158" s="518">
        <v>0</v>
      </c>
      <c r="EW158" s="518">
        <v>0</v>
      </c>
      <c r="EX158" s="518">
        <v>0</v>
      </c>
      <c r="EY158" s="518">
        <v>0</v>
      </c>
      <c r="EZ158" s="518">
        <v>0</v>
      </c>
      <c r="FA158" s="518">
        <v>0</v>
      </c>
      <c r="FB158" s="518">
        <v>0</v>
      </c>
      <c r="FC158" s="518">
        <v>0</v>
      </c>
      <c r="FD158" s="518">
        <v>0</v>
      </c>
      <c r="FE158" s="518">
        <v>0</v>
      </c>
      <c r="FF158" s="518">
        <v>0</v>
      </c>
      <c r="FG158" s="518">
        <v>0</v>
      </c>
      <c r="FH158" s="518">
        <v>0</v>
      </c>
      <c r="FI158" s="518">
        <v>0</v>
      </c>
      <c r="FJ158" s="518">
        <v>0</v>
      </c>
      <c r="FK158" s="518">
        <v>0</v>
      </c>
      <c r="FL158" s="518">
        <v>0</v>
      </c>
      <c r="FM158" s="518">
        <v>0</v>
      </c>
      <c r="FN158" s="518">
        <v>0</v>
      </c>
      <c r="FO158" s="518">
        <v>0</v>
      </c>
      <c r="FP158" s="518">
        <v>0</v>
      </c>
      <c r="FQ158" s="518">
        <v>0</v>
      </c>
      <c r="FR158" s="518">
        <v>0</v>
      </c>
      <c r="FS158" s="518">
        <v>0</v>
      </c>
      <c r="FT158" s="518">
        <v>0</v>
      </c>
      <c r="FU158" s="518">
        <v>0</v>
      </c>
      <c r="FV158" s="518">
        <v>0</v>
      </c>
      <c r="FW158" s="518">
        <v>0</v>
      </c>
      <c r="FX158" s="518">
        <v>0</v>
      </c>
      <c r="FY158" s="518">
        <v>0</v>
      </c>
      <c r="FZ158" s="518">
        <v>0</v>
      </c>
      <c r="GA158" s="518">
        <v>0</v>
      </c>
      <c r="GB158" s="518">
        <v>0</v>
      </c>
      <c r="GC158" s="518">
        <v>0</v>
      </c>
      <c r="GD158" s="518">
        <v>0</v>
      </c>
      <c r="GE158" s="518">
        <v>0</v>
      </c>
      <c r="GF158" s="518">
        <v>0</v>
      </c>
      <c r="GG158" s="518">
        <v>0</v>
      </c>
      <c r="GH158" s="518">
        <v>0</v>
      </c>
      <c r="GI158" s="518">
        <v>0</v>
      </c>
      <c r="GJ158" s="518">
        <v>0</v>
      </c>
      <c r="GK158" s="518">
        <v>0</v>
      </c>
      <c r="GL158" s="518">
        <v>0</v>
      </c>
      <c r="GM158" s="518">
        <v>0</v>
      </c>
      <c r="GN158" s="518">
        <v>0</v>
      </c>
      <c r="GO158" s="518">
        <v>0</v>
      </c>
      <c r="GP158" s="518">
        <v>0</v>
      </c>
      <c r="GQ158" s="518">
        <v>0</v>
      </c>
      <c r="GR158" s="518">
        <v>0</v>
      </c>
      <c r="GS158" s="518">
        <v>0</v>
      </c>
      <c r="GT158" s="518">
        <v>0</v>
      </c>
      <c r="GU158" s="518">
        <v>0</v>
      </c>
      <c r="GV158" s="518">
        <v>0</v>
      </c>
      <c r="GW158" s="518">
        <v>0</v>
      </c>
      <c r="GX158" s="518">
        <v>0</v>
      </c>
      <c r="GY158" s="518">
        <v>0</v>
      </c>
      <c r="GZ158" s="518">
        <v>0</v>
      </c>
      <c r="HA158" s="518">
        <v>0</v>
      </c>
      <c r="HB158" s="518">
        <v>0</v>
      </c>
      <c r="HC158" s="518">
        <v>0</v>
      </c>
      <c r="HD158" s="518">
        <v>0</v>
      </c>
      <c r="HE158" s="518">
        <v>0</v>
      </c>
      <c r="HF158" s="518">
        <v>0</v>
      </c>
      <c r="HG158" s="518">
        <v>0</v>
      </c>
      <c r="HH158" s="518">
        <v>0</v>
      </c>
      <c r="HI158" s="518">
        <v>0</v>
      </c>
      <c r="HJ158" s="518">
        <v>0</v>
      </c>
      <c r="HK158" s="518">
        <v>0</v>
      </c>
      <c r="HL158" s="518">
        <v>0</v>
      </c>
      <c r="HM158" s="518">
        <v>0</v>
      </c>
      <c r="HN158" s="518">
        <v>0</v>
      </c>
      <c r="HO158" s="518">
        <v>0</v>
      </c>
      <c r="HP158" s="518">
        <v>0</v>
      </c>
      <c r="HQ158" s="518">
        <v>0</v>
      </c>
      <c r="HR158" s="518">
        <v>0</v>
      </c>
      <c r="HS158" s="518">
        <v>0</v>
      </c>
      <c r="HT158" s="518">
        <v>0</v>
      </c>
      <c r="HU158" s="518">
        <v>0</v>
      </c>
      <c r="HV158" s="518">
        <v>0</v>
      </c>
      <c r="HW158" s="518">
        <v>0</v>
      </c>
      <c r="HX158" s="518">
        <v>0</v>
      </c>
      <c r="HY158" s="518">
        <v>0</v>
      </c>
      <c r="HZ158" s="518">
        <v>0</v>
      </c>
      <c r="IA158" s="518">
        <v>0</v>
      </c>
      <c r="IB158" s="518">
        <v>0</v>
      </c>
      <c r="IC158" s="518">
        <v>0</v>
      </c>
      <c r="ID158" s="518">
        <v>0</v>
      </c>
      <c r="IE158" s="518">
        <v>0</v>
      </c>
      <c r="IF158" s="518">
        <v>0</v>
      </c>
      <c r="IG158" s="518">
        <v>0</v>
      </c>
      <c r="IH158" s="518">
        <v>0</v>
      </c>
      <c r="II158" s="518">
        <v>0</v>
      </c>
      <c r="IJ158" s="518">
        <v>0</v>
      </c>
      <c r="IK158" s="518">
        <v>0</v>
      </c>
    </row>
    <row r="159" spans="1:245" ht="16.5" hidden="1">
      <c r="A159" s="517"/>
      <c r="B159" s="517"/>
      <c r="C159" s="517"/>
      <c r="D159" s="517"/>
      <c r="E159" s="517"/>
      <c r="F159" s="517"/>
      <c r="G159" s="558"/>
      <c r="H159" s="518"/>
      <c r="I159" s="558"/>
      <c r="J159" s="494"/>
      <c r="K159" s="518"/>
      <c r="M159" s="517" t="s">
        <v>721</v>
      </c>
      <c r="N159" s="517" t="s">
        <v>1101</v>
      </c>
      <c r="O159" s="517" t="s">
        <v>26</v>
      </c>
      <c r="P159" s="518">
        <v>26</v>
      </c>
      <c r="Q159" s="494" t="str">
        <f t="shared" si="6"/>
        <v>SWUC100226</v>
      </c>
      <c r="R159" s="518">
        <v>79.5</v>
      </c>
      <c r="S159" s="518">
        <v>10000</v>
      </c>
      <c r="T159" s="518">
        <v>10000</v>
      </c>
      <c r="U159" s="518">
        <v>10000</v>
      </c>
      <c r="V159" s="518">
        <v>10000</v>
      </c>
      <c r="W159" s="518">
        <v>10000</v>
      </c>
      <c r="X159" s="518">
        <v>10000</v>
      </c>
      <c r="Y159" s="518">
        <v>10000</v>
      </c>
      <c r="Z159" s="518">
        <v>10000</v>
      </c>
      <c r="AA159" s="518">
        <v>10000</v>
      </c>
      <c r="AB159" s="518">
        <v>0</v>
      </c>
      <c r="AC159" s="518">
        <v>0</v>
      </c>
      <c r="AD159" s="518">
        <v>0</v>
      </c>
      <c r="AE159" s="518">
        <v>0</v>
      </c>
      <c r="AF159" s="518">
        <v>0</v>
      </c>
      <c r="AG159" s="518">
        <v>0</v>
      </c>
      <c r="AH159" s="518">
        <v>0</v>
      </c>
      <c r="AI159" s="518">
        <v>0</v>
      </c>
      <c r="AJ159" s="518">
        <v>0</v>
      </c>
      <c r="AK159" s="518">
        <v>0</v>
      </c>
      <c r="AL159" s="518">
        <v>0</v>
      </c>
      <c r="AM159" s="518">
        <v>0</v>
      </c>
      <c r="AN159" s="518">
        <v>0</v>
      </c>
      <c r="AO159" s="518">
        <v>0</v>
      </c>
      <c r="AP159" s="518">
        <v>0</v>
      </c>
      <c r="AQ159" s="518">
        <v>0</v>
      </c>
      <c r="AR159" s="518">
        <v>0</v>
      </c>
      <c r="AS159" s="518">
        <v>0</v>
      </c>
      <c r="AT159" s="518">
        <v>0</v>
      </c>
      <c r="AU159" s="518">
        <v>0</v>
      </c>
      <c r="AV159" s="518">
        <v>0</v>
      </c>
      <c r="AW159" s="518">
        <v>0</v>
      </c>
      <c r="AX159" s="518">
        <v>0</v>
      </c>
      <c r="AY159" s="518">
        <v>0</v>
      </c>
      <c r="AZ159" s="518">
        <v>0</v>
      </c>
      <c r="BA159" s="518">
        <v>0</v>
      </c>
      <c r="BB159" s="518">
        <v>0</v>
      </c>
      <c r="BC159" s="518">
        <v>0</v>
      </c>
      <c r="BD159" s="518">
        <v>0</v>
      </c>
      <c r="BE159" s="518">
        <v>0</v>
      </c>
      <c r="BF159" s="518">
        <v>0</v>
      </c>
      <c r="BG159" s="518">
        <v>0</v>
      </c>
      <c r="BH159" s="518">
        <v>0</v>
      </c>
      <c r="BI159" s="518">
        <v>0</v>
      </c>
      <c r="BJ159" s="518">
        <v>0</v>
      </c>
      <c r="BK159" s="518">
        <v>0</v>
      </c>
      <c r="BL159" s="518">
        <v>0</v>
      </c>
      <c r="BM159" s="518">
        <v>0</v>
      </c>
      <c r="BN159" s="518">
        <v>0</v>
      </c>
      <c r="BO159" s="518">
        <v>0</v>
      </c>
      <c r="BP159" s="518">
        <v>0</v>
      </c>
      <c r="BQ159" s="518">
        <v>0</v>
      </c>
      <c r="BR159" s="518">
        <v>0</v>
      </c>
      <c r="BS159" s="518">
        <v>0</v>
      </c>
      <c r="BT159" s="518">
        <v>0</v>
      </c>
      <c r="BU159" s="518">
        <v>0</v>
      </c>
      <c r="BV159" s="518">
        <v>0</v>
      </c>
      <c r="BW159" s="518">
        <v>0</v>
      </c>
      <c r="BX159" s="518">
        <v>0</v>
      </c>
      <c r="BY159" s="518">
        <v>0</v>
      </c>
      <c r="BZ159" s="518">
        <v>0</v>
      </c>
      <c r="CA159" s="518">
        <v>0</v>
      </c>
      <c r="CB159" s="518">
        <v>0</v>
      </c>
      <c r="CC159" s="518">
        <v>0</v>
      </c>
      <c r="CD159" s="518">
        <v>0</v>
      </c>
      <c r="CE159" s="518">
        <v>0</v>
      </c>
      <c r="CF159" s="518">
        <v>0</v>
      </c>
      <c r="CG159" s="518">
        <v>0</v>
      </c>
      <c r="CH159" s="518">
        <v>0</v>
      </c>
      <c r="CI159" s="518">
        <v>0</v>
      </c>
      <c r="CJ159" s="518">
        <v>0</v>
      </c>
      <c r="CK159" s="518">
        <v>0</v>
      </c>
      <c r="CL159" s="518">
        <v>0</v>
      </c>
      <c r="CM159" s="518">
        <v>0</v>
      </c>
      <c r="CN159" s="518">
        <v>0</v>
      </c>
      <c r="CO159" s="518">
        <v>0</v>
      </c>
      <c r="CP159" s="518">
        <v>0</v>
      </c>
      <c r="CQ159" s="518">
        <v>0</v>
      </c>
      <c r="CR159" s="518">
        <v>0</v>
      </c>
      <c r="CS159" s="518">
        <v>0</v>
      </c>
      <c r="CT159" s="518">
        <v>0</v>
      </c>
      <c r="CU159" s="518">
        <v>0</v>
      </c>
      <c r="CV159" s="518">
        <v>0</v>
      </c>
      <c r="CW159" s="518">
        <v>0</v>
      </c>
      <c r="CX159" s="518">
        <v>0</v>
      </c>
      <c r="CY159" s="518">
        <v>0</v>
      </c>
      <c r="CZ159" s="518">
        <v>0</v>
      </c>
      <c r="DA159" s="518">
        <v>0</v>
      </c>
      <c r="DB159" s="518">
        <v>0</v>
      </c>
      <c r="DC159" s="518">
        <v>0</v>
      </c>
      <c r="DD159" s="518">
        <v>0</v>
      </c>
      <c r="DE159" s="518">
        <v>0</v>
      </c>
      <c r="DF159" s="518">
        <v>0</v>
      </c>
      <c r="DG159" s="518">
        <v>0</v>
      </c>
      <c r="DH159" s="518">
        <v>0</v>
      </c>
      <c r="DI159" s="518">
        <v>0</v>
      </c>
      <c r="DJ159" s="518">
        <v>0</v>
      </c>
      <c r="DK159" s="518">
        <v>0</v>
      </c>
      <c r="DL159" s="518">
        <v>0</v>
      </c>
      <c r="DM159" s="518">
        <v>0</v>
      </c>
      <c r="DN159" s="518">
        <v>0</v>
      </c>
      <c r="DO159" s="518">
        <v>0</v>
      </c>
      <c r="DP159" s="518">
        <v>0</v>
      </c>
      <c r="DQ159" s="518">
        <v>0</v>
      </c>
      <c r="DR159" s="518">
        <v>0</v>
      </c>
      <c r="DS159" s="518">
        <v>0</v>
      </c>
      <c r="DT159" s="518">
        <v>0</v>
      </c>
      <c r="DU159" s="518">
        <v>0</v>
      </c>
      <c r="DV159" s="518">
        <v>0</v>
      </c>
      <c r="DW159" s="518">
        <v>0</v>
      </c>
      <c r="DX159" s="518">
        <v>0</v>
      </c>
      <c r="DZ159" s="517" t="s">
        <v>721</v>
      </c>
      <c r="EA159" s="517" t="s">
        <v>1101</v>
      </c>
      <c r="EB159" s="517" t="s">
        <v>26</v>
      </c>
      <c r="EC159" s="518">
        <v>26</v>
      </c>
      <c r="ED159" s="494" t="str">
        <f t="shared" si="7"/>
        <v>SWUC100226</v>
      </c>
      <c r="EE159" s="518">
        <v>79.5</v>
      </c>
      <c r="EF159" s="518">
        <v>2000</v>
      </c>
      <c r="EG159" s="518">
        <v>2000</v>
      </c>
      <c r="EH159" s="518">
        <v>2000</v>
      </c>
      <c r="EI159" s="518">
        <v>2000</v>
      </c>
      <c r="EJ159" s="518">
        <v>2000</v>
      </c>
      <c r="EK159" s="518">
        <v>2000</v>
      </c>
      <c r="EL159" s="518">
        <v>2000</v>
      </c>
      <c r="EM159" s="518">
        <v>2000</v>
      </c>
      <c r="EN159" s="518">
        <v>2000</v>
      </c>
      <c r="EO159" s="518">
        <v>0</v>
      </c>
      <c r="EP159" s="518">
        <v>0</v>
      </c>
      <c r="EQ159" s="518">
        <v>0</v>
      </c>
      <c r="ER159" s="518">
        <v>0</v>
      </c>
      <c r="ES159" s="518">
        <v>0</v>
      </c>
      <c r="ET159" s="518">
        <v>0</v>
      </c>
      <c r="EU159" s="518">
        <v>0</v>
      </c>
      <c r="EV159" s="518">
        <v>0</v>
      </c>
      <c r="EW159" s="518">
        <v>0</v>
      </c>
      <c r="EX159" s="518">
        <v>0</v>
      </c>
      <c r="EY159" s="518">
        <v>0</v>
      </c>
      <c r="EZ159" s="518">
        <v>0</v>
      </c>
      <c r="FA159" s="518">
        <v>0</v>
      </c>
      <c r="FB159" s="518">
        <v>0</v>
      </c>
      <c r="FC159" s="518">
        <v>0</v>
      </c>
      <c r="FD159" s="518">
        <v>0</v>
      </c>
      <c r="FE159" s="518">
        <v>0</v>
      </c>
      <c r="FF159" s="518">
        <v>0</v>
      </c>
      <c r="FG159" s="518">
        <v>0</v>
      </c>
      <c r="FH159" s="518">
        <v>0</v>
      </c>
      <c r="FI159" s="518">
        <v>0</v>
      </c>
      <c r="FJ159" s="518">
        <v>0</v>
      </c>
      <c r="FK159" s="518">
        <v>0</v>
      </c>
      <c r="FL159" s="518">
        <v>0</v>
      </c>
      <c r="FM159" s="518">
        <v>0</v>
      </c>
      <c r="FN159" s="518">
        <v>0</v>
      </c>
      <c r="FO159" s="518">
        <v>0</v>
      </c>
      <c r="FP159" s="518">
        <v>0</v>
      </c>
      <c r="FQ159" s="518">
        <v>0</v>
      </c>
      <c r="FR159" s="518">
        <v>0</v>
      </c>
      <c r="FS159" s="518">
        <v>0</v>
      </c>
      <c r="FT159" s="518">
        <v>0</v>
      </c>
      <c r="FU159" s="518">
        <v>0</v>
      </c>
      <c r="FV159" s="518">
        <v>0</v>
      </c>
      <c r="FW159" s="518">
        <v>0</v>
      </c>
      <c r="FX159" s="518">
        <v>0</v>
      </c>
      <c r="FY159" s="518">
        <v>0</v>
      </c>
      <c r="FZ159" s="518">
        <v>0</v>
      </c>
      <c r="GA159" s="518">
        <v>0</v>
      </c>
      <c r="GB159" s="518">
        <v>0</v>
      </c>
      <c r="GC159" s="518">
        <v>0</v>
      </c>
      <c r="GD159" s="518">
        <v>0</v>
      </c>
      <c r="GE159" s="518">
        <v>0</v>
      </c>
      <c r="GF159" s="518">
        <v>0</v>
      </c>
      <c r="GG159" s="518">
        <v>0</v>
      </c>
      <c r="GH159" s="518">
        <v>0</v>
      </c>
      <c r="GI159" s="518">
        <v>0</v>
      </c>
      <c r="GJ159" s="518">
        <v>0</v>
      </c>
      <c r="GK159" s="518">
        <v>0</v>
      </c>
      <c r="GL159" s="518">
        <v>0</v>
      </c>
      <c r="GM159" s="518">
        <v>0</v>
      </c>
      <c r="GN159" s="518">
        <v>0</v>
      </c>
      <c r="GO159" s="518">
        <v>0</v>
      </c>
      <c r="GP159" s="518">
        <v>0</v>
      </c>
      <c r="GQ159" s="518">
        <v>0</v>
      </c>
      <c r="GR159" s="518">
        <v>0</v>
      </c>
      <c r="GS159" s="518">
        <v>0</v>
      </c>
      <c r="GT159" s="518">
        <v>0</v>
      </c>
      <c r="GU159" s="518">
        <v>0</v>
      </c>
      <c r="GV159" s="518">
        <v>0</v>
      </c>
      <c r="GW159" s="518">
        <v>0</v>
      </c>
      <c r="GX159" s="518">
        <v>0</v>
      </c>
      <c r="GY159" s="518">
        <v>0</v>
      </c>
      <c r="GZ159" s="518">
        <v>0</v>
      </c>
      <c r="HA159" s="518">
        <v>0</v>
      </c>
      <c r="HB159" s="518">
        <v>0</v>
      </c>
      <c r="HC159" s="518">
        <v>0</v>
      </c>
      <c r="HD159" s="518">
        <v>0</v>
      </c>
      <c r="HE159" s="518">
        <v>0</v>
      </c>
      <c r="HF159" s="518">
        <v>0</v>
      </c>
      <c r="HG159" s="518">
        <v>0</v>
      </c>
      <c r="HH159" s="518">
        <v>0</v>
      </c>
      <c r="HI159" s="518">
        <v>0</v>
      </c>
      <c r="HJ159" s="518">
        <v>0</v>
      </c>
      <c r="HK159" s="518">
        <v>0</v>
      </c>
      <c r="HL159" s="518">
        <v>0</v>
      </c>
      <c r="HM159" s="518">
        <v>0</v>
      </c>
      <c r="HN159" s="518">
        <v>0</v>
      </c>
      <c r="HO159" s="518">
        <v>0</v>
      </c>
      <c r="HP159" s="518">
        <v>0</v>
      </c>
      <c r="HQ159" s="518">
        <v>0</v>
      </c>
      <c r="HR159" s="518">
        <v>0</v>
      </c>
      <c r="HS159" s="518">
        <v>0</v>
      </c>
      <c r="HT159" s="518">
        <v>0</v>
      </c>
      <c r="HU159" s="518">
        <v>0</v>
      </c>
      <c r="HV159" s="518">
        <v>0</v>
      </c>
      <c r="HW159" s="518">
        <v>0</v>
      </c>
      <c r="HX159" s="518">
        <v>0</v>
      </c>
      <c r="HY159" s="518">
        <v>0</v>
      </c>
      <c r="HZ159" s="518">
        <v>0</v>
      </c>
      <c r="IA159" s="518">
        <v>0</v>
      </c>
      <c r="IB159" s="518">
        <v>0</v>
      </c>
      <c r="IC159" s="518">
        <v>0</v>
      </c>
      <c r="ID159" s="518">
        <v>0</v>
      </c>
      <c r="IE159" s="518">
        <v>0</v>
      </c>
      <c r="IF159" s="518">
        <v>0</v>
      </c>
      <c r="IG159" s="518">
        <v>0</v>
      </c>
      <c r="IH159" s="518">
        <v>0</v>
      </c>
      <c r="II159" s="518">
        <v>0</v>
      </c>
      <c r="IJ159" s="518">
        <v>0</v>
      </c>
      <c r="IK159" s="518">
        <v>0</v>
      </c>
    </row>
    <row r="160" spans="1:245" ht="16.5" hidden="1">
      <c r="A160" s="517"/>
      <c r="B160" s="517"/>
      <c r="C160" s="517"/>
      <c r="D160" s="517"/>
      <c r="E160" s="517"/>
      <c r="F160" s="517"/>
      <c r="G160" s="558"/>
      <c r="H160" s="518"/>
      <c r="I160" s="558"/>
      <c r="J160" s="494"/>
      <c r="K160" s="518"/>
      <c r="M160" s="517" t="s">
        <v>721</v>
      </c>
      <c r="N160" s="517" t="s">
        <v>1101</v>
      </c>
      <c r="O160" s="517" t="s">
        <v>26</v>
      </c>
      <c r="P160" s="518">
        <v>27</v>
      </c>
      <c r="Q160" s="494" t="str">
        <f t="shared" si="6"/>
        <v>SWUC100227</v>
      </c>
      <c r="R160" s="518">
        <v>82.7</v>
      </c>
      <c r="S160" s="518">
        <v>10000</v>
      </c>
      <c r="T160" s="518">
        <v>10000</v>
      </c>
      <c r="U160" s="518">
        <v>10000</v>
      </c>
      <c r="V160" s="518">
        <v>10000</v>
      </c>
      <c r="W160" s="518">
        <v>10000</v>
      </c>
      <c r="X160" s="518">
        <v>10000</v>
      </c>
      <c r="Y160" s="518">
        <v>10000</v>
      </c>
      <c r="Z160" s="518">
        <v>10000</v>
      </c>
      <c r="AA160" s="518">
        <v>10000</v>
      </c>
      <c r="AB160" s="518">
        <v>0</v>
      </c>
      <c r="AC160" s="518">
        <v>0</v>
      </c>
      <c r="AD160" s="518">
        <v>0</v>
      </c>
      <c r="AE160" s="518">
        <v>0</v>
      </c>
      <c r="AF160" s="518">
        <v>0</v>
      </c>
      <c r="AG160" s="518">
        <v>0</v>
      </c>
      <c r="AH160" s="518">
        <v>0</v>
      </c>
      <c r="AI160" s="518">
        <v>0</v>
      </c>
      <c r="AJ160" s="518">
        <v>0</v>
      </c>
      <c r="AK160" s="518">
        <v>0</v>
      </c>
      <c r="AL160" s="518">
        <v>0</v>
      </c>
      <c r="AM160" s="518">
        <v>0</v>
      </c>
      <c r="AN160" s="518">
        <v>0</v>
      </c>
      <c r="AO160" s="518">
        <v>0</v>
      </c>
      <c r="AP160" s="518">
        <v>0</v>
      </c>
      <c r="AQ160" s="518">
        <v>0</v>
      </c>
      <c r="AR160" s="518">
        <v>0</v>
      </c>
      <c r="AS160" s="518">
        <v>0</v>
      </c>
      <c r="AT160" s="518">
        <v>0</v>
      </c>
      <c r="AU160" s="518">
        <v>0</v>
      </c>
      <c r="AV160" s="518">
        <v>0</v>
      </c>
      <c r="AW160" s="518">
        <v>0</v>
      </c>
      <c r="AX160" s="518">
        <v>0</v>
      </c>
      <c r="AY160" s="518">
        <v>0</v>
      </c>
      <c r="AZ160" s="518">
        <v>0</v>
      </c>
      <c r="BA160" s="518">
        <v>0</v>
      </c>
      <c r="BB160" s="518">
        <v>0</v>
      </c>
      <c r="BC160" s="518">
        <v>0</v>
      </c>
      <c r="BD160" s="518">
        <v>0</v>
      </c>
      <c r="BE160" s="518">
        <v>0</v>
      </c>
      <c r="BF160" s="518">
        <v>0</v>
      </c>
      <c r="BG160" s="518">
        <v>0</v>
      </c>
      <c r="BH160" s="518">
        <v>0</v>
      </c>
      <c r="BI160" s="518">
        <v>0</v>
      </c>
      <c r="BJ160" s="518">
        <v>0</v>
      </c>
      <c r="BK160" s="518">
        <v>0</v>
      </c>
      <c r="BL160" s="518">
        <v>0</v>
      </c>
      <c r="BM160" s="518">
        <v>0</v>
      </c>
      <c r="BN160" s="518">
        <v>0</v>
      </c>
      <c r="BO160" s="518">
        <v>0</v>
      </c>
      <c r="BP160" s="518">
        <v>0</v>
      </c>
      <c r="BQ160" s="518">
        <v>0</v>
      </c>
      <c r="BR160" s="518">
        <v>0</v>
      </c>
      <c r="BS160" s="518">
        <v>0</v>
      </c>
      <c r="BT160" s="518">
        <v>0</v>
      </c>
      <c r="BU160" s="518">
        <v>0</v>
      </c>
      <c r="BV160" s="518">
        <v>0</v>
      </c>
      <c r="BW160" s="518">
        <v>0</v>
      </c>
      <c r="BX160" s="518">
        <v>0</v>
      </c>
      <c r="BY160" s="518">
        <v>0</v>
      </c>
      <c r="BZ160" s="518">
        <v>0</v>
      </c>
      <c r="CA160" s="518">
        <v>0</v>
      </c>
      <c r="CB160" s="518">
        <v>0</v>
      </c>
      <c r="CC160" s="518">
        <v>0</v>
      </c>
      <c r="CD160" s="518">
        <v>0</v>
      </c>
      <c r="CE160" s="518">
        <v>0</v>
      </c>
      <c r="CF160" s="518">
        <v>0</v>
      </c>
      <c r="CG160" s="518">
        <v>0</v>
      </c>
      <c r="CH160" s="518">
        <v>0</v>
      </c>
      <c r="CI160" s="518">
        <v>0</v>
      </c>
      <c r="CJ160" s="518">
        <v>0</v>
      </c>
      <c r="CK160" s="518">
        <v>0</v>
      </c>
      <c r="CL160" s="518">
        <v>0</v>
      </c>
      <c r="CM160" s="518">
        <v>0</v>
      </c>
      <c r="CN160" s="518">
        <v>0</v>
      </c>
      <c r="CO160" s="518">
        <v>0</v>
      </c>
      <c r="CP160" s="518">
        <v>0</v>
      </c>
      <c r="CQ160" s="518">
        <v>0</v>
      </c>
      <c r="CR160" s="518">
        <v>0</v>
      </c>
      <c r="CS160" s="518">
        <v>0</v>
      </c>
      <c r="CT160" s="518">
        <v>0</v>
      </c>
      <c r="CU160" s="518">
        <v>0</v>
      </c>
      <c r="CV160" s="518">
        <v>0</v>
      </c>
      <c r="CW160" s="518">
        <v>0</v>
      </c>
      <c r="CX160" s="518">
        <v>0</v>
      </c>
      <c r="CY160" s="518">
        <v>0</v>
      </c>
      <c r="CZ160" s="518">
        <v>0</v>
      </c>
      <c r="DA160" s="518">
        <v>0</v>
      </c>
      <c r="DB160" s="518">
        <v>0</v>
      </c>
      <c r="DC160" s="518">
        <v>0</v>
      </c>
      <c r="DD160" s="518">
        <v>0</v>
      </c>
      <c r="DE160" s="518">
        <v>0</v>
      </c>
      <c r="DF160" s="518">
        <v>0</v>
      </c>
      <c r="DG160" s="518">
        <v>0</v>
      </c>
      <c r="DH160" s="518">
        <v>0</v>
      </c>
      <c r="DI160" s="518">
        <v>0</v>
      </c>
      <c r="DJ160" s="518">
        <v>0</v>
      </c>
      <c r="DK160" s="518">
        <v>0</v>
      </c>
      <c r="DL160" s="518">
        <v>0</v>
      </c>
      <c r="DM160" s="518">
        <v>0</v>
      </c>
      <c r="DN160" s="518">
        <v>0</v>
      </c>
      <c r="DO160" s="518">
        <v>0</v>
      </c>
      <c r="DP160" s="518">
        <v>0</v>
      </c>
      <c r="DQ160" s="518">
        <v>0</v>
      </c>
      <c r="DR160" s="518">
        <v>0</v>
      </c>
      <c r="DS160" s="518">
        <v>0</v>
      </c>
      <c r="DT160" s="518">
        <v>0</v>
      </c>
      <c r="DU160" s="518">
        <v>0</v>
      </c>
      <c r="DV160" s="518">
        <v>0</v>
      </c>
      <c r="DW160" s="518">
        <v>0</v>
      </c>
      <c r="DX160" s="518">
        <v>0</v>
      </c>
      <c r="DZ160" s="517" t="s">
        <v>721</v>
      </c>
      <c r="EA160" s="517" t="s">
        <v>1101</v>
      </c>
      <c r="EB160" s="517" t="s">
        <v>26</v>
      </c>
      <c r="EC160" s="518">
        <v>27</v>
      </c>
      <c r="ED160" s="494" t="str">
        <f t="shared" si="7"/>
        <v>SWUC100227</v>
      </c>
      <c r="EE160" s="518">
        <v>82.7</v>
      </c>
      <c r="EF160" s="518">
        <v>2000</v>
      </c>
      <c r="EG160" s="518">
        <v>2000</v>
      </c>
      <c r="EH160" s="518">
        <v>2000</v>
      </c>
      <c r="EI160" s="518">
        <v>2000</v>
      </c>
      <c r="EJ160" s="518">
        <v>2000</v>
      </c>
      <c r="EK160" s="518">
        <v>2000</v>
      </c>
      <c r="EL160" s="518">
        <v>2000</v>
      </c>
      <c r="EM160" s="518">
        <v>2000</v>
      </c>
      <c r="EN160" s="518">
        <v>2000</v>
      </c>
      <c r="EO160" s="518">
        <v>0</v>
      </c>
      <c r="EP160" s="518">
        <v>0</v>
      </c>
      <c r="EQ160" s="518">
        <v>0</v>
      </c>
      <c r="ER160" s="518">
        <v>0</v>
      </c>
      <c r="ES160" s="518">
        <v>0</v>
      </c>
      <c r="ET160" s="518">
        <v>0</v>
      </c>
      <c r="EU160" s="518">
        <v>0</v>
      </c>
      <c r="EV160" s="518">
        <v>0</v>
      </c>
      <c r="EW160" s="518">
        <v>0</v>
      </c>
      <c r="EX160" s="518">
        <v>0</v>
      </c>
      <c r="EY160" s="518">
        <v>0</v>
      </c>
      <c r="EZ160" s="518">
        <v>0</v>
      </c>
      <c r="FA160" s="518">
        <v>0</v>
      </c>
      <c r="FB160" s="518">
        <v>0</v>
      </c>
      <c r="FC160" s="518">
        <v>0</v>
      </c>
      <c r="FD160" s="518">
        <v>0</v>
      </c>
      <c r="FE160" s="518">
        <v>0</v>
      </c>
      <c r="FF160" s="518">
        <v>0</v>
      </c>
      <c r="FG160" s="518">
        <v>0</v>
      </c>
      <c r="FH160" s="518">
        <v>0</v>
      </c>
      <c r="FI160" s="518">
        <v>0</v>
      </c>
      <c r="FJ160" s="518">
        <v>0</v>
      </c>
      <c r="FK160" s="518">
        <v>0</v>
      </c>
      <c r="FL160" s="518">
        <v>0</v>
      </c>
      <c r="FM160" s="518">
        <v>0</v>
      </c>
      <c r="FN160" s="518">
        <v>0</v>
      </c>
      <c r="FO160" s="518">
        <v>0</v>
      </c>
      <c r="FP160" s="518">
        <v>0</v>
      </c>
      <c r="FQ160" s="518">
        <v>0</v>
      </c>
      <c r="FR160" s="518">
        <v>0</v>
      </c>
      <c r="FS160" s="518">
        <v>0</v>
      </c>
      <c r="FT160" s="518">
        <v>0</v>
      </c>
      <c r="FU160" s="518">
        <v>0</v>
      </c>
      <c r="FV160" s="518">
        <v>0</v>
      </c>
      <c r="FW160" s="518">
        <v>0</v>
      </c>
      <c r="FX160" s="518">
        <v>0</v>
      </c>
      <c r="FY160" s="518">
        <v>0</v>
      </c>
      <c r="FZ160" s="518">
        <v>0</v>
      </c>
      <c r="GA160" s="518">
        <v>0</v>
      </c>
      <c r="GB160" s="518">
        <v>0</v>
      </c>
      <c r="GC160" s="518">
        <v>0</v>
      </c>
      <c r="GD160" s="518">
        <v>0</v>
      </c>
      <c r="GE160" s="518">
        <v>0</v>
      </c>
      <c r="GF160" s="518">
        <v>0</v>
      </c>
      <c r="GG160" s="518">
        <v>0</v>
      </c>
      <c r="GH160" s="518">
        <v>0</v>
      </c>
      <c r="GI160" s="518">
        <v>0</v>
      </c>
      <c r="GJ160" s="518">
        <v>0</v>
      </c>
      <c r="GK160" s="518">
        <v>0</v>
      </c>
      <c r="GL160" s="518">
        <v>0</v>
      </c>
      <c r="GM160" s="518">
        <v>0</v>
      </c>
      <c r="GN160" s="518">
        <v>0</v>
      </c>
      <c r="GO160" s="518">
        <v>0</v>
      </c>
      <c r="GP160" s="518">
        <v>0</v>
      </c>
      <c r="GQ160" s="518">
        <v>0</v>
      </c>
      <c r="GR160" s="518">
        <v>0</v>
      </c>
      <c r="GS160" s="518">
        <v>0</v>
      </c>
      <c r="GT160" s="518">
        <v>0</v>
      </c>
      <c r="GU160" s="518">
        <v>0</v>
      </c>
      <c r="GV160" s="518">
        <v>0</v>
      </c>
      <c r="GW160" s="518">
        <v>0</v>
      </c>
      <c r="GX160" s="518">
        <v>0</v>
      </c>
      <c r="GY160" s="518">
        <v>0</v>
      </c>
      <c r="GZ160" s="518">
        <v>0</v>
      </c>
      <c r="HA160" s="518">
        <v>0</v>
      </c>
      <c r="HB160" s="518">
        <v>0</v>
      </c>
      <c r="HC160" s="518">
        <v>0</v>
      </c>
      <c r="HD160" s="518">
        <v>0</v>
      </c>
      <c r="HE160" s="518">
        <v>0</v>
      </c>
      <c r="HF160" s="518">
        <v>0</v>
      </c>
      <c r="HG160" s="518">
        <v>0</v>
      </c>
      <c r="HH160" s="518">
        <v>0</v>
      </c>
      <c r="HI160" s="518">
        <v>0</v>
      </c>
      <c r="HJ160" s="518">
        <v>0</v>
      </c>
      <c r="HK160" s="518">
        <v>0</v>
      </c>
      <c r="HL160" s="518">
        <v>0</v>
      </c>
      <c r="HM160" s="518">
        <v>0</v>
      </c>
      <c r="HN160" s="518">
        <v>0</v>
      </c>
      <c r="HO160" s="518">
        <v>0</v>
      </c>
      <c r="HP160" s="518">
        <v>0</v>
      </c>
      <c r="HQ160" s="518">
        <v>0</v>
      </c>
      <c r="HR160" s="518">
        <v>0</v>
      </c>
      <c r="HS160" s="518">
        <v>0</v>
      </c>
      <c r="HT160" s="518">
        <v>0</v>
      </c>
      <c r="HU160" s="518">
        <v>0</v>
      </c>
      <c r="HV160" s="518">
        <v>0</v>
      </c>
      <c r="HW160" s="518">
        <v>0</v>
      </c>
      <c r="HX160" s="518">
        <v>0</v>
      </c>
      <c r="HY160" s="518">
        <v>0</v>
      </c>
      <c r="HZ160" s="518">
        <v>0</v>
      </c>
      <c r="IA160" s="518">
        <v>0</v>
      </c>
      <c r="IB160" s="518">
        <v>0</v>
      </c>
      <c r="IC160" s="518">
        <v>0</v>
      </c>
      <c r="ID160" s="518">
        <v>0</v>
      </c>
      <c r="IE160" s="518">
        <v>0</v>
      </c>
      <c r="IF160" s="518">
        <v>0</v>
      </c>
      <c r="IG160" s="518">
        <v>0</v>
      </c>
      <c r="IH160" s="518">
        <v>0</v>
      </c>
      <c r="II160" s="518">
        <v>0</v>
      </c>
      <c r="IJ160" s="518">
        <v>0</v>
      </c>
      <c r="IK160" s="518">
        <v>0</v>
      </c>
    </row>
    <row r="161" spans="1:245" ht="16.5" hidden="1">
      <c r="A161" s="517"/>
      <c r="B161" s="517"/>
      <c r="C161" s="517"/>
      <c r="D161" s="517"/>
      <c r="E161" s="517"/>
      <c r="F161" s="517"/>
      <c r="G161" s="558"/>
      <c r="H161" s="518"/>
      <c r="I161" s="558"/>
      <c r="J161" s="494"/>
      <c r="K161" s="518"/>
      <c r="M161" s="517" t="s">
        <v>721</v>
      </c>
      <c r="N161" s="517" t="s">
        <v>1101</v>
      </c>
      <c r="O161" s="517" t="s">
        <v>26</v>
      </c>
      <c r="P161" s="518">
        <v>28</v>
      </c>
      <c r="Q161" s="494" t="str">
        <f t="shared" si="6"/>
        <v>SWUC100228</v>
      </c>
      <c r="R161" s="518">
        <v>85.9</v>
      </c>
      <c r="S161" s="518">
        <v>10000</v>
      </c>
      <c r="T161" s="518">
        <v>10000</v>
      </c>
      <c r="U161" s="518">
        <v>10000</v>
      </c>
      <c r="V161" s="518">
        <v>10000</v>
      </c>
      <c r="W161" s="518">
        <v>10000</v>
      </c>
      <c r="X161" s="518">
        <v>10000</v>
      </c>
      <c r="Y161" s="518">
        <v>10000</v>
      </c>
      <c r="Z161" s="518">
        <v>10000</v>
      </c>
      <c r="AA161" s="518">
        <v>10000</v>
      </c>
      <c r="AB161" s="518">
        <v>0</v>
      </c>
      <c r="AC161" s="518">
        <v>0</v>
      </c>
      <c r="AD161" s="518">
        <v>0</v>
      </c>
      <c r="AE161" s="518">
        <v>0</v>
      </c>
      <c r="AF161" s="518">
        <v>0</v>
      </c>
      <c r="AG161" s="518">
        <v>0</v>
      </c>
      <c r="AH161" s="518">
        <v>0</v>
      </c>
      <c r="AI161" s="518">
        <v>0</v>
      </c>
      <c r="AJ161" s="518">
        <v>0</v>
      </c>
      <c r="AK161" s="518">
        <v>0</v>
      </c>
      <c r="AL161" s="518">
        <v>0</v>
      </c>
      <c r="AM161" s="518">
        <v>0</v>
      </c>
      <c r="AN161" s="518">
        <v>0</v>
      </c>
      <c r="AO161" s="518">
        <v>0</v>
      </c>
      <c r="AP161" s="518">
        <v>0</v>
      </c>
      <c r="AQ161" s="518">
        <v>0</v>
      </c>
      <c r="AR161" s="518">
        <v>0</v>
      </c>
      <c r="AS161" s="518">
        <v>0</v>
      </c>
      <c r="AT161" s="518">
        <v>0</v>
      </c>
      <c r="AU161" s="518">
        <v>0</v>
      </c>
      <c r="AV161" s="518">
        <v>0</v>
      </c>
      <c r="AW161" s="518">
        <v>0</v>
      </c>
      <c r="AX161" s="518">
        <v>0</v>
      </c>
      <c r="AY161" s="518">
        <v>0</v>
      </c>
      <c r="AZ161" s="518">
        <v>0</v>
      </c>
      <c r="BA161" s="518">
        <v>0</v>
      </c>
      <c r="BB161" s="518">
        <v>0</v>
      </c>
      <c r="BC161" s="518">
        <v>0</v>
      </c>
      <c r="BD161" s="518">
        <v>0</v>
      </c>
      <c r="BE161" s="518">
        <v>0</v>
      </c>
      <c r="BF161" s="518">
        <v>0</v>
      </c>
      <c r="BG161" s="518">
        <v>0</v>
      </c>
      <c r="BH161" s="518">
        <v>0</v>
      </c>
      <c r="BI161" s="518">
        <v>0</v>
      </c>
      <c r="BJ161" s="518">
        <v>0</v>
      </c>
      <c r="BK161" s="518">
        <v>0</v>
      </c>
      <c r="BL161" s="518">
        <v>0</v>
      </c>
      <c r="BM161" s="518">
        <v>0</v>
      </c>
      <c r="BN161" s="518">
        <v>0</v>
      </c>
      <c r="BO161" s="518">
        <v>0</v>
      </c>
      <c r="BP161" s="518">
        <v>0</v>
      </c>
      <c r="BQ161" s="518">
        <v>0</v>
      </c>
      <c r="BR161" s="518">
        <v>0</v>
      </c>
      <c r="BS161" s="518">
        <v>0</v>
      </c>
      <c r="BT161" s="518">
        <v>0</v>
      </c>
      <c r="BU161" s="518">
        <v>0</v>
      </c>
      <c r="BV161" s="518">
        <v>0</v>
      </c>
      <c r="BW161" s="518">
        <v>0</v>
      </c>
      <c r="BX161" s="518">
        <v>0</v>
      </c>
      <c r="BY161" s="518">
        <v>0</v>
      </c>
      <c r="BZ161" s="518">
        <v>0</v>
      </c>
      <c r="CA161" s="518">
        <v>0</v>
      </c>
      <c r="CB161" s="518">
        <v>0</v>
      </c>
      <c r="CC161" s="518">
        <v>0</v>
      </c>
      <c r="CD161" s="518">
        <v>0</v>
      </c>
      <c r="CE161" s="518">
        <v>0</v>
      </c>
      <c r="CF161" s="518">
        <v>0</v>
      </c>
      <c r="CG161" s="518">
        <v>0</v>
      </c>
      <c r="CH161" s="518">
        <v>0</v>
      </c>
      <c r="CI161" s="518">
        <v>0</v>
      </c>
      <c r="CJ161" s="518">
        <v>0</v>
      </c>
      <c r="CK161" s="518">
        <v>0</v>
      </c>
      <c r="CL161" s="518">
        <v>0</v>
      </c>
      <c r="CM161" s="518">
        <v>0</v>
      </c>
      <c r="CN161" s="518">
        <v>0</v>
      </c>
      <c r="CO161" s="518">
        <v>0</v>
      </c>
      <c r="CP161" s="518">
        <v>0</v>
      </c>
      <c r="CQ161" s="518">
        <v>0</v>
      </c>
      <c r="CR161" s="518">
        <v>0</v>
      </c>
      <c r="CS161" s="518">
        <v>0</v>
      </c>
      <c r="CT161" s="518">
        <v>0</v>
      </c>
      <c r="CU161" s="518">
        <v>0</v>
      </c>
      <c r="CV161" s="518">
        <v>0</v>
      </c>
      <c r="CW161" s="518">
        <v>0</v>
      </c>
      <c r="CX161" s="518">
        <v>0</v>
      </c>
      <c r="CY161" s="518">
        <v>0</v>
      </c>
      <c r="CZ161" s="518">
        <v>0</v>
      </c>
      <c r="DA161" s="518">
        <v>0</v>
      </c>
      <c r="DB161" s="518">
        <v>0</v>
      </c>
      <c r="DC161" s="518">
        <v>0</v>
      </c>
      <c r="DD161" s="518">
        <v>0</v>
      </c>
      <c r="DE161" s="518">
        <v>0</v>
      </c>
      <c r="DF161" s="518">
        <v>0</v>
      </c>
      <c r="DG161" s="518">
        <v>0</v>
      </c>
      <c r="DH161" s="518">
        <v>0</v>
      </c>
      <c r="DI161" s="518">
        <v>0</v>
      </c>
      <c r="DJ161" s="518">
        <v>0</v>
      </c>
      <c r="DK161" s="518">
        <v>0</v>
      </c>
      <c r="DL161" s="518">
        <v>0</v>
      </c>
      <c r="DM161" s="518">
        <v>0</v>
      </c>
      <c r="DN161" s="518">
        <v>0</v>
      </c>
      <c r="DO161" s="518">
        <v>0</v>
      </c>
      <c r="DP161" s="518">
        <v>0</v>
      </c>
      <c r="DQ161" s="518">
        <v>0</v>
      </c>
      <c r="DR161" s="518">
        <v>0</v>
      </c>
      <c r="DS161" s="518">
        <v>0</v>
      </c>
      <c r="DT161" s="518">
        <v>0</v>
      </c>
      <c r="DU161" s="518">
        <v>0</v>
      </c>
      <c r="DV161" s="518">
        <v>0</v>
      </c>
      <c r="DW161" s="518">
        <v>0</v>
      </c>
      <c r="DX161" s="518">
        <v>0</v>
      </c>
      <c r="DZ161" s="517" t="s">
        <v>721</v>
      </c>
      <c r="EA161" s="517" t="s">
        <v>1101</v>
      </c>
      <c r="EB161" s="517" t="s">
        <v>26</v>
      </c>
      <c r="EC161" s="518">
        <v>28</v>
      </c>
      <c r="ED161" s="494" t="str">
        <f t="shared" si="7"/>
        <v>SWUC100228</v>
      </c>
      <c r="EE161" s="518">
        <v>85.9</v>
      </c>
      <c r="EF161" s="518">
        <v>2000</v>
      </c>
      <c r="EG161" s="518">
        <v>2000</v>
      </c>
      <c r="EH161" s="518">
        <v>2000</v>
      </c>
      <c r="EI161" s="518">
        <v>2000</v>
      </c>
      <c r="EJ161" s="518">
        <v>2000</v>
      </c>
      <c r="EK161" s="518">
        <v>2000</v>
      </c>
      <c r="EL161" s="518">
        <v>2000</v>
      </c>
      <c r="EM161" s="518">
        <v>2000</v>
      </c>
      <c r="EN161" s="518">
        <v>2000</v>
      </c>
      <c r="EO161" s="518">
        <v>0</v>
      </c>
      <c r="EP161" s="518">
        <v>0</v>
      </c>
      <c r="EQ161" s="518">
        <v>0</v>
      </c>
      <c r="ER161" s="518">
        <v>0</v>
      </c>
      <c r="ES161" s="518">
        <v>0</v>
      </c>
      <c r="ET161" s="518">
        <v>0</v>
      </c>
      <c r="EU161" s="518">
        <v>0</v>
      </c>
      <c r="EV161" s="518">
        <v>0</v>
      </c>
      <c r="EW161" s="518">
        <v>0</v>
      </c>
      <c r="EX161" s="518">
        <v>0</v>
      </c>
      <c r="EY161" s="518">
        <v>0</v>
      </c>
      <c r="EZ161" s="518">
        <v>0</v>
      </c>
      <c r="FA161" s="518">
        <v>0</v>
      </c>
      <c r="FB161" s="518">
        <v>0</v>
      </c>
      <c r="FC161" s="518">
        <v>0</v>
      </c>
      <c r="FD161" s="518">
        <v>0</v>
      </c>
      <c r="FE161" s="518">
        <v>0</v>
      </c>
      <c r="FF161" s="518">
        <v>0</v>
      </c>
      <c r="FG161" s="518">
        <v>0</v>
      </c>
      <c r="FH161" s="518">
        <v>0</v>
      </c>
      <c r="FI161" s="518">
        <v>0</v>
      </c>
      <c r="FJ161" s="518">
        <v>0</v>
      </c>
      <c r="FK161" s="518">
        <v>0</v>
      </c>
      <c r="FL161" s="518">
        <v>0</v>
      </c>
      <c r="FM161" s="518">
        <v>0</v>
      </c>
      <c r="FN161" s="518">
        <v>0</v>
      </c>
      <c r="FO161" s="518">
        <v>0</v>
      </c>
      <c r="FP161" s="518">
        <v>0</v>
      </c>
      <c r="FQ161" s="518">
        <v>0</v>
      </c>
      <c r="FR161" s="518">
        <v>0</v>
      </c>
      <c r="FS161" s="518">
        <v>0</v>
      </c>
      <c r="FT161" s="518">
        <v>0</v>
      </c>
      <c r="FU161" s="518">
        <v>0</v>
      </c>
      <c r="FV161" s="518">
        <v>0</v>
      </c>
      <c r="FW161" s="518">
        <v>0</v>
      </c>
      <c r="FX161" s="518">
        <v>0</v>
      </c>
      <c r="FY161" s="518">
        <v>0</v>
      </c>
      <c r="FZ161" s="518">
        <v>0</v>
      </c>
      <c r="GA161" s="518">
        <v>0</v>
      </c>
      <c r="GB161" s="518">
        <v>0</v>
      </c>
      <c r="GC161" s="518">
        <v>0</v>
      </c>
      <c r="GD161" s="518">
        <v>0</v>
      </c>
      <c r="GE161" s="518">
        <v>0</v>
      </c>
      <c r="GF161" s="518">
        <v>0</v>
      </c>
      <c r="GG161" s="518">
        <v>0</v>
      </c>
      <c r="GH161" s="518">
        <v>0</v>
      </c>
      <c r="GI161" s="518">
        <v>0</v>
      </c>
      <c r="GJ161" s="518">
        <v>0</v>
      </c>
      <c r="GK161" s="518">
        <v>0</v>
      </c>
      <c r="GL161" s="518">
        <v>0</v>
      </c>
      <c r="GM161" s="518">
        <v>0</v>
      </c>
      <c r="GN161" s="518">
        <v>0</v>
      </c>
      <c r="GO161" s="518">
        <v>0</v>
      </c>
      <c r="GP161" s="518">
        <v>0</v>
      </c>
      <c r="GQ161" s="518">
        <v>0</v>
      </c>
      <c r="GR161" s="518">
        <v>0</v>
      </c>
      <c r="GS161" s="518">
        <v>0</v>
      </c>
      <c r="GT161" s="518">
        <v>0</v>
      </c>
      <c r="GU161" s="518">
        <v>0</v>
      </c>
      <c r="GV161" s="518">
        <v>0</v>
      </c>
      <c r="GW161" s="518">
        <v>0</v>
      </c>
      <c r="GX161" s="518">
        <v>0</v>
      </c>
      <c r="GY161" s="518">
        <v>0</v>
      </c>
      <c r="GZ161" s="518">
        <v>0</v>
      </c>
      <c r="HA161" s="518">
        <v>0</v>
      </c>
      <c r="HB161" s="518">
        <v>0</v>
      </c>
      <c r="HC161" s="518">
        <v>0</v>
      </c>
      <c r="HD161" s="518">
        <v>0</v>
      </c>
      <c r="HE161" s="518">
        <v>0</v>
      </c>
      <c r="HF161" s="518">
        <v>0</v>
      </c>
      <c r="HG161" s="518">
        <v>0</v>
      </c>
      <c r="HH161" s="518">
        <v>0</v>
      </c>
      <c r="HI161" s="518">
        <v>0</v>
      </c>
      <c r="HJ161" s="518">
        <v>0</v>
      </c>
      <c r="HK161" s="518">
        <v>0</v>
      </c>
      <c r="HL161" s="518">
        <v>0</v>
      </c>
      <c r="HM161" s="518">
        <v>0</v>
      </c>
      <c r="HN161" s="518">
        <v>0</v>
      </c>
      <c r="HO161" s="518">
        <v>0</v>
      </c>
      <c r="HP161" s="518">
        <v>0</v>
      </c>
      <c r="HQ161" s="518">
        <v>0</v>
      </c>
      <c r="HR161" s="518">
        <v>0</v>
      </c>
      <c r="HS161" s="518">
        <v>0</v>
      </c>
      <c r="HT161" s="518">
        <v>0</v>
      </c>
      <c r="HU161" s="518">
        <v>0</v>
      </c>
      <c r="HV161" s="518">
        <v>0</v>
      </c>
      <c r="HW161" s="518">
        <v>0</v>
      </c>
      <c r="HX161" s="518">
        <v>0</v>
      </c>
      <c r="HY161" s="518">
        <v>0</v>
      </c>
      <c r="HZ161" s="518">
        <v>0</v>
      </c>
      <c r="IA161" s="518">
        <v>0</v>
      </c>
      <c r="IB161" s="518">
        <v>0</v>
      </c>
      <c r="IC161" s="518">
        <v>0</v>
      </c>
      <c r="ID161" s="518">
        <v>0</v>
      </c>
      <c r="IE161" s="518">
        <v>0</v>
      </c>
      <c r="IF161" s="518">
        <v>0</v>
      </c>
      <c r="IG161" s="518">
        <v>0</v>
      </c>
      <c r="IH161" s="518">
        <v>0</v>
      </c>
      <c r="II161" s="518">
        <v>0</v>
      </c>
      <c r="IJ161" s="518">
        <v>0</v>
      </c>
      <c r="IK161" s="518">
        <v>0</v>
      </c>
    </row>
    <row r="162" spans="1:245" ht="16.5" hidden="1">
      <c r="A162" s="517"/>
      <c r="B162" s="517"/>
      <c r="C162" s="517"/>
      <c r="D162" s="517"/>
      <c r="E162" s="517"/>
      <c r="F162" s="517"/>
      <c r="G162" s="558"/>
      <c r="H162" s="518"/>
      <c r="I162" s="558"/>
      <c r="J162" s="494"/>
      <c r="K162" s="518"/>
      <c r="M162" s="517" t="s">
        <v>721</v>
      </c>
      <c r="N162" s="517" t="s">
        <v>1101</v>
      </c>
      <c r="O162" s="517" t="s">
        <v>26</v>
      </c>
      <c r="P162" s="518">
        <v>29</v>
      </c>
      <c r="Q162" s="494" t="str">
        <f t="shared" si="6"/>
        <v>SWUC100229</v>
      </c>
      <c r="R162" s="518">
        <v>89</v>
      </c>
      <c r="S162" s="518">
        <v>10000</v>
      </c>
      <c r="T162" s="518">
        <v>10000</v>
      </c>
      <c r="U162" s="518">
        <v>10000</v>
      </c>
      <c r="V162" s="518">
        <v>10000</v>
      </c>
      <c r="W162" s="518">
        <v>10000</v>
      </c>
      <c r="X162" s="518">
        <v>10000</v>
      </c>
      <c r="Y162" s="518">
        <v>10000</v>
      </c>
      <c r="Z162" s="518">
        <v>10000</v>
      </c>
      <c r="AA162" s="518">
        <v>10000</v>
      </c>
      <c r="AB162" s="518">
        <v>0</v>
      </c>
      <c r="AC162" s="518">
        <v>0</v>
      </c>
      <c r="AD162" s="518">
        <v>0</v>
      </c>
      <c r="AE162" s="518">
        <v>0</v>
      </c>
      <c r="AF162" s="518">
        <v>0</v>
      </c>
      <c r="AG162" s="518">
        <v>0</v>
      </c>
      <c r="AH162" s="518">
        <v>0</v>
      </c>
      <c r="AI162" s="518">
        <v>0</v>
      </c>
      <c r="AJ162" s="518">
        <v>0</v>
      </c>
      <c r="AK162" s="518">
        <v>0</v>
      </c>
      <c r="AL162" s="518">
        <v>0</v>
      </c>
      <c r="AM162" s="518">
        <v>0</v>
      </c>
      <c r="AN162" s="518">
        <v>0</v>
      </c>
      <c r="AO162" s="518">
        <v>0</v>
      </c>
      <c r="AP162" s="518">
        <v>0</v>
      </c>
      <c r="AQ162" s="518">
        <v>0</v>
      </c>
      <c r="AR162" s="518">
        <v>0</v>
      </c>
      <c r="AS162" s="518">
        <v>0</v>
      </c>
      <c r="AT162" s="518">
        <v>0</v>
      </c>
      <c r="AU162" s="518">
        <v>0</v>
      </c>
      <c r="AV162" s="518">
        <v>0</v>
      </c>
      <c r="AW162" s="518">
        <v>0</v>
      </c>
      <c r="AX162" s="518">
        <v>0</v>
      </c>
      <c r="AY162" s="518">
        <v>0</v>
      </c>
      <c r="AZ162" s="518">
        <v>0</v>
      </c>
      <c r="BA162" s="518">
        <v>0</v>
      </c>
      <c r="BB162" s="518">
        <v>0</v>
      </c>
      <c r="BC162" s="518">
        <v>0</v>
      </c>
      <c r="BD162" s="518">
        <v>0</v>
      </c>
      <c r="BE162" s="518">
        <v>0</v>
      </c>
      <c r="BF162" s="518">
        <v>0</v>
      </c>
      <c r="BG162" s="518">
        <v>0</v>
      </c>
      <c r="BH162" s="518">
        <v>0</v>
      </c>
      <c r="BI162" s="518">
        <v>0</v>
      </c>
      <c r="BJ162" s="518">
        <v>0</v>
      </c>
      <c r="BK162" s="518">
        <v>0</v>
      </c>
      <c r="BL162" s="518">
        <v>0</v>
      </c>
      <c r="BM162" s="518">
        <v>0</v>
      </c>
      <c r="BN162" s="518">
        <v>0</v>
      </c>
      <c r="BO162" s="518">
        <v>0</v>
      </c>
      <c r="BP162" s="518">
        <v>0</v>
      </c>
      <c r="BQ162" s="518">
        <v>0</v>
      </c>
      <c r="BR162" s="518">
        <v>0</v>
      </c>
      <c r="BS162" s="518">
        <v>0</v>
      </c>
      <c r="BT162" s="518">
        <v>0</v>
      </c>
      <c r="BU162" s="518">
        <v>0</v>
      </c>
      <c r="BV162" s="518">
        <v>0</v>
      </c>
      <c r="BW162" s="518">
        <v>0</v>
      </c>
      <c r="BX162" s="518">
        <v>0</v>
      </c>
      <c r="BY162" s="518">
        <v>0</v>
      </c>
      <c r="BZ162" s="518">
        <v>0</v>
      </c>
      <c r="CA162" s="518">
        <v>0</v>
      </c>
      <c r="CB162" s="518">
        <v>0</v>
      </c>
      <c r="CC162" s="518">
        <v>0</v>
      </c>
      <c r="CD162" s="518">
        <v>0</v>
      </c>
      <c r="CE162" s="518">
        <v>0</v>
      </c>
      <c r="CF162" s="518">
        <v>0</v>
      </c>
      <c r="CG162" s="518">
        <v>0</v>
      </c>
      <c r="CH162" s="518">
        <v>0</v>
      </c>
      <c r="CI162" s="518">
        <v>0</v>
      </c>
      <c r="CJ162" s="518">
        <v>0</v>
      </c>
      <c r="CK162" s="518">
        <v>0</v>
      </c>
      <c r="CL162" s="518">
        <v>0</v>
      </c>
      <c r="CM162" s="518">
        <v>0</v>
      </c>
      <c r="CN162" s="518">
        <v>0</v>
      </c>
      <c r="CO162" s="518">
        <v>0</v>
      </c>
      <c r="CP162" s="518">
        <v>0</v>
      </c>
      <c r="CQ162" s="518">
        <v>0</v>
      </c>
      <c r="CR162" s="518">
        <v>0</v>
      </c>
      <c r="CS162" s="518">
        <v>0</v>
      </c>
      <c r="CT162" s="518">
        <v>0</v>
      </c>
      <c r="CU162" s="518">
        <v>0</v>
      </c>
      <c r="CV162" s="518">
        <v>0</v>
      </c>
      <c r="CW162" s="518">
        <v>0</v>
      </c>
      <c r="CX162" s="518">
        <v>0</v>
      </c>
      <c r="CY162" s="518">
        <v>0</v>
      </c>
      <c r="CZ162" s="518">
        <v>0</v>
      </c>
      <c r="DA162" s="518">
        <v>0</v>
      </c>
      <c r="DB162" s="518">
        <v>0</v>
      </c>
      <c r="DC162" s="518">
        <v>0</v>
      </c>
      <c r="DD162" s="518">
        <v>0</v>
      </c>
      <c r="DE162" s="518">
        <v>0</v>
      </c>
      <c r="DF162" s="518">
        <v>0</v>
      </c>
      <c r="DG162" s="518">
        <v>0</v>
      </c>
      <c r="DH162" s="518">
        <v>0</v>
      </c>
      <c r="DI162" s="518">
        <v>0</v>
      </c>
      <c r="DJ162" s="518">
        <v>0</v>
      </c>
      <c r="DK162" s="518">
        <v>0</v>
      </c>
      <c r="DL162" s="518">
        <v>0</v>
      </c>
      <c r="DM162" s="518">
        <v>0</v>
      </c>
      <c r="DN162" s="518">
        <v>0</v>
      </c>
      <c r="DO162" s="518">
        <v>0</v>
      </c>
      <c r="DP162" s="518">
        <v>0</v>
      </c>
      <c r="DQ162" s="518">
        <v>0</v>
      </c>
      <c r="DR162" s="518">
        <v>0</v>
      </c>
      <c r="DS162" s="518">
        <v>0</v>
      </c>
      <c r="DT162" s="518">
        <v>0</v>
      </c>
      <c r="DU162" s="518">
        <v>0</v>
      </c>
      <c r="DV162" s="518">
        <v>0</v>
      </c>
      <c r="DW162" s="518">
        <v>0</v>
      </c>
      <c r="DX162" s="518">
        <v>0</v>
      </c>
      <c r="DZ162" s="517" t="s">
        <v>721</v>
      </c>
      <c r="EA162" s="517" t="s">
        <v>1101</v>
      </c>
      <c r="EB162" s="517" t="s">
        <v>26</v>
      </c>
      <c r="EC162" s="518">
        <v>29</v>
      </c>
      <c r="ED162" s="494" t="str">
        <f t="shared" si="7"/>
        <v>SWUC100229</v>
      </c>
      <c r="EE162" s="518">
        <v>89</v>
      </c>
      <c r="EF162" s="518">
        <v>2000</v>
      </c>
      <c r="EG162" s="518">
        <v>2000</v>
      </c>
      <c r="EH162" s="518">
        <v>2000</v>
      </c>
      <c r="EI162" s="518">
        <v>2000</v>
      </c>
      <c r="EJ162" s="518">
        <v>2000</v>
      </c>
      <c r="EK162" s="518">
        <v>2000</v>
      </c>
      <c r="EL162" s="518">
        <v>2000</v>
      </c>
      <c r="EM162" s="518">
        <v>2000</v>
      </c>
      <c r="EN162" s="518">
        <v>2000</v>
      </c>
      <c r="EO162" s="518">
        <v>0</v>
      </c>
      <c r="EP162" s="518">
        <v>0</v>
      </c>
      <c r="EQ162" s="518">
        <v>0</v>
      </c>
      <c r="ER162" s="518">
        <v>0</v>
      </c>
      <c r="ES162" s="518">
        <v>0</v>
      </c>
      <c r="ET162" s="518">
        <v>0</v>
      </c>
      <c r="EU162" s="518">
        <v>0</v>
      </c>
      <c r="EV162" s="518">
        <v>0</v>
      </c>
      <c r="EW162" s="518">
        <v>0</v>
      </c>
      <c r="EX162" s="518">
        <v>0</v>
      </c>
      <c r="EY162" s="518">
        <v>0</v>
      </c>
      <c r="EZ162" s="518">
        <v>0</v>
      </c>
      <c r="FA162" s="518">
        <v>0</v>
      </c>
      <c r="FB162" s="518">
        <v>0</v>
      </c>
      <c r="FC162" s="518">
        <v>0</v>
      </c>
      <c r="FD162" s="518">
        <v>0</v>
      </c>
      <c r="FE162" s="518">
        <v>0</v>
      </c>
      <c r="FF162" s="518">
        <v>0</v>
      </c>
      <c r="FG162" s="518">
        <v>0</v>
      </c>
      <c r="FH162" s="518">
        <v>0</v>
      </c>
      <c r="FI162" s="518">
        <v>0</v>
      </c>
      <c r="FJ162" s="518">
        <v>0</v>
      </c>
      <c r="FK162" s="518">
        <v>0</v>
      </c>
      <c r="FL162" s="518">
        <v>0</v>
      </c>
      <c r="FM162" s="518">
        <v>0</v>
      </c>
      <c r="FN162" s="518">
        <v>0</v>
      </c>
      <c r="FO162" s="518">
        <v>0</v>
      </c>
      <c r="FP162" s="518">
        <v>0</v>
      </c>
      <c r="FQ162" s="518">
        <v>0</v>
      </c>
      <c r="FR162" s="518">
        <v>0</v>
      </c>
      <c r="FS162" s="518">
        <v>0</v>
      </c>
      <c r="FT162" s="518">
        <v>0</v>
      </c>
      <c r="FU162" s="518">
        <v>0</v>
      </c>
      <c r="FV162" s="518">
        <v>0</v>
      </c>
      <c r="FW162" s="518">
        <v>0</v>
      </c>
      <c r="FX162" s="518">
        <v>0</v>
      </c>
      <c r="FY162" s="518">
        <v>0</v>
      </c>
      <c r="FZ162" s="518">
        <v>0</v>
      </c>
      <c r="GA162" s="518">
        <v>0</v>
      </c>
      <c r="GB162" s="518">
        <v>0</v>
      </c>
      <c r="GC162" s="518">
        <v>0</v>
      </c>
      <c r="GD162" s="518">
        <v>0</v>
      </c>
      <c r="GE162" s="518">
        <v>0</v>
      </c>
      <c r="GF162" s="518">
        <v>0</v>
      </c>
      <c r="GG162" s="518">
        <v>0</v>
      </c>
      <c r="GH162" s="518">
        <v>0</v>
      </c>
      <c r="GI162" s="518">
        <v>0</v>
      </c>
      <c r="GJ162" s="518">
        <v>0</v>
      </c>
      <c r="GK162" s="518">
        <v>0</v>
      </c>
      <c r="GL162" s="518">
        <v>0</v>
      </c>
      <c r="GM162" s="518">
        <v>0</v>
      </c>
      <c r="GN162" s="518">
        <v>0</v>
      </c>
      <c r="GO162" s="518">
        <v>0</v>
      </c>
      <c r="GP162" s="518">
        <v>0</v>
      </c>
      <c r="GQ162" s="518">
        <v>0</v>
      </c>
      <c r="GR162" s="518">
        <v>0</v>
      </c>
      <c r="GS162" s="518">
        <v>0</v>
      </c>
      <c r="GT162" s="518">
        <v>0</v>
      </c>
      <c r="GU162" s="518">
        <v>0</v>
      </c>
      <c r="GV162" s="518">
        <v>0</v>
      </c>
      <c r="GW162" s="518">
        <v>0</v>
      </c>
      <c r="GX162" s="518">
        <v>0</v>
      </c>
      <c r="GY162" s="518">
        <v>0</v>
      </c>
      <c r="GZ162" s="518">
        <v>0</v>
      </c>
      <c r="HA162" s="518">
        <v>0</v>
      </c>
      <c r="HB162" s="518">
        <v>0</v>
      </c>
      <c r="HC162" s="518">
        <v>0</v>
      </c>
      <c r="HD162" s="518">
        <v>0</v>
      </c>
      <c r="HE162" s="518">
        <v>0</v>
      </c>
      <c r="HF162" s="518">
        <v>0</v>
      </c>
      <c r="HG162" s="518">
        <v>0</v>
      </c>
      <c r="HH162" s="518">
        <v>0</v>
      </c>
      <c r="HI162" s="518">
        <v>0</v>
      </c>
      <c r="HJ162" s="518">
        <v>0</v>
      </c>
      <c r="HK162" s="518">
        <v>0</v>
      </c>
      <c r="HL162" s="518">
        <v>0</v>
      </c>
      <c r="HM162" s="518">
        <v>0</v>
      </c>
      <c r="HN162" s="518">
        <v>0</v>
      </c>
      <c r="HO162" s="518">
        <v>0</v>
      </c>
      <c r="HP162" s="518">
        <v>0</v>
      </c>
      <c r="HQ162" s="518">
        <v>0</v>
      </c>
      <c r="HR162" s="518">
        <v>0</v>
      </c>
      <c r="HS162" s="518">
        <v>0</v>
      </c>
      <c r="HT162" s="518">
        <v>0</v>
      </c>
      <c r="HU162" s="518">
        <v>0</v>
      </c>
      <c r="HV162" s="518">
        <v>0</v>
      </c>
      <c r="HW162" s="518">
        <v>0</v>
      </c>
      <c r="HX162" s="518">
        <v>0</v>
      </c>
      <c r="HY162" s="518">
        <v>0</v>
      </c>
      <c r="HZ162" s="518">
        <v>0</v>
      </c>
      <c r="IA162" s="518">
        <v>0</v>
      </c>
      <c r="IB162" s="518">
        <v>0</v>
      </c>
      <c r="IC162" s="518">
        <v>0</v>
      </c>
      <c r="ID162" s="518">
        <v>0</v>
      </c>
      <c r="IE162" s="518">
        <v>0</v>
      </c>
      <c r="IF162" s="518">
        <v>0</v>
      </c>
      <c r="IG162" s="518">
        <v>0</v>
      </c>
      <c r="IH162" s="518">
        <v>0</v>
      </c>
      <c r="II162" s="518">
        <v>0</v>
      </c>
      <c r="IJ162" s="518">
        <v>0</v>
      </c>
      <c r="IK162" s="518">
        <v>0</v>
      </c>
    </row>
    <row r="163" spans="1:245" ht="16.5" hidden="1">
      <c r="A163" s="517"/>
      <c r="B163" s="517"/>
      <c r="C163" s="517"/>
      <c r="D163" s="517"/>
      <c r="E163" s="517"/>
      <c r="F163" s="517"/>
      <c r="G163" s="558"/>
      <c r="H163" s="518"/>
      <c r="I163" s="558"/>
      <c r="J163" s="494"/>
      <c r="K163" s="518"/>
      <c r="M163" s="517" t="s">
        <v>721</v>
      </c>
      <c r="N163" s="517" t="s">
        <v>1101</v>
      </c>
      <c r="O163" s="517" t="s">
        <v>26</v>
      </c>
      <c r="P163" s="518">
        <v>30</v>
      </c>
      <c r="Q163" s="494" t="str">
        <f t="shared" ref="Q163:Q194" si="8">N163&amp;TEXT(O163,"00")&amp;TEXT(P163,"00")</f>
        <v>SWUC100230</v>
      </c>
      <c r="R163" s="518">
        <v>91.2</v>
      </c>
      <c r="S163" s="518">
        <v>10000</v>
      </c>
      <c r="T163" s="518">
        <v>10000</v>
      </c>
      <c r="U163" s="518">
        <v>10000</v>
      </c>
      <c r="V163" s="518">
        <v>10000</v>
      </c>
      <c r="W163" s="518">
        <v>10000</v>
      </c>
      <c r="X163" s="518">
        <v>10000</v>
      </c>
      <c r="Y163" s="518">
        <v>10000</v>
      </c>
      <c r="Z163" s="518">
        <v>10000</v>
      </c>
      <c r="AA163" s="518">
        <v>10000</v>
      </c>
      <c r="AB163" s="518">
        <v>0</v>
      </c>
      <c r="AC163" s="518">
        <v>0</v>
      </c>
      <c r="AD163" s="518">
        <v>0</v>
      </c>
      <c r="AE163" s="518">
        <v>0</v>
      </c>
      <c r="AF163" s="518">
        <v>0</v>
      </c>
      <c r="AG163" s="518">
        <v>0</v>
      </c>
      <c r="AH163" s="518">
        <v>0</v>
      </c>
      <c r="AI163" s="518">
        <v>0</v>
      </c>
      <c r="AJ163" s="518">
        <v>0</v>
      </c>
      <c r="AK163" s="518">
        <v>0</v>
      </c>
      <c r="AL163" s="518">
        <v>0</v>
      </c>
      <c r="AM163" s="518">
        <v>0</v>
      </c>
      <c r="AN163" s="518">
        <v>0</v>
      </c>
      <c r="AO163" s="518">
        <v>0</v>
      </c>
      <c r="AP163" s="518">
        <v>0</v>
      </c>
      <c r="AQ163" s="518">
        <v>0</v>
      </c>
      <c r="AR163" s="518">
        <v>0</v>
      </c>
      <c r="AS163" s="518">
        <v>0</v>
      </c>
      <c r="AT163" s="518">
        <v>0</v>
      </c>
      <c r="AU163" s="518">
        <v>0</v>
      </c>
      <c r="AV163" s="518">
        <v>0</v>
      </c>
      <c r="AW163" s="518">
        <v>0</v>
      </c>
      <c r="AX163" s="518">
        <v>0</v>
      </c>
      <c r="AY163" s="518">
        <v>0</v>
      </c>
      <c r="AZ163" s="518">
        <v>0</v>
      </c>
      <c r="BA163" s="518">
        <v>0</v>
      </c>
      <c r="BB163" s="518">
        <v>0</v>
      </c>
      <c r="BC163" s="518">
        <v>0</v>
      </c>
      <c r="BD163" s="518">
        <v>0</v>
      </c>
      <c r="BE163" s="518">
        <v>0</v>
      </c>
      <c r="BF163" s="518">
        <v>0</v>
      </c>
      <c r="BG163" s="518">
        <v>0</v>
      </c>
      <c r="BH163" s="518">
        <v>0</v>
      </c>
      <c r="BI163" s="518">
        <v>0</v>
      </c>
      <c r="BJ163" s="518">
        <v>0</v>
      </c>
      <c r="BK163" s="518">
        <v>0</v>
      </c>
      <c r="BL163" s="518">
        <v>0</v>
      </c>
      <c r="BM163" s="518">
        <v>0</v>
      </c>
      <c r="BN163" s="518">
        <v>0</v>
      </c>
      <c r="BO163" s="518">
        <v>0</v>
      </c>
      <c r="BP163" s="518">
        <v>0</v>
      </c>
      <c r="BQ163" s="518">
        <v>0</v>
      </c>
      <c r="BR163" s="518">
        <v>0</v>
      </c>
      <c r="BS163" s="518">
        <v>0</v>
      </c>
      <c r="BT163" s="518">
        <v>0</v>
      </c>
      <c r="BU163" s="518">
        <v>0</v>
      </c>
      <c r="BV163" s="518">
        <v>0</v>
      </c>
      <c r="BW163" s="518">
        <v>0</v>
      </c>
      <c r="BX163" s="518">
        <v>0</v>
      </c>
      <c r="BY163" s="518">
        <v>0</v>
      </c>
      <c r="BZ163" s="518">
        <v>0</v>
      </c>
      <c r="CA163" s="518">
        <v>0</v>
      </c>
      <c r="CB163" s="518">
        <v>0</v>
      </c>
      <c r="CC163" s="518">
        <v>0</v>
      </c>
      <c r="CD163" s="518">
        <v>0</v>
      </c>
      <c r="CE163" s="518">
        <v>0</v>
      </c>
      <c r="CF163" s="518">
        <v>0</v>
      </c>
      <c r="CG163" s="518">
        <v>0</v>
      </c>
      <c r="CH163" s="518">
        <v>0</v>
      </c>
      <c r="CI163" s="518">
        <v>0</v>
      </c>
      <c r="CJ163" s="518">
        <v>0</v>
      </c>
      <c r="CK163" s="518">
        <v>0</v>
      </c>
      <c r="CL163" s="518">
        <v>0</v>
      </c>
      <c r="CM163" s="518">
        <v>0</v>
      </c>
      <c r="CN163" s="518">
        <v>0</v>
      </c>
      <c r="CO163" s="518">
        <v>0</v>
      </c>
      <c r="CP163" s="518">
        <v>0</v>
      </c>
      <c r="CQ163" s="518">
        <v>0</v>
      </c>
      <c r="CR163" s="518">
        <v>0</v>
      </c>
      <c r="CS163" s="518">
        <v>0</v>
      </c>
      <c r="CT163" s="518">
        <v>0</v>
      </c>
      <c r="CU163" s="518">
        <v>0</v>
      </c>
      <c r="CV163" s="518">
        <v>0</v>
      </c>
      <c r="CW163" s="518">
        <v>0</v>
      </c>
      <c r="CX163" s="518">
        <v>0</v>
      </c>
      <c r="CY163" s="518">
        <v>0</v>
      </c>
      <c r="CZ163" s="518">
        <v>0</v>
      </c>
      <c r="DA163" s="518">
        <v>0</v>
      </c>
      <c r="DB163" s="518">
        <v>0</v>
      </c>
      <c r="DC163" s="518">
        <v>0</v>
      </c>
      <c r="DD163" s="518">
        <v>0</v>
      </c>
      <c r="DE163" s="518">
        <v>0</v>
      </c>
      <c r="DF163" s="518">
        <v>0</v>
      </c>
      <c r="DG163" s="518">
        <v>0</v>
      </c>
      <c r="DH163" s="518">
        <v>0</v>
      </c>
      <c r="DI163" s="518">
        <v>0</v>
      </c>
      <c r="DJ163" s="518">
        <v>0</v>
      </c>
      <c r="DK163" s="518">
        <v>0</v>
      </c>
      <c r="DL163" s="518">
        <v>0</v>
      </c>
      <c r="DM163" s="518">
        <v>0</v>
      </c>
      <c r="DN163" s="518">
        <v>0</v>
      </c>
      <c r="DO163" s="518">
        <v>0</v>
      </c>
      <c r="DP163" s="518">
        <v>0</v>
      </c>
      <c r="DQ163" s="518">
        <v>0</v>
      </c>
      <c r="DR163" s="518">
        <v>0</v>
      </c>
      <c r="DS163" s="518">
        <v>0</v>
      </c>
      <c r="DT163" s="518">
        <v>0</v>
      </c>
      <c r="DU163" s="518">
        <v>0</v>
      </c>
      <c r="DV163" s="518">
        <v>0</v>
      </c>
      <c r="DW163" s="518">
        <v>0</v>
      </c>
      <c r="DX163" s="518">
        <v>0</v>
      </c>
      <c r="DZ163" s="517" t="s">
        <v>721</v>
      </c>
      <c r="EA163" s="517" t="s">
        <v>1101</v>
      </c>
      <c r="EB163" s="517" t="s">
        <v>26</v>
      </c>
      <c r="EC163" s="518">
        <v>30</v>
      </c>
      <c r="ED163" s="494" t="str">
        <f t="shared" ref="ED163:ED194" si="9">EA163&amp;TEXT(EB163,"00")&amp;TEXT(EC163,"00")</f>
        <v>SWUC100230</v>
      </c>
      <c r="EE163" s="518">
        <v>91.2</v>
      </c>
      <c r="EF163" s="518">
        <v>2000</v>
      </c>
      <c r="EG163" s="518">
        <v>2000</v>
      </c>
      <c r="EH163" s="518">
        <v>2000</v>
      </c>
      <c r="EI163" s="518">
        <v>2000</v>
      </c>
      <c r="EJ163" s="518">
        <v>2000</v>
      </c>
      <c r="EK163" s="518">
        <v>2000</v>
      </c>
      <c r="EL163" s="518">
        <v>2000</v>
      </c>
      <c r="EM163" s="518">
        <v>2000</v>
      </c>
      <c r="EN163" s="518">
        <v>2000</v>
      </c>
      <c r="EO163" s="518">
        <v>0</v>
      </c>
      <c r="EP163" s="518">
        <v>0</v>
      </c>
      <c r="EQ163" s="518">
        <v>0</v>
      </c>
      <c r="ER163" s="518">
        <v>0</v>
      </c>
      <c r="ES163" s="518">
        <v>0</v>
      </c>
      <c r="ET163" s="518">
        <v>0</v>
      </c>
      <c r="EU163" s="518">
        <v>0</v>
      </c>
      <c r="EV163" s="518">
        <v>0</v>
      </c>
      <c r="EW163" s="518">
        <v>0</v>
      </c>
      <c r="EX163" s="518">
        <v>0</v>
      </c>
      <c r="EY163" s="518">
        <v>0</v>
      </c>
      <c r="EZ163" s="518">
        <v>0</v>
      </c>
      <c r="FA163" s="518">
        <v>0</v>
      </c>
      <c r="FB163" s="518">
        <v>0</v>
      </c>
      <c r="FC163" s="518">
        <v>0</v>
      </c>
      <c r="FD163" s="518">
        <v>0</v>
      </c>
      <c r="FE163" s="518">
        <v>0</v>
      </c>
      <c r="FF163" s="518">
        <v>0</v>
      </c>
      <c r="FG163" s="518">
        <v>0</v>
      </c>
      <c r="FH163" s="518">
        <v>0</v>
      </c>
      <c r="FI163" s="518">
        <v>0</v>
      </c>
      <c r="FJ163" s="518">
        <v>0</v>
      </c>
      <c r="FK163" s="518">
        <v>0</v>
      </c>
      <c r="FL163" s="518">
        <v>0</v>
      </c>
      <c r="FM163" s="518">
        <v>0</v>
      </c>
      <c r="FN163" s="518">
        <v>0</v>
      </c>
      <c r="FO163" s="518">
        <v>0</v>
      </c>
      <c r="FP163" s="518">
        <v>0</v>
      </c>
      <c r="FQ163" s="518">
        <v>0</v>
      </c>
      <c r="FR163" s="518">
        <v>0</v>
      </c>
      <c r="FS163" s="518">
        <v>0</v>
      </c>
      <c r="FT163" s="518">
        <v>0</v>
      </c>
      <c r="FU163" s="518">
        <v>0</v>
      </c>
      <c r="FV163" s="518">
        <v>0</v>
      </c>
      <c r="FW163" s="518">
        <v>0</v>
      </c>
      <c r="FX163" s="518">
        <v>0</v>
      </c>
      <c r="FY163" s="518">
        <v>0</v>
      </c>
      <c r="FZ163" s="518">
        <v>0</v>
      </c>
      <c r="GA163" s="518">
        <v>0</v>
      </c>
      <c r="GB163" s="518">
        <v>0</v>
      </c>
      <c r="GC163" s="518">
        <v>0</v>
      </c>
      <c r="GD163" s="518">
        <v>0</v>
      </c>
      <c r="GE163" s="518">
        <v>0</v>
      </c>
      <c r="GF163" s="518">
        <v>0</v>
      </c>
      <c r="GG163" s="518">
        <v>0</v>
      </c>
      <c r="GH163" s="518">
        <v>0</v>
      </c>
      <c r="GI163" s="518">
        <v>0</v>
      </c>
      <c r="GJ163" s="518">
        <v>0</v>
      </c>
      <c r="GK163" s="518">
        <v>0</v>
      </c>
      <c r="GL163" s="518">
        <v>0</v>
      </c>
      <c r="GM163" s="518">
        <v>0</v>
      </c>
      <c r="GN163" s="518">
        <v>0</v>
      </c>
      <c r="GO163" s="518">
        <v>0</v>
      </c>
      <c r="GP163" s="518">
        <v>0</v>
      </c>
      <c r="GQ163" s="518">
        <v>0</v>
      </c>
      <c r="GR163" s="518">
        <v>0</v>
      </c>
      <c r="GS163" s="518">
        <v>0</v>
      </c>
      <c r="GT163" s="518">
        <v>0</v>
      </c>
      <c r="GU163" s="518">
        <v>0</v>
      </c>
      <c r="GV163" s="518">
        <v>0</v>
      </c>
      <c r="GW163" s="518">
        <v>0</v>
      </c>
      <c r="GX163" s="518">
        <v>0</v>
      </c>
      <c r="GY163" s="518">
        <v>0</v>
      </c>
      <c r="GZ163" s="518">
        <v>0</v>
      </c>
      <c r="HA163" s="518">
        <v>0</v>
      </c>
      <c r="HB163" s="518">
        <v>0</v>
      </c>
      <c r="HC163" s="518">
        <v>0</v>
      </c>
      <c r="HD163" s="518">
        <v>0</v>
      </c>
      <c r="HE163" s="518">
        <v>0</v>
      </c>
      <c r="HF163" s="518">
        <v>0</v>
      </c>
      <c r="HG163" s="518">
        <v>0</v>
      </c>
      <c r="HH163" s="518">
        <v>0</v>
      </c>
      <c r="HI163" s="518">
        <v>0</v>
      </c>
      <c r="HJ163" s="518">
        <v>0</v>
      </c>
      <c r="HK163" s="518">
        <v>0</v>
      </c>
      <c r="HL163" s="518">
        <v>0</v>
      </c>
      <c r="HM163" s="518">
        <v>0</v>
      </c>
      <c r="HN163" s="518">
        <v>0</v>
      </c>
      <c r="HO163" s="518">
        <v>0</v>
      </c>
      <c r="HP163" s="518">
        <v>0</v>
      </c>
      <c r="HQ163" s="518">
        <v>0</v>
      </c>
      <c r="HR163" s="518">
        <v>0</v>
      </c>
      <c r="HS163" s="518">
        <v>0</v>
      </c>
      <c r="HT163" s="518">
        <v>0</v>
      </c>
      <c r="HU163" s="518">
        <v>0</v>
      </c>
      <c r="HV163" s="518">
        <v>0</v>
      </c>
      <c r="HW163" s="518">
        <v>0</v>
      </c>
      <c r="HX163" s="518">
        <v>0</v>
      </c>
      <c r="HY163" s="518">
        <v>0</v>
      </c>
      <c r="HZ163" s="518">
        <v>0</v>
      </c>
      <c r="IA163" s="518">
        <v>0</v>
      </c>
      <c r="IB163" s="518">
        <v>0</v>
      </c>
      <c r="IC163" s="518">
        <v>0</v>
      </c>
      <c r="ID163" s="518">
        <v>0</v>
      </c>
      <c r="IE163" s="518">
        <v>0</v>
      </c>
      <c r="IF163" s="518">
        <v>0</v>
      </c>
      <c r="IG163" s="518">
        <v>0</v>
      </c>
      <c r="IH163" s="518">
        <v>0</v>
      </c>
      <c r="II163" s="518">
        <v>0</v>
      </c>
      <c r="IJ163" s="518">
        <v>0</v>
      </c>
      <c r="IK163" s="518">
        <v>0</v>
      </c>
    </row>
    <row r="164" spans="1:245" ht="16.5" hidden="1">
      <c r="A164" s="517"/>
      <c r="B164" s="517"/>
      <c r="C164" s="517"/>
      <c r="D164" s="517"/>
      <c r="E164" s="517"/>
      <c r="F164" s="517"/>
      <c r="G164" s="558"/>
      <c r="H164" s="518"/>
      <c r="I164" s="558"/>
      <c r="J164" s="494"/>
      <c r="K164" s="518"/>
      <c r="M164" s="517" t="s">
        <v>721</v>
      </c>
      <c r="N164" s="517" t="s">
        <v>1101</v>
      </c>
      <c r="O164" s="517" t="s">
        <v>26</v>
      </c>
      <c r="P164" s="518">
        <v>31</v>
      </c>
      <c r="Q164" s="494" t="str">
        <f t="shared" si="8"/>
        <v>SWUC100231</v>
      </c>
      <c r="R164" s="518">
        <v>99.6</v>
      </c>
      <c r="S164" s="518">
        <v>10000</v>
      </c>
      <c r="T164" s="518">
        <v>10000</v>
      </c>
      <c r="U164" s="518">
        <v>10000</v>
      </c>
      <c r="V164" s="518">
        <v>10000</v>
      </c>
      <c r="W164" s="518">
        <v>10000</v>
      </c>
      <c r="X164" s="518">
        <v>10000</v>
      </c>
      <c r="Y164" s="518">
        <v>10000</v>
      </c>
      <c r="Z164" s="518">
        <v>10000</v>
      </c>
      <c r="AA164" s="518">
        <v>10000</v>
      </c>
      <c r="AB164" s="518">
        <v>0</v>
      </c>
      <c r="AC164" s="518">
        <v>0</v>
      </c>
      <c r="AD164" s="518">
        <v>0</v>
      </c>
      <c r="AE164" s="518">
        <v>0</v>
      </c>
      <c r="AF164" s="518">
        <v>0</v>
      </c>
      <c r="AG164" s="518">
        <v>0</v>
      </c>
      <c r="AH164" s="518">
        <v>0</v>
      </c>
      <c r="AI164" s="518">
        <v>0</v>
      </c>
      <c r="AJ164" s="518">
        <v>0</v>
      </c>
      <c r="AK164" s="518">
        <v>0</v>
      </c>
      <c r="AL164" s="518">
        <v>0</v>
      </c>
      <c r="AM164" s="518">
        <v>0</v>
      </c>
      <c r="AN164" s="518">
        <v>0</v>
      </c>
      <c r="AO164" s="518">
        <v>0</v>
      </c>
      <c r="AP164" s="518">
        <v>0</v>
      </c>
      <c r="AQ164" s="518">
        <v>0</v>
      </c>
      <c r="AR164" s="518">
        <v>0</v>
      </c>
      <c r="AS164" s="518">
        <v>0</v>
      </c>
      <c r="AT164" s="518">
        <v>0</v>
      </c>
      <c r="AU164" s="518">
        <v>0</v>
      </c>
      <c r="AV164" s="518">
        <v>0</v>
      </c>
      <c r="AW164" s="518">
        <v>0</v>
      </c>
      <c r="AX164" s="518">
        <v>0</v>
      </c>
      <c r="AY164" s="518">
        <v>0</v>
      </c>
      <c r="AZ164" s="518">
        <v>0</v>
      </c>
      <c r="BA164" s="518">
        <v>0</v>
      </c>
      <c r="BB164" s="518">
        <v>0</v>
      </c>
      <c r="BC164" s="518">
        <v>0</v>
      </c>
      <c r="BD164" s="518">
        <v>0</v>
      </c>
      <c r="BE164" s="518">
        <v>0</v>
      </c>
      <c r="BF164" s="518">
        <v>0</v>
      </c>
      <c r="BG164" s="518">
        <v>0</v>
      </c>
      <c r="BH164" s="518">
        <v>0</v>
      </c>
      <c r="BI164" s="518">
        <v>0</v>
      </c>
      <c r="BJ164" s="518">
        <v>0</v>
      </c>
      <c r="BK164" s="518">
        <v>0</v>
      </c>
      <c r="BL164" s="518">
        <v>0</v>
      </c>
      <c r="BM164" s="518">
        <v>0</v>
      </c>
      <c r="BN164" s="518">
        <v>0</v>
      </c>
      <c r="BO164" s="518">
        <v>0</v>
      </c>
      <c r="BP164" s="518">
        <v>0</v>
      </c>
      <c r="BQ164" s="518">
        <v>0</v>
      </c>
      <c r="BR164" s="518">
        <v>0</v>
      </c>
      <c r="BS164" s="518">
        <v>0</v>
      </c>
      <c r="BT164" s="518">
        <v>0</v>
      </c>
      <c r="BU164" s="518">
        <v>0</v>
      </c>
      <c r="BV164" s="518">
        <v>0</v>
      </c>
      <c r="BW164" s="518">
        <v>0</v>
      </c>
      <c r="BX164" s="518">
        <v>0</v>
      </c>
      <c r="BY164" s="518">
        <v>0</v>
      </c>
      <c r="BZ164" s="518">
        <v>0</v>
      </c>
      <c r="CA164" s="518">
        <v>0</v>
      </c>
      <c r="CB164" s="518">
        <v>0</v>
      </c>
      <c r="CC164" s="518">
        <v>0</v>
      </c>
      <c r="CD164" s="518">
        <v>0</v>
      </c>
      <c r="CE164" s="518">
        <v>0</v>
      </c>
      <c r="CF164" s="518">
        <v>0</v>
      </c>
      <c r="CG164" s="518">
        <v>0</v>
      </c>
      <c r="CH164" s="518">
        <v>0</v>
      </c>
      <c r="CI164" s="518">
        <v>0</v>
      </c>
      <c r="CJ164" s="518">
        <v>0</v>
      </c>
      <c r="CK164" s="518">
        <v>0</v>
      </c>
      <c r="CL164" s="518">
        <v>0</v>
      </c>
      <c r="CM164" s="518">
        <v>0</v>
      </c>
      <c r="CN164" s="518">
        <v>0</v>
      </c>
      <c r="CO164" s="518">
        <v>0</v>
      </c>
      <c r="CP164" s="518">
        <v>0</v>
      </c>
      <c r="CQ164" s="518">
        <v>0</v>
      </c>
      <c r="CR164" s="518">
        <v>0</v>
      </c>
      <c r="CS164" s="518">
        <v>0</v>
      </c>
      <c r="CT164" s="518">
        <v>0</v>
      </c>
      <c r="CU164" s="518">
        <v>0</v>
      </c>
      <c r="CV164" s="518">
        <v>0</v>
      </c>
      <c r="CW164" s="518">
        <v>0</v>
      </c>
      <c r="CX164" s="518">
        <v>0</v>
      </c>
      <c r="CY164" s="518">
        <v>0</v>
      </c>
      <c r="CZ164" s="518">
        <v>0</v>
      </c>
      <c r="DA164" s="518">
        <v>0</v>
      </c>
      <c r="DB164" s="518">
        <v>0</v>
      </c>
      <c r="DC164" s="518">
        <v>0</v>
      </c>
      <c r="DD164" s="518">
        <v>0</v>
      </c>
      <c r="DE164" s="518">
        <v>0</v>
      </c>
      <c r="DF164" s="518">
        <v>0</v>
      </c>
      <c r="DG164" s="518">
        <v>0</v>
      </c>
      <c r="DH164" s="518">
        <v>0</v>
      </c>
      <c r="DI164" s="518">
        <v>0</v>
      </c>
      <c r="DJ164" s="518">
        <v>0</v>
      </c>
      <c r="DK164" s="518">
        <v>0</v>
      </c>
      <c r="DL164" s="518">
        <v>0</v>
      </c>
      <c r="DM164" s="518">
        <v>0</v>
      </c>
      <c r="DN164" s="518">
        <v>0</v>
      </c>
      <c r="DO164" s="518">
        <v>0</v>
      </c>
      <c r="DP164" s="518">
        <v>0</v>
      </c>
      <c r="DQ164" s="518">
        <v>0</v>
      </c>
      <c r="DR164" s="518">
        <v>0</v>
      </c>
      <c r="DS164" s="518">
        <v>0</v>
      </c>
      <c r="DT164" s="518">
        <v>0</v>
      </c>
      <c r="DU164" s="518">
        <v>0</v>
      </c>
      <c r="DV164" s="518">
        <v>0</v>
      </c>
      <c r="DW164" s="518">
        <v>0</v>
      </c>
      <c r="DX164" s="518">
        <v>0</v>
      </c>
      <c r="DZ164" s="517" t="s">
        <v>721</v>
      </c>
      <c r="EA164" s="517" t="s">
        <v>1101</v>
      </c>
      <c r="EB164" s="517" t="s">
        <v>26</v>
      </c>
      <c r="EC164" s="518">
        <v>31</v>
      </c>
      <c r="ED164" s="494" t="str">
        <f t="shared" si="9"/>
        <v>SWUC100231</v>
      </c>
      <c r="EE164" s="518">
        <v>99.6</v>
      </c>
      <c r="EF164" s="518">
        <v>2000</v>
      </c>
      <c r="EG164" s="518">
        <v>2000</v>
      </c>
      <c r="EH164" s="518">
        <v>2000</v>
      </c>
      <c r="EI164" s="518">
        <v>2000</v>
      </c>
      <c r="EJ164" s="518">
        <v>2000</v>
      </c>
      <c r="EK164" s="518">
        <v>2000</v>
      </c>
      <c r="EL164" s="518">
        <v>2000</v>
      </c>
      <c r="EM164" s="518">
        <v>2000</v>
      </c>
      <c r="EN164" s="518">
        <v>2000</v>
      </c>
      <c r="EO164" s="518">
        <v>0</v>
      </c>
      <c r="EP164" s="518">
        <v>0</v>
      </c>
      <c r="EQ164" s="518">
        <v>0</v>
      </c>
      <c r="ER164" s="518">
        <v>0</v>
      </c>
      <c r="ES164" s="518">
        <v>0</v>
      </c>
      <c r="ET164" s="518">
        <v>0</v>
      </c>
      <c r="EU164" s="518">
        <v>0</v>
      </c>
      <c r="EV164" s="518">
        <v>0</v>
      </c>
      <c r="EW164" s="518">
        <v>0</v>
      </c>
      <c r="EX164" s="518">
        <v>0</v>
      </c>
      <c r="EY164" s="518">
        <v>0</v>
      </c>
      <c r="EZ164" s="518">
        <v>0</v>
      </c>
      <c r="FA164" s="518">
        <v>0</v>
      </c>
      <c r="FB164" s="518">
        <v>0</v>
      </c>
      <c r="FC164" s="518">
        <v>0</v>
      </c>
      <c r="FD164" s="518">
        <v>0</v>
      </c>
      <c r="FE164" s="518">
        <v>0</v>
      </c>
      <c r="FF164" s="518">
        <v>0</v>
      </c>
      <c r="FG164" s="518">
        <v>0</v>
      </c>
      <c r="FH164" s="518">
        <v>0</v>
      </c>
      <c r="FI164" s="518">
        <v>0</v>
      </c>
      <c r="FJ164" s="518">
        <v>0</v>
      </c>
      <c r="FK164" s="518">
        <v>0</v>
      </c>
      <c r="FL164" s="518">
        <v>0</v>
      </c>
      <c r="FM164" s="518">
        <v>0</v>
      </c>
      <c r="FN164" s="518">
        <v>0</v>
      </c>
      <c r="FO164" s="518">
        <v>0</v>
      </c>
      <c r="FP164" s="518">
        <v>0</v>
      </c>
      <c r="FQ164" s="518">
        <v>0</v>
      </c>
      <c r="FR164" s="518">
        <v>0</v>
      </c>
      <c r="FS164" s="518">
        <v>0</v>
      </c>
      <c r="FT164" s="518">
        <v>0</v>
      </c>
      <c r="FU164" s="518">
        <v>0</v>
      </c>
      <c r="FV164" s="518">
        <v>0</v>
      </c>
      <c r="FW164" s="518">
        <v>0</v>
      </c>
      <c r="FX164" s="518">
        <v>0</v>
      </c>
      <c r="FY164" s="518">
        <v>0</v>
      </c>
      <c r="FZ164" s="518">
        <v>0</v>
      </c>
      <c r="GA164" s="518">
        <v>0</v>
      </c>
      <c r="GB164" s="518">
        <v>0</v>
      </c>
      <c r="GC164" s="518">
        <v>0</v>
      </c>
      <c r="GD164" s="518">
        <v>0</v>
      </c>
      <c r="GE164" s="518">
        <v>0</v>
      </c>
      <c r="GF164" s="518">
        <v>0</v>
      </c>
      <c r="GG164" s="518">
        <v>0</v>
      </c>
      <c r="GH164" s="518">
        <v>0</v>
      </c>
      <c r="GI164" s="518">
        <v>0</v>
      </c>
      <c r="GJ164" s="518">
        <v>0</v>
      </c>
      <c r="GK164" s="518">
        <v>0</v>
      </c>
      <c r="GL164" s="518">
        <v>0</v>
      </c>
      <c r="GM164" s="518">
        <v>0</v>
      </c>
      <c r="GN164" s="518">
        <v>0</v>
      </c>
      <c r="GO164" s="518">
        <v>0</v>
      </c>
      <c r="GP164" s="518">
        <v>0</v>
      </c>
      <c r="GQ164" s="518">
        <v>0</v>
      </c>
      <c r="GR164" s="518">
        <v>0</v>
      </c>
      <c r="GS164" s="518">
        <v>0</v>
      </c>
      <c r="GT164" s="518">
        <v>0</v>
      </c>
      <c r="GU164" s="518">
        <v>0</v>
      </c>
      <c r="GV164" s="518">
        <v>0</v>
      </c>
      <c r="GW164" s="518">
        <v>0</v>
      </c>
      <c r="GX164" s="518">
        <v>0</v>
      </c>
      <c r="GY164" s="518">
        <v>0</v>
      </c>
      <c r="GZ164" s="518">
        <v>0</v>
      </c>
      <c r="HA164" s="518">
        <v>0</v>
      </c>
      <c r="HB164" s="518">
        <v>0</v>
      </c>
      <c r="HC164" s="518">
        <v>0</v>
      </c>
      <c r="HD164" s="518">
        <v>0</v>
      </c>
      <c r="HE164" s="518">
        <v>0</v>
      </c>
      <c r="HF164" s="518">
        <v>0</v>
      </c>
      <c r="HG164" s="518">
        <v>0</v>
      </c>
      <c r="HH164" s="518">
        <v>0</v>
      </c>
      <c r="HI164" s="518">
        <v>0</v>
      </c>
      <c r="HJ164" s="518">
        <v>0</v>
      </c>
      <c r="HK164" s="518">
        <v>0</v>
      </c>
      <c r="HL164" s="518">
        <v>0</v>
      </c>
      <c r="HM164" s="518">
        <v>0</v>
      </c>
      <c r="HN164" s="518">
        <v>0</v>
      </c>
      <c r="HO164" s="518">
        <v>0</v>
      </c>
      <c r="HP164" s="518">
        <v>0</v>
      </c>
      <c r="HQ164" s="518">
        <v>0</v>
      </c>
      <c r="HR164" s="518">
        <v>0</v>
      </c>
      <c r="HS164" s="518">
        <v>0</v>
      </c>
      <c r="HT164" s="518">
        <v>0</v>
      </c>
      <c r="HU164" s="518">
        <v>0</v>
      </c>
      <c r="HV164" s="518">
        <v>0</v>
      </c>
      <c r="HW164" s="518">
        <v>0</v>
      </c>
      <c r="HX164" s="518">
        <v>0</v>
      </c>
      <c r="HY164" s="518">
        <v>0</v>
      </c>
      <c r="HZ164" s="518">
        <v>0</v>
      </c>
      <c r="IA164" s="518">
        <v>0</v>
      </c>
      <c r="IB164" s="518">
        <v>0</v>
      </c>
      <c r="IC164" s="518">
        <v>0</v>
      </c>
      <c r="ID164" s="518">
        <v>0</v>
      </c>
      <c r="IE164" s="518">
        <v>0</v>
      </c>
      <c r="IF164" s="518">
        <v>0</v>
      </c>
      <c r="IG164" s="518">
        <v>0</v>
      </c>
      <c r="IH164" s="518">
        <v>0</v>
      </c>
      <c r="II164" s="518">
        <v>0</v>
      </c>
      <c r="IJ164" s="518">
        <v>0</v>
      </c>
      <c r="IK164" s="518">
        <v>0</v>
      </c>
    </row>
    <row r="165" spans="1:245" ht="16.5" hidden="1">
      <c r="A165" s="517"/>
      <c r="B165" s="517"/>
      <c r="C165" s="517"/>
      <c r="D165" s="517"/>
      <c r="E165" s="517"/>
      <c r="F165" s="517"/>
      <c r="G165" s="558"/>
      <c r="H165" s="518"/>
      <c r="I165" s="558"/>
      <c r="J165" s="494"/>
      <c r="K165" s="518"/>
      <c r="M165" s="517" t="s">
        <v>721</v>
      </c>
      <c r="N165" s="517" t="s">
        <v>1101</v>
      </c>
      <c r="O165" s="517" t="s">
        <v>26</v>
      </c>
      <c r="P165" s="518">
        <v>32</v>
      </c>
      <c r="Q165" s="494" t="str">
        <f t="shared" si="8"/>
        <v>SWUC100232</v>
      </c>
      <c r="R165" s="518">
        <v>108.1</v>
      </c>
      <c r="S165" s="518">
        <v>10000</v>
      </c>
      <c r="T165" s="518">
        <v>10000</v>
      </c>
      <c r="U165" s="518">
        <v>10000</v>
      </c>
      <c r="V165" s="518">
        <v>10000</v>
      </c>
      <c r="W165" s="518">
        <v>10000</v>
      </c>
      <c r="X165" s="518">
        <v>10000</v>
      </c>
      <c r="Y165" s="518">
        <v>10000</v>
      </c>
      <c r="Z165" s="518">
        <v>10000</v>
      </c>
      <c r="AA165" s="518">
        <v>10000</v>
      </c>
      <c r="AB165" s="518">
        <v>0</v>
      </c>
      <c r="AC165" s="518">
        <v>0</v>
      </c>
      <c r="AD165" s="518">
        <v>0</v>
      </c>
      <c r="AE165" s="518">
        <v>0</v>
      </c>
      <c r="AF165" s="518">
        <v>0</v>
      </c>
      <c r="AG165" s="518">
        <v>0</v>
      </c>
      <c r="AH165" s="518">
        <v>0</v>
      </c>
      <c r="AI165" s="518">
        <v>0</v>
      </c>
      <c r="AJ165" s="518">
        <v>0</v>
      </c>
      <c r="AK165" s="518">
        <v>0</v>
      </c>
      <c r="AL165" s="518">
        <v>0</v>
      </c>
      <c r="AM165" s="518">
        <v>0</v>
      </c>
      <c r="AN165" s="518">
        <v>0</v>
      </c>
      <c r="AO165" s="518">
        <v>0</v>
      </c>
      <c r="AP165" s="518">
        <v>0</v>
      </c>
      <c r="AQ165" s="518">
        <v>0</v>
      </c>
      <c r="AR165" s="518">
        <v>0</v>
      </c>
      <c r="AS165" s="518">
        <v>0</v>
      </c>
      <c r="AT165" s="518">
        <v>0</v>
      </c>
      <c r="AU165" s="518">
        <v>0</v>
      </c>
      <c r="AV165" s="518">
        <v>0</v>
      </c>
      <c r="AW165" s="518">
        <v>0</v>
      </c>
      <c r="AX165" s="518">
        <v>0</v>
      </c>
      <c r="AY165" s="518">
        <v>0</v>
      </c>
      <c r="AZ165" s="518">
        <v>0</v>
      </c>
      <c r="BA165" s="518">
        <v>0</v>
      </c>
      <c r="BB165" s="518">
        <v>0</v>
      </c>
      <c r="BC165" s="518">
        <v>0</v>
      </c>
      <c r="BD165" s="518">
        <v>0</v>
      </c>
      <c r="BE165" s="518">
        <v>0</v>
      </c>
      <c r="BF165" s="518">
        <v>0</v>
      </c>
      <c r="BG165" s="518">
        <v>0</v>
      </c>
      <c r="BH165" s="518">
        <v>0</v>
      </c>
      <c r="BI165" s="518">
        <v>0</v>
      </c>
      <c r="BJ165" s="518">
        <v>0</v>
      </c>
      <c r="BK165" s="518">
        <v>0</v>
      </c>
      <c r="BL165" s="518">
        <v>0</v>
      </c>
      <c r="BM165" s="518">
        <v>0</v>
      </c>
      <c r="BN165" s="518">
        <v>0</v>
      </c>
      <c r="BO165" s="518">
        <v>0</v>
      </c>
      <c r="BP165" s="518">
        <v>0</v>
      </c>
      <c r="BQ165" s="518">
        <v>0</v>
      </c>
      <c r="BR165" s="518">
        <v>0</v>
      </c>
      <c r="BS165" s="518">
        <v>0</v>
      </c>
      <c r="BT165" s="518">
        <v>0</v>
      </c>
      <c r="BU165" s="518">
        <v>0</v>
      </c>
      <c r="BV165" s="518">
        <v>0</v>
      </c>
      <c r="BW165" s="518">
        <v>0</v>
      </c>
      <c r="BX165" s="518">
        <v>0</v>
      </c>
      <c r="BY165" s="518">
        <v>0</v>
      </c>
      <c r="BZ165" s="518">
        <v>0</v>
      </c>
      <c r="CA165" s="518">
        <v>0</v>
      </c>
      <c r="CB165" s="518">
        <v>0</v>
      </c>
      <c r="CC165" s="518">
        <v>0</v>
      </c>
      <c r="CD165" s="518">
        <v>0</v>
      </c>
      <c r="CE165" s="518">
        <v>0</v>
      </c>
      <c r="CF165" s="518">
        <v>0</v>
      </c>
      <c r="CG165" s="518">
        <v>0</v>
      </c>
      <c r="CH165" s="518">
        <v>0</v>
      </c>
      <c r="CI165" s="518">
        <v>0</v>
      </c>
      <c r="CJ165" s="518">
        <v>0</v>
      </c>
      <c r="CK165" s="518">
        <v>0</v>
      </c>
      <c r="CL165" s="518">
        <v>0</v>
      </c>
      <c r="CM165" s="518">
        <v>0</v>
      </c>
      <c r="CN165" s="518">
        <v>0</v>
      </c>
      <c r="CO165" s="518">
        <v>0</v>
      </c>
      <c r="CP165" s="518">
        <v>0</v>
      </c>
      <c r="CQ165" s="518">
        <v>0</v>
      </c>
      <c r="CR165" s="518">
        <v>0</v>
      </c>
      <c r="CS165" s="518">
        <v>0</v>
      </c>
      <c r="CT165" s="518">
        <v>0</v>
      </c>
      <c r="CU165" s="518">
        <v>0</v>
      </c>
      <c r="CV165" s="518">
        <v>0</v>
      </c>
      <c r="CW165" s="518">
        <v>0</v>
      </c>
      <c r="CX165" s="518">
        <v>0</v>
      </c>
      <c r="CY165" s="518">
        <v>0</v>
      </c>
      <c r="CZ165" s="518">
        <v>0</v>
      </c>
      <c r="DA165" s="518">
        <v>0</v>
      </c>
      <c r="DB165" s="518">
        <v>0</v>
      </c>
      <c r="DC165" s="518">
        <v>0</v>
      </c>
      <c r="DD165" s="518">
        <v>0</v>
      </c>
      <c r="DE165" s="518">
        <v>0</v>
      </c>
      <c r="DF165" s="518">
        <v>0</v>
      </c>
      <c r="DG165" s="518">
        <v>0</v>
      </c>
      <c r="DH165" s="518">
        <v>0</v>
      </c>
      <c r="DI165" s="518">
        <v>0</v>
      </c>
      <c r="DJ165" s="518">
        <v>0</v>
      </c>
      <c r="DK165" s="518">
        <v>0</v>
      </c>
      <c r="DL165" s="518">
        <v>0</v>
      </c>
      <c r="DM165" s="518">
        <v>0</v>
      </c>
      <c r="DN165" s="518">
        <v>0</v>
      </c>
      <c r="DO165" s="518">
        <v>0</v>
      </c>
      <c r="DP165" s="518">
        <v>0</v>
      </c>
      <c r="DQ165" s="518">
        <v>0</v>
      </c>
      <c r="DR165" s="518">
        <v>0</v>
      </c>
      <c r="DS165" s="518">
        <v>0</v>
      </c>
      <c r="DT165" s="518">
        <v>0</v>
      </c>
      <c r="DU165" s="518">
        <v>0</v>
      </c>
      <c r="DV165" s="518">
        <v>0</v>
      </c>
      <c r="DW165" s="518">
        <v>0</v>
      </c>
      <c r="DX165" s="518">
        <v>0</v>
      </c>
      <c r="DZ165" s="517" t="s">
        <v>721</v>
      </c>
      <c r="EA165" s="517" t="s">
        <v>1101</v>
      </c>
      <c r="EB165" s="517" t="s">
        <v>26</v>
      </c>
      <c r="EC165" s="518">
        <v>32</v>
      </c>
      <c r="ED165" s="494" t="str">
        <f t="shared" si="9"/>
        <v>SWUC100232</v>
      </c>
      <c r="EE165" s="518">
        <v>108.1</v>
      </c>
      <c r="EF165" s="518">
        <v>2000</v>
      </c>
      <c r="EG165" s="518">
        <v>2000</v>
      </c>
      <c r="EH165" s="518">
        <v>2000</v>
      </c>
      <c r="EI165" s="518">
        <v>2000</v>
      </c>
      <c r="EJ165" s="518">
        <v>2000</v>
      </c>
      <c r="EK165" s="518">
        <v>2000</v>
      </c>
      <c r="EL165" s="518">
        <v>2000</v>
      </c>
      <c r="EM165" s="518">
        <v>2000</v>
      </c>
      <c r="EN165" s="518">
        <v>2000</v>
      </c>
      <c r="EO165" s="518">
        <v>0</v>
      </c>
      <c r="EP165" s="518">
        <v>0</v>
      </c>
      <c r="EQ165" s="518">
        <v>0</v>
      </c>
      <c r="ER165" s="518">
        <v>0</v>
      </c>
      <c r="ES165" s="518">
        <v>0</v>
      </c>
      <c r="ET165" s="518">
        <v>0</v>
      </c>
      <c r="EU165" s="518">
        <v>0</v>
      </c>
      <c r="EV165" s="518">
        <v>0</v>
      </c>
      <c r="EW165" s="518">
        <v>0</v>
      </c>
      <c r="EX165" s="518">
        <v>0</v>
      </c>
      <c r="EY165" s="518">
        <v>0</v>
      </c>
      <c r="EZ165" s="518">
        <v>0</v>
      </c>
      <c r="FA165" s="518">
        <v>0</v>
      </c>
      <c r="FB165" s="518">
        <v>0</v>
      </c>
      <c r="FC165" s="518">
        <v>0</v>
      </c>
      <c r="FD165" s="518">
        <v>0</v>
      </c>
      <c r="FE165" s="518">
        <v>0</v>
      </c>
      <c r="FF165" s="518">
        <v>0</v>
      </c>
      <c r="FG165" s="518">
        <v>0</v>
      </c>
      <c r="FH165" s="518">
        <v>0</v>
      </c>
      <c r="FI165" s="518">
        <v>0</v>
      </c>
      <c r="FJ165" s="518">
        <v>0</v>
      </c>
      <c r="FK165" s="518">
        <v>0</v>
      </c>
      <c r="FL165" s="518">
        <v>0</v>
      </c>
      <c r="FM165" s="518">
        <v>0</v>
      </c>
      <c r="FN165" s="518">
        <v>0</v>
      </c>
      <c r="FO165" s="518">
        <v>0</v>
      </c>
      <c r="FP165" s="518">
        <v>0</v>
      </c>
      <c r="FQ165" s="518">
        <v>0</v>
      </c>
      <c r="FR165" s="518">
        <v>0</v>
      </c>
      <c r="FS165" s="518">
        <v>0</v>
      </c>
      <c r="FT165" s="518">
        <v>0</v>
      </c>
      <c r="FU165" s="518">
        <v>0</v>
      </c>
      <c r="FV165" s="518">
        <v>0</v>
      </c>
      <c r="FW165" s="518">
        <v>0</v>
      </c>
      <c r="FX165" s="518">
        <v>0</v>
      </c>
      <c r="FY165" s="518">
        <v>0</v>
      </c>
      <c r="FZ165" s="518">
        <v>0</v>
      </c>
      <c r="GA165" s="518">
        <v>0</v>
      </c>
      <c r="GB165" s="518">
        <v>0</v>
      </c>
      <c r="GC165" s="518">
        <v>0</v>
      </c>
      <c r="GD165" s="518">
        <v>0</v>
      </c>
      <c r="GE165" s="518">
        <v>0</v>
      </c>
      <c r="GF165" s="518">
        <v>0</v>
      </c>
      <c r="GG165" s="518">
        <v>0</v>
      </c>
      <c r="GH165" s="518">
        <v>0</v>
      </c>
      <c r="GI165" s="518">
        <v>0</v>
      </c>
      <c r="GJ165" s="518">
        <v>0</v>
      </c>
      <c r="GK165" s="518">
        <v>0</v>
      </c>
      <c r="GL165" s="518">
        <v>0</v>
      </c>
      <c r="GM165" s="518">
        <v>0</v>
      </c>
      <c r="GN165" s="518">
        <v>0</v>
      </c>
      <c r="GO165" s="518">
        <v>0</v>
      </c>
      <c r="GP165" s="518">
        <v>0</v>
      </c>
      <c r="GQ165" s="518">
        <v>0</v>
      </c>
      <c r="GR165" s="518">
        <v>0</v>
      </c>
      <c r="GS165" s="518">
        <v>0</v>
      </c>
      <c r="GT165" s="518">
        <v>0</v>
      </c>
      <c r="GU165" s="518">
        <v>0</v>
      </c>
      <c r="GV165" s="518">
        <v>0</v>
      </c>
      <c r="GW165" s="518">
        <v>0</v>
      </c>
      <c r="GX165" s="518">
        <v>0</v>
      </c>
      <c r="GY165" s="518">
        <v>0</v>
      </c>
      <c r="GZ165" s="518">
        <v>0</v>
      </c>
      <c r="HA165" s="518">
        <v>0</v>
      </c>
      <c r="HB165" s="518">
        <v>0</v>
      </c>
      <c r="HC165" s="518">
        <v>0</v>
      </c>
      <c r="HD165" s="518">
        <v>0</v>
      </c>
      <c r="HE165" s="518">
        <v>0</v>
      </c>
      <c r="HF165" s="518">
        <v>0</v>
      </c>
      <c r="HG165" s="518">
        <v>0</v>
      </c>
      <c r="HH165" s="518">
        <v>0</v>
      </c>
      <c r="HI165" s="518">
        <v>0</v>
      </c>
      <c r="HJ165" s="518">
        <v>0</v>
      </c>
      <c r="HK165" s="518">
        <v>0</v>
      </c>
      <c r="HL165" s="518">
        <v>0</v>
      </c>
      <c r="HM165" s="518">
        <v>0</v>
      </c>
      <c r="HN165" s="518">
        <v>0</v>
      </c>
      <c r="HO165" s="518">
        <v>0</v>
      </c>
      <c r="HP165" s="518">
        <v>0</v>
      </c>
      <c r="HQ165" s="518">
        <v>0</v>
      </c>
      <c r="HR165" s="518">
        <v>0</v>
      </c>
      <c r="HS165" s="518">
        <v>0</v>
      </c>
      <c r="HT165" s="518">
        <v>0</v>
      </c>
      <c r="HU165" s="518">
        <v>0</v>
      </c>
      <c r="HV165" s="518">
        <v>0</v>
      </c>
      <c r="HW165" s="518">
        <v>0</v>
      </c>
      <c r="HX165" s="518">
        <v>0</v>
      </c>
      <c r="HY165" s="518">
        <v>0</v>
      </c>
      <c r="HZ165" s="518">
        <v>0</v>
      </c>
      <c r="IA165" s="518">
        <v>0</v>
      </c>
      <c r="IB165" s="518">
        <v>0</v>
      </c>
      <c r="IC165" s="518">
        <v>0</v>
      </c>
      <c r="ID165" s="518">
        <v>0</v>
      </c>
      <c r="IE165" s="518">
        <v>0</v>
      </c>
      <c r="IF165" s="518">
        <v>0</v>
      </c>
      <c r="IG165" s="518">
        <v>0</v>
      </c>
      <c r="IH165" s="518">
        <v>0</v>
      </c>
      <c r="II165" s="518">
        <v>0</v>
      </c>
      <c r="IJ165" s="518">
        <v>0</v>
      </c>
      <c r="IK165" s="518">
        <v>0</v>
      </c>
    </row>
    <row r="166" spans="1:245" ht="16.5" hidden="1">
      <c r="A166" s="517"/>
      <c r="B166" s="517"/>
      <c r="C166" s="517"/>
      <c r="D166" s="517"/>
      <c r="E166" s="517"/>
      <c r="F166" s="517"/>
      <c r="G166" s="558"/>
      <c r="H166" s="518"/>
      <c r="I166" s="558"/>
      <c r="J166" s="494"/>
      <c r="K166" s="518"/>
      <c r="M166" s="517" t="s">
        <v>721</v>
      </c>
      <c r="N166" s="517" t="s">
        <v>1101</v>
      </c>
      <c r="O166" s="517" t="s">
        <v>26</v>
      </c>
      <c r="P166" s="518">
        <v>33</v>
      </c>
      <c r="Q166" s="494" t="str">
        <f t="shared" si="8"/>
        <v>SWUC100233</v>
      </c>
      <c r="R166" s="518">
        <v>116.6</v>
      </c>
      <c r="S166" s="518">
        <v>10000</v>
      </c>
      <c r="T166" s="518">
        <v>10000</v>
      </c>
      <c r="U166" s="518">
        <v>10000</v>
      </c>
      <c r="V166" s="518">
        <v>10000</v>
      </c>
      <c r="W166" s="518">
        <v>10000</v>
      </c>
      <c r="X166" s="518">
        <v>10000</v>
      </c>
      <c r="Y166" s="518">
        <v>10000</v>
      </c>
      <c r="Z166" s="518">
        <v>10000</v>
      </c>
      <c r="AA166" s="518">
        <v>10000</v>
      </c>
      <c r="AB166" s="518">
        <v>0</v>
      </c>
      <c r="AC166" s="518">
        <v>0</v>
      </c>
      <c r="AD166" s="518">
        <v>0</v>
      </c>
      <c r="AE166" s="518">
        <v>0</v>
      </c>
      <c r="AF166" s="518">
        <v>0</v>
      </c>
      <c r="AG166" s="518">
        <v>0</v>
      </c>
      <c r="AH166" s="518">
        <v>0</v>
      </c>
      <c r="AI166" s="518">
        <v>0</v>
      </c>
      <c r="AJ166" s="518">
        <v>0</v>
      </c>
      <c r="AK166" s="518">
        <v>0</v>
      </c>
      <c r="AL166" s="518">
        <v>0</v>
      </c>
      <c r="AM166" s="518">
        <v>0</v>
      </c>
      <c r="AN166" s="518">
        <v>0</v>
      </c>
      <c r="AO166" s="518">
        <v>0</v>
      </c>
      <c r="AP166" s="518">
        <v>0</v>
      </c>
      <c r="AQ166" s="518">
        <v>0</v>
      </c>
      <c r="AR166" s="518">
        <v>0</v>
      </c>
      <c r="AS166" s="518">
        <v>0</v>
      </c>
      <c r="AT166" s="518">
        <v>0</v>
      </c>
      <c r="AU166" s="518">
        <v>0</v>
      </c>
      <c r="AV166" s="518">
        <v>0</v>
      </c>
      <c r="AW166" s="518">
        <v>0</v>
      </c>
      <c r="AX166" s="518">
        <v>0</v>
      </c>
      <c r="AY166" s="518">
        <v>0</v>
      </c>
      <c r="AZ166" s="518">
        <v>0</v>
      </c>
      <c r="BA166" s="518">
        <v>0</v>
      </c>
      <c r="BB166" s="518">
        <v>0</v>
      </c>
      <c r="BC166" s="518">
        <v>0</v>
      </c>
      <c r="BD166" s="518">
        <v>0</v>
      </c>
      <c r="BE166" s="518">
        <v>0</v>
      </c>
      <c r="BF166" s="518">
        <v>0</v>
      </c>
      <c r="BG166" s="518">
        <v>0</v>
      </c>
      <c r="BH166" s="518">
        <v>0</v>
      </c>
      <c r="BI166" s="518">
        <v>0</v>
      </c>
      <c r="BJ166" s="518">
        <v>0</v>
      </c>
      <c r="BK166" s="518">
        <v>0</v>
      </c>
      <c r="BL166" s="518">
        <v>0</v>
      </c>
      <c r="BM166" s="518">
        <v>0</v>
      </c>
      <c r="BN166" s="518">
        <v>0</v>
      </c>
      <c r="BO166" s="518">
        <v>0</v>
      </c>
      <c r="BP166" s="518">
        <v>0</v>
      </c>
      <c r="BQ166" s="518">
        <v>0</v>
      </c>
      <c r="BR166" s="518">
        <v>0</v>
      </c>
      <c r="BS166" s="518">
        <v>0</v>
      </c>
      <c r="BT166" s="518">
        <v>0</v>
      </c>
      <c r="BU166" s="518">
        <v>0</v>
      </c>
      <c r="BV166" s="518">
        <v>0</v>
      </c>
      <c r="BW166" s="518">
        <v>0</v>
      </c>
      <c r="BX166" s="518">
        <v>0</v>
      </c>
      <c r="BY166" s="518">
        <v>0</v>
      </c>
      <c r="BZ166" s="518">
        <v>0</v>
      </c>
      <c r="CA166" s="518">
        <v>0</v>
      </c>
      <c r="CB166" s="518">
        <v>0</v>
      </c>
      <c r="CC166" s="518">
        <v>0</v>
      </c>
      <c r="CD166" s="518">
        <v>0</v>
      </c>
      <c r="CE166" s="518">
        <v>0</v>
      </c>
      <c r="CF166" s="518">
        <v>0</v>
      </c>
      <c r="CG166" s="518">
        <v>0</v>
      </c>
      <c r="CH166" s="518">
        <v>0</v>
      </c>
      <c r="CI166" s="518">
        <v>0</v>
      </c>
      <c r="CJ166" s="518">
        <v>0</v>
      </c>
      <c r="CK166" s="518">
        <v>0</v>
      </c>
      <c r="CL166" s="518">
        <v>0</v>
      </c>
      <c r="CM166" s="518">
        <v>0</v>
      </c>
      <c r="CN166" s="518">
        <v>0</v>
      </c>
      <c r="CO166" s="518">
        <v>0</v>
      </c>
      <c r="CP166" s="518">
        <v>0</v>
      </c>
      <c r="CQ166" s="518">
        <v>0</v>
      </c>
      <c r="CR166" s="518">
        <v>0</v>
      </c>
      <c r="CS166" s="518">
        <v>0</v>
      </c>
      <c r="CT166" s="518">
        <v>0</v>
      </c>
      <c r="CU166" s="518">
        <v>0</v>
      </c>
      <c r="CV166" s="518">
        <v>0</v>
      </c>
      <c r="CW166" s="518">
        <v>0</v>
      </c>
      <c r="CX166" s="518">
        <v>0</v>
      </c>
      <c r="CY166" s="518">
        <v>0</v>
      </c>
      <c r="CZ166" s="518">
        <v>0</v>
      </c>
      <c r="DA166" s="518">
        <v>0</v>
      </c>
      <c r="DB166" s="518">
        <v>0</v>
      </c>
      <c r="DC166" s="518">
        <v>0</v>
      </c>
      <c r="DD166" s="518">
        <v>0</v>
      </c>
      <c r="DE166" s="518">
        <v>0</v>
      </c>
      <c r="DF166" s="518">
        <v>0</v>
      </c>
      <c r="DG166" s="518">
        <v>0</v>
      </c>
      <c r="DH166" s="518">
        <v>0</v>
      </c>
      <c r="DI166" s="518">
        <v>0</v>
      </c>
      <c r="DJ166" s="518">
        <v>0</v>
      </c>
      <c r="DK166" s="518">
        <v>0</v>
      </c>
      <c r="DL166" s="518">
        <v>0</v>
      </c>
      <c r="DM166" s="518">
        <v>0</v>
      </c>
      <c r="DN166" s="518">
        <v>0</v>
      </c>
      <c r="DO166" s="518">
        <v>0</v>
      </c>
      <c r="DP166" s="518">
        <v>0</v>
      </c>
      <c r="DQ166" s="518">
        <v>0</v>
      </c>
      <c r="DR166" s="518">
        <v>0</v>
      </c>
      <c r="DS166" s="518">
        <v>0</v>
      </c>
      <c r="DT166" s="518">
        <v>0</v>
      </c>
      <c r="DU166" s="518">
        <v>0</v>
      </c>
      <c r="DV166" s="518">
        <v>0</v>
      </c>
      <c r="DW166" s="518">
        <v>0</v>
      </c>
      <c r="DX166" s="518">
        <v>0</v>
      </c>
      <c r="DZ166" s="517" t="s">
        <v>721</v>
      </c>
      <c r="EA166" s="517" t="s">
        <v>1101</v>
      </c>
      <c r="EB166" s="517" t="s">
        <v>26</v>
      </c>
      <c r="EC166" s="518">
        <v>33</v>
      </c>
      <c r="ED166" s="494" t="str">
        <f t="shared" si="9"/>
        <v>SWUC100233</v>
      </c>
      <c r="EE166" s="518">
        <v>116.6</v>
      </c>
      <c r="EF166" s="518">
        <v>2000</v>
      </c>
      <c r="EG166" s="518">
        <v>2000</v>
      </c>
      <c r="EH166" s="518">
        <v>2000</v>
      </c>
      <c r="EI166" s="518">
        <v>2000</v>
      </c>
      <c r="EJ166" s="518">
        <v>2000</v>
      </c>
      <c r="EK166" s="518">
        <v>2000</v>
      </c>
      <c r="EL166" s="518">
        <v>2000</v>
      </c>
      <c r="EM166" s="518">
        <v>2000</v>
      </c>
      <c r="EN166" s="518">
        <v>2000</v>
      </c>
      <c r="EO166" s="518">
        <v>0</v>
      </c>
      <c r="EP166" s="518">
        <v>0</v>
      </c>
      <c r="EQ166" s="518">
        <v>0</v>
      </c>
      <c r="ER166" s="518">
        <v>0</v>
      </c>
      <c r="ES166" s="518">
        <v>0</v>
      </c>
      <c r="ET166" s="518">
        <v>0</v>
      </c>
      <c r="EU166" s="518">
        <v>0</v>
      </c>
      <c r="EV166" s="518">
        <v>0</v>
      </c>
      <c r="EW166" s="518">
        <v>0</v>
      </c>
      <c r="EX166" s="518">
        <v>0</v>
      </c>
      <c r="EY166" s="518">
        <v>0</v>
      </c>
      <c r="EZ166" s="518">
        <v>0</v>
      </c>
      <c r="FA166" s="518">
        <v>0</v>
      </c>
      <c r="FB166" s="518">
        <v>0</v>
      </c>
      <c r="FC166" s="518">
        <v>0</v>
      </c>
      <c r="FD166" s="518">
        <v>0</v>
      </c>
      <c r="FE166" s="518">
        <v>0</v>
      </c>
      <c r="FF166" s="518">
        <v>0</v>
      </c>
      <c r="FG166" s="518">
        <v>0</v>
      </c>
      <c r="FH166" s="518">
        <v>0</v>
      </c>
      <c r="FI166" s="518">
        <v>0</v>
      </c>
      <c r="FJ166" s="518">
        <v>0</v>
      </c>
      <c r="FK166" s="518">
        <v>0</v>
      </c>
      <c r="FL166" s="518">
        <v>0</v>
      </c>
      <c r="FM166" s="518">
        <v>0</v>
      </c>
      <c r="FN166" s="518">
        <v>0</v>
      </c>
      <c r="FO166" s="518">
        <v>0</v>
      </c>
      <c r="FP166" s="518">
        <v>0</v>
      </c>
      <c r="FQ166" s="518">
        <v>0</v>
      </c>
      <c r="FR166" s="518">
        <v>0</v>
      </c>
      <c r="FS166" s="518">
        <v>0</v>
      </c>
      <c r="FT166" s="518">
        <v>0</v>
      </c>
      <c r="FU166" s="518">
        <v>0</v>
      </c>
      <c r="FV166" s="518">
        <v>0</v>
      </c>
      <c r="FW166" s="518">
        <v>0</v>
      </c>
      <c r="FX166" s="518">
        <v>0</v>
      </c>
      <c r="FY166" s="518">
        <v>0</v>
      </c>
      <c r="FZ166" s="518">
        <v>0</v>
      </c>
      <c r="GA166" s="518">
        <v>0</v>
      </c>
      <c r="GB166" s="518">
        <v>0</v>
      </c>
      <c r="GC166" s="518">
        <v>0</v>
      </c>
      <c r="GD166" s="518">
        <v>0</v>
      </c>
      <c r="GE166" s="518">
        <v>0</v>
      </c>
      <c r="GF166" s="518">
        <v>0</v>
      </c>
      <c r="GG166" s="518">
        <v>0</v>
      </c>
      <c r="GH166" s="518">
        <v>0</v>
      </c>
      <c r="GI166" s="518">
        <v>0</v>
      </c>
      <c r="GJ166" s="518">
        <v>0</v>
      </c>
      <c r="GK166" s="518">
        <v>0</v>
      </c>
      <c r="GL166" s="518">
        <v>0</v>
      </c>
      <c r="GM166" s="518">
        <v>0</v>
      </c>
      <c r="GN166" s="518">
        <v>0</v>
      </c>
      <c r="GO166" s="518">
        <v>0</v>
      </c>
      <c r="GP166" s="518">
        <v>0</v>
      </c>
      <c r="GQ166" s="518">
        <v>0</v>
      </c>
      <c r="GR166" s="518">
        <v>0</v>
      </c>
      <c r="GS166" s="518">
        <v>0</v>
      </c>
      <c r="GT166" s="518">
        <v>0</v>
      </c>
      <c r="GU166" s="518">
        <v>0</v>
      </c>
      <c r="GV166" s="518">
        <v>0</v>
      </c>
      <c r="GW166" s="518">
        <v>0</v>
      </c>
      <c r="GX166" s="518">
        <v>0</v>
      </c>
      <c r="GY166" s="518">
        <v>0</v>
      </c>
      <c r="GZ166" s="518">
        <v>0</v>
      </c>
      <c r="HA166" s="518">
        <v>0</v>
      </c>
      <c r="HB166" s="518">
        <v>0</v>
      </c>
      <c r="HC166" s="518">
        <v>0</v>
      </c>
      <c r="HD166" s="518">
        <v>0</v>
      </c>
      <c r="HE166" s="518">
        <v>0</v>
      </c>
      <c r="HF166" s="518">
        <v>0</v>
      </c>
      <c r="HG166" s="518">
        <v>0</v>
      </c>
      <c r="HH166" s="518">
        <v>0</v>
      </c>
      <c r="HI166" s="518">
        <v>0</v>
      </c>
      <c r="HJ166" s="518">
        <v>0</v>
      </c>
      <c r="HK166" s="518">
        <v>0</v>
      </c>
      <c r="HL166" s="518">
        <v>0</v>
      </c>
      <c r="HM166" s="518">
        <v>0</v>
      </c>
      <c r="HN166" s="518">
        <v>0</v>
      </c>
      <c r="HO166" s="518">
        <v>0</v>
      </c>
      <c r="HP166" s="518">
        <v>0</v>
      </c>
      <c r="HQ166" s="518">
        <v>0</v>
      </c>
      <c r="HR166" s="518">
        <v>0</v>
      </c>
      <c r="HS166" s="518">
        <v>0</v>
      </c>
      <c r="HT166" s="518">
        <v>0</v>
      </c>
      <c r="HU166" s="518">
        <v>0</v>
      </c>
      <c r="HV166" s="518">
        <v>0</v>
      </c>
      <c r="HW166" s="518">
        <v>0</v>
      </c>
      <c r="HX166" s="518">
        <v>0</v>
      </c>
      <c r="HY166" s="518">
        <v>0</v>
      </c>
      <c r="HZ166" s="518">
        <v>0</v>
      </c>
      <c r="IA166" s="518">
        <v>0</v>
      </c>
      <c r="IB166" s="518">
        <v>0</v>
      </c>
      <c r="IC166" s="518">
        <v>0</v>
      </c>
      <c r="ID166" s="518">
        <v>0</v>
      </c>
      <c r="IE166" s="518">
        <v>0</v>
      </c>
      <c r="IF166" s="518">
        <v>0</v>
      </c>
      <c r="IG166" s="518">
        <v>0</v>
      </c>
      <c r="IH166" s="518">
        <v>0</v>
      </c>
      <c r="II166" s="518">
        <v>0</v>
      </c>
      <c r="IJ166" s="518">
        <v>0</v>
      </c>
      <c r="IK166" s="518">
        <v>0</v>
      </c>
    </row>
    <row r="167" spans="1:245" ht="16.5" hidden="1">
      <c r="A167" s="517"/>
      <c r="B167" s="517"/>
      <c r="C167" s="517"/>
      <c r="D167" s="517"/>
      <c r="E167" s="517"/>
      <c r="F167" s="517"/>
      <c r="G167" s="558"/>
      <c r="H167" s="518"/>
      <c r="I167" s="558"/>
      <c r="J167" s="494"/>
      <c r="K167" s="518"/>
      <c r="M167" s="517" t="s">
        <v>721</v>
      </c>
      <c r="N167" s="517" t="s">
        <v>1101</v>
      </c>
      <c r="O167" s="517" t="s">
        <v>26</v>
      </c>
      <c r="P167" s="518">
        <v>34</v>
      </c>
      <c r="Q167" s="494" t="str">
        <f t="shared" si="8"/>
        <v>SWUC100234</v>
      </c>
      <c r="R167" s="518">
        <v>125.1</v>
      </c>
      <c r="S167" s="518">
        <v>10000</v>
      </c>
      <c r="T167" s="518">
        <v>10000</v>
      </c>
      <c r="U167" s="518">
        <v>10000</v>
      </c>
      <c r="V167" s="518">
        <v>10000</v>
      </c>
      <c r="W167" s="518">
        <v>10000</v>
      </c>
      <c r="X167" s="518">
        <v>10000</v>
      </c>
      <c r="Y167" s="518">
        <v>10000</v>
      </c>
      <c r="Z167" s="518">
        <v>10000</v>
      </c>
      <c r="AA167" s="518">
        <v>10000</v>
      </c>
      <c r="AB167" s="518">
        <v>0</v>
      </c>
      <c r="AC167" s="518">
        <v>0</v>
      </c>
      <c r="AD167" s="518">
        <v>0</v>
      </c>
      <c r="AE167" s="518">
        <v>0</v>
      </c>
      <c r="AF167" s="518">
        <v>0</v>
      </c>
      <c r="AG167" s="518">
        <v>0</v>
      </c>
      <c r="AH167" s="518">
        <v>0</v>
      </c>
      <c r="AI167" s="518">
        <v>0</v>
      </c>
      <c r="AJ167" s="518">
        <v>0</v>
      </c>
      <c r="AK167" s="518">
        <v>0</v>
      </c>
      <c r="AL167" s="518">
        <v>0</v>
      </c>
      <c r="AM167" s="518">
        <v>0</v>
      </c>
      <c r="AN167" s="518">
        <v>0</v>
      </c>
      <c r="AO167" s="518">
        <v>0</v>
      </c>
      <c r="AP167" s="518">
        <v>0</v>
      </c>
      <c r="AQ167" s="518">
        <v>0</v>
      </c>
      <c r="AR167" s="518">
        <v>0</v>
      </c>
      <c r="AS167" s="518">
        <v>0</v>
      </c>
      <c r="AT167" s="518">
        <v>0</v>
      </c>
      <c r="AU167" s="518">
        <v>0</v>
      </c>
      <c r="AV167" s="518">
        <v>0</v>
      </c>
      <c r="AW167" s="518">
        <v>0</v>
      </c>
      <c r="AX167" s="518">
        <v>0</v>
      </c>
      <c r="AY167" s="518">
        <v>0</v>
      </c>
      <c r="AZ167" s="518">
        <v>0</v>
      </c>
      <c r="BA167" s="518">
        <v>0</v>
      </c>
      <c r="BB167" s="518">
        <v>0</v>
      </c>
      <c r="BC167" s="518">
        <v>0</v>
      </c>
      <c r="BD167" s="518">
        <v>0</v>
      </c>
      <c r="BE167" s="518">
        <v>0</v>
      </c>
      <c r="BF167" s="518">
        <v>0</v>
      </c>
      <c r="BG167" s="518">
        <v>0</v>
      </c>
      <c r="BH167" s="518">
        <v>0</v>
      </c>
      <c r="BI167" s="518">
        <v>0</v>
      </c>
      <c r="BJ167" s="518">
        <v>0</v>
      </c>
      <c r="BK167" s="518">
        <v>0</v>
      </c>
      <c r="BL167" s="518">
        <v>0</v>
      </c>
      <c r="BM167" s="518">
        <v>0</v>
      </c>
      <c r="BN167" s="518">
        <v>0</v>
      </c>
      <c r="BO167" s="518">
        <v>0</v>
      </c>
      <c r="BP167" s="518">
        <v>0</v>
      </c>
      <c r="BQ167" s="518">
        <v>0</v>
      </c>
      <c r="BR167" s="518">
        <v>0</v>
      </c>
      <c r="BS167" s="518">
        <v>0</v>
      </c>
      <c r="BT167" s="518">
        <v>0</v>
      </c>
      <c r="BU167" s="518">
        <v>0</v>
      </c>
      <c r="BV167" s="518">
        <v>0</v>
      </c>
      <c r="BW167" s="518">
        <v>0</v>
      </c>
      <c r="BX167" s="518">
        <v>0</v>
      </c>
      <c r="BY167" s="518">
        <v>0</v>
      </c>
      <c r="BZ167" s="518">
        <v>0</v>
      </c>
      <c r="CA167" s="518">
        <v>0</v>
      </c>
      <c r="CB167" s="518">
        <v>0</v>
      </c>
      <c r="CC167" s="518">
        <v>0</v>
      </c>
      <c r="CD167" s="518">
        <v>0</v>
      </c>
      <c r="CE167" s="518">
        <v>0</v>
      </c>
      <c r="CF167" s="518">
        <v>0</v>
      </c>
      <c r="CG167" s="518">
        <v>0</v>
      </c>
      <c r="CH167" s="518">
        <v>0</v>
      </c>
      <c r="CI167" s="518">
        <v>0</v>
      </c>
      <c r="CJ167" s="518">
        <v>0</v>
      </c>
      <c r="CK167" s="518">
        <v>0</v>
      </c>
      <c r="CL167" s="518">
        <v>0</v>
      </c>
      <c r="CM167" s="518">
        <v>0</v>
      </c>
      <c r="CN167" s="518">
        <v>0</v>
      </c>
      <c r="CO167" s="518">
        <v>0</v>
      </c>
      <c r="CP167" s="518">
        <v>0</v>
      </c>
      <c r="CQ167" s="518">
        <v>0</v>
      </c>
      <c r="CR167" s="518">
        <v>0</v>
      </c>
      <c r="CS167" s="518">
        <v>0</v>
      </c>
      <c r="CT167" s="518">
        <v>0</v>
      </c>
      <c r="CU167" s="518">
        <v>0</v>
      </c>
      <c r="CV167" s="518">
        <v>0</v>
      </c>
      <c r="CW167" s="518">
        <v>0</v>
      </c>
      <c r="CX167" s="518">
        <v>0</v>
      </c>
      <c r="CY167" s="518">
        <v>0</v>
      </c>
      <c r="CZ167" s="518">
        <v>0</v>
      </c>
      <c r="DA167" s="518">
        <v>0</v>
      </c>
      <c r="DB167" s="518">
        <v>0</v>
      </c>
      <c r="DC167" s="518">
        <v>0</v>
      </c>
      <c r="DD167" s="518">
        <v>0</v>
      </c>
      <c r="DE167" s="518">
        <v>0</v>
      </c>
      <c r="DF167" s="518">
        <v>0</v>
      </c>
      <c r="DG167" s="518">
        <v>0</v>
      </c>
      <c r="DH167" s="518">
        <v>0</v>
      </c>
      <c r="DI167" s="518">
        <v>0</v>
      </c>
      <c r="DJ167" s="518">
        <v>0</v>
      </c>
      <c r="DK167" s="518">
        <v>0</v>
      </c>
      <c r="DL167" s="518">
        <v>0</v>
      </c>
      <c r="DM167" s="518">
        <v>0</v>
      </c>
      <c r="DN167" s="518">
        <v>0</v>
      </c>
      <c r="DO167" s="518">
        <v>0</v>
      </c>
      <c r="DP167" s="518">
        <v>0</v>
      </c>
      <c r="DQ167" s="518">
        <v>0</v>
      </c>
      <c r="DR167" s="518">
        <v>0</v>
      </c>
      <c r="DS167" s="518">
        <v>0</v>
      </c>
      <c r="DT167" s="518">
        <v>0</v>
      </c>
      <c r="DU167" s="518">
        <v>0</v>
      </c>
      <c r="DV167" s="518">
        <v>0</v>
      </c>
      <c r="DW167" s="518">
        <v>0</v>
      </c>
      <c r="DX167" s="518">
        <v>0</v>
      </c>
      <c r="DZ167" s="517" t="s">
        <v>721</v>
      </c>
      <c r="EA167" s="517" t="s">
        <v>1101</v>
      </c>
      <c r="EB167" s="517" t="s">
        <v>26</v>
      </c>
      <c r="EC167" s="518">
        <v>34</v>
      </c>
      <c r="ED167" s="494" t="str">
        <f t="shared" si="9"/>
        <v>SWUC100234</v>
      </c>
      <c r="EE167" s="518">
        <v>125.1</v>
      </c>
      <c r="EF167" s="518">
        <v>2000</v>
      </c>
      <c r="EG167" s="518">
        <v>2000</v>
      </c>
      <c r="EH167" s="518">
        <v>2000</v>
      </c>
      <c r="EI167" s="518">
        <v>2000</v>
      </c>
      <c r="EJ167" s="518">
        <v>2000</v>
      </c>
      <c r="EK167" s="518">
        <v>2000</v>
      </c>
      <c r="EL167" s="518">
        <v>2000</v>
      </c>
      <c r="EM167" s="518">
        <v>2000</v>
      </c>
      <c r="EN167" s="518">
        <v>2000</v>
      </c>
      <c r="EO167" s="518">
        <v>0</v>
      </c>
      <c r="EP167" s="518">
        <v>0</v>
      </c>
      <c r="EQ167" s="518">
        <v>0</v>
      </c>
      <c r="ER167" s="518">
        <v>0</v>
      </c>
      <c r="ES167" s="518">
        <v>0</v>
      </c>
      <c r="ET167" s="518">
        <v>0</v>
      </c>
      <c r="EU167" s="518">
        <v>0</v>
      </c>
      <c r="EV167" s="518">
        <v>0</v>
      </c>
      <c r="EW167" s="518">
        <v>0</v>
      </c>
      <c r="EX167" s="518">
        <v>0</v>
      </c>
      <c r="EY167" s="518">
        <v>0</v>
      </c>
      <c r="EZ167" s="518">
        <v>0</v>
      </c>
      <c r="FA167" s="518">
        <v>0</v>
      </c>
      <c r="FB167" s="518">
        <v>0</v>
      </c>
      <c r="FC167" s="518">
        <v>0</v>
      </c>
      <c r="FD167" s="518">
        <v>0</v>
      </c>
      <c r="FE167" s="518">
        <v>0</v>
      </c>
      <c r="FF167" s="518">
        <v>0</v>
      </c>
      <c r="FG167" s="518">
        <v>0</v>
      </c>
      <c r="FH167" s="518">
        <v>0</v>
      </c>
      <c r="FI167" s="518">
        <v>0</v>
      </c>
      <c r="FJ167" s="518">
        <v>0</v>
      </c>
      <c r="FK167" s="518">
        <v>0</v>
      </c>
      <c r="FL167" s="518">
        <v>0</v>
      </c>
      <c r="FM167" s="518">
        <v>0</v>
      </c>
      <c r="FN167" s="518">
        <v>0</v>
      </c>
      <c r="FO167" s="518">
        <v>0</v>
      </c>
      <c r="FP167" s="518">
        <v>0</v>
      </c>
      <c r="FQ167" s="518">
        <v>0</v>
      </c>
      <c r="FR167" s="518">
        <v>0</v>
      </c>
      <c r="FS167" s="518">
        <v>0</v>
      </c>
      <c r="FT167" s="518">
        <v>0</v>
      </c>
      <c r="FU167" s="518">
        <v>0</v>
      </c>
      <c r="FV167" s="518">
        <v>0</v>
      </c>
      <c r="FW167" s="518">
        <v>0</v>
      </c>
      <c r="FX167" s="518">
        <v>0</v>
      </c>
      <c r="FY167" s="518">
        <v>0</v>
      </c>
      <c r="FZ167" s="518">
        <v>0</v>
      </c>
      <c r="GA167" s="518">
        <v>0</v>
      </c>
      <c r="GB167" s="518">
        <v>0</v>
      </c>
      <c r="GC167" s="518">
        <v>0</v>
      </c>
      <c r="GD167" s="518">
        <v>0</v>
      </c>
      <c r="GE167" s="518">
        <v>0</v>
      </c>
      <c r="GF167" s="518">
        <v>0</v>
      </c>
      <c r="GG167" s="518">
        <v>0</v>
      </c>
      <c r="GH167" s="518">
        <v>0</v>
      </c>
      <c r="GI167" s="518">
        <v>0</v>
      </c>
      <c r="GJ167" s="518">
        <v>0</v>
      </c>
      <c r="GK167" s="518">
        <v>0</v>
      </c>
      <c r="GL167" s="518">
        <v>0</v>
      </c>
      <c r="GM167" s="518">
        <v>0</v>
      </c>
      <c r="GN167" s="518">
        <v>0</v>
      </c>
      <c r="GO167" s="518">
        <v>0</v>
      </c>
      <c r="GP167" s="518">
        <v>0</v>
      </c>
      <c r="GQ167" s="518">
        <v>0</v>
      </c>
      <c r="GR167" s="518">
        <v>0</v>
      </c>
      <c r="GS167" s="518">
        <v>0</v>
      </c>
      <c r="GT167" s="518">
        <v>0</v>
      </c>
      <c r="GU167" s="518">
        <v>0</v>
      </c>
      <c r="GV167" s="518">
        <v>0</v>
      </c>
      <c r="GW167" s="518">
        <v>0</v>
      </c>
      <c r="GX167" s="518">
        <v>0</v>
      </c>
      <c r="GY167" s="518">
        <v>0</v>
      </c>
      <c r="GZ167" s="518">
        <v>0</v>
      </c>
      <c r="HA167" s="518">
        <v>0</v>
      </c>
      <c r="HB167" s="518">
        <v>0</v>
      </c>
      <c r="HC167" s="518">
        <v>0</v>
      </c>
      <c r="HD167" s="518">
        <v>0</v>
      </c>
      <c r="HE167" s="518">
        <v>0</v>
      </c>
      <c r="HF167" s="518">
        <v>0</v>
      </c>
      <c r="HG167" s="518">
        <v>0</v>
      </c>
      <c r="HH167" s="518">
        <v>0</v>
      </c>
      <c r="HI167" s="518">
        <v>0</v>
      </c>
      <c r="HJ167" s="518">
        <v>0</v>
      </c>
      <c r="HK167" s="518">
        <v>0</v>
      </c>
      <c r="HL167" s="518">
        <v>0</v>
      </c>
      <c r="HM167" s="518">
        <v>0</v>
      </c>
      <c r="HN167" s="518">
        <v>0</v>
      </c>
      <c r="HO167" s="518">
        <v>0</v>
      </c>
      <c r="HP167" s="518">
        <v>0</v>
      </c>
      <c r="HQ167" s="518">
        <v>0</v>
      </c>
      <c r="HR167" s="518">
        <v>0</v>
      </c>
      <c r="HS167" s="518">
        <v>0</v>
      </c>
      <c r="HT167" s="518">
        <v>0</v>
      </c>
      <c r="HU167" s="518">
        <v>0</v>
      </c>
      <c r="HV167" s="518">
        <v>0</v>
      </c>
      <c r="HW167" s="518">
        <v>0</v>
      </c>
      <c r="HX167" s="518">
        <v>0</v>
      </c>
      <c r="HY167" s="518">
        <v>0</v>
      </c>
      <c r="HZ167" s="518">
        <v>0</v>
      </c>
      <c r="IA167" s="518">
        <v>0</v>
      </c>
      <c r="IB167" s="518">
        <v>0</v>
      </c>
      <c r="IC167" s="518">
        <v>0</v>
      </c>
      <c r="ID167" s="518">
        <v>0</v>
      </c>
      <c r="IE167" s="518">
        <v>0</v>
      </c>
      <c r="IF167" s="518">
        <v>0</v>
      </c>
      <c r="IG167" s="518">
        <v>0</v>
      </c>
      <c r="IH167" s="518">
        <v>0</v>
      </c>
      <c r="II167" s="518">
        <v>0</v>
      </c>
      <c r="IJ167" s="518">
        <v>0</v>
      </c>
      <c r="IK167" s="518">
        <v>0</v>
      </c>
    </row>
    <row r="168" spans="1:245" ht="16.5" hidden="1">
      <c r="A168" s="517"/>
      <c r="B168" s="517"/>
      <c r="C168" s="517"/>
      <c r="D168" s="517"/>
      <c r="E168" s="517"/>
      <c r="F168" s="517"/>
      <c r="G168" s="558"/>
      <c r="H168" s="518"/>
      <c r="I168" s="558"/>
      <c r="J168" s="494"/>
      <c r="K168" s="518"/>
      <c r="M168" s="517" t="s">
        <v>721</v>
      </c>
      <c r="N168" s="517" t="s">
        <v>1101</v>
      </c>
      <c r="O168" s="517" t="s">
        <v>26</v>
      </c>
      <c r="P168" s="518">
        <v>35</v>
      </c>
      <c r="Q168" s="494" t="str">
        <f t="shared" si="8"/>
        <v>SWUC100235</v>
      </c>
      <c r="R168" s="518">
        <v>133.6</v>
      </c>
      <c r="S168" s="518">
        <v>10000</v>
      </c>
      <c r="T168" s="518">
        <v>10000</v>
      </c>
      <c r="U168" s="518">
        <v>10000</v>
      </c>
      <c r="V168" s="518">
        <v>10000</v>
      </c>
      <c r="W168" s="518">
        <v>10000</v>
      </c>
      <c r="X168" s="518">
        <v>10000</v>
      </c>
      <c r="Y168" s="518">
        <v>10000</v>
      </c>
      <c r="Z168" s="518">
        <v>10000</v>
      </c>
      <c r="AA168" s="518">
        <v>10000</v>
      </c>
      <c r="AB168" s="518">
        <v>0</v>
      </c>
      <c r="AC168" s="518">
        <v>0</v>
      </c>
      <c r="AD168" s="518">
        <v>0</v>
      </c>
      <c r="AE168" s="518">
        <v>0</v>
      </c>
      <c r="AF168" s="518">
        <v>0</v>
      </c>
      <c r="AG168" s="518">
        <v>0</v>
      </c>
      <c r="AH168" s="518">
        <v>0</v>
      </c>
      <c r="AI168" s="518">
        <v>0</v>
      </c>
      <c r="AJ168" s="518">
        <v>0</v>
      </c>
      <c r="AK168" s="518">
        <v>0</v>
      </c>
      <c r="AL168" s="518">
        <v>0</v>
      </c>
      <c r="AM168" s="518">
        <v>0</v>
      </c>
      <c r="AN168" s="518">
        <v>0</v>
      </c>
      <c r="AO168" s="518">
        <v>0</v>
      </c>
      <c r="AP168" s="518">
        <v>0</v>
      </c>
      <c r="AQ168" s="518">
        <v>0</v>
      </c>
      <c r="AR168" s="518">
        <v>0</v>
      </c>
      <c r="AS168" s="518">
        <v>0</v>
      </c>
      <c r="AT168" s="518">
        <v>0</v>
      </c>
      <c r="AU168" s="518">
        <v>0</v>
      </c>
      <c r="AV168" s="518">
        <v>0</v>
      </c>
      <c r="AW168" s="518">
        <v>0</v>
      </c>
      <c r="AX168" s="518">
        <v>0</v>
      </c>
      <c r="AY168" s="518">
        <v>0</v>
      </c>
      <c r="AZ168" s="518">
        <v>0</v>
      </c>
      <c r="BA168" s="518">
        <v>0</v>
      </c>
      <c r="BB168" s="518">
        <v>0</v>
      </c>
      <c r="BC168" s="518">
        <v>0</v>
      </c>
      <c r="BD168" s="518">
        <v>0</v>
      </c>
      <c r="BE168" s="518">
        <v>0</v>
      </c>
      <c r="BF168" s="518">
        <v>0</v>
      </c>
      <c r="BG168" s="518">
        <v>0</v>
      </c>
      <c r="BH168" s="518">
        <v>0</v>
      </c>
      <c r="BI168" s="518">
        <v>0</v>
      </c>
      <c r="BJ168" s="518">
        <v>0</v>
      </c>
      <c r="BK168" s="518">
        <v>0</v>
      </c>
      <c r="BL168" s="518">
        <v>0</v>
      </c>
      <c r="BM168" s="518">
        <v>0</v>
      </c>
      <c r="BN168" s="518">
        <v>0</v>
      </c>
      <c r="BO168" s="518">
        <v>0</v>
      </c>
      <c r="BP168" s="518">
        <v>0</v>
      </c>
      <c r="BQ168" s="518">
        <v>0</v>
      </c>
      <c r="BR168" s="518">
        <v>0</v>
      </c>
      <c r="BS168" s="518">
        <v>0</v>
      </c>
      <c r="BT168" s="518">
        <v>0</v>
      </c>
      <c r="BU168" s="518">
        <v>0</v>
      </c>
      <c r="BV168" s="518">
        <v>0</v>
      </c>
      <c r="BW168" s="518">
        <v>0</v>
      </c>
      <c r="BX168" s="518">
        <v>0</v>
      </c>
      <c r="BY168" s="518">
        <v>0</v>
      </c>
      <c r="BZ168" s="518">
        <v>0</v>
      </c>
      <c r="CA168" s="518">
        <v>0</v>
      </c>
      <c r="CB168" s="518">
        <v>0</v>
      </c>
      <c r="CC168" s="518">
        <v>0</v>
      </c>
      <c r="CD168" s="518">
        <v>0</v>
      </c>
      <c r="CE168" s="518">
        <v>0</v>
      </c>
      <c r="CF168" s="518">
        <v>0</v>
      </c>
      <c r="CG168" s="518">
        <v>0</v>
      </c>
      <c r="CH168" s="518">
        <v>0</v>
      </c>
      <c r="CI168" s="518">
        <v>0</v>
      </c>
      <c r="CJ168" s="518">
        <v>0</v>
      </c>
      <c r="CK168" s="518">
        <v>0</v>
      </c>
      <c r="CL168" s="518">
        <v>0</v>
      </c>
      <c r="CM168" s="518">
        <v>0</v>
      </c>
      <c r="CN168" s="518">
        <v>0</v>
      </c>
      <c r="CO168" s="518">
        <v>0</v>
      </c>
      <c r="CP168" s="518">
        <v>0</v>
      </c>
      <c r="CQ168" s="518">
        <v>0</v>
      </c>
      <c r="CR168" s="518">
        <v>0</v>
      </c>
      <c r="CS168" s="518">
        <v>0</v>
      </c>
      <c r="CT168" s="518">
        <v>0</v>
      </c>
      <c r="CU168" s="518">
        <v>0</v>
      </c>
      <c r="CV168" s="518">
        <v>0</v>
      </c>
      <c r="CW168" s="518">
        <v>0</v>
      </c>
      <c r="CX168" s="518">
        <v>0</v>
      </c>
      <c r="CY168" s="518">
        <v>0</v>
      </c>
      <c r="CZ168" s="518">
        <v>0</v>
      </c>
      <c r="DA168" s="518">
        <v>0</v>
      </c>
      <c r="DB168" s="518">
        <v>0</v>
      </c>
      <c r="DC168" s="518">
        <v>0</v>
      </c>
      <c r="DD168" s="518">
        <v>0</v>
      </c>
      <c r="DE168" s="518">
        <v>0</v>
      </c>
      <c r="DF168" s="518">
        <v>0</v>
      </c>
      <c r="DG168" s="518">
        <v>0</v>
      </c>
      <c r="DH168" s="518">
        <v>0</v>
      </c>
      <c r="DI168" s="518">
        <v>0</v>
      </c>
      <c r="DJ168" s="518">
        <v>0</v>
      </c>
      <c r="DK168" s="518">
        <v>0</v>
      </c>
      <c r="DL168" s="518">
        <v>0</v>
      </c>
      <c r="DM168" s="518">
        <v>0</v>
      </c>
      <c r="DN168" s="518">
        <v>0</v>
      </c>
      <c r="DO168" s="518">
        <v>0</v>
      </c>
      <c r="DP168" s="518">
        <v>0</v>
      </c>
      <c r="DQ168" s="518">
        <v>0</v>
      </c>
      <c r="DR168" s="518">
        <v>0</v>
      </c>
      <c r="DS168" s="518">
        <v>0</v>
      </c>
      <c r="DT168" s="518">
        <v>0</v>
      </c>
      <c r="DU168" s="518">
        <v>0</v>
      </c>
      <c r="DV168" s="518">
        <v>0</v>
      </c>
      <c r="DW168" s="518">
        <v>0</v>
      </c>
      <c r="DX168" s="518">
        <v>0</v>
      </c>
      <c r="DZ168" s="517" t="s">
        <v>721</v>
      </c>
      <c r="EA168" s="517" t="s">
        <v>1101</v>
      </c>
      <c r="EB168" s="517" t="s">
        <v>26</v>
      </c>
      <c r="EC168" s="518">
        <v>35</v>
      </c>
      <c r="ED168" s="494" t="str">
        <f t="shared" si="9"/>
        <v>SWUC100235</v>
      </c>
      <c r="EE168" s="518">
        <v>133.6</v>
      </c>
      <c r="EF168" s="518">
        <v>2000</v>
      </c>
      <c r="EG168" s="518">
        <v>2000</v>
      </c>
      <c r="EH168" s="518">
        <v>2000</v>
      </c>
      <c r="EI168" s="518">
        <v>2000</v>
      </c>
      <c r="EJ168" s="518">
        <v>2000</v>
      </c>
      <c r="EK168" s="518">
        <v>2000</v>
      </c>
      <c r="EL168" s="518">
        <v>2000</v>
      </c>
      <c r="EM168" s="518">
        <v>2000</v>
      </c>
      <c r="EN168" s="518">
        <v>2000</v>
      </c>
      <c r="EO168" s="518">
        <v>0</v>
      </c>
      <c r="EP168" s="518">
        <v>0</v>
      </c>
      <c r="EQ168" s="518">
        <v>0</v>
      </c>
      <c r="ER168" s="518">
        <v>0</v>
      </c>
      <c r="ES168" s="518">
        <v>0</v>
      </c>
      <c r="ET168" s="518">
        <v>0</v>
      </c>
      <c r="EU168" s="518">
        <v>0</v>
      </c>
      <c r="EV168" s="518">
        <v>0</v>
      </c>
      <c r="EW168" s="518">
        <v>0</v>
      </c>
      <c r="EX168" s="518">
        <v>0</v>
      </c>
      <c r="EY168" s="518">
        <v>0</v>
      </c>
      <c r="EZ168" s="518">
        <v>0</v>
      </c>
      <c r="FA168" s="518">
        <v>0</v>
      </c>
      <c r="FB168" s="518">
        <v>0</v>
      </c>
      <c r="FC168" s="518">
        <v>0</v>
      </c>
      <c r="FD168" s="518">
        <v>0</v>
      </c>
      <c r="FE168" s="518">
        <v>0</v>
      </c>
      <c r="FF168" s="518">
        <v>0</v>
      </c>
      <c r="FG168" s="518">
        <v>0</v>
      </c>
      <c r="FH168" s="518">
        <v>0</v>
      </c>
      <c r="FI168" s="518">
        <v>0</v>
      </c>
      <c r="FJ168" s="518">
        <v>0</v>
      </c>
      <c r="FK168" s="518">
        <v>0</v>
      </c>
      <c r="FL168" s="518">
        <v>0</v>
      </c>
      <c r="FM168" s="518">
        <v>0</v>
      </c>
      <c r="FN168" s="518">
        <v>0</v>
      </c>
      <c r="FO168" s="518">
        <v>0</v>
      </c>
      <c r="FP168" s="518">
        <v>0</v>
      </c>
      <c r="FQ168" s="518">
        <v>0</v>
      </c>
      <c r="FR168" s="518">
        <v>0</v>
      </c>
      <c r="FS168" s="518">
        <v>0</v>
      </c>
      <c r="FT168" s="518">
        <v>0</v>
      </c>
      <c r="FU168" s="518">
        <v>0</v>
      </c>
      <c r="FV168" s="518">
        <v>0</v>
      </c>
      <c r="FW168" s="518">
        <v>0</v>
      </c>
      <c r="FX168" s="518">
        <v>0</v>
      </c>
      <c r="FY168" s="518">
        <v>0</v>
      </c>
      <c r="FZ168" s="518">
        <v>0</v>
      </c>
      <c r="GA168" s="518">
        <v>0</v>
      </c>
      <c r="GB168" s="518">
        <v>0</v>
      </c>
      <c r="GC168" s="518">
        <v>0</v>
      </c>
      <c r="GD168" s="518">
        <v>0</v>
      </c>
      <c r="GE168" s="518">
        <v>0</v>
      </c>
      <c r="GF168" s="518">
        <v>0</v>
      </c>
      <c r="GG168" s="518">
        <v>0</v>
      </c>
      <c r="GH168" s="518">
        <v>0</v>
      </c>
      <c r="GI168" s="518">
        <v>0</v>
      </c>
      <c r="GJ168" s="518">
        <v>0</v>
      </c>
      <c r="GK168" s="518">
        <v>0</v>
      </c>
      <c r="GL168" s="518">
        <v>0</v>
      </c>
      <c r="GM168" s="518">
        <v>0</v>
      </c>
      <c r="GN168" s="518">
        <v>0</v>
      </c>
      <c r="GO168" s="518">
        <v>0</v>
      </c>
      <c r="GP168" s="518">
        <v>0</v>
      </c>
      <c r="GQ168" s="518">
        <v>0</v>
      </c>
      <c r="GR168" s="518">
        <v>0</v>
      </c>
      <c r="GS168" s="518">
        <v>0</v>
      </c>
      <c r="GT168" s="518">
        <v>0</v>
      </c>
      <c r="GU168" s="518">
        <v>0</v>
      </c>
      <c r="GV168" s="518">
        <v>0</v>
      </c>
      <c r="GW168" s="518">
        <v>0</v>
      </c>
      <c r="GX168" s="518">
        <v>0</v>
      </c>
      <c r="GY168" s="518">
        <v>0</v>
      </c>
      <c r="GZ168" s="518">
        <v>0</v>
      </c>
      <c r="HA168" s="518">
        <v>0</v>
      </c>
      <c r="HB168" s="518">
        <v>0</v>
      </c>
      <c r="HC168" s="518">
        <v>0</v>
      </c>
      <c r="HD168" s="518">
        <v>0</v>
      </c>
      <c r="HE168" s="518">
        <v>0</v>
      </c>
      <c r="HF168" s="518">
        <v>0</v>
      </c>
      <c r="HG168" s="518">
        <v>0</v>
      </c>
      <c r="HH168" s="518">
        <v>0</v>
      </c>
      <c r="HI168" s="518">
        <v>0</v>
      </c>
      <c r="HJ168" s="518">
        <v>0</v>
      </c>
      <c r="HK168" s="518">
        <v>0</v>
      </c>
      <c r="HL168" s="518">
        <v>0</v>
      </c>
      <c r="HM168" s="518">
        <v>0</v>
      </c>
      <c r="HN168" s="518">
        <v>0</v>
      </c>
      <c r="HO168" s="518">
        <v>0</v>
      </c>
      <c r="HP168" s="518">
        <v>0</v>
      </c>
      <c r="HQ168" s="518">
        <v>0</v>
      </c>
      <c r="HR168" s="518">
        <v>0</v>
      </c>
      <c r="HS168" s="518">
        <v>0</v>
      </c>
      <c r="HT168" s="518">
        <v>0</v>
      </c>
      <c r="HU168" s="518">
        <v>0</v>
      </c>
      <c r="HV168" s="518">
        <v>0</v>
      </c>
      <c r="HW168" s="518">
        <v>0</v>
      </c>
      <c r="HX168" s="518">
        <v>0</v>
      </c>
      <c r="HY168" s="518">
        <v>0</v>
      </c>
      <c r="HZ168" s="518">
        <v>0</v>
      </c>
      <c r="IA168" s="518">
        <v>0</v>
      </c>
      <c r="IB168" s="518">
        <v>0</v>
      </c>
      <c r="IC168" s="518">
        <v>0</v>
      </c>
      <c r="ID168" s="518">
        <v>0</v>
      </c>
      <c r="IE168" s="518">
        <v>0</v>
      </c>
      <c r="IF168" s="518">
        <v>0</v>
      </c>
      <c r="IG168" s="518">
        <v>0</v>
      </c>
      <c r="IH168" s="518">
        <v>0</v>
      </c>
      <c r="II168" s="518">
        <v>0</v>
      </c>
      <c r="IJ168" s="518">
        <v>0</v>
      </c>
      <c r="IK168" s="518">
        <v>0</v>
      </c>
    </row>
    <row r="169" spans="1:245" ht="16.5" hidden="1">
      <c r="A169" s="517"/>
      <c r="B169" s="517"/>
      <c r="C169" s="517"/>
      <c r="D169" s="517"/>
      <c r="E169" s="517"/>
      <c r="F169" s="517"/>
      <c r="G169" s="558"/>
      <c r="H169" s="518"/>
      <c r="I169" s="558"/>
      <c r="J169" s="494"/>
      <c r="K169" s="518"/>
      <c r="M169" s="517" t="s">
        <v>721</v>
      </c>
      <c r="N169" s="517" t="s">
        <v>1101</v>
      </c>
      <c r="O169" s="517" t="s">
        <v>26</v>
      </c>
      <c r="P169" s="518">
        <v>36</v>
      </c>
      <c r="Q169" s="494" t="str">
        <f t="shared" si="8"/>
        <v>SWUC100236</v>
      </c>
      <c r="R169" s="518">
        <v>142</v>
      </c>
      <c r="S169" s="518">
        <v>10000</v>
      </c>
      <c r="T169" s="518">
        <v>10000</v>
      </c>
      <c r="U169" s="518">
        <v>10000</v>
      </c>
      <c r="V169" s="518">
        <v>10000</v>
      </c>
      <c r="W169" s="518">
        <v>10000</v>
      </c>
      <c r="X169" s="518">
        <v>10000</v>
      </c>
      <c r="Y169" s="518">
        <v>10000</v>
      </c>
      <c r="Z169" s="518">
        <v>10000</v>
      </c>
      <c r="AA169" s="518">
        <v>10000</v>
      </c>
      <c r="AB169" s="518">
        <v>0</v>
      </c>
      <c r="AC169" s="518">
        <v>0</v>
      </c>
      <c r="AD169" s="518">
        <v>0</v>
      </c>
      <c r="AE169" s="518">
        <v>0</v>
      </c>
      <c r="AF169" s="518">
        <v>0</v>
      </c>
      <c r="AG169" s="518">
        <v>0</v>
      </c>
      <c r="AH169" s="518">
        <v>0</v>
      </c>
      <c r="AI169" s="518">
        <v>0</v>
      </c>
      <c r="AJ169" s="518">
        <v>0</v>
      </c>
      <c r="AK169" s="518">
        <v>0</v>
      </c>
      <c r="AL169" s="518">
        <v>0</v>
      </c>
      <c r="AM169" s="518">
        <v>0</v>
      </c>
      <c r="AN169" s="518">
        <v>0</v>
      </c>
      <c r="AO169" s="518">
        <v>0</v>
      </c>
      <c r="AP169" s="518">
        <v>0</v>
      </c>
      <c r="AQ169" s="518">
        <v>0</v>
      </c>
      <c r="AR169" s="518">
        <v>0</v>
      </c>
      <c r="AS169" s="518">
        <v>0</v>
      </c>
      <c r="AT169" s="518">
        <v>0</v>
      </c>
      <c r="AU169" s="518">
        <v>0</v>
      </c>
      <c r="AV169" s="518">
        <v>0</v>
      </c>
      <c r="AW169" s="518">
        <v>0</v>
      </c>
      <c r="AX169" s="518">
        <v>0</v>
      </c>
      <c r="AY169" s="518">
        <v>0</v>
      </c>
      <c r="AZ169" s="518">
        <v>0</v>
      </c>
      <c r="BA169" s="518">
        <v>0</v>
      </c>
      <c r="BB169" s="518">
        <v>0</v>
      </c>
      <c r="BC169" s="518">
        <v>0</v>
      </c>
      <c r="BD169" s="518">
        <v>0</v>
      </c>
      <c r="BE169" s="518">
        <v>0</v>
      </c>
      <c r="BF169" s="518">
        <v>0</v>
      </c>
      <c r="BG169" s="518">
        <v>0</v>
      </c>
      <c r="BH169" s="518">
        <v>0</v>
      </c>
      <c r="BI169" s="518">
        <v>0</v>
      </c>
      <c r="BJ169" s="518">
        <v>0</v>
      </c>
      <c r="BK169" s="518">
        <v>0</v>
      </c>
      <c r="BL169" s="518">
        <v>0</v>
      </c>
      <c r="BM169" s="518">
        <v>0</v>
      </c>
      <c r="BN169" s="518">
        <v>0</v>
      </c>
      <c r="BO169" s="518">
        <v>0</v>
      </c>
      <c r="BP169" s="518">
        <v>0</v>
      </c>
      <c r="BQ169" s="518">
        <v>0</v>
      </c>
      <c r="BR169" s="518">
        <v>0</v>
      </c>
      <c r="BS169" s="518">
        <v>0</v>
      </c>
      <c r="BT169" s="518">
        <v>0</v>
      </c>
      <c r="BU169" s="518">
        <v>0</v>
      </c>
      <c r="BV169" s="518">
        <v>0</v>
      </c>
      <c r="BW169" s="518">
        <v>0</v>
      </c>
      <c r="BX169" s="518">
        <v>0</v>
      </c>
      <c r="BY169" s="518">
        <v>0</v>
      </c>
      <c r="BZ169" s="518">
        <v>0</v>
      </c>
      <c r="CA169" s="518">
        <v>0</v>
      </c>
      <c r="CB169" s="518">
        <v>0</v>
      </c>
      <c r="CC169" s="518">
        <v>0</v>
      </c>
      <c r="CD169" s="518">
        <v>0</v>
      </c>
      <c r="CE169" s="518">
        <v>0</v>
      </c>
      <c r="CF169" s="518">
        <v>0</v>
      </c>
      <c r="CG169" s="518">
        <v>0</v>
      </c>
      <c r="CH169" s="518">
        <v>0</v>
      </c>
      <c r="CI169" s="518">
        <v>0</v>
      </c>
      <c r="CJ169" s="518">
        <v>0</v>
      </c>
      <c r="CK169" s="518">
        <v>0</v>
      </c>
      <c r="CL169" s="518">
        <v>0</v>
      </c>
      <c r="CM169" s="518">
        <v>0</v>
      </c>
      <c r="CN169" s="518">
        <v>0</v>
      </c>
      <c r="CO169" s="518">
        <v>0</v>
      </c>
      <c r="CP169" s="518">
        <v>0</v>
      </c>
      <c r="CQ169" s="518">
        <v>0</v>
      </c>
      <c r="CR169" s="518">
        <v>0</v>
      </c>
      <c r="CS169" s="518">
        <v>0</v>
      </c>
      <c r="CT169" s="518">
        <v>0</v>
      </c>
      <c r="CU169" s="518">
        <v>0</v>
      </c>
      <c r="CV169" s="518">
        <v>0</v>
      </c>
      <c r="CW169" s="518">
        <v>0</v>
      </c>
      <c r="CX169" s="518">
        <v>0</v>
      </c>
      <c r="CY169" s="518">
        <v>0</v>
      </c>
      <c r="CZ169" s="518">
        <v>0</v>
      </c>
      <c r="DA169" s="518">
        <v>0</v>
      </c>
      <c r="DB169" s="518">
        <v>0</v>
      </c>
      <c r="DC169" s="518">
        <v>0</v>
      </c>
      <c r="DD169" s="518">
        <v>0</v>
      </c>
      <c r="DE169" s="518">
        <v>0</v>
      </c>
      <c r="DF169" s="518">
        <v>0</v>
      </c>
      <c r="DG169" s="518">
        <v>0</v>
      </c>
      <c r="DH169" s="518">
        <v>0</v>
      </c>
      <c r="DI169" s="518">
        <v>0</v>
      </c>
      <c r="DJ169" s="518">
        <v>0</v>
      </c>
      <c r="DK169" s="518">
        <v>0</v>
      </c>
      <c r="DL169" s="518">
        <v>0</v>
      </c>
      <c r="DM169" s="518">
        <v>0</v>
      </c>
      <c r="DN169" s="518">
        <v>0</v>
      </c>
      <c r="DO169" s="518">
        <v>0</v>
      </c>
      <c r="DP169" s="518">
        <v>0</v>
      </c>
      <c r="DQ169" s="518">
        <v>0</v>
      </c>
      <c r="DR169" s="518">
        <v>0</v>
      </c>
      <c r="DS169" s="518">
        <v>0</v>
      </c>
      <c r="DT169" s="518">
        <v>0</v>
      </c>
      <c r="DU169" s="518">
        <v>0</v>
      </c>
      <c r="DV169" s="518">
        <v>0</v>
      </c>
      <c r="DW169" s="518">
        <v>0</v>
      </c>
      <c r="DX169" s="518">
        <v>0</v>
      </c>
      <c r="DZ169" s="517" t="s">
        <v>721</v>
      </c>
      <c r="EA169" s="517" t="s">
        <v>1101</v>
      </c>
      <c r="EB169" s="517" t="s">
        <v>26</v>
      </c>
      <c r="EC169" s="518">
        <v>36</v>
      </c>
      <c r="ED169" s="494" t="str">
        <f t="shared" si="9"/>
        <v>SWUC100236</v>
      </c>
      <c r="EE169" s="518">
        <v>142</v>
      </c>
      <c r="EF169" s="518">
        <v>2000</v>
      </c>
      <c r="EG169" s="518">
        <v>2000</v>
      </c>
      <c r="EH169" s="518">
        <v>2000</v>
      </c>
      <c r="EI169" s="518">
        <v>2000</v>
      </c>
      <c r="EJ169" s="518">
        <v>2000</v>
      </c>
      <c r="EK169" s="518">
        <v>2000</v>
      </c>
      <c r="EL169" s="518">
        <v>2000</v>
      </c>
      <c r="EM169" s="518">
        <v>2000</v>
      </c>
      <c r="EN169" s="518">
        <v>2000</v>
      </c>
      <c r="EO169" s="518">
        <v>0</v>
      </c>
      <c r="EP169" s="518">
        <v>0</v>
      </c>
      <c r="EQ169" s="518">
        <v>0</v>
      </c>
      <c r="ER169" s="518">
        <v>0</v>
      </c>
      <c r="ES169" s="518">
        <v>0</v>
      </c>
      <c r="ET169" s="518">
        <v>0</v>
      </c>
      <c r="EU169" s="518">
        <v>0</v>
      </c>
      <c r="EV169" s="518">
        <v>0</v>
      </c>
      <c r="EW169" s="518">
        <v>0</v>
      </c>
      <c r="EX169" s="518">
        <v>0</v>
      </c>
      <c r="EY169" s="518">
        <v>0</v>
      </c>
      <c r="EZ169" s="518">
        <v>0</v>
      </c>
      <c r="FA169" s="518">
        <v>0</v>
      </c>
      <c r="FB169" s="518">
        <v>0</v>
      </c>
      <c r="FC169" s="518">
        <v>0</v>
      </c>
      <c r="FD169" s="518">
        <v>0</v>
      </c>
      <c r="FE169" s="518">
        <v>0</v>
      </c>
      <c r="FF169" s="518">
        <v>0</v>
      </c>
      <c r="FG169" s="518">
        <v>0</v>
      </c>
      <c r="FH169" s="518">
        <v>0</v>
      </c>
      <c r="FI169" s="518">
        <v>0</v>
      </c>
      <c r="FJ169" s="518">
        <v>0</v>
      </c>
      <c r="FK169" s="518">
        <v>0</v>
      </c>
      <c r="FL169" s="518">
        <v>0</v>
      </c>
      <c r="FM169" s="518">
        <v>0</v>
      </c>
      <c r="FN169" s="518">
        <v>0</v>
      </c>
      <c r="FO169" s="518">
        <v>0</v>
      </c>
      <c r="FP169" s="518">
        <v>0</v>
      </c>
      <c r="FQ169" s="518">
        <v>0</v>
      </c>
      <c r="FR169" s="518">
        <v>0</v>
      </c>
      <c r="FS169" s="518">
        <v>0</v>
      </c>
      <c r="FT169" s="518">
        <v>0</v>
      </c>
      <c r="FU169" s="518">
        <v>0</v>
      </c>
      <c r="FV169" s="518">
        <v>0</v>
      </c>
      <c r="FW169" s="518">
        <v>0</v>
      </c>
      <c r="FX169" s="518">
        <v>0</v>
      </c>
      <c r="FY169" s="518">
        <v>0</v>
      </c>
      <c r="FZ169" s="518">
        <v>0</v>
      </c>
      <c r="GA169" s="518">
        <v>0</v>
      </c>
      <c r="GB169" s="518">
        <v>0</v>
      </c>
      <c r="GC169" s="518">
        <v>0</v>
      </c>
      <c r="GD169" s="518">
        <v>0</v>
      </c>
      <c r="GE169" s="518">
        <v>0</v>
      </c>
      <c r="GF169" s="518">
        <v>0</v>
      </c>
      <c r="GG169" s="518">
        <v>0</v>
      </c>
      <c r="GH169" s="518">
        <v>0</v>
      </c>
      <c r="GI169" s="518">
        <v>0</v>
      </c>
      <c r="GJ169" s="518">
        <v>0</v>
      </c>
      <c r="GK169" s="518">
        <v>0</v>
      </c>
      <c r="GL169" s="518">
        <v>0</v>
      </c>
      <c r="GM169" s="518">
        <v>0</v>
      </c>
      <c r="GN169" s="518">
        <v>0</v>
      </c>
      <c r="GO169" s="518">
        <v>0</v>
      </c>
      <c r="GP169" s="518">
        <v>0</v>
      </c>
      <c r="GQ169" s="518">
        <v>0</v>
      </c>
      <c r="GR169" s="518">
        <v>0</v>
      </c>
      <c r="GS169" s="518">
        <v>0</v>
      </c>
      <c r="GT169" s="518">
        <v>0</v>
      </c>
      <c r="GU169" s="518">
        <v>0</v>
      </c>
      <c r="GV169" s="518">
        <v>0</v>
      </c>
      <c r="GW169" s="518">
        <v>0</v>
      </c>
      <c r="GX169" s="518">
        <v>0</v>
      </c>
      <c r="GY169" s="518">
        <v>0</v>
      </c>
      <c r="GZ169" s="518">
        <v>0</v>
      </c>
      <c r="HA169" s="518">
        <v>0</v>
      </c>
      <c r="HB169" s="518">
        <v>0</v>
      </c>
      <c r="HC169" s="518">
        <v>0</v>
      </c>
      <c r="HD169" s="518">
        <v>0</v>
      </c>
      <c r="HE169" s="518">
        <v>0</v>
      </c>
      <c r="HF169" s="518">
        <v>0</v>
      </c>
      <c r="HG169" s="518">
        <v>0</v>
      </c>
      <c r="HH169" s="518">
        <v>0</v>
      </c>
      <c r="HI169" s="518">
        <v>0</v>
      </c>
      <c r="HJ169" s="518">
        <v>0</v>
      </c>
      <c r="HK169" s="518">
        <v>0</v>
      </c>
      <c r="HL169" s="518">
        <v>0</v>
      </c>
      <c r="HM169" s="518">
        <v>0</v>
      </c>
      <c r="HN169" s="518">
        <v>0</v>
      </c>
      <c r="HO169" s="518">
        <v>0</v>
      </c>
      <c r="HP169" s="518">
        <v>0</v>
      </c>
      <c r="HQ169" s="518">
        <v>0</v>
      </c>
      <c r="HR169" s="518">
        <v>0</v>
      </c>
      <c r="HS169" s="518">
        <v>0</v>
      </c>
      <c r="HT169" s="518">
        <v>0</v>
      </c>
      <c r="HU169" s="518">
        <v>0</v>
      </c>
      <c r="HV169" s="518">
        <v>0</v>
      </c>
      <c r="HW169" s="518">
        <v>0</v>
      </c>
      <c r="HX169" s="518">
        <v>0</v>
      </c>
      <c r="HY169" s="518">
        <v>0</v>
      </c>
      <c r="HZ169" s="518">
        <v>0</v>
      </c>
      <c r="IA169" s="518">
        <v>0</v>
      </c>
      <c r="IB169" s="518">
        <v>0</v>
      </c>
      <c r="IC169" s="518">
        <v>0</v>
      </c>
      <c r="ID169" s="518">
        <v>0</v>
      </c>
      <c r="IE169" s="518">
        <v>0</v>
      </c>
      <c r="IF169" s="518">
        <v>0</v>
      </c>
      <c r="IG169" s="518">
        <v>0</v>
      </c>
      <c r="IH169" s="518">
        <v>0</v>
      </c>
      <c r="II169" s="518">
        <v>0</v>
      </c>
      <c r="IJ169" s="518">
        <v>0</v>
      </c>
      <c r="IK169" s="518">
        <v>0</v>
      </c>
    </row>
    <row r="170" spans="1:245" ht="16.5" hidden="1">
      <c r="A170" s="517"/>
      <c r="B170" s="517"/>
      <c r="C170" s="517"/>
      <c r="D170" s="517"/>
      <c r="E170" s="517"/>
      <c r="F170" s="517"/>
      <c r="G170" s="558"/>
      <c r="H170" s="518"/>
      <c r="I170" s="558"/>
      <c r="J170" s="494"/>
      <c r="K170" s="518"/>
      <c r="M170" s="517" t="s">
        <v>721</v>
      </c>
      <c r="N170" s="517" t="s">
        <v>1101</v>
      </c>
      <c r="O170" s="517" t="s">
        <v>26</v>
      </c>
      <c r="P170" s="518">
        <v>37</v>
      </c>
      <c r="Q170" s="494" t="str">
        <f t="shared" si="8"/>
        <v>SWUC100237</v>
      </c>
      <c r="R170" s="518">
        <v>150.5</v>
      </c>
      <c r="S170" s="518">
        <v>10000</v>
      </c>
      <c r="T170" s="518">
        <v>10000</v>
      </c>
      <c r="U170" s="518">
        <v>10000</v>
      </c>
      <c r="V170" s="518">
        <v>10000</v>
      </c>
      <c r="W170" s="518">
        <v>10000</v>
      </c>
      <c r="X170" s="518">
        <v>10000</v>
      </c>
      <c r="Y170" s="518">
        <v>10000</v>
      </c>
      <c r="Z170" s="518">
        <v>10000</v>
      </c>
      <c r="AA170" s="518">
        <v>10000</v>
      </c>
      <c r="AB170" s="518">
        <v>0</v>
      </c>
      <c r="AC170" s="518">
        <v>0</v>
      </c>
      <c r="AD170" s="518">
        <v>0</v>
      </c>
      <c r="AE170" s="518">
        <v>0</v>
      </c>
      <c r="AF170" s="518">
        <v>0</v>
      </c>
      <c r="AG170" s="518">
        <v>0</v>
      </c>
      <c r="AH170" s="518">
        <v>0</v>
      </c>
      <c r="AI170" s="518">
        <v>0</v>
      </c>
      <c r="AJ170" s="518">
        <v>0</v>
      </c>
      <c r="AK170" s="518">
        <v>0</v>
      </c>
      <c r="AL170" s="518">
        <v>0</v>
      </c>
      <c r="AM170" s="518">
        <v>0</v>
      </c>
      <c r="AN170" s="518">
        <v>0</v>
      </c>
      <c r="AO170" s="518">
        <v>0</v>
      </c>
      <c r="AP170" s="518">
        <v>0</v>
      </c>
      <c r="AQ170" s="518">
        <v>0</v>
      </c>
      <c r="AR170" s="518">
        <v>0</v>
      </c>
      <c r="AS170" s="518">
        <v>0</v>
      </c>
      <c r="AT170" s="518">
        <v>0</v>
      </c>
      <c r="AU170" s="518">
        <v>0</v>
      </c>
      <c r="AV170" s="518">
        <v>0</v>
      </c>
      <c r="AW170" s="518">
        <v>0</v>
      </c>
      <c r="AX170" s="518">
        <v>0</v>
      </c>
      <c r="AY170" s="518">
        <v>0</v>
      </c>
      <c r="AZ170" s="518">
        <v>0</v>
      </c>
      <c r="BA170" s="518">
        <v>0</v>
      </c>
      <c r="BB170" s="518">
        <v>0</v>
      </c>
      <c r="BC170" s="518">
        <v>0</v>
      </c>
      <c r="BD170" s="518">
        <v>0</v>
      </c>
      <c r="BE170" s="518">
        <v>0</v>
      </c>
      <c r="BF170" s="518">
        <v>0</v>
      </c>
      <c r="BG170" s="518">
        <v>0</v>
      </c>
      <c r="BH170" s="518">
        <v>0</v>
      </c>
      <c r="BI170" s="518">
        <v>0</v>
      </c>
      <c r="BJ170" s="518">
        <v>0</v>
      </c>
      <c r="BK170" s="518">
        <v>0</v>
      </c>
      <c r="BL170" s="518">
        <v>0</v>
      </c>
      <c r="BM170" s="518">
        <v>0</v>
      </c>
      <c r="BN170" s="518">
        <v>0</v>
      </c>
      <c r="BO170" s="518">
        <v>0</v>
      </c>
      <c r="BP170" s="518">
        <v>0</v>
      </c>
      <c r="BQ170" s="518">
        <v>0</v>
      </c>
      <c r="BR170" s="518">
        <v>0</v>
      </c>
      <c r="BS170" s="518">
        <v>0</v>
      </c>
      <c r="BT170" s="518">
        <v>0</v>
      </c>
      <c r="BU170" s="518">
        <v>0</v>
      </c>
      <c r="BV170" s="518">
        <v>0</v>
      </c>
      <c r="BW170" s="518">
        <v>0</v>
      </c>
      <c r="BX170" s="518">
        <v>0</v>
      </c>
      <c r="BY170" s="518">
        <v>0</v>
      </c>
      <c r="BZ170" s="518">
        <v>0</v>
      </c>
      <c r="CA170" s="518">
        <v>0</v>
      </c>
      <c r="CB170" s="518">
        <v>0</v>
      </c>
      <c r="CC170" s="518">
        <v>0</v>
      </c>
      <c r="CD170" s="518">
        <v>0</v>
      </c>
      <c r="CE170" s="518">
        <v>0</v>
      </c>
      <c r="CF170" s="518">
        <v>0</v>
      </c>
      <c r="CG170" s="518">
        <v>0</v>
      </c>
      <c r="CH170" s="518">
        <v>0</v>
      </c>
      <c r="CI170" s="518">
        <v>0</v>
      </c>
      <c r="CJ170" s="518">
        <v>0</v>
      </c>
      <c r="CK170" s="518">
        <v>0</v>
      </c>
      <c r="CL170" s="518">
        <v>0</v>
      </c>
      <c r="CM170" s="518">
        <v>0</v>
      </c>
      <c r="CN170" s="518">
        <v>0</v>
      </c>
      <c r="CO170" s="518">
        <v>0</v>
      </c>
      <c r="CP170" s="518">
        <v>0</v>
      </c>
      <c r="CQ170" s="518">
        <v>0</v>
      </c>
      <c r="CR170" s="518">
        <v>0</v>
      </c>
      <c r="CS170" s="518">
        <v>0</v>
      </c>
      <c r="CT170" s="518">
        <v>0</v>
      </c>
      <c r="CU170" s="518">
        <v>0</v>
      </c>
      <c r="CV170" s="518">
        <v>0</v>
      </c>
      <c r="CW170" s="518">
        <v>0</v>
      </c>
      <c r="CX170" s="518">
        <v>0</v>
      </c>
      <c r="CY170" s="518">
        <v>0</v>
      </c>
      <c r="CZ170" s="518">
        <v>0</v>
      </c>
      <c r="DA170" s="518">
        <v>0</v>
      </c>
      <c r="DB170" s="518">
        <v>0</v>
      </c>
      <c r="DC170" s="518">
        <v>0</v>
      </c>
      <c r="DD170" s="518">
        <v>0</v>
      </c>
      <c r="DE170" s="518">
        <v>0</v>
      </c>
      <c r="DF170" s="518">
        <v>0</v>
      </c>
      <c r="DG170" s="518">
        <v>0</v>
      </c>
      <c r="DH170" s="518">
        <v>0</v>
      </c>
      <c r="DI170" s="518">
        <v>0</v>
      </c>
      <c r="DJ170" s="518">
        <v>0</v>
      </c>
      <c r="DK170" s="518">
        <v>0</v>
      </c>
      <c r="DL170" s="518">
        <v>0</v>
      </c>
      <c r="DM170" s="518">
        <v>0</v>
      </c>
      <c r="DN170" s="518">
        <v>0</v>
      </c>
      <c r="DO170" s="518">
        <v>0</v>
      </c>
      <c r="DP170" s="518">
        <v>0</v>
      </c>
      <c r="DQ170" s="518">
        <v>0</v>
      </c>
      <c r="DR170" s="518">
        <v>0</v>
      </c>
      <c r="DS170" s="518">
        <v>0</v>
      </c>
      <c r="DT170" s="518">
        <v>0</v>
      </c>
      <c r="DU170" s="518">
        <v>0</v>
      </c>
      <c r="DV170" s="518">
        <v>0</v>
      </c>
      <c r="DW170" s="518">
        <v>0</v>
      </c>
      <c r="DX170" s="518">
        <v>0</v>
      </c>
      <c r="DZ170" s="517" t="s">
        <v>721</v>
      </c>
      <c r="EA170" s="517" t="s">
        <v>1101</v>
      </c>
      <c r="EB170" s="517" t="s">
        <v>26</v>
      </c>
      <c r="EC170" s="518">
        <v>37</v>
      </c>
      <c r="ED170" s="494" t="str">
        <f t="shared" si="9"/>
        <v>SWUC100237</v>
      </c>
      <c r="EE170" s="518">
        <v>150.5</v>
      </c>
      <c r="EF170" s="518">
        <v>2000</v>
      </c>
      <c r="EG170" s="518">
        <v>2000</v>
      </c>
      <c r="EH170" s="518">
        <v>2000</v>
      </c>
      <c r="EI170" s="518">
        <v>2000</v>
      </c>
      <c r="EJ170" s="518">
        <v>2000</v>
      </c>
      <c r="EK170" s="518">
        <v>2000</v>
      </c>
      <c r="EL170" s="518">
        <v>2000</v>
      </c>
      <c r="EM170" s="518">
        <v>2000</v>
      </c>
      <c r="EN170" s="518">
        <v>2000</v>
      </c>
      <c r="EO170" s="518">
        <v>0</v>
      </c>
      <c r="EP170" s="518">
        <v>0</v>
      </c>
      <c r="EQ170" s="518">
        <v>0</v>
      </c>
      <c r="ER170" s="518">
        <v>0</v>
      </c>
      <c r="ES170" s="518">
        <v>0</v>
      </c>
      <c r="ET170" s="518">
        <v>0</v>
      </c>
      <c r="EU170" s="518">
        <v>0</v>
      </c>
      <c r="EV170" s="518">
        <v>0</v>
      </c>
      <c r="EW170" s="518">
        <v>0</v>
      </c>
      <c r="EX170" s="518">
        <v>0</v>
      </c>
      <c r="EY170" s="518">
        <v>0</v>
      </c>
      <c r="EZ170" s="518">
        <v>0</v>
      </c>
      <c r="FA170" s="518">
        <v>0</v>
      </c>
      <c r="FB170" s="518">
        <v>0</v>
      </c>
      <c r="FC170" s="518">
        <v>0</v>
      </c>
      <c r="FD170" s="518">
        <v>0</v>
      </c>
      <c r="FE170" s="518">
        <v>0</v>
      </c>
      <c r="FF170" s="518">
        <v>0</v>
      </c>
      <c r="FG170" s="518">
        <v>0</v>
      </c>
      <c r="FH170" s="518">
        <v>0</v>
      </c>
      <c r="FI170" s="518">
        <v>0</v>
      </c>
      <c r="FJ170" s="518">
        <v>0</v>
      </c>
      <c r="FK170" s="518">
        <v>0</v>
      </c>
      <c r="FL170" s="518">
        <v>0</v>
      </c>
      <c r="FM170" s="518">
        <v>0</v>
      </c>
      <c r="FN170" s="518">
        <v>0</v>
      </c>
      <c r="FO170" s="518">
        <v>0</v>
      </c>
      <c r="FP170" s="518">
        <v>0</v>
      </c>
      <c r="FQ170" s="518">
        <v>0</v>
      </c>
      <c r="FR170" s="518">
        <v>0</v>
      </c>
      <c r="FS170" s="518">
        <v>0</v>
      </c>
      <c r="FT170" s="518">
        <v>0</v>
      </c>
      <c r="FU170" s="518">
        <v>0</v>
      </c>
      <c r="FV170" s="518">
        <v>0</v>
      </c>
      <c r="FW170" s="518">
        <v>0</v>
      </c>
      <c r="FX170" s="518">
        <v>0</v>
      </c>
      <c r="FY170" s="518">
        <v>0</v>
      </c>
      <c r="FZ170" s="518">
        <v>0</v>
      </c>
      <c r="GA170" s="518">
        <v>0</v>
      </c>
      <c r="GB170" s="518">
        <v>0</v>
      </c>
      <c r="GC170" s="518">
        <v>0</v>
      </c>
      <c r="GD170" s="518">
        <v>0</v>
      </c>
      <c r="GE170" s="518">
        <v>0</v>
      </c>
      <c r="GF170" s="518">
        <v>0</v>
      </c>
      <c r="GG170" s="518">
        <v>0</v>
      </c>
      <c r="GH170" s="518">
        <v>0</v>
      </c>
      <c r="GI170" s="518">
        <v>0</v>
      </c>
      <c r="GJ170" s="518">
        <v>0</v>
      </c>
      <c r="GK170" s="518">
        <v>0</v>
      </c>
      <c r="GL170" s="518">
        <v>0</v>
      </c>
      <c r="GM170" s="518">
        <v>0</v>
      </c>
      <c r="GN170" s="518">
        <v>0</v>
      </c>
      <c r="GO170" s="518">
        <v>0</v>
      </c>
      <c r="GP170" s="518">
        <v>0</v>
      </c>
      <c r="GQ170" s="518">
        <v>0</v>
      </c>
      <c r="GR170" s="518">
        <v>0</v>
      </c>
      <c r="GS170" s="518">
        <v>0</v>
      </c>
      <c r="GT170" s="518">
        <v>0</v>
      </c>
      <c r="GU170" s="518">
        <v>0</v>
      </c>
      <c r="GV170" s="518">
        <v>0</v>
      </c>
      <c r="GW170" s="518">
        <v>0</v>
      </c>
      <c r="GX170" s="518">
        <v>0</v>
      </c>
      <c r="GY170" s="518">
        <v>0</v>
      </c>
      <c r="GZ170" s="518">
        <v>0</v>
      </c>
      <c r="HA170" s="518">
        <v>0</v>
      </c>
      <c r="HB170" s="518">
        <v>0</v>
      </c>
      <c r="HC170" s="518">
        <v>0</v>
      </c>
      <c r="HD170" s="518">
        <v>0</v>
      </c>
      <c r="HE170" s="518">
        <v>0</v>
      </c>
      <c r="HF170" s="518">
        <v>0</v>
      </c>
      <c r="HG170" s="518">
        <v>0</v>
      </c>
      <c r="HH170" s="518">
        <v>0</v>
      </c>
      <c r="HI170" s="518">
        <v>0</v>
      </c>
      <c r="HJ170" s="518">
        <v>0</v>
      </c>
      <c r="HK170" s="518">
        <v>0</v>
      </c>
      <c r="HL170" s="518">
        <v>0</v>
      </c>
      <c r="HM170" s="518">
        <v>0</v>
      </c>
      <c r="HN170" s="518">
        <v>0</v>
      </c>
      <c r="HO170" s="518">
        <v>0</v>
      </c>
      <c r="HP170" s="518">
        <v>0</v>
      </c>
      <c r="HQ170" s="518">
        <v>0</v>
      </c>
      <c r="HR170" s="518">
        <v>0</v>
      </c>
      <c r="HS170" s="518">
        <v>0</v>
      </c>
      <c r="HT170" s="518">
        <v>0</v>
      </c>
      <c r="HU170" s="518">
        <v>0</v>
      </c>
      <c r="HV170" s="518">
        <v>0</v>
      </c>
      <c r="HW170" s="518">
        <v>0</v>
      </c>
      <c r="HX170" s="518">
        <v>0</v>
      </c>
      <c r="HY170" s="518">
        <v>0</v>
      </c>
      <c r="HZ170" s="518">
        <v>0</v>
      </c>
      <c r="IA170" s="518">
        <v>0</v>
      </c>
      <c r="IB170" s="518">
        <v>0</v>
      </c>
      <c r="IC170" s="518">
        <v>0</v>
      </c>
      <c r="ID170" s="518">
        <v>0</v>
      </c>
      <c r="IE170" s="518">
        <v>0</v>
      </c>
      <c r="IF170" s="518">
        <v>0</v>
      </c>
      <c r="IG170" s="518">
        <v>0</v>
      </c>
      <c r="IH170" s="518">
        <v>0</v>
      </c>
      <c r="II170" s="518">
        <v>0</v>
      </c>
      <c r="IJ170" s="518">
        <v>0</v>
      </c>
      <c r="IK170" s="518">
        <v>0</v>
      </c>
    </row>
    <row r="171" spans="1:245" hidden="1">
      <c r="M171" s="517" t="s">
        <v>721</v>
      </c>
      <c r="N171" s="517" t="s">
        <v>1101</v>
      </c>
      <c r="O171" s="517" t="s">
        <v>26</v>
      </c>
      <c r="P171" s="518">
        <v>38</v>
      </c>
      <c r="Q171" s="494" t="str">
        <f t="shared" si="8"/>
        <v>SWUC100238</v>
      </c>
      <c r="R171" s="518">
        <v>159</v>
      </c>
      <c r="S171" s="518">
        <v>10000</v>
      </c>
      <c r="T171" s="518">
        <v>10000</v>
      </c>
      <c r="U171" s="518">
        <v>10000</v>
      </c>
      <c r="V171" s="518">
        <v>10000</v>
      </c>
      <c r="W171" s="518">
        <v>10000</v>
      </c>
      <c r="X171" s="518">
        <v>10000</v>
      </c>
      <c r="Y171" s="518">
        <v>10000</v>
      </c>
      <c r="Z171" s="518">
        <v>10000</v>
      </c>
      <c r="AA171" s="518">
        <v>10000</v>
      </c>
      <c r="AB171" s="518">
        <v>0</v>
      </c>
      <c r="AC171" s="518">
        <v>0</v>
      </c>
      <c r="AD171" s="518">
        <v>0</v>
      </c>
      <c r="AE171" s="518">
        <v>0</v>
      </c>
      <c r="AF171" s="518">
        <v>0</v>
      </c>
      <c r="AG171" s="518">
        <v>0</v>
      </c>
      <c r="AH171" s="518">
        <v>0</v>
      </c>
      <c r="AI171" s="518">
        <v>0</v>
      </c>
      <c r="AJ171" s="518">
        <v>0</v>
      </c>
      <c r="AK171" s="518">
        <v>0</v>
      </c>
      <c r="AL171" s="518">
        <v>0</v>
      </c>
      <c r="AM171" s="518">
        <v>0</v>
      </c>
      <c r="AN171" s="518">
        <v>0</v>
      </c>
      <c r="AO171" s="518">
        <v>0</v>
      </c>
      <c r="AP171" s="518">
        <v>0</v>
      </c>
      <c r="AQ171" s="518">
        <v>0</v>
      </c>
      <c r="AR171" s="518">
        <v>0</v>
      </c>
      <c r="AS171" s="518">
        <v>0</v>
      </c>
      <c r="AT171" s="518">
        <v>0</v>
      </c>
      <c r="AU171" s="518">
        <v>0</v>
      </c>
      <c r="AV171" s="518">
        <v>0</v>
      </c>
      <c r="AW171" s="518">
        <v>0</v>
      </c>
      <c r="AX171" s="518">
        <v>0</v>
      </c>
      <c r="AY171" s="518">
        <v>0</v>
      </c>
      <c r="AZ171" s="518">
        <v>0</v>
      </c>
      <c r="BA171" s="518">
        <v>0</v>
      </c>
      <c r="BB171" s="518">
        <v>0</v>
      </c>
      <c r="BC171" s="518">
        <v>0</v>
      </c>
      <c r="BD171" s="518">
        <v>0</v>
      </c>
      <c r="BE171" s="518">
        <v>0</v>
      </c>
      <c r="BF171" s="518">
        <v>0</v>
      </c>
      <c r="BG171" s="518">
        <v>0</v>
      </c>
      <c r="BH171" s="518">
        <v>0</v>
      </c>
      <c r="BI171" s="518">
        <v>0</v>
      </c>
      <c r="BJ171" s="518">
        <v>0</v>
      </c>
      <c r="BK171" s="518">
        <v>0</v>
      </c>
      <c r="BL171" s="518">
        <v>0</v>
      </c>
      <c r="BM171" s="518">
        <v>0</v>
      </c>
      <c r="BN171" s="518">
        <v>0</v>
      </c>
      <c r="BO171" s="518">
        <v>0</v>
      </c>
      <c r="BP171" s="518">
        <v>0</v>
      </c>
      <c r="BQ171" s="518">
        <v>0</v>
      </c>
      <c r="BR171" s="518">
        <v>0</v>
      </c>
      <c r="BS171" s="518">
        <v>0</v>
      </c>
      <c r="BT171" s="518">
        <v>0</v>
      </c>
      <c r="BU171" s="518">
        <v>0</v>
      </c>
      <c r="BV171" s="518">
        <v>0</v>
      </c>
      <c r="BW171" s="518">
        <v>0</v>
      </c>
      <c r="BX171" s="518">
        <v>0</v>
      </c>
      <c r="BY171" s="518">
        <v>0</v>
      </c>
      <c r="BZ171" s="518">
        <v>0</v>
      </c>
      <c r="CA171" s="518">
        <v>0</v>
      </c>
      <c r="CB171" s="518">
        <v>0</v>
      </c>
      <c r="CC171" s="518">
        <v>0</v>
      </c>
      <c r="CD171" s="518">
        <v>0</v>
      </c>
      <c r="CE171" s="518">
        <v>0</v>
      </c>
      <c r="CF171" s="518">
        <v>0</v>
      </c>
      <c r="CG171" s="518">
        <v>0</v>
      </c>
      <c r="CH171" s="518">
        <v>0</v>
      </c>
      <c r="CI171" s="518">
        <v>0</v>
      </c>
      <c r="CJ171" s="518">
        <v>0</v>
      </c>
      <c r="CK171" s="518">
        <v>0</v>
      </c>
      <c r="CL171" s="518">
        <v>0</v>
      </c>
      <c r="CM171" s="518">
        <v>0</v>
      </c>
      <c r="CN171" s="518">
        <v>0</v>
      </c>
      <c r="CO171" s="518">
        <v>0</v>
      </c>
      <c r="CP171" s="518">
        <v>0</v>
      </c>
      <c r="CQ171" s="518">
        <v>0</v>
      </c>
      <c r="CR171" s="518">
        <v>0</v>
      </c>
      <c r="CS171" s="518">
        <v>0</v>
      </c>
      <c r="CT171" s="518">
        <v>0</v>
      </c>
      <c r="CU171" s="518">
        <v>0</v>
      </c>
      <c r="CV171" s="518">
        <v>0</v>
      </c>
      <c r="CW171" s="518">
        <v>0</v>
      </c>
      <c r="CX171" s="518">
        <v>0</v>
      </c>
      <c r="CY171" s="518">
        <v>0</v>
      </c>
      <c r="CZ171" s="518">
        <v>0</v>
      </c>
      <c r="DA171" s="518">
        <v>0</v>
      </c>
      <c r="DB171" s="518">
        <v>0</v>
      </c>
      <c r="DC171" s="518">
        <v>0</v>
      </c>
      <c r="DD171" s="518">
        <v>0</v>
      </c>
      <c r="DE171" s="518">
        <v>0</v>
      </c>
      <c r="DF171" s="518">
        <v>0</v>
      </c>
      <c r="DG171" s="518">
        <v>0</v>
      </c>
      <c r="DH171" s="518">
        <v>0</v>
      </c>
      <c r="DI171" s="518">
        <v>0</v>
      </c>
      <c r="DJ171" s="518">
        <v>0</v>
      </c>
      <c r="DK171" s="518">
        <v>0</v>
      </c>
      <c r="DL171" s="518">
        <v>0</v>
      </c>
      <c r="DM171" s="518">
        <v>0</v>
      </c>
      <c r="DN171" s="518">
        <v>0</v>
      </c>
      <c r="DO171" s="518">
        <v>0</v>
      </c>
      <c r="DP171" s="518">
        <v>0</v>
      </c>
      <c r="DQ171" s="518">
        <v>0</v>
      </c>
      <c r="DR171" s="518">
        <v>0</v>
      </c>
      <c r="DS171" s="518">
        <v>0</v>
      </c>
      <c r="DT171" s="518">
        <v>0</v>
      </c>
      <c r="DU171" s="518">
        <v>0</v>
      </c>
      <c r="DV171" s="518">
        <v>0</v>
      </c>
      <c r="DW171" s="518">
        <v>0</v>
      </c>
      <c r="DX171" s="518">
        <v>0</v>
      </c>
      <c r="DZ171" s="517" t="s">
        <v>721</v>
      </c>
      <c r="EA171" s="517" t="s">
        <v>1101</v>
      </c>
      <c r="EB171" s="517" t="s">
        <v>26</v>
      </c>
      <c r="EC171" s="518">
        <v>38</v>
      </c>
      <c r="ED171" s="494" t="str">
        <f t="shared" si="9"/>
        <v>SWUC100238</v>
      </c>
      <c r="EE171" s="518">
        <v>159</v>
      </c>
      <c r="EF171" s="518">
        <v>2000</v>
      </c>
      <c r="EG171" s="518">
        <v>2000</v>
      </c>
      <c r="EH171" s="518">
        <v>2000</v>
      </c>
      <c r="EI171" s="518">
        <v>2000</v>
      </c>
      <c r="EJ171" s="518">
        <v>2000</v>
      </c>
      <c r="EK171" s="518">
        <v>2000</v>
      </c>
      <c r="EL171" s="518">
        <v>2000</v>
      </c>
      <c r="EM171" s="518">
        <v>2000</v>
      </c>
      <c r="EN171" s="518">
        <v>2000</v>
      </c>
      <c r="EO171" s="518">
        <v>0</v>
      </c>
      <c r="EP171" s="518">
        <v>0</v>
      </c>
      <c r="EQ171" s="518">
        <v>0</v>
      </c>
      <c r="ER171" s="518">
        <v>0</v>
      </c>
      <c r="ES171" s="518">
        <v>0</v>
      </c>
      <c r="ET171" s="518">
        <v>0</v>
      </c>
      <c r="EU171" s="518">
        <v>0</v>
      </c>
      <c r="EV171" s="518">
        <v>0</v>
      </c>
      <c r="EW171" s="518">
        <v>0</v>
      </c>
      <c r="EX171" s="518">
        <v>0</v>
      </c>
      <c r="EY171" s="518">
        <v>0</v>
      </c>
      <c r="EZ171" s="518">
        <v>0</v>
      </c>
      <c r="FA171" s="518">
        <v>0</v>
      </c>
      <c r="FB171" s="518">
        <v>0</v>
      </c>
      <c r="FC171" s="518">
        <v>0</v>
      </c>
      <c r="FD171" s="518">
        <v>0</v>
      </c>
      <c r="FE171" s="518">
        <v>0</v>
      </c>
      <c r="FF171" s="518">
        <v>0</v>
      </c>
      <c r="FG171" s="518">
        <v>0</v>
      </c>
      <c r="FH171" s="518">
        <v>0</v>
      </c>
      <c r="FI171" s="518">
        <v>0</v>
      </c>
      <c r="FJ171" s="518">
        <v>0</v>
      </c>
      <c r="FK171" s="518">
        <v>0</v>
      </c>
      <c r="FL171" s="518">
        <v>0</v>
      </c>
      <c r="FM171" s="518">
        <v>0</v>
      </c>
      <c r="FN171" s="518">
        <v>0</v>
      </c>
      <c r="FO171" s="518">
        <v>0</v>
      </c>
      <c r="FP171" s="518">
        <v>0</v>
      </c>
      <c r="FQ171" s="518">
        <v>0</v>
      </c>
      <c r="FR171" s="518">
        <v>0</v>
      </c>
      <c r="FS171" s="518">
        <v>0</v>
      </c>
      <c r="FT171" s="518">
        <v>0</v>
      </c>
      <c r="FU171" s="518">
        <v>0</v>
      </c>
      <c r="FV171" s="518">
        <v>0</v>
      </c>
      <c r="FW171" s="518">
        <v>0</v>
      </c>
      <c r="FX171" s="518">
        <v>0</v>
      </c>
      <c r="FY171" s="518">
        <v>0</v>
      </c>
      <c r="FZ171" s="518">
        <v>0</v>
      </c>
      <c r="GA171" s="518">
        <v>0</v>
      </c>
      <c r="GB171" s="518">
        <v>0</v>
      </c>
      <c r="GC171" s="518">
        <v>0</v>
      </c>
      <c r="GD171" s="518">
        <v>0</v>
      </c>
      <c r="GE171" s="518">
        <v>0</v>
      </c>
      <c r="GF171" s="518">
        <v>0</v>
      </c>
      <c r="GG171" s="518">
        <v>0</v>
      </c>
      <c r="GH171" s="518">
        <v>0</v>
      </c>
      <c r="GI171" s="518">
        <v>0</v>
      </c>
      <c r="GJ171" s="518">
        <v>0</v>
      </c>
      <c r="GK171" s="518">
        <v>0</v>
      </c>
      <c r="GL171" s="518">
        <v>0</v>
      </c>
      <c r="GM171" s="518">
        <v>0</v>
      </c>
      <c r="GN171" s="518">
        <v>0</v>
      </c>
      <c r="GO171" s="518">
        <v>0</v>
      </c>
      <c r="GP171" s="518">
        <v>0</v>
      </c>
      <c r="GQ171" s="518">
        <v>0</v>
      </c>
      <c r="GR171" s="518">
        <v>0</v>
      </c>
      <c r="GS171" s="518">
        <v>0</v>
      </c>
      <c r="GT171" s="518">
        <v>0</v>
      </c>
      <c r="GU171" s="518">
        <v>0</v>
      </c>
      <c r="GV171" s="518">
        <v>0</v>
      </c>
      <c r="GW171" s="518">
        <v>0</v>
      </c>
      <c r="GX171" s="518">
        <v>0</v>
      </c>
      <c r="GY171" s="518">
        <v>0</v>
      </c>
      <c r="GZ171" s="518">
        <v>0</v>
      </c>
      <c r="HA171" s="518">
        <v>0</v>
      </c>
      <c r="HB171" s="518">
        <v>0</v>
      </c>
      <c r="HC171" s="518">
        <v>0</v>
      </c>
      <c r="HD171" s="518">
        <v>0</v>
      </c>
      <c r="HE171" s="518">
        <v>0</v>
      </c>
      <c r="HF171" s="518">
        <v>0</v>
      </c>
      <c r="HG171" s="518">
        <v>0</v>
      </c>
      <c r="HH171" s="518">
        <v>0</v>
      </c>
      <c r="HI171" s="518">
        <v>0</v>
      </c>
      <c r="HJ171" s="518">
        <v>0</v>
      </c>
      <c r="HK171" s="518">
        <v>0</v>
      </c>
      <c r="HL171" s="518">
        <v>0</v>
      </c>
      <c r="HM171" s="518">
        <v>0</v>
      </c>
      <c r="HN171" s="518">
        <v>0</v>
      </c>
      <c r="HO171" s="518">
        <v>0</v>
      </c>
      <c r="HP171" s="518">
        <v>0</v>
      </c>
      <c r="HQ171" s="518">
        <v>0</v>
      </c>
      <c r="HR171" s="518">
        <v>0</v>
      </c>
      <c r="HS171" s="518">
        <v>0</v>
      </c>
      <c r="HT171" s="518">
        <v>0</v>
      </c>
      <c r="HU171" s="518">
        <v>0</v>
      </c>
      <c r="HV171" s="518">
        <v>0</v>
      </c>
      <c r="HW171" s="518">
        <v>0</v>
      </c>
      <c r="HX171" s="518">
        <v>0</v>
      </c>
      <c r="HY171" s="518">
        <v>0</v>
      </c>
      <c r="HZ171" s="518">
        <v>0</v>
      </c>
      <c r="IA171" s="518">
        <v>0</v>
      </c>
      <c r="IB171" s="518">
        <v>0</v>
      </c>
      <c r="IC171" s="518">
        <v>0</v>
      </c>
      <c r="ID171" s="518">
        <v>0</v>
      </c>
      <c r="IE171" s="518">
        <v>0</v>
      </c>
      <c r="IF171" s="518">
        <v>0</v>
      </c>
      <c r="IG171" s="518">
        <v>0</v>
      </c>
      <c r="IH171" s="518">
        <v>0</v>
      </c>
      <c r="II171" s="518">
        <v>0</v>
      </c>
      <c r="IJ171" s="518">
        <v>0</v>
      </c>
      <c r="IK171" s="518">
        <v>0</v>
      </c>
    </row>
    <row r="172" spans="1:245" hidden="1">
      <c r="M172" s="517" t="s">
        <v>721</v>
      </c>
      <c r="N172" s="517" t="s">
        <v>1101</v>
      </c>
      <c r="O172" s="517" t="s">
        <v>26</v>
      </c>
      <c r="P172" s="518">
        <v>39</v>
      </c>
      <c r="Q172" s="494" t="str">
        <f t="shared" si="8"/>
        <v>SWUC100239</v>
      </c>
      <c r="R172" s="518">
        <v>167.5</v>
      </c>
      <c r="S172" s="518">
        <v>10000</v>
      </c>
      <c r="T172" s="518">
        <v>10000</v>
      </c>
      <c r="U172" s="518">
        <v>10000</v>
      </c>
      <c r="V172" s="518">
        <v>10000</v>
      </c>
      <c r="W172" s="518">
        <v>10000</v>
      </c>
      <c r="X172" s="518">
        <v>10000</v>
      </c>
      <c r="Y172" s="518">
        <v>10000</v>
      </c>
      <c r="Z172" s="518">
        <v>10000</v>
      </c>
      <c r="AA172" s="518">
        <v>10000</v>
      </c>
      <c r="AB172" s="518">
        <v>0</v>
      </c>
      <c r="AC172" s="518">
        <v>0</v>
      </c>
      <c r="AD172" s="518">
        <v>0</v>
      </c>
      <c r="AE172" s="518">
        <v>0</v>
      </c>
      <c r="AF172" s="518">
        <v>0</v>
      </c>
      <c r="AG172" s="518">
        <v>0</v>
      </c>
      <c r="AH172" s="518">
        <v>0</v>
      </c>
      <c r="AI172" s="518">
        <v>0</v>
      </c>
      <c r="AJ172" s="518">
        <v>0</v>
      </c>
      <c r="AK172" s="518">
        <v>0</v>
      </c>
      <c r="AL172" s="518">
        <v>0</v>
      </c>
      <c r="AM172" s="518">
        <v>0</v>
      </c>
      <c r="AN172" s="518">
        <v>0</v>
      </c>
      <c r="AO172" s="518">
        <v>0</v>
      </c>
      <c r="AP172" s="518">
        <v>0</v>
      </c>
      <c r="AQ172" s="518">
        <v>0</v>
      </c>
      <c r="AR172" s="518">
        <v>0</v>
      </c>
      <c r="AS172" s="518">
        <v>0</v>
      </c>
      <c r="AT172" s="518">
        <v>0</v>
      </c>
      <c r="AU172" s="518">
        <v>0</v>
      </c>
      <c r="AV172" s="518">
        <v>0</v>
      </c>
      <c r="AW172" s="518">
        <v>0</v>
      </c>
      <c r="AX172" s="518">
        <v>0</v>
      </c>
      <c r="AY172" s="518">
        <v>0</v>
      </c>
      <c r="AZ172" s="518">
        <v>0</v>
      </c>
      <c r="BA172" s="518">
        <v>0</v>
      </c>
      <c r="BB172" s="518">
        <v>0</v>
      </c>
      <c r="BC172" s="518">
        <v>0</v>
      </c>
      <c r="BD172" s="518">
        <v>0</v>
      </c>
      <c r="BE172" s="518">
        <v>0</v>
      </c>
      <c r="BF172" s="518">
        <v>0</v>
      </c>
      <c r="BG172" s="518">
        <v>0</v>
      </c>
      <c r="BH172" s="518">
        <v>0</v>
      </c>
      <c r="BI172" s="518">
        <v>0</v>
      </c>
      <c r="BJ172" s="518">
        <v>0</v>
      </c>
      <c r="BK172" s="518">
        <v>0</v>
      </c>
      <c r="BL172" s="518">
        <v>0</v>
      </c>
      <c r="BM172" s="518">
        <v>0</v>
      </c>
      <c r="BN172" s="518">
        <v>0</v>
      </c>
      <c r="BO172" s="518">
        <v>0</v>
      </c>
      <c r="BP172" s="518">
        <v>0</v>
      </c>
      <c r="BQ172" s="518">
        <v>0</v>
      </c>
      <c r="BR172" s="518">
        <v>0</v>
      </c>
      <c r="BS172" s="518">
        <v>0</v>
      </c>
      <c r="BT172" s="518">
        <v>0</v>
      </c>
      <c r="BU172" s="518">
        <v>0</v>
      </c>
      <c r="BV172" s="518">
        <v>0</v>
      </c>
      <c r="BW172" s="518">
        <v>0</v>
      </c>
      <c r="BX172" s="518">
        <v>0</v>
      </c>
      <c r="BY172" s="518">
        <v>0</v>
      </c>
      <c r="BZ172" s="518">
        <v>0</v>
      </c>
      <c r="CA172" s="518">
        <v>0</v>
      </c>
      <c r="CB172" s="518">
        <v>0</v>
      </c>
      <c r="CC172" s="518">
        <v>0</v>
      </c>
      <c r="CD172" s="518">
        <v>0</v>
      </c>
      <c r="CE172" s="518">
        <v>0</v>
      </c>
      <c r="CF172" s="518">
        <v>0</v>
      </c>
      <c r="CG172" s="518">
        <v>0</v>
      </c>
      <c r="CH172" s="518">
        <v>0</v>
      </c>
      <c r="CI172" s="518">
        <v>0</v>
      </c>
      <c r="CJ172" s="518">
        <v>0</v>
      </c>
      <c r="CK172" s="518">
        <v>0</v>
      </c>
      <c r="CL172" s="518">
        <v>0</v>
      </c>
      <c r="CM172" s="518">
        <v>0</v>
      </c>
      <c r="CN172" s="518">
        <v>0</v>
      </c>
      <c r="CO172" s="518">
        <v>0</v>
      </c>
      <c r="CP172" s="518">
        <v>0</v>
      </c>
      <c r="CQ172" s="518">
        <v>0</v>
      </c>
      <c r="CR172" s="518">
        <v>0</v>
      </c>
      <c r="CS172" s="518">
        <v>0</v>
      </c>
      <c r="CT172" s="518">
        <v>0</v>
      </c>
      <c r="CU172" s="518">
        <v>0</v>
      </c>
      <c r="CV172" s="518">
        <v>0</v>
      </c>
      <c r="CW172" s="518">
        <v>0</v>
      </c>
      <c r="CX172" s="518">
        <v>0</v>
      </c>
      <c r="CY172" s="518">
        <v>0</v>
      </c>
      <c r="CZ172" s="518">
        <v>0</v>
      </c>
      <c r="DA172" s="518">
        <v>0</v>
      </c>
      <c r="DB172" s="518">
        <v>0</v>
      </c>
      <c r="DC172" s="518">
        <v>0</v>
      </c>
      <c r="DD172" s="518">
        <v>0</v>
      </c>
      <c r="DE172" s="518">
        <v>0</v>
      </c>
      <c r="DF172" s="518">
        <v>0</v>
      </c>
      <c r="DG172" s="518">
        <v>0</v>
      </c>
      <c r="DH172" s="518">
        <v>0</v>
      </c>
      <c r="DI172" s="518">
        <v>0</v>
      </c>
      <c r="DJ172" s="518">
        <v>0</v>
      </c>
      <c r="DK172" s="518">
        <v>0</v>
      </c>
      <c r="DL172" s="518">
        <v>0</v>
      </c>
      <c r="DM172" s="518">
        <v>0</v>
      </c>
      <c r="DN172" s="518">
        <v>0</v>
      </c>
      <c r="DO172" s="518">
        <v>0</v>
      </c>
      <c r="DP172" s="518">
        <v>0</v>
      </c>
      <c r="DQ172" s="518">
        <v>0</v>
      </c>
      <c r="DR172" s="518">
        <v>0</v>
      </c>
      <c r="DS172" s="518">
        <v>0</v>
      </c>
      <c r="DT172" s="518">
        <v>0</v>
      </c>
      <c r="DU172" s="518">
        <v>0</v>
      </c>
      <c r="DV172" s="518">
        <v>0</v>
      </c>
      <c r="DW172" s="518">
        <v>0</v>
      </c>
      <c r="DX172" s="518">
        <v>0</v>
      </c>
      <c r="DZ172" s="517" t="s">
        <v>721</v>
      </c>
      <c r="EA172" s="517" t="s">
        <v>1101</v>
      </c>
      <c r="EB172" s="517" t="s">
        <v>26</v>
      </c>
      <c r="EC172" s="518">
        <v>39</v>
      </c>
      <c r="ED172" s="494" t="str">
        <f t="shared" si="9"/>
        <v>SWUC100239</v>
      </c>
      <c r="EE172" s="518">
        <v>167.5</v>
      </c>
      <c r="EF172" s="518">
        <v>2000</v>
      </c>
      <c r="EG172" s="518">
        <v>2000</v>
      </c>
      <c r="EH172" s="518">
        <v>2000</v>
      </c>
      <c r="EI172" s="518">
        <v>2000</v>
      </c>
      <c r="EJ172" s="518">
        <v>2000</v>
      </c>
      <c r="EK172" s="518">
        <v>2000</v>
      </c>
      <c r="EL172" s="518">
        <v>2000</v>
      </c>
      <c r="EM172" s="518">
        <v>2000</v>
      </c>
      <c r="EN172" s="518">
        <v>2000</v>
      </c>
      <c r="EO172" s="518">
        <v>0</v>
      </c>
      <c r="EP172" s="518">
        <v>0</v>
      </c>
      <c r="EQ172" s="518">
        <v>0</v>
      </c>
      <c r="ER172" s="518">
        <v>0</v>
      </c>
      <c r="ES172" s="518">
        <v>0</v>
      </c>
      <c r="ET172" s="518">
        <v>0</v>
      </c>
      <c r="EU172" s="518">
        <v>0</v>
      </c>
      <c r="EV172" s="518">
        <v>0</v>
      </c>
      <c r="EW172" s="518">
        <v>0</v>
      </c>
      <c r="EX172" s="518">
        <v>0</v>
      </c>
      <c r="EY172" s="518">
        <v>0</v>
      </c>
      <c r="EZ172" s="518">
        <v>0</v>
      </c>
      <c r="FA172" s="518">
        <v>0</v>
      </c>
      <c r="FB172" s="518">
        <v>0</v>
      </c>
      <c r="FC172" s="518">
        <v>0</v>
      </c>
      <c r="FD172" s="518">
        <v>0</v>
      </c>
      <c r="FE172" s="518">
        <v>0</v>
      </c>
      <c r="FF172" s="518">
        <v>0</v>
      </c>
      <c r="FG172" s="518">
        <v>0</v>
      </c>
      <c r="FH172" s="518">
        <v>0</v>
      </c>
      <c r="FI172" s="518">
        <v>0</v>
      </c>
      <c r="FJ172" s="518">
        <v>0</v>
      </c>
      <c r="FK172" s="518">
        <v>0</v>
      </c>
      <c r="FL172" s="518">
        <v>0</v>
      </c>
      <c r="FM172" s="518">
        <v>0</v>
      </c>
      <c r="FN172" s="518">
        <v>0</v>
      </c>
      <c r="FO172" s="518">
        <v>0</v>
      </c>
      <c r="FP172" s="518">
        <v>0</v>
      </c>
      <c r="FQ172" s="518">
        <v>0</v>
      </c>
      <c r="FR172" s="518">
        <v>0</v>
      </c>
      <c r="FS172" s="518">
        <v>0</v>
      </c>
      <c r="FT172" s="518">
        <v>0</v>
      </c>
      <c r="FU172" s="518">
        <v>0</v>
      </c>
      <c r="FV172" s="518">
        <v>0</v>
      </c>
      <c r="FW172" s="518">
        <v>0</v>
      </c>
      <c r="FX172" s="518">
        <v>0</v>
      </c>
      <c r="FY172" s="518">
        <v>0</v>
      </c>
      <c r="FZ172" s="518">
        <v>0</v>
      </c>
      <c r="GA172" s="518">
        <v>0</v>
      </c>
      <c r="GB172" s="518">
        <v>0</v>
      </c>
      <c r="GC172" s="518">
        <v>0</v>
      </c>
      <c r="GD172" s="518">
        <v>0</v>
      </c>
      <c r="GE172" s="518">
        <v>0</v>
      </c>
      <c r="GF172" s="518">
        <v>0</v>
      </c>
      <c r="GG172" s="518">
        <v>0</v>
      </c>
      <c r="GH172" s="518">
        <v>0</v>
      </c>
      <c r="GI172" s="518">
        <v>0</v>
      </c>
      <c r="GJ172" s="518">
        <v>0</v>
      </c>
      <c r="GK172" s="518">
        <v>0</v>
      </c>
      <c r="GL172" s="518">
        <v>0</v>
      </c>
      <c r="GM172" s="518">
        <v>0</v>
      </c>
      <c r="GN172" s="518">
        <v>0</v>
      </c>
      <c r="GO172" s="518">
        <v>0</v>
      </c>
      <c r="GP172" s="518">
        <v>0</v>
      </c>
      <c r="GQ172" s="518">
        <v>0</v>
      </c>
      <c r="GR172" s="518">
        <v>0</v>
      </c>
      <c r="GS172" s="518">
        <v>0</v>
      </c>
      <c r="GT172" s="518">
        <v>0</v>
      </c>
      <c r="GU172" s="518">
        <v>0</v>
      </c>
      <c r="GV172" s="518">
        <v>0</v>
      </c>
      <c r="GW172" s="518">
        <v>0</v>
      </c>
      <c r="GX172" s="518">
        <v>0</v>
      </c>
      <c r="GY172" s="518">
        <v>0</v>
      </c>
      <c r="GZ172" s="518">
        <v>0</v>
      </c>
      <c r="HA172" s="518">
        <v>0</v>
      </c>
      <c r="HB172" s="518">
        <v>0</v>
      </c>
      <c r="HC172" s="518">
        <v>0</v>
      </c>
      <c r="HD172" s="518">
        <v>0</v>
      </c>
      <c r="HE172" s="518">
        <v>0</v>
      </c>
      <c r="HF172" s="518">
        <v>0</v>
      </c>
      <c r="HG172" s="518">
        <v>0</v>
      </c>
      <c r="HH172" s="518">
        <v>0</v>
      </c>
      <c r="HI172" s="518">
        <v>0</v>
      </c>
      <c r="HJ172" s="518">
        <v>0</v>
      </c>
      <c r="HK172" s="518">
        <v>0</v>
      </c>
      <c r="HL172" s="518">
        <v>0</v>
      </c>
      <c r="HM172" s="518">
        <v>0</v>
      </c>
      <c r="HN172" s="518">
        <v>0</v>
      </c>
      <c r="HO172" s="518">
        <v>0</v>
      </c>
      <c r="HP172" s="518">
        <v>0</v>
      </c>
      <c r="HQ172" s="518">
        <v>0</v>
      </c>
      <c r="HR172" s="518">
        <v>0</v>
      </c>
      <c r="HS172" s="518">
        <v>0</v>
      </c>
      <c r="HT172" s="518">
        <v>0</v>
      </c>
      <c r="HU172" s="518">
        <v>0</v>
      </c>
      <c r="HV172" s="518">
        <v>0</v>
      </c>
      <c r="HW172" s="518">
        <v>0</v>
      </c>
      <c r="HX172" s="518">
        <v>0</v>
      </c>
      <c r="HY172" s="518">
        <v>0</v>
      </c>
      <c r="HZ172" s="518">
        <v>0</v>
      </c>
      <c r="IA172" s="518">
        <v>0</v>
      </c>
      <c r="IB172" s="518">
        <v>0</v>
      </c>
      <c r="IC172" s="518">
        <v>0</v>
      </c>
      <c r="ID172" s="518">
        <v>0</v>
      </c>
      <c r="IE172" s="518">
        <v>0</v>
      </c>
      <c r="IF172" s="518">
        <v>0</v>
      </c>
      <c r="IG172" s="518">
        <v>0</v>
      </c>
      <c r="IH172" s="518">
        <v>0</v>
      </c>
      <c r="II172" s="518">
        <v>0</v>
      </c>
      <c r="IJ172" s="518">
        <v>0</v>
      </c>
      <c r="IK172" s="518">
        <v>0</v>
      </c>
    </row>
    <row r="173" spans="1:245" hidden="1">
      <c r="M173" s="517" t="s">
        <v>721</v>
      </c>
      <c r="N173" s="517" t="s">
        <v>1101</v>
      </c>
      <c r="O173" s="517" t="s">
        <v>26</v>
      </c>
      <c r="P173" s="518">
        <v>40</v>
      </c>
      <c r="Q173" s="494" t="str">
        <f t="shared" si="8"/>
        <v>SWUC100240</v>
      </c>
      <c r="R173" s="518">
        <v>174.9</v>
      </c>
      <c r="S173" s="518">
        <v>10000</v>
      </c>
      <c r="T173" s="518">
        <v>10000</v>
      </c>
      <c r="U173" s="518">
        <v>10000</v>
      </c>
      <c r="V173" s="518">
        <v>10000</v>
      </c>
      <c r="W173" s="518">
        <v>10000</v>
      </c>
      <c r="X173" s="518">
        <v>10000</v>
      </c>
      <c r="Y173" s="518">
        <v>10000</v>
      </c>
      <c r="Z173" s="518">
        <v>10000</v>
      </c>
      <c r="AA173" s="518">
        <v>10000</v>
      </c>
      <c r="AB173" s="518">
        <v>0</v>
      </c>
      <c r="AC173" s="518">
        <v>0</v>
      </c>
      <c r="AD173" s="518">
        <v>0</v>
      </c>
      <c r="AE173" s="518">
        <v>0</v>
      </c>
      <c r="AF173" s="518">
        <v>0</v>
      </c>
      <c r="AG173" s="518">
        <v>0</v>
      </c>
      <c r="AH173" s="518">
        <v>0</v>
      </c>
      <c r="AI173" s="518">
        <v>0</v>
      </c>
      <c r="AJ173" s="518">
        <v>0</v>
      </c>
      <c r="AK173" s="518">
        <v>0</v>
      </c>
      <c r="AL173" s="518">
        <v>0</v>
      </c>
      <c r="AM173" s="518">
        <v>0</v>
      </c>
      <c r="AN173" s="518">
        <v>0</v>
      </c>
      <c r="AO173" s="518">
        <v>0</v>
      </c>
      <c r="AP173" s="518">
        <v>0</v>
      </c>
      <c r="AQ173" s="518">
        <v>0</v>
      </c>
      <c r="AR173" s="518">
        <v>0</v>
      </c>
      <c r="AS173" s="518">
        <v>0</v>
      </c>
      <c r="AT173" s="518">
        <v>0</v>
      </c>
      <c r="AU173" s="518">
        <v>0</v>
      </c>
      <c r="AV173" s="518">
        <v>0</v>
      </c>
      <c r="AW173" s="518">
        <v>0</v>
      </c>
      <c r="AX173" s="518">
        <v>0</v>
      </c>
      <c r="AY173" s="518">
        <v>0</v>
      </c>
      <c r="AZ173" s="518">
        <v>0</v>
      </c>
      <c r="BA173" s="518">
        <v>0</v>
      </c>
      <c r="BB173" s="518">
        <v>0</v>
      </c>
      <c r="BC173" s="518">
        <v>0</v>
      </c>
      <c r="BD173" s="518">
        <v>0</v>
      </c>
      <c r="BE173" s="518">
        <v>0</v>
      </c>
      <c r="BF173" s="518">
        <v>0</v>
      </c>
      <c r="BG173" s="518">
        <v>0</v>
      </c>
      <c r="BH173" s="518">
        <v>0</v>
      </c>
      <c r="BI173" s="518">
        <v>0</v>
      </c>
      <c r="BJ173" s="518">
        <v>0</v>
      </c>
      <c r="BK173" s="518">
        <v>0</v>
      </c>
      <c r="BL173" s="518">
        <v>0</v>
      </c>
      <c r="BM173" s="518">
        <v>0</v>
      </c>
      <c r="BN173" s="518">
        <v>0</v>
      </c>
      <c r="BO173" s="518">
        <v>0</v>
      </c>
      <c r="BP173" s="518">
        <v>0</v>
      </c>
      <c r="BQ173" s="518">
        <v>0</v>
      </c>
      <c r="BR173" s="518">
        <v>0</v>
      </c>
      <c r="BS173" s="518">
        <v>0</v>
      </c>
      <c r="BT173" s="518">
        <v>0</v>
      </c>
      <c r="BU173" s="518">
        <v>0</v>
      </c>
      <c r="BV173" s="518">
        <v>0</v>
      </c>
      <c r="BW173" s="518">
        <v>0</v>
      </c>
      <c r="BX173" s="518">
        <v>0</v>
      </c>
      <c r="BY173" s="518">
        <v>0</v>
      </c>
      <c r="BZ173" s="518">
        <v>0</v>
      </c>
      <c r="CA173" s="518">
        <v>0</v>
      </c>
      <c r="CB173" s="518">
        <v>0</v>
      </c>
      <c r="CC173" s="518">
        <v>0</v>
      </c>
      <c r="CD173" s="518">
        <v>0</v>
      </c>
      <c r="CE173" s="518">
        <v>0</v>
      </c>
      <c r="CF173" s="518">
        <v>0</v>
      </c>
      <c r="CG173" s="518">
        <v>0</v>
      </c>
      <c r="CH173" s="518">
        <v>0</v>
      </c>
      <c r="CI173" s="518">
        <v>0</v>
      </c>
      <c r="CJ173" s="518">
        <v>0</v>
      </c>
      <c r="CK173" s="518">
        <v>0</v>
      </c>
      <c r="CL173" s="518">
        <v>0</v>
      </c>
      <c r="CM173" s="518">
        <v>0</v>
      </c>
      <c r="CN173" s="518">
        <v>0</v>
      </c>
      <c r="CO173" s="518">
        <v>0</v>
      </c>
      <c r="CP173" s="518">
        <v>0</v>
      </c>
      <c r="CQ173" s="518">
        <v>0</v>
      </c>
      <c r="CR173" s="518">
        <v>0</v>
      </c>
      <c r="CS173" s="518">
        <v>0</v>
      </c>
      <c r="CT173" s="518">
        <v>0</v>
      </c>
      <c r="CU173" s="518">
        <v>0</v>
      </c>
      <c r="CV173" s="518">
        <v>0</v>
      </c>
      <c r="CW173" s="518">
        <v>0</v>
      </c>
      <c r="CX173" s="518">
        <v>0</v>
      </c>
      <c r="CY173" s="518">
        <v>0</v>
      </c>
      <c r="CZ173" s="518">
        <v>0</v>
      </c>
      <c r="DA173" s="518">
        <v>0</v>
      </c>
      <c r="DB173" s="518">
        <v>0</v>
      </c>
      <c r="DC173" s="518">
        <v>0</v>
      </c>
      <c r="DD173" s="518">
        <v>0</v>
      </c>
      <c r="DE173" s="518">
        <v>0</v>
      </c>
      <c r="DF173" s="518">
        <v>0</v>
      </c>
      <c r="DG173" s="518">
        <v>0</v>
      </c>
      <c r="DH173" s="518">
        <v>0</v>
      </c>
      <c r="DI173" s="518">
        <v>0</v>
      </c>
      <c r="DJ173" s="518">
        <v>0</v>
      </c>
      <c r="DK173" s="518">
        <v>0</v>
      </c>
      <c r="DL173" s="518">
        <v>0</v>
      </c>
      <c r="DM173" s="518">
        <v>0</v>
      </c>
      <c r="DN173" s="518">
        <v>0</v>
      </c>
      <c r="DO173" s="518">
        <v>0</v>
      </c>
      <c r="DP173" s="518">
        <v>0</v>
      </c>
      <c r="DQ173" s="518">
        <v>0</v>
      </c>
      <c r="DR173" s="518">
        <v>0</v>
      </c>
      <c r="DS173" s="518">
        <v>0</v>
      </c>
      <c r="DT173" s="518">
        <v>0</v>
      </c>
      <c r="DU173" s="518">
        <v>0</v>
      </c>
      <c r="DV173" s="518">
        <v>0</v>
      </c>
      <c r="DW173" s="518">
        <v>0</v>
      </c>
      <c r="DX173" s="518">
        <v>0</v>
      </c>
      <c r="DZ173" s="517" t="s">
        <v>721</v>
      </c>
      <c r="EA173" s="517" t="s">
        <v>1101</v>
      </c>
      <c r="EB173" s="517" t="s">
        <v>26</v>
      </c>
      <c r="EC173" s="518">
        <v>40</v>
      </c>
      <c r="ED173" s="494" t="str">
        <f t="shared" si="9"/>
        <v>SWUC100240</v>
      </c>
      <c r="EE173" s="518">
        <v>174.9</v>
      </c>
      <c r="EF173" s="518">
        <v>2000</v>
      </c>
      <c r="EG173" s="518">
        <v>2000</v>
      </c>
      <c r="EH173" s="518">
        <v>2000</v>
      </c>
      <c r="EI173" s="518">
        <v>2000</v>
      </c>
      <c r="EJ173" s="518">
        <v>2000</v>
      </c>
      <c r="EK173" s="518">
        <v>2000</v>
      </c>
      <c r="EL173" s="518">
        <v>2000</v>
      </c>
      <c r="EM173" s="518">
        <v>2000</v>
      </c>
      <c r="EN173" s="518">
        <v>2000</v>
      </c>
      <c r="EO173" s="518">
        <v>0</v>
      </c>
      <c r="EP173" s="518">
        <v>0</v>
      </c>
      <c r="EQ173" s="518">
        <v>0</v>
      </c>
      <c r="ER173" s="518">
        <v>0</v>
      </c>
      <c r="ES173" s="518">
        <v>0</v>
      </c>
      <c r="ET173" s="518">
        <v>0</v>
      </c>
      <c r="EU173" s="518">
        <v>0</v>
      </c>
      <c r="EV173" s="518">
        <v>0</v>
      </c>
      <c r="EW173" s="518">
        <v>0</v>
      </c>
      <c r="EX173" s="518">
        <v>0</v>
      </c>
      <c r="EY173" s="518">
        <v>0</v>
      </c>
      <c r="EZ173" s="518">
        <v>0</v>
      </c>
      <c r="FA173" s="518">
        <v>0</v>
      </c>
      <c r="FB173" s="518">
        <v>0</v>
      </c>
      <c r="FC173" s="518">
        <v>0</v>
      </c>
      <c r="FD173" s="518">
        <v>0</v>
      </c>
      <c r="FE173" s="518">
        <v>0</v>
      </c>
      <c r="FF173" s="518">
        <v>0</v>
      </c>
      <c r="FG173" s="518">
        <v>0</v>
      </c>
      <c r="FH173" s="518">
        <v>0</v>
      </c>
      <c r="FI173" s="518">
        <v>0</v>
      </c>
      <c r="FJ173" s="518">
        <v>0</v>
      </c>
      <c r="FK173" s="518">
        <v>0</v>
      </c>
      <c r="FL173" s="518">
        <v>0</v>
      </c>
      <c r="FM173" s="518">
        <v>0</v>
      </c>
      <c r="FN173" s="518">
        <v>0</v>
      </c>
      <c r="FO173" s="518">
        <v>0</v>
      </c>
      <c r="FP173" s="518">
        <v>0</v>
      </c>
      <c r="FQ173" s="518">
        <v>0</v>
      </c>
      <c r="FR173" s="518">
        <v>0</v>
      </c>
      <c r="FS173" s="518">
        <v>0</v>
      </c>
      <c r="FT173" s="518">
        <v>0</v>
      </c>
      <c r="FU173" s="518">
        <v>0</v>
      </c>
      <c r="FV173" s="518">
        <v>0</v>
      </c>
      <c r="FW173" s="518">
        <v>0</v>
      </c>
      <c r="FX173" s="518">
        <v>0</v>
      </c>
      <c r="FY173" s="518">
        <v>0</v>
      </c>
      <c r="FZ173" s="518">
        <v>0</v>
      </c>
      <c r="GA173" s="518">
        <v>0</v>
      </c>
      <c r="GB173" s="518">
        <v>0</v>
      </c>
      <c r="GC173" s="518">
        <v>0</v>
      </c>
      <c r="GD173" s="518">
        <v>0</v>
      </c>
      <c r="GE173" s="518">
        <v>0</v>
      </c>
      <c r="GF173" s="518">
        <v>0</v>
      </c>
      <c r="GG173" s="518">
        <v>0</v>
      </c>
      <c r="GH173" s="518">
        <v>0</v>
      </c>
      <c r="GI173" s="518">
        <v>0</v>
      </c>
      <c r="GJ173" s="518">
        <v>0</v>
      </c>
      <c r="GK173" s="518">
        <v>0</v>
      </c>
      <c r="GL173" s="518">
        <v>0</v>
      </c>
      <c r="GM173" s="518">
        <v>0</v>
      </c>
      <c r="GN173" s="518">
        <v>0</v>
      </c>
      <c r="GO173" s="518">
        <v>0</v>
      </c>
      <c r="GP173" s="518">
        <v>0</v>
      </c>
      <c r="GQ173" s="518">
        <v>0</v>
      </c>
      <c r="GR173" s="518">
        <v>0</v>
      </c>
      <c r="GS173" s="518">
        <v>0</v>
      </c>
      <c r="GT173" s="518">
        <v>0</v>
      </c>
      <c r="GU173" s="518">
        <v>0</v>
      </c>
      <c r="GV173" s="518">
        <v>0</v>
      </c>
      <c r="GW173" s="518">
        <v>0</v>
      </c>
      <c r="GX173" s="518">
        <v>0</v>
      </c>
      <c r="GY173" s="518">
        <v>0</v>
      </c>
      <c r="GZ173" s="518">
        <v>0</v>
      </c>
      <c r="HA173" s="518">
        <v>0</v>
      </c>
      <c r="HB173" s="518">
        <v>0</v>
      </c>
      <c r="HC173" s="518">
        <v>0</v>
      </c>
      <c r="HD173" s="518">
        <v>0</v>
      </c>
      <c r="HE173" s="518">
        <v>0</v>
      </c>
      <c r="HF173" s="518">
        <v>0</v>
      </c>
      <c r="HG173" s="518">
        <v>0</v>
      </c>
      <c r="HH173" s="518">
        <v>0</v>
      </c>
      <c r="HI173" s="518">
        <v>0</v>
      </c>
      <c r="HJ173" s="518">
        <v>0</v>
      </c>
      <c r="HK173" s="518">
        <v>0</v>
      </c>
      <c r="HL173" s="518">
        <v>0</v>
      </c>
      <c r="HM173" s="518">
        <v>0</v>
      </c>
      <c r="HN173" s="518">
        <v>0</v>
      </c>
      <c r="HO173" s="518">
        <v>0</v>
      </c>
      <c r="HP173" s="518">
        <v>0</v>
      </c>
      <c r="HQ173" s="518">
        <v>0</v>
      </c>
      <c r="HR173" s="518">
        <v>0</v>
      </c>
      <c r="HS173" s="518">
        <v>0</v>
      </c>
      <c r="HT173" s="518">
        <v>0</v>
      </c>
      <c r="HU173" s="518">
        <v>0</v>
      </c>
      <c r="HV173" s="518">
        <v>0</v>
      </c>
      <c r="HW173" s="518">
        <v>0</v>
      </c>
      <c r="HX173" s="518">
        <v>0</v>
      </c>
      <c r="HY173" s="518">
        <v>0</v>
      </c>
      <c r="HZ173" s="518">
        <v>0</v>
      </c>
      <c r="IA173" s="518">
        <v>0</v>
      </c>
      <c r="IB173" s="518">
        <v>0</v>
      </c>
      <c r="IC173" s="518">
        <v>0</v>
      </c>
      <c r="ID173" s="518">
        <v>0</v>
      </c>
      <c r="IE173" s="518">
        <v>0</v>
      </c>
      <c r="IF173" s="518">
        <v>0</v>
      </c>
      <c r="IG173" s="518">
        <v>0</v>
      </c>
      <c r="IH173" s="518">
        <v>0</v>
      </c>
      <c r="II173" s="518">
        <v>0</v>
      </c>
      <c r="IJ173" s="518">
        <v>0</v>
      </c>
      <c r="IK173" s="518">
        <v>0</v>
      </c>
    </row>
    <row r="174" spans="1:245" hidden="1">
      <c r="M174" s="517" t="s">
        <v>721</v>
      </c>
      <c r="N174" s="517" t="s">
        <v>1101</v>
      </c>
      <c r="O174" s="517" t="s">
        <v>26</v>
      </c>
      <c r="P174" s="518">
        <v>41</v>
      </c>
      <c r="Q174" s="494" t="str">
        <f t="shared" si="8"/>
        <v>SWUC100241</v>
      </c>
      <c r="R174" s="518">
        <v>190.8</v>
      </c>
      <c r="S174" s="518">
        <v>10000</v>
      </c>
      <c r="T174" s="518">
        <v>10000</v>
      </c>
      <c r="U174" s="518">
        <v>10000</v>
      </c>
      <c r="V174" s="518">
        <v>10000</v>
      </c>
      <c r="W174" s="518">
        <v>10000</v>
      </c>
      <c r="X174" s="518">
        <v>10000</v>
      </c>
      <c r="Y174" s="518">
        <v>10000</v>
      </c>
      <c r="Z174" s="518">
        <v>10000</v>
      </c>
      <c r="AA174" s="518">
        <v>10000</v>
      </c>
      <c r="AB174" s="518">
        <v>0</v>
      </c>
      <c r="AC174" s="518">
        <v>0</v>
      </c>
      <c r="AD174" s="518">
        <v>0</v>
      </c>
      <c r="AE174" s="518">
        <v>0</v>
      </c>
      <c r="AF174" s="518">
        <v>0</v>
      </c>
      <c r="AG174" s="518">
        <v>0</v>
      </c>
      <c r="AH174" s="518">
        <v>0</v>
      </c>
      <c r="AI174" s="518">
        <v>0</v>
      </c>
      <c r="AJ174" s="518">
        <v>0</v>
      </c>
      <c r="AK174" s="518">
        <v>0</v>
      </c>
      <c r="AL174" s="518">
        <v>0</v>
      </c>
      <c r="AM174" s="518">
        <v>0</v>
      </c>
      <c r="AN174" s="518">
        <v>0</v>
      </c>
      <c r="AO174" s="518">
        <v>0</v>
      </c>
      <c r="AP174" s="518">
        <v>0</v>
      </c>
      <c r="AQ174" s="518">
        <v>0</v>
      </c>
      <c r="AR174" s="518">
        <v>0</v>
      </c>
      <c r="AS174" s="518">
        <v>0</v>
      </c>
      <c r="AT174" s="518">
        <v>0</v>
      </c>
      <c r="AU174" s="518">
        <v>0</v>
      </c>
      <c r="AV174" s="518">
        <v>0</v>
      </c>
      <c r="AW174" s="518">
        <v>0</v>
      </c>
      <c r="AX174" s="518">
        <v>0</v>
      </c>
      <c r="AY174" s="518">
        <v>0</v>
      </c>
      <c r="AZ174" s="518">
        <v>0</v>
      </c>
      <c r="BA174" s="518">
        <v>0</v>
      </c>
      <c r="BB174" s="518">
        <v>0</v>
      </c>
      <c r="BC174" s="518">
        <v>0</v>
      </c>
      <c r="BD174" s="518">
        <v>0</v>
      </c>
      <c r="BE174" s="518">
        <v>0</v>
      </c>
      <c r="BF174" s="518">
        <v>0</v>
      </c>
      <c r="BG174" s="518">
        <v>0</v>
      </c>
      <c r="BH174" s="518">
        <v>0</v>
      </c>
      <c r="BI174" s="518">
        <v>0</v>
      </c>
      <c r="BJ174" s="518">
        <v>0</v>
      </c>
      <c r="BK174" s="518">
        <v>0</v>
      </c>
      <c r="BL174" s="518">
        <v>0</v>
      </c>
      <c r="BM174" s="518">
        <v>0</v>
      </c>
      <c r="BN174" s="518">
        <v>0</v>
      </c>
      <c r="BO174" s="518">
        <v>0</v>
      </c>
      <c r="BP174" s="518">
        <v>0</v>
      </c>
      <c r="BQ174" s="518">
        <v>0</v>
      </c>
      <c r="BR174" s="518">
        <v>0</v>
      </c>
      <c r="BS174" s="518">
        <v>0</v>
      </c>
      <c r="BT174" s="518">
        <v>0</v>
      </c>
      <c r="BU174" s="518">
        <v>0</v>
      </c>
      <c r="BV174" s="518">
        <v>0</v>
      </c>
      <c r="BW174" s="518">
        <v>0</v>
      </c>
      <c r="BX174" s="518">
        <v>0</v>
      </c>
      <c r="BY174" s="518">
        <v>0</v>
      </c>
      <c r="BZ174" s="518">
        <v>0</v>
      </c>
      <c r="CA174" s="518">
        <v>0</v>
      </c>
      <c r="CB174" s="518">
        <v>0</v>
      </c>
      <c r="CC174" s="518">
        <v>0</v>
      </c>
      <c r="CD174" s="518">
        <v>0</v>
      </c>
      <c r="CE174" s="518">
        <v>0</v>
      </c>
      <c r="CF174" s="518">
        <v>0</v>
      </c>
      <c r="CG174" s="518">
        <v>0</v>
      </c>
      <c r="CH174" s="518">
        <v>0</v>
      </c>
      <c r="CI174" s="518">
        <v>0</v>
      </c>
      <c r="CJ174" s="518">
        <v>0</v>
      </c>
      <c r="CK174" s="518">
        <v>0</v>
      </c>
      <c r="CL174" s="518">
        <v>0</v>
      </c>
      <c r="CM174" s="518">
        <v>0</v>
      </c>
      <c r="CN174" s="518">
        <v>0</v>
      </c>
      <c r="CO174" s="518">
        <v>0</v>
      </c>
      <c r="CP174" s="518">
        <v>0</v>
      </c>
      <c r="CQ174" s="518">
        <v>0</v>
      </c>
      <c r="CR174" s="518">
        <v>0</v>
      </c>
      <c r="CS174" s="518">
        <v>0</v>
      </c>
      <c r="CT174" s="518">
        <v>0</v>
      </c>
      <c r="CU174" s="518">
        <v>0</v>
      </c>
      <c r="CV174" s="518">
        <v>0</v>
      </c>
      <c r="CW174" s="518">
        <v>0</v>
      </c>
      <c r="CX174" s="518">
        <v>0</v>
      </c>
      <c r="CY174" s="518">
        <v>0</v>
      </c>
      <c r="CZ174" s="518">
        <v>0</v>
      </c>
      <c r="DA174" s="518">
        <v>0</v>
      </c>
      <c r="DB174" s="518">
        <v>0</v>
      </c>
      <c r="DC174" s="518">
        <v>0</v>
      </c>
      <c r="DD174" s="518">
        <v>0</v>
      </c>
      <c r="DE174" s="518">
        <v>0</v>
      </c>
      <c r="DF174" s="518">
        <v>0</v>
      </c>
      <c r="DG174" s="518">
        <v>0</v>
      </c>
      <c r="DH174" s="518">
        <v>0</v>
      </c>
      <c r="DI174" s="518">
        <v>0</v>
      </c>
      <c r="DJ174" s="518">
        <v>0</v>
      </c>
      <c r="DK174" s="518">
        <v>0</v>
      </c>
      <c r="DL174" s="518">
        <v>0</v>
      </c>
      <c r="DM174" s="518">
        <v>0</v>
      </c>
      <c r="DN174" s="518">
        <v>0</v>
      </c>
      <c r="DO174" s="518">
        <v>0</v>
      </c>
      <c r="DP174" s="518">
        <v>0</v>
      </c>
      <c r="DQ174" s="518">
        <v>0</v>
      </c>
      <c r="DR174" s="518">
        <v>0</v>
      </c>
      <c r="DS174" s="518">
        <v>0</v>
      </c>
      <c r="DT174" s="518">
        <v>0</v>
      </c>
      <c r="DU174" s="518">
        <v>0</v>
      </c>
      <c r="DV174" s="518">
        <v>0</v>
      </c>
      <c r="DW174" s="518">
        <v>0</v>
      </c>
      <c r="DX174" s="518">
        <v>0</v>
      </c>
      <c r="DZ174" s="517" t="s">
        <v>721</v>
      </c>
      <c r="EA174" s="517" t="s">
        <v>1101</v>
      </c>
      <c r="EB174" s="517" t="s">
        <v>26</v>
      </c>
      <c r="EC174" s="518">
        <v>41</v>
      </c>
      <c r="ED174" s="494" t="str">
        <f t="shared" si="9"/>
        <v>SWUC100241</v>
      </c>
      <c r="EE174" s="518">
        <v>190.8</v>
      </c>
      <c r="EF174" s="518">
        <v>2000</v>
      </c>
      <c r="EG174" s="518">
        <v>2000</v>
      </c>
      <c r="EH174" s="518">
        <v>2000</v>
      </c>
      <c r="EI174" s="518">
        <v>2000</v>
      </c>
      <c r="EJ174" s="518">
        <v>2000</v>
      </c>
      <c r="EK174" s="518">
        <v>2000</v>
      </c>
      <c r="EL174" s="518">
        <v>2000</v>
      </c>
      <c r="EM174" s="518">
        <v>2000</v>
      </c>
      <c r="EN174" s="518">
        <v>2000</v>
      </c>
      <c r="EO174" s="518">
        <v>0</v>
      </c>
      <c r="EP174" s="518">
        <v>0</v>
      </c>
      <c r="EQ174" s="518">
        <v>0</v>
      </c>
      <c r="ER174" s="518">
        <v>0</v>
      </c>
      <c r="ES174" s="518">
        <v>0</v>
      </c>
      <c r="ET174" s="518">
        <v>0</v>
      </c>
      <c r="EU174" s="518">
        <v>0</v>
      </c>
      <c r="EV174" s="518">
        <v>0</v>
      </c>
      <c r="EW174" s="518">
        <v>0</v>
      </c>
      <c r="EX174" s="518">
        <v>0</v>
      </c>
      <c r="EY174" s="518">
        <v>0</v>
      </c>
      <c r="EZ174" s="518">
        <v>0</v>
      </c>
      <c r="FA174" s="518">
        <v>0</v>
      </c>
      <c r="FB174" s="518">
        <v>0</v>
      </c>
      <c r="FC174" s="518">
        <v>0</v>
      </c>
      <c r="FD174" s="518">
        <v>0</v>
      </c>
      <c r="FE174" s="518">
        <v>0</v>
      </c>
      <c r="FF174" s="518">
        <v>0</v>
      </c>
      <c r="FG174" s="518">
        <v>0</v>
      </c>
      <c r="FH174" s="518">
        <v>0</v>
      </c>
      <c r="FI174" s="518">
        <v>0</v>
      </c>
      <c r="FJ174" s="518">
        <v>0</v>
      </c>
      <c r="FK174" s="518">
        <v>0</v>
      </c>
      <c r="FL174" s="518">
        <v>0</v>
      </c>
      <c r="FM174" s="518">
        <v>0</v>
      </c>
      <c r="FN174" s="518">
        <v>0</v>
      </c>
      <c r="FO174" s="518">
        <v>0</v>
      </c>
      <c r="FP174" s="518">
        <v>0</v>
      </c>
      <c r="FQ174" s="518">
        <v>0</v>
      </c>
      <c r="FR174" s="518">
        <v>0</v>
      </c>
      <c r="FS174" s="518">
        <v>0</v>
      </c>
      <c r="FT174" s="518">
        <v>0</v>
      </c>
      <c r="FU174" s="518">
        <v>0</v>
      </c>
      <c r="FV174" s="518">
        <v>0</v>
      </c>
      <c r="FW174" s="518">
        <v>0</v>
      </c>
      <c r="FX174" s="518">
        <v>0</v>
      </c>
      <c r="FY174" s="518">
        <v>0</v>
      </c>
      <c r="FZ174" s="518">
        <v>0</v>
      </c>
      <c r="GA174" s="518">
        <v>0</v>
      </c>
      <c r="GB174" s="518">
        <v>0</v>
      </c>
      <c r="GC174" s="518">
        <v>0</v>
      </c>
      <c r="GD174" s="518">
        <v>0</v>
      </c>
      <c r="GE174" s="518">
        <v>0</v>
      </c>
      <c r="GF174" s="518">
        <v>0</v>
      </c>
      <c r="GG174" s="518">
        <v>0</v>
      </c>
      <c r="GH174" s="518">
        <v>0</v>
      </c>
      <c r="GI174" s="518">
        <v>0</v>
      </c>
      <c r="GJ174" s="518">
        <v>0</v>
      </c>
      <c r="GK174" s="518">
        <v>0</v>
      </c>
      <c r="GL174" s="518">
        <v>0</v>
      </c>
      <c r="GM174" s="518">
        <v>0</v>
      </c>
      <c r="GN174" s="518">
        <v>0</v>
      </c>
      <c r="GO174" s="518">
        <v>0</v>
      </c>
      <c r="GP174" s="518">
        <v>0</v>
      </c>
      <c r="GQ174" s="518">
        <v>0</v>
      </c>
      <c r="GR174" s="518">
        <v>0</v>
      </c>
      <c r="GS174" s="518">
        <v>0</v>
      </c>
      <c r="GT174" s="518">
        <v>0</v>
      </c>
      <c r="GU174" s="518">
        <v>0</v>
      </c>
      <c r="GV174" s="518">
        <v>0</v>
      </c>
      <c r="GW174" s="518">
        <v>0</v>
      </c>
      <c r="GX174" s="518">
        <v>0</v>
      </c>
      <c r="GY174" s="518">
        <v>0</v>
      </c>
      <c r="GZ174" s="518">
        <v>0</v>
      </c>
      <c r="HA174" s="518">
        <v>0</v>
      </c>
      <c r="HB174" s="518">
        <v>0</v>
      </c>
      <c r="HC174" s="518">
        <v>0</v>
      </c>
      <c r="HD174" s="518">
        <v>0</v>
      </c>
      <c r="HE174" s="518">
        <v>0</v>
      </c>
      <c r="HF174" s="518">
        <v>0</v>
      </c>
      <c r="HG174" s="518">
        <v>0</v>
      </c>
      <c r="HH174" s="518">
        <v>0</v>
      </c>
      <c r="HI174" s="518">
        <v>0</v>
      </c>
      <c r="HJ174" s="518">
        <v>0</v>
      </c>
      <c r="HK174" s="518">
        <v>0</v>
      </c>
      <c r="HL174" s="518">
        <v>0</v>
      </c>
      <c r="HM174" s="518">
        <v>0</v>
      </c>
      <c r="HN174" s="518">
        <v>0</v>
      </c>
      <c r="HO174" s="518">
        <v>0</v>
      </c>
      <c r="HP174" s="518">
        <v>0</v>
      </c>
      <c r="HQ174" s="518">
        <v>0</v>
      </c>
      <c r="HR174" s="518">
        <v>0</v>
      </c>
      <c r="HS174" s="518">
        <v>0</v>
      </c>
      <c r="HT174" s="518">
        <v>0</v>
      </c>
      <c r="HU174" s="518">
        <v>0</v>
      </c>
      <c r="HV174" s="518">
        <v>0</v>
      </c>
      <c r="HW174" s="518">
        <v>0</v>
      </c>
      <c r="HX174" s="518">
        <v>0</v>
      </c>
      <c r="HY174" s="518">
        <v>0</v>
      </c>
      <c r="HZ174" s="518">
        <v>0</v>
      </c>
      <c r="IA174" s="518">
        <v>0</v>
      </c>
      <c r="IB174" s="518">
        <v>0</v>
      </c>
      <c r="IC174" s="518">
        <v>0</v>
      </c>
      <c r="ID174" s="518">
        <v>0</v>
      </c>
      <c r="IE174" s="518">
        <v>0</v>
      </c>
      <c r="IF174" s="518">
        <v>0</v>
      </c>
      <c r="IG174" s="518">
        <v>0</v>
      </c>
      <c r="IH174" s="518">
        <v>0</v>
      </c>
      <c r="II174" s="518">
        <v>0</v>
      </c>
      <c r="IJ174" s="518">
        <v>0</v>
      </c>
      <c r="IK174" s="518">
        <v>0</v>
      </c>
    </row>
    <row r="175" spans="1:245" hidden="1">
      <c r="M175" s="517" t="s">
        <v>721</v>
      </c>
      <c r="N175" s="517" t="s">
        <v>1101</v>
      </c>
      <c r="O175" s="517" t="s">
        <v>26</v>
      </c>
      <c r="P175" s="518">
        <v>42</v>
      </c>
      <c r="Q175" s="494" t="str">
        <f t="shared" si="8"/>
        <v>SWUC100242</v>
      </c>
      <c r="R175" s="518">
        <v>206.7</v>
      </c>
      <c r="S175" s="518">
        <v>10000</v>
      </c>
      <c r="T175" s="518">
        <v>10000</v>
      </c>
      <c r="U175" s="518">
        <v>10000</v>
      </c>
      <c r="V175" s="518">
        <v>10000</v>
      </c>
      <c r="W175" s="518">
        <v>10000</v>
      </c>
      <c r="X175" s="518">
        <v>10000</v>
      </c>
      <c r="Y175" s="518">
        <v>10000</v>
      </c>
      <c r="Z175" s="518">
        <v>10000</v>
      </c>
      <c r="AA175" s="518">
        <v>10000</v>
      </c>
      <c r="AB175" s="518">
        <v>0</v>
      </c>
      <c r="AC175" s="518">
        <v>0</v>
      </c>
      <c r="AD175" s="518">
        <v>0</v>
      </c>
      <c r="AE175" s="518">
        <v>0</v>
      </c>
      <c r="AF175" s="518">
        <v>0</v>
      </c>
      <c r="AG175" s="518">
        <v>0</v>
      </c>
      <c r="AH175" s="518">
        <v>0</v>
      </c>
      <c r="AI175" s="518">
        <v>0</v>
      </c>
      <c r="AJ175" s="518">
        <v>0</v>
      </c>
      <c r="AK175" s="518">
        <v>0</v>
      </c>
      <c r="AL175" s="518">
        <v>0</v>
      </c>
      <c r="AM175" s="518">
        <v>0</v>
      </c>
      <c r="AN175" s="518">
        <v>0</v>
      </c>
      <c r="AO175" s="518">
        <v>0</v>
      </c>
      <c r="AP175" s="518">
        <v>0</v>
      </c>
      <c r="AQ175" s="518">
        <v>0</v>
      </c>
      <c r="AR175" s="518">
        <v>0</v>
      </c>
      <c r="AS175" s="518">
        <v>0</v>
      </c>
      <c r="AT175" s="518">
        <v>0</v>
      </c>
      <c r="AU175" s="518">
        <v>0</v>
      </c>
      <c r="AV175" s="518">
        <v>0</v>
      </c>
      <c r="AW175" s="518">
        <v>0</v>
      </c>
      <c r="AX175" s="518">
        <v>0</v>
      </c>
      <c r="AY175" s="518">
        <v>0</v>
      </c>
      <c r="AZ175" s="518">
        <v>0</v>
      </c>
      <c r="BA175" s="518">
        <v>0</v>
      </c>
      <c r="BB175" s="518">
        <v>0</v>
      </c>
      <c r="BC175" s="518">
        <v>0</v>
      </c>
      <c r="BD175" s="518">
        <v>0</v>
      </c>
      <c r="BE175" s="518">
        <v>0</v>
      </c>
      <c r="BF175" s="518">
        <v>0</v>
      </c>
      <c r="BG175" s="518">
        <v>0</v>
      </c>
      <c r="BH175" s="518">
        <v>0</v>
      </c>
      <c r="BI175" s="518">
        <v>0</v>
      </c>
      <c r="BJ175" s="518">
        <v>0</v>
      </c>
      <c r="BK175" s="518">
        <v>0</v>
      </c>
      <c r="BL175" s="518">
        <v>0</v>
      </c>
      <c r="BM175" s="518">
        <v>0</v>
      </c>
      <c r="BN175" s="518">
        <v>0</v>
      </c>
      <c r="BO175" s="518">
        <v>0</v>
      </c>
      <c r="BP175" s="518">
        <v>0</v>
      </c>
      <c r="BQ175" s="518">
        <v>0</v>
      </c>
      <c r="BR175" s="518">
        <v>0</v>
      </c>
      <c r="BS175" s="518">
        <v>0</v>
      </c>
      <c r="BT175" s="518">
        <v>0</v>
      </c>
      <c r="BU175" s="518">
        <v>0</v>
      </c>
      <c r="BV175" s="518">
        <v>0</v>
      </c>
      <c r="BW175" s="518">
        <v>0</v>
      </c>
      <c r="BX175" s="518">
        <v>0</v>
      </c>
      <c r="BY175" s="518">
        <v>0</v>
      </c>
      <c r="BZ175" s="518">
        <v>0</v>
      </c>
      <c r="CA175" s="518">
        <v>0</v>
      </c>
      <c r="CB175" s="518">
        <v>0</v>
      </c>
      <c r="CC175" s="518">
        <v>0</v>
      </c>
      <c r="CD175" s="518">
        <v>0</v>
      </c>
      <c r="CE175" s="518">
        <v>0</v>
      </c>
      <c r="CF175" s="518">
        <v>0</v>
      </c>
      <c r="CG175" s="518">
        <v>0</v>
      </c>
      <c r="CH175" s="518">
        <v>0</v>
      </c>
      <c r="CI175" s="518">
        <v>0</v>
      </c>
      <c r="CJ175" s="518">
        <v>0</v>
      </c>
      <c r="CK175" s="518">
        <v>0</v>
      </c>
      <c r="CL175" s="518">
        <v>0</v>
      </c>
      <c r="CM175" s="518">
        <v>0</v>
      </c>
      <c r="CN175" s="518">
        <v>0</v>
      </c>
      <c r="CO175" s="518">
        <v>0</v>
      </c>
      <c r="CP175" s="518">
        <v>0</v>
      </c>
      <c r="CQ175" s="518">
        <v>0</v>
      </c>
      <c r="CR175" s="518">
        <v>0</v>
      </c>
      <c r="CS175" s="518">
        <v>0</v>
      </c>
      <c r="CT175" s="518">
        <v>0</v>
      </c>
      <c r="CU175" s="518">
        <v>0</v>
      </c>
      <c r="CV175" s="518">
        <v>0</v>
      </c>
      <c r="CW175" s="518">
        <v>0</v>
      </c>
      <c r="CX175" s="518">
        <v>0</v>
      </c>
      <c r="CY175" s="518">
        <v>0</v>
      </c>
      <c r="CZ175" s="518">
        <v>0</v>
      </c>
      <c r="DA175" s="518">
        <v>0</v>
      </c>
      <c r="DB175" s="518">
        <v>0</v>
      </c>
      <c r="DC175" s="518">
        <v>0</v>
      </c>
      <c r="DD175" s="518">
        <v>0</v>
      </c>
      <c r="DE175" s="518">
        <v>0</v>
      </c>
      <c r="DF175" s="518">
        <v>0</v>
      </c>
      <c r="DG175" s="518">
        <v>0</v>
      </c>
      <c r="DH175" s="518">
        <v>0</v>
      </c>
      <c r="DI175" s="518">
        <v>0</v>
      </c>
      <c r="DJ175" s="518">
        <v>0</v>
      </c>
      <c r="DK175" s="518">
        <v>0</v>
      </c>
      <c r="DL175" s="518">
        <v>0</v>
      </c>
      <c r="DM175" s="518">
        <v>0</v>
      </c>
      <c r="DN175" s="518">
        <v>0</v>
      </c>
      <c r="DO175" s="518">
        <v>0</v>
      </c>
      <c r="DP175" s="518">
        <v>0</v>
      </c>
      <c r="DQ175" s="518">
        <v>0</v>
      </c>
      <c r="DR175" s="518">
        <v>0</v>
      </c>
      <c r="DS175" s="518">
        <v>0</v>
      </c>
      <c r="DT175" s="518">
        <v>0</v>
      </c>
      <c r="DU175" s="518">
        <v>0</v>
      </c>
      <c r="DV175" s="518">
        <v>0</v>
      </c>
      <c r="DW175" s="518">
        <v>0</v>
      </c>
      <c r="DX175" s="518">
        <v>0</v>
      </c>
      <c r="DZ175" s="517" t="s">
        <v>721</v>
      </c>
      <c r="EA175" s="517" t="s">
        <v>1101</v>
      </c>
      <c r="EB175" s="517" t="s">
        <v>26</v>
      </c>
      <c r="EC175" s="518">
        <v>42</v>
      </c>
      <c r="ED175" s="494" t="str">
        <f t="shared" si="9"/>
        <v>SWUC100242</v>
      </c>
      <c r="EE175" s="518">
        <v>206.7</v>
      </c>
      <c r="EF175" s="518">
        <v>2000</v>
      </c>
      <c r="EG175" s="518">
        <v>2000</v>
      </c>
      <c r="EH175" s="518">
        <v>2000</v>
      </c>
      <c r="EI175" s="518">
        <v>2000</v>
      </c>
      <c r="EJ175" s="518">
        <v>2000</v>
      </c>
      <c r="EK175" s="518">
        <v>2000</v>
      </c>
      <c r="EL175" s="518">
        <v>2000</v>
      </c>
      <c r="EM175" s="518">
        <v>2000</v>
      </c>
      <c r="EN175" s="518">
        <v>2067</v>
      </c>
      <c r="EO175" s="518">
        <v>0</v>
      </c>
      <c r="EP175" s="518">
        <v>0</v>
      </c>
      <c r="EQ175" s="518">
        <v>0</v>
      </c>
      <c r="ER175" s="518">
        <v>0</v>
      </c>
      <c r="ES175" s="518">
        <v>0</v>
      </c>
      <c r="ET175" s="518">
        <v>0</v>
      </c>
      <c r="EU175" s="518">
        <v>0</v>
      </c>
      <c r="EV175" s="518">
        <v>0</v>
      </c>
      <c r="EW175" s="518">
        <v>0</v>
      </c>
      <c r="EX175" s="518">
        <v>0</v>
      </c>
      <c r="EY175" s="518">
        <v>0</v>
      </c>
      <c r="EZ175" s="518">
        <v>0</v>
      </c>
      <c r="FA175" s="518">
        <v>0</v>
      </c>
      <c r="FB175" s="518">
        <v>0</v>
      </c>
      <c r="FC175" s="518">
        <v>0</v>
      </c>
      <c r="FD175" s="518">
        <v>0</v>
      </c>
      <c r="FE175" s="518">
        <v>0</v>
      </c>
      <c r="FF175" s="518">
        <v>0</v>
      </c>
      <c r="FG175" s="518">
        <v>0</v>
      </c>
      <c r="FH175" s="518">
        <v>0</v>
      </c>
      <c r="FI175" s="518">
        <v>0</v>
      </c>
      <c r="FJ175" s="518">
        <v>0</v>
      </c>
      <c r="FK175" s="518">
        <v>0</v>
      </c>
      <c r="FL175" s="518">
        <v>0</v>
      </c>
      <c r="FM175" s="518">
        <v>0</v>
      </c>
      <c r="FN175" s="518">
        <v>0</v>
      </c>
      <c r="FO175" s="518">
        <v>0</v>
      </c>
      <c r="FP175" s="518">
        <v>0</v>
      </c>
      <c r="FQ175" s="518">
        <v>0</v>
      </c>
      <c r="FR175" s="518">
        <v>0</v>
      </c>
      <c r="FS175" s="518">
        <v>0</v>
      </c>
      <c r="FT175" s="518">
        <v>0</v>
      </c>
      <c r="FU175" s="518">
        <v>0</v>
      </c>
      <c r="FV175" s="518">
        <v>0</v>
      </c>
      <c r="FW175" s="518">
        <v>0</v>
      </c>
      <c r="FX175" s="518">
        <v>0</v>
      </c>
      <c r="FY175" s="518">
        <v>0</v>
      </c>
      <c r="FZ175" s="518">
        <v>0</v>
      </c>
      <c r="GA175" s="518">
        <v>0</v>
      </c>
      <c r="GB175" s="518">
        <v>0</v>
      </c>
      <c r="GC175" s="518">
        <v>0</v>
      </c>
      <c r="GD175" s="518">
        <v>0</v>
      </c>
      <c r="GE175" s="518">
        <v>0</v>
      </c>
      <c r="GF175" s="518">
        <v>0</v>
      </c>
      <c r="GG175" s="518">
        <v>0</v>
      </c>
      <c r="GH175" s="518">
        <v>0</v>
      </c>
      <c r="GI175" s="518">
        <v>0</v>
      </c>
      <c r="GJ175" s="518">
        <v>0</v>
      </c>
      <c r="GK175" s="518">
        <v>0</v>
      </c>
      <c r="GL175" s="518">
        <v>0</v>
      </c>
      <c r="GM175" s="518">
        <v>0</v>
      </c>
      <c r="GN175" s="518">
        <v>0</v>
      </c>
      <c r="GO175" s="518">
        <v>0</v>
      </c>
      <c r="GP175" s="518">
        <v>0</v>
      </c>
      <c r="GQ175" s="518">
        <v>0</v>
      </c>
      <c r="GR175" s="518">
        <v>0</v>
      </c>
      <c r="GS175" s="518">
        <v>0</v>
      </c>
      <c r="GT175" s="518">
        <v>0</v>
      </c>
      <c r="GU175" s="518">
        <v>0</v>
      </c>
      <c r="GV175" s="518">
        <v>0</v>
      </c>
      <c r="GW175" s="518">
        <v>0</v>
      </c>
      <c r="GX175" s="518">
        <v>0</v>
      </c>
      <c r="GY175" s="518">
        <v>0</v>
      </c>
      <c r="GZ175" s="518">
        <v>0</v>
      </c>
      <c r="HA175" s="518">
        <v>0</v>
      </c>
      <c r="HB175" s="518">
        <v>0</v>
      </c>
      <c r="HC175" s="518">
        <v>0</v>
      </c>
      <c r="HD175" s="518">
        <v>0</v>
      </c>
      <c r="HE175" s="518">
        <v>0</v>
      </c>
      <c r="HF175" s="518">
        <v>0</v>
      </c>
      <c r="HG175" s="518">
        <v>0</v>
      </c>
      <c r="HH175" s="518">
        <v>0</v>
      </c>
      <c r="HI175" s="518">
        <v>0</v>
      </c>
      <c r="HJ175" s="518">
        <v>0</v>
      </c>
      <c r="HK175" s="518">
        <v>0</v>
      </c>
      <c r="HL175" s="518">
        <v>0</v>
      </c>
      <c r="HM175" s="518">
        <v>0</v>
      </c>
      <c r="HN175" s="518">
        <v>0</v>
      </c>
      <c r="HO175" s="518">
        <v>0</v>
      </c>
      <c r="HP175" s="518">
        <v>0</v>
      </c>
      <c r="HQ175" s="518">
        <v>0</v>
      </c>
      <c r="HR175" s="518">
        <v>0</v>
      </c>
      <c r="HS175" s="518">
        <v>0</v>
      </c>
      <c r="HT175" s="518">
        <v>0</v>
      </c>
      <c r="HU175" s="518">
        <v>0</v>
      </c>
      <c r="HV175" s="518">
        <v>0</v>
      </c>
      <c r="HW175" s="518">
        <v>0</v>
      </c>
      <c r="HX175" s="518">
        <v>0</v>
      </c>
      <c r="HY175" s="518">
        <v>0</v>
      </c>
      <c r="HZ175" s="518">
        <v>0</v>
      </c>
      <c r="IA175" s="518">
        <v>0</v>
      </c>
      <c r="IB175" s="518">
        <v>0</v>
      </c>
      <c r="IC175" s="518">
        <v>0</v>
      </c>
      <c r="ID175" s="518">
        <v>0</v>
      </c>
      <c r="IE175" s="518">
        <v>0</v>
      </c>
      <c r="IF175" s="518">
        <v>0</v>
      </c>
      <c r="IG175" s="518">
        <v>0</v>
      </c>
      <c r="IH175" s="518">
        <v>0</v>
      </c>
      <c r="II175" s="518">
        <v>0</v>
      </c>
      <c r="IJ175" s="518">
        <v>0</v>
      </c>
      <c r="IK175" s="518">
        <v>0</v>
      </c>
    </row>
    <row r="176" spans="1:245" hidden="1">
      <c r="M176" s="517" t="s">
        <v>721</v>
      </c>
      <c r="N176" s="517" t="s">
        <v>1101</v>
      </c>
      <c r="O176" s="517" t="s">
        <v>26</v>
      </c>
      <c r="P176" s="518">
        <v>43</v>
      </c>
      <c r="Q176" s="494" t="str">
        <f t="shared" si="8"/>
        <v>SWUC100243</v>
      </c>
      <c r="R176" s="518">
        <v>222.6</v>
      </c>
      <c r="S176" s="518">
        <v>10000</v>
      </c>
      <c r="T176" s="518">
        <v>10000</v>
      </c>
      <c r="U176" s="518">
        <v>10000</v>
      </c>
      <c r="V176" s="518">
        <v>10000</v>
      </c>
      <c r="W176" s="518">
        <v>10000</v>
      </c>
      <c r="X176" s="518">
        <v>10000</v>
      </c>
      <c r="Y176" s="518">
        <v>10000</v>
      </c>
      <c r="Z176" s="518">
        <v>10000</v>
      </c>
      <c r="AA176" s="518">
        <v>10000</v>
      </c>
      <c r="AB176" s="518">
        <v>0</v>
      </c>
      <c r="AC176" s="518">
        <v>0</v>
      </c>
      <c r="AD176" s="518">
        <v>0</v>
      </c>
      <c r="AE176" s="518">
        <v>0</v>
      </c>
      <c r="AF176" s="518">
        <v>0</v>
      </c>
      <c r="AG176" s="518">
        <v>0</v>
      </c>
      <c r="AH176" s="518">
        <v>0</v>
      </c>
      <c r="AI176" s="518">
        <v>0</v>
      </c>
      <c r="AJ176" s="518">
        <v>0</v>
      </c>
      <c r="AK176" s="518">
        <v>0</v>
      </c>
      <c r="AL176" s="518">
        <v>0</v>
      </c>
      <c r="AM176" s="518">
        <v>0</v>
      </c>
      <c r="AN176" s="518">
        <v>0</v>
      </c>
      <c r="AO176" s="518">
        <v>0</v>
      </c>
      <c r="AP176" s="518">
        <v>0</v>
      </c>
      <c r="AQ176" s="518">
        <v>0</v>
      </c>
      <c r="AR176" s="518">
        <v>0</v>
      </c>
      <c r="AS176" s="518">
        <v>0</v>
      </c>
      <c r="AT176" s="518">
        <v>0</v>
      </c>
      <c r="AU176" s="518">
        <v>0</v>
      </c>
      <c r="AV176" s="518">
        <v>0</v>
      </c>
      <c r="AW176" s="518">
        <v>0</v>
      </c>
      <c r="AX176" s="518">
        <v>0</v>
      </c>
      <c r="AY176" s="518">
        <v>0</v>
      </c>
      <c r="AZ176" s="518">
        <v>0</v>
      </c>
      <c r="BA176" s="518">
        <v>0</v>
      </c>
      <c r="BB176" s="518">
        <v>0</v>
      </c>
      <c r="BC176" s="518">
        <v>0</v>
      </c>
      <c r="BD176" s="518">
        <v>0</v>
      </c>
      <c r="BE176" s="518">
        <v>0</v>
      </c>
      <c r="BF176" s="518">
        <v>0</v>
      </c>
      <c r="BG176" s="518">
        <v>0</v>
      </c>
      <c r="BH176" s="518">
        <v>0</v>
      </c>
      <c r="BI176" s="518">
        <v>0</v>
      </c>
      <c r="BJ176" s="518">
        <v>0</v>
      </c>
      <c r="BK176" s="518">
        <v>0</v>
      </c>
      <c r="BL176" s="518">
        <v>0</v>
      </c>
      <c r="BM176" s="518">
        <v>0</v>
      </c>
      <c r="BN176" s="518">
        <v>0</v>
      </c>
      <c r="BO176" s="518">
        <v>0</v>
      </c>
      <c r="BP176" s="518">
        <v>0</v>
      </c>
      <c r="BQ176" s="518">
        <v>0</v>
      </c>
      <c r="BR176" s="518">
        <v>0</v>
      </c>
      <c r="BS176" s="518">
        <v>0</v>
      </c>
      <c r="BT176" s="518">
        <v>0</v>
      </c>
      <c r="BU176" s="518">
        <v>0</v>
      </c>
      <c r="BV176" s="518">
        <v>0</v>
      </c>
      <c r="BW176" s="518">
        <v>0</v>
      </c>
      <c r="BX176" s="518">
        <v>0</v>
      </c>
      <c r="BY176" s="518">
        <v>0</v>
      </c>
      <c r="BZ176" s="518">
        <v>0</v>
      </c>
      <c r="CA176" s="518">
        <v>0</v>
      </c>
      <c r="CB176" s="518">
        <v>0</v>
      </c>
      <c r="CC176" s="518">
        <v>0</v>
      </c>
      <c r="CD176" s="518">
        <v>0</v>
      </c>
      <c r="CE176" s="518">
        <v>0</v>
      </c>
      <c r="CF176" s="518">
        <v>0</v>
      </c>
      <c r="CG176" s="518">
        <v>0</v>
      </c>
      <c r="CH176" s="518">
        <v>0</v>
      </c>
      <c r="CI176" s="518">
        <v>0</v>
      </c>
      <c r="CJ176" s="518">
        <v>0</v>
      </c>
      <c r="CK176" s="518">
        <v>0</v>
      </c>
      <c r="CL176" s="518">
        <v>0</v>
      </c>
      <c r="CM176" s="518">
        <v>0</v>
      </c>
      <c r="CN176" s="518">
        <v>0</v>
      </c>
      <c r="CO176" s="518">
        <v>0</v>
      </c>
      <c r="CP176" s="518">
        <v>0</v>
      </c>
      <c r="CQ176" s="518">
        <v>0</v>
      </c>
      <c r="CR176" s="518">
        <v>0</v>
      </c>
      <c r="CS176" s="518">
        <v>0</v>
      </c>
      <c r="CT176" s="518">
        <v>0</v>
      </c>
      <c r="CU176" s="518">
        <v>0</v>
      </c>
      <c r="CV176" s="518">
        <v>0</v>
      </c>
      <c r="CW176" s="518">
        <v>0</v>
      </c>
      <c r="CX176" s="518">
        <v>0</v>
      </c>
      <c r="CY176" s="518">
        <v>0</v>
      </c>
      <c r="CZ176" s="518">
        <v>0</v>
      </c>
      <c r="DA176" s="518">
        <v>0</v>
      </c>
      <c r="DB176" s="518">
        <v>0</v>
      </c>
      <c r="DC176" s="518">
        <v>0</v>
      </c>
      <c r="DD176" s="518">
        <v>0</v>
      </c>
      <c r="DE176" s="518">
        <v>0</v>
      </c>
      <c r="DF176" s="518">
        <v>0</v>
      </c>
      <c r="DG176" s="518">
        <v>0</v>
      </c>
      <c r="DH176" s="518">
        <v>0</v>
      </c>
      <c r="DI176" s="518">
        <v>0</v>
      </c>
      <c r="DJ176" s="518">
        <v>0</v>
      </c>
      <c r="DK176" s="518">
        <v>0</v>
      </c>
      <c r="DL176" s="518">
        <v>0</v>
      </c>
      <c r="DM176" s="518">
        <v>0</v>
      </c>
      <c r="DN176" s="518">
        <v>0</v>
      </c>
      <c r="DO176" s="518">
        <v>0</v>
      </c>
      <c r="DP176" s="518">
        <v>0</v>
      </c>
      <c r="DQ176" s="518">
        <v>0</v>
      </c>
      <c r="DR176" s="518">
        <v>0</v>
      </c>
      <c r="DS176" s="518">
        <v>0</v>
      </c>
      <c r="DT176" s="518">
        <v>0</v>
      </c>
      <c r="DU176" s="518">
        <v>0</v>
      </c>
      <c r="DV176" s="518">
        <v>0</v>
      </c>
      <c r="DW176" s="518">
        <v>0</v>
      </c>
      <c r="DX176" s="518">
        <v>0</v>
      </c>
      <c r="DZ176" s="517" t="s">
        <v>721</v>
      </c>
      <c r="EA176" s="517" t="s">
        <v>1101</v>
      </c>
      <c r="EB176" s="517" t="s">
        <v>26</v>
      </c>
      <c r="EC176" s="518">
        <v>43</v>
      </c>
      <c r="ED176" s="494" t="str">
        <f t="shared" si="9"/>
        <v>SWUC100243</v>
      </c>
      <c r="EE176" s="518">
        <v>222.6</v>
      </c>
      <c r="EF176" s="518">
        <v>2000</v>
      </c>
      <c r="EG176" s="518">
        <v>2000</v>
      </c>
      <c r="EH176" s="518">
        <v>2000</v>
      </c>
      <c r="EI176" s="518">
        <v>2000</v>
      </c>
      <c r="EJ176" s="518">
        <v>2000</v>
      </c>
      <c r="EK176" s="518">
        <v>2000</v>
      </c>
      <c r="EL176" s="518">
        <v>2000</v>
      </c>
      <c r="EM176" s="518">
        <v>2003.4</v>
      </c>
      <c r="EN176" s="518">
        <v>2226</v>
      </c>
      <c r="EO176" s="518">
        <v>0</v>
      </c>
      <c r="EP176" s="518">
        <v>0</v>
      </c>
      <c r="EQ176" s="518">
        <v>0</v>
      </c>
      <c r="ER176" s="518">
        <v>0</v>
      </c>
      <c r="ES176" s="518">
        <v>0</v>
      </c>
      <c r="ET176" s="518">
        <v>0</v>
      </c>
      <c r="EU176" s="518">
        <v>0</v>
      </c>
      <c r="EV176" s="518">
        <v>0</v>
      </c>
      <c r="EW176" s="518">
        <v>0</v>
      </c>
      <c r="EX176" s="518">
        <v>0</v>
      </c>
      <c r="EY176" s="518">
        <v>0</v>
      </c>
      <c r="EZ176" s="518">
        <v>0</v>
      </c>
      <c r="FA176" s="518">
        <v>0</v>
      </c>
      <c r="FB176" s="518">
        <v>0</v>
      </c>
      <c r="FC176" s="518">
        <v>0</v>
      </c>
      <c r="FD176" s="518">
        <v>0</v>
      </c>
      <c r="FE176" s="518">
        <v>0</v>
      </c>
      <c r="FF176" s="518">
        <v>0</v>
      </c>
      <c r="FG176" s="518">
        <v>0</v>
      </c>
      <c r="FH176" s="518">
        <v>0</v>
      </c>
      <c r="FI176" s="518">
        <v>0</v>
      </c>
      <c r="FJ176" s="518">
        <v>0</v>
      </c>
      <c r="FK176" s="518">
        <v>0</v>
      </c>
      <c r="FL176" s="518">
        <v>0</v>
      </c>
      <c r="FM176" s="518">
        <v>0</v>
      </c>
      <c r="FN176" s="518">
        <v>0</v>
      </c>
      <c r="FO176" s="518">
        <v>0</v>
      </c>
      <c r="FP176" s="518">
        <v>0</v>
      </c>
      <c r="FQ176" s="518">
        <v>0</v>
      </c>
      <c r="FR176" s="518">
        <v>0</v>
      </c>
      <c r="FS176" s="518">
        <v>0</v>
      </c>
      <c r="FT176" s="518">
        <v>0</v>
      </c>
      <c r="FU176" s="518">
        <v>0</v>
      </c>
      <c r="FV176" s="518">
        <v>0</v>
      </c>
      <c r="FW176" s="518">
        <v>0</v>
      </c>
      <c r="FX176" s="518">
        <v>0</v>
      </c>
      <c r="FY176" s="518">
        <v>0</v>
      </c>
      <c r="FZ176" s="518">
        <v>0</v>
      </c>
      <c r="GA176" s="518">
        <v>0</v>
      </c>
      <c r="GB176" s="518">
        <v>0</v>
      </c>
      <c r="GC176" s="518">
        <v>0</v>
      </c>
      <c r="GD176" s="518">
        <v>0</v>
      </c>
      <c r="GE176" s="518">
        <v>0</v>
      </c>
      <c r="GF176" s="518">
        <v>0</v>
      </c>
      <c r="GG176" s="518">
        <v>0</v>
      </c>
      <c r="GH176" s="518">
        <v>0</v>
      </c>
      <c r="GI176" s="518">
        <v>0</v>
      </c>
      <c r="GJ176" s="518">
        <v>0</v>
      </c>
      <c r="GK176" s="518">
        <v>0</v>
      </c>
      <c r="GL176" s="518">
        <v>0</v>
      </c>
      <c r="GM176" s="518">
        <v>0</v>
      </c>
      <c r="GN176" s="518">
        <v>0</v>
      </c>
      <c r="GO176" s="518">
        <v>0</v>
      </c>
      <c r="GP176" s="518">
        <v>0</v>
      </c>
      <c r="GQ176" s="518">
        <v>0</v>
      </c>
      <c r="GR176" s="518">
        <v>0</v>
      </c>
      <c r="GS176" s="518">
        <v>0</v>
      </c>
      <c r="GT176" s="518">
        <v>0</v>
      </c>
      <c r="GU176" s="518">
        <v>0</v>
      </c>
      <c r="GV176" s="518">
        <v>0</v>
      </c>
      <c r="GW176" s="518">
        <v>0</v>
      </c>
      <c r="GX176" s="518">
        <v>0</v>
      </c>
      <c r="GY176" s="518">
        <v>0</v>
      </c>
      <c r="GZ176" s="518">
        <v>0</v>
      </c>
      <c r="HA176" s="518">
        <v>0</v>
      </c>
      <c r="HB176" s="518">
        <v>0</v>
      </c>
      <c r="HC176" s="518">
        <v>0</v>
      </c>
      <c r="HD176" s="518">
        <v>0</v>
      </c>
      <c r="HE176" s="518">
        <v>0</v>
      </c>
      <c r="HF176" s="518">
        <v>0</v>
      </c>
      <c r="HG176" s="518">
        <v>0</v>
      </c>
      <c r="HH176" s="518">
        <v>0</v>
      </c>
      <c r="HI176" s="518">
        <v>0</v>
      </c>
      <c r="HJ176" s="518">
        <v>0</v>
      </c>
      <c r="HK176" s="518">
        <v>0</v>
      </c>
      <c r="HL176" s="518">
        <v>0</v>
      </c>
      <c r="HM176" s="518">
        <v>0</v>
      </c>
      <c r="HN176" s="518">
        <v>0</v>
      </c>
      <c r="HO176" s="518">
        <v>0</v>
      </c>
      <c r="HP176" s="518">
        <v>0</v>
      </c>
      <c r="HQ176" s="518">
        <v>0</v>
      </c>
      <c r="HR176" s="518">
        <v>0</v>
      </c>
      <c r="HS176" s="518">
        <v>0</v>
      </c>
      <c r="HT176" s="518">
        <v>0</v>
      </c>
      <c r="HU176" s="518">
        <v>0</v>
      </c>
      <c r="HV176" s="518">
        <v>0</v>
      </c>
      <c r="HW176" s="518">
        <v>0</v>
      </c>
      <c r="HX176" s="518">
        <v>0</v>
      </c>
      <c r="HY176" s="518">
        <v>0</v>
      </c>
      <c r="HZ176" s="518">
        <v>0</v>
      </c>
      <c r="IA176" s="518">
        <v>0</v>
      </c>
      <c r="IB176" s="518">
        <v>0</v>
      </c>
      <c r="IC176" s="518">
        <v>0</v>
      </c>
      <c r="ID176" s="518">
        <v>0</v>
      </c>
      <c r="IE176" s="518">
        <v>0</v>
      </c>
      <c r="IF176" s="518">
        <v>0</v>
      </c>
      <c r="IG176" s="518">
        <v>0</v>
      </c>
      <c r="IH176" s="518">
        <v>0</v>
      </c>
      <c r="II176" s="518">
        <v>0</v>
      </c>
      <c r="IJ176" s="518">
        <v>0</v>
      </c>
      <c r="IK176" s="518">
        <v>0</v>
      </c>
    </row>
    <row r="177" spans="13:245" hidden="1">
      <c r="M177" s="517" t="s">
        <v>721</v>
      </c>
      <c r="N177" s="517" t="s">
        <v>1101</v>
      </c>
      <c r="O177" s="517" t="s">
        <v>26</v>
      </c>
      <c r="P177" s="518">
        <v>44</v>
      </c>
      <c r="Q177" s="494" t="str">
        <f t="shared" si="8"/>
        <v>SWUC100244</v>
      </c>
      <c r="R177" s="518">
        <v>238.5</v>
      </c>
      <c r="S177" s="518">
        <v>10000</v>
      </c>
      <c r="T177" s="518">
        <v>10000</v>
      </c>
      <c r="U177" s="518">
        <v>10000</v>
      </c>
      <c r="V177" s="518">
        <v>10000</v>
      </c>
      <c r="W177" s="518">
        <v>10000</v>
      </c>
      <c r="X177" s="518">
        <v>10000</v>
      </c>
      <c r="Y177" s="518">
        <v>10000</v>
      </c>
      <c r="Z177" s="518">
        <v>10000</v>
      </c>
      <c r="AA177" s="518">
        <v>10000</v>
      </c>
      <c r="AB177" s="518">
        <v>0</v>
      </c>
      <c r="AC177" s="518">
        <v>0</v>
      </c>
      <c r="AD177" s="518">
        <v>0</v>
      </c>
      <c r="AE177" s="518">
        <v>0</v>
      </c>
      <c r="AF177" s="518">
        <v>0</v>
      </c>
      <c r="AG177" s="518">
        <v>0</v>
      </c>
      <c r="AH177" s="518">
        <v>0</v>
      </c>
      <c r="AI177" s="518">
        <v>0</v>
      </c>
      <c r="AJ177" s="518">
        <v>0</v>
      </c>
      <c r="AK177" s="518">
        <v>0</v>
      </c>
      <c r="AL177" s="518">
        <v>0</v>
      </c>
      <c r="AM177" s="518">
        <v>0</v>
      </c>
      <c r="AN177" s="518">
        <v>0</v>
      </c>
      <c r="AO177" s="518">
        <v>0</v>
      </c>
      <c r="AP177" s="518">
        <v>0</v>
      </c>
      <c r="AQ177" s="518">
        <v>0</v>
      </c>
      <c r="AR177" s="518">
        <v>0</v>
      </c>
      <c r="AS177" s="518">
        <v>0</v>
      </c>
      <c r="AT177" s="518">
        <v>0</v>
      </c>
      <c r="AU177" s="518">
        <v>0</v>
      </c>
      <c r="AV177" s="518">
        <v>0</v>
      </c>
      <c r="AW177" s="518">
        <v>0</v>
      </c>
      <c r="AX177" s="518">
        <v>0</v>
      </c>
      <c r="AY177" s="518">
        <v>0</v>
      </c>
      <c r="AZ177" s="518">
        <v>0</v>
      </c>
      <c r="BA177" s="518">
        <v>0</v>
      </c>
      <c r="BB177" s="518">
        <v>0</v>
      </c>
      <c r="BC177" s="518">
        <v>0</v>
      </c>
      <c r="BD177" s="518">
        <v>0</v>
      </c>
      <c r="BE177" s="518">
        <v>0</v>
      </c>
      <c r="BF177" s="518">
        <v>0</v>
      </c>
      <c r="BG177" s="518">
        <v>0</v>
      </c>
      <c r="BH177" s="518">
        <v>0</v>
      </c>
      <c r="BI177" s="518">
        <v>0</v>
      </c>
      <c r="BJ177" s="518">
        <v>0</v>
      </c>
      <c r="BK177" s="518">
        <v>0</v>
      </c>
      <c r="BL177" s="518">
        <v>0</v>
      </c>
      <c r="BM177" s="518">
        <v>0</v>
      </c>
      <c r="BN177" s="518">
        <v>0</v>
      </c>
      <c r="BO177" s="518">
        <v>0</v>
      </c>
      <c r="BP177" s="518">
        <v>0</v>
      </c>
      <c r="BQ177" s="518">
        <v>0</v>
      </c>
      <c r="BR177" s="518">
        <v>0</v>
      </c>
      <c r="BS177" s="518">
        <v>0</v>
      </c>
      <c r="BT177" s="518">
        <v>0</v>
      </c>
      <c r="BU177" s="518">
        <v>0</v>
      </c>
      <c r="BV177" s="518">
        <v>0</v>
      </c>
      <c r="BW177" s="518">
        <v>0</v>
      </c>
      <c r="BX177" s="518">
        <v>0</v>
      </c>
      <c r="BY177" s="518">
        <v>0</v>
      </c>
      <c r="BZ177" s="518">
        <v>0</v>
      </c>
      <c r="CA177" s="518">
        <v>0</v>
      </c>
      <c r="CB177" s="518">
        <v>0</v>
      </c>
      <c r="CC177" s="518">
        <v>0</v>
      </c>
      <c r="CD177" s="518">
        <v>0</v>
      </c>
      <c r="CE177" s="518">
        <v>0</v>
      </c>
      <c r="CF177" s="518">
        <v>0</v>
      </c>
      <c r="CG177" s="518">
        <v>0</v>
      </c>
      <c r="CH177" s="518">
        <v>0</v>
      </c>
      <c r="CI177" s="518">
        <v>0</v>
      </c>
      <c r="CJ177" s="518">
        <v>0</v>
      </c>
      <c r="CK177" s="518">
        <v>0</v>
      </c>
      <c r="CL177" s="518">
        <v>0</v>
      </c>
      <c r="CM177" s="518">
        <v>0</v>
      </c>
      <c r="CN177" s="518">
        <v>0</v>
      </c>
      <c r="CO177" s="518">
        <v>0</v>
      </c>
      <c r="CP177" s="518">
        <v>0</v>
      </c>
      <c r="CQ177" s="518">
        <v>0</v>
      </c>
      <c r="CR177" s="518">
        <v>0</v>
      </c>
      <c r="CS177" s="518">
        <v>0</v>
      </c>
      <c r="CT177" s="518">
        <v>0</v>
      </c>
      <c r="CU177" s="518">
        <v>0</v>
      </c>
      <c r="CV177" s="518">
        <v>0</v>
      </c>
      <c r="CW177" s="518">
        <v>0</v>
      </c>
      <c r="CX177" s="518">
        <v>0</v>
      </c>
      <c r="CY177" s="518">
        <v>0</v>
      </c>
      <c r="CZ177" s="518">
        <v>0</v>
      </c>
      <c r="DA177" s="518">
        <v>0</v>
      </c>
      <c r="DB177" s="518">
        <v>0</v>
      </c>
      <c r="DC177" s="518">
        <v>0</v>
      </c>
      <c r="DD177" s="518">
        <v>0</v>
      </c>
      <c r="DE177" s="518">
        <v>0</v>
      </c>
      <c r="DF177" s="518">
        <v>0</v>
      </c>
      <c r="DG177" s="518">
        <v>0</v>
      </c>
      <c r="DH177" s="518">
        <v>0</v>
      </c>
      <c r="DI177" s="518">
        <v>0</v>
      </c>
      <c r="DJ177" s="518">
        <v>0</v>
      </c>
      <c r="DK177" s="518">
        <v>0</v>
      </c>
      <c r="DL177" s="518">
        <v>0</v>
      </c>
      <c r="DM177" s="518">
        <v>0</v>
      </c>
      <c r="DN177" s="518">
        <v>0</v>
      </c>
      <c r="DO177" s="518">
        <v>0</v>
      </c>
      <c r="DP177" s="518">
        <v>0</v>
      </c>
      <c r="DQ177" s="518">
        <v>0</v>
      </c>
      <c r="DR177" s="518">
        <v>0</v>
      </c>
      <c r="DS177" s="518">
        <v>0</v>
      </c>
      <c r="DT177" s="518">
        <v>0</v>
      </c>
      <c r="DU177" s="518">
        <v>0</v>
      </c>
      <c r="DV177" s="518">
        <v>0</v>
      </c>
      <c r="DW177" s="518">
        <v>0</v>
      </c>
      <c r="DX177" s="518">
        <v>0</v>
      </c>
      <c r="DZ177" s="517" t="s">
        <v>721</v>
      </c>
      <c r="EA177" s="517" t="s">
        <v>1101</v>
      </c>
      <c r="EB177" s="517" t="s">
        <v>26</v>
      </c>
      <c r="EC177" s="518">
        <v>44</v>
      </c>
      <c r="ED177" s="494" t="str">
        <f t="shared" si="9"/>
        <v>SWUC100244</v>
      </c>
      <c r="EE177" s="518">
        <v>238.5</v>
      </c>
      <c r="EF177" s="518">
        <v>2000</v>
      </c>
      <c r="EG177" s="518">
        <v>2000</v>
      </c>
      <c r="EH177" s="518">
        <v>2000</v>
      </c>
      <c r="EI177" s="518">
        <v>2000</v>
      </c>
      <c r="EJ177" s="518">
        <v>2000</v>
      </c>
      <c r="EK177" s="518">
        <v>2000</v>
      </c>
      <c r="EL177" s="518">
        <v>2000</v>
      </c>
      <c r="EM177" s="518">
        <v>2146.5</v>
      </c>
      <c r="EN177" s="518">
        <v>2385</v>
      </c>
      <c r="EO177" s="518">
        <v>0</v>
      </c>
      <c r="EP177" s="518">
        <v>0</v>
      </c>
      <c r="EQ177" s="518">
        <v>0</v>
      </c>
      <c r="ER177" s="518">
        <v>0</v>
      </c>
      <c r="ES177" s="518">
        <v>0</v>
      </c>
      <c r="ET177" s="518">
        <v>0</v>
      </c>
      <c r="EU177" s="518">
        <v>0</v>
      </c>
      <c r="EV177" s="518">
        <v>0</v>
      </c>
      <c r="EW177" s="518">
        <v>0</v>
      </c>
      <c r="EX177" s="518">
        <v>0</v>
      </c>
      <c r="EY177" s="518">
        <v>0</v>
      </c>
      <c r="EZ177" s="518">
        <v>0</v>
      </c>
      <c r="FA177" s="518">
        <v>0</v>
      </c>
      <c r="FB177" s="518">
        <v>0</v>
      </c>
      <c r="FC177" s="518">
        <v>0</v>
      </c>
      <c r="FD177" s="518">
        <v>0</v>
      </c>
      <c r="FE177" s="518">
        <v>0</v>
      </c>
      <c r="FF177" s="518">
        <v>0</v>
      </c>
      <c r="FG177" s="518">
        <v>0</v>
      </c>
      <c r="FH177" s="518">
        <v>0</v>
      </c>
      <c r="FI177" s="518">
        <v>0</v>
      </c>
      <c r="FJ177" s="518">
        <v>0</v>
      </c>
      <c r="FK177" s="518">
        <v>0</v>
      </c>
      <c r="FL177" s="518">
        <v>0</v>
      </c>
      <c r="FM177" s="518">
        <v>0</v>
      </c>
      <c r="FN177" s="518">
        <v>0</v>
      </c>
      <c r="FO177" s="518">
        <v>0</v>
      </c>
      <c r="FP177" s="518">
        <v>0</v>
      </c>
      <c r="FQ177" s="518">
        <v>0</v>
      </c>
      <c r="FR177" s="518">
        <v>0</v>
      </c>
      <c r="FS177" s="518">
        <v>0</v>
      </c>
      <c r="FT177" s="518">
        <v>0</v>
      </c>
      <c r="FU177" s="518">
        <v>0</v>
      </c>
      <c r="FV177" s="518">
        <v>0</v>
      </c>
      <c r="FW177" s="518">
        <v>0</v>
      </c>
      <c r="FX177" s="518">
        <v>0</v>
      </c>
      <c r="FY177" s="518">
        <v>0</v>
      </c>
      <c r="FZ177" s="518">
        <v>0</v>
      </c>
      <c r="GA177" s="518">
        <v>0</v>
      </c>
      <c r="GB177" s="518">
        <v>0</v>
      </c>
      <c r="GC177" s="518">
        <v>0</v>
      </c>
      <c r="GD177" s="518">
        <v>0</v>
      </c>
      <c r="GE177" s="518">
        <v>0</v>
      </c>
      <c r="GF177" s="518">
        <v>0</v>
      </c>
      <c r="GG177" s="518">
        <v>0</v>
      </c>
      <c r="GH177" s="518">
        <v>0</v>
      </c>
      <c r="GI177" s="518">
        <v>0</v>
      </c>
      <c r="GJ177" s="518">
        <v>0</v>
      </c>
      <c r="GK177" s="518">
        <v>0</v>
      </c>
      <c r="GL177" s="518">
        <v>0</v>
      </c>
      <c r="GM177" s="518">
        <v>0</v>
      </c>
      <c r="GN177" s="518">
        <v>0</v>
      </c>
      <c r="GO177" s="518">
        <v>0</v>
      </c>
      <c r="GP177" s="518">
        <v>0</v>
      </c>
      <c r="GQ177" s="518">
        <v>0</v>
      </c>
      <c r="GR177" s="518">
        <v>0</v>
      </c>
      <c r="GS177" s="518">
        <v>0</v>
      </c>
      <c r="GT177" s="518">
        <v>0</v>
      </c>
      <c r="GU177" s="518">
        <v>0</v>
      </c>
      <c r="GV177" s="518">
        <v>0</v>
      </c>
      <c r="GW177" s="518">
        <v>0</v>
      </c>
      <c r="GX177" s="518">
        <v>0</v>
      </c>
      <c r="GY177" s="518">
        <v>0</v>
      </c>
      <c r="GZ177" s="518">
        <v>0</v>
      </c>
      <c r="HA177" s="518">
        <v>0</v>
      </c>
      <c r="HB177" s="518">
        <v>0</v>
      </c>
      <c r="HC177" s="518">
        <v>0</v>
      </c>
      <c r="HD177" s="518">
        <v>0</v>
      </c>
      <c r="HE177" s="518">
        <v>0</v>
      </c>
      <c r="HF177" s="518">
        <v>0</v>
      </c>
      <c r="HG177" s="518">
        <v>0</v>
      </c>
      <c r="HH177" s="518">
        <v>0</v>
      </c>
      <c r="HI177" s="518">
        <v>0</v>
      </c>
      <c r="HJ177" s="518">
        <v>0</v>
      </c>
      <c r="HK177" s="518">
        <v>0</v>
      </c>
      <c r="HL177" s="518">
        <v>0</v>
      </c>
      <c r="HM177" s="518">
        <v>0</v>
      </c>
      <c r="HN177" s="518">
        <v>0</v>
      </c>
      <c r="HO177" s="518">
        <v>0</v>
      </c>
      <c r="HP177" s="518">
        <v>0</v>
      </c>
      <c r="HQ177" s="518">
        <v>0</v>
      </c>
      <c r="HR177" s="518">
        <v>0</v>
      </c>
      <c r="HS177" s="518">
        <v>0</v>
      </c>
      <c r="HT177" s="518">
        <v>0</v>
      </c>
      <c r="HU177" s="518">
        <v>0</v>
      </c>
      <c r="HV177" s="518">
        <v>0</v>
      </c>
      <c r="HW177" s="518">
        <v>0</v>
      </c>
      <c r="HX177" s="518">
        <v>0</v>
      </c>
      <c r="HY177" s="518">
        <v>0</v>
      </c>
      <c r="HZ177" s="518">
        <v>0</v>
      </c>
      <c r="IA177" s="518">
        <v>0</v>
      </c>
      <c r="IB177" s="518">
        <v>0</v>
      </c>
      <c r="IC177" s="518">
        <v>0</v>
      </c>
      <c r="ID177" s="518">
        <v>0</v>
      </c>
      <c r="IE177" s="518">
        <v>0</v>
      </c>
      <c r="IF177" s="518">
        <v>0</v>
      </c>
      <c r="IG177" s="518">
        <v>0</v>
      </c>
      <c r="IH177" s="518">
        <v>0</v>
      </c>
      <c r="II177" s="518">
        <v>0</v>
      </c>
      <c r="IJ177" s="518">
        <v>0</v>
      </c>
      <c r="IK177" s="518">
        <v>0</v>
      </c>
    </row>
    <row r="178" spans="13:245" hidden="1">
      <c r="M178" s="517" t="s">
        <v>721</v>
      </c>
      <c r="N178" s="517" t="s">
        <v>1101</v>
      </c>
      <c r="O178" s="517" t="s">
        <v>26</v>
      </c>
      <c r="P178" s="518">
        <v>45</v>
      </c>
      <c r="Q178" s="494" t="str">
        <f t="shared" si="8"/>
        <v>SWUC100245</v>
      </c>
      <c r="R178" s="518">
        <v>254.4</v>
      </c>
      <c r="S178" s="518">
        <v>10000</v>
      </c>
      <c r="T178" s="518">
        <v>10000</v>
      </c>
      <c r="U178" s="518">
        <v>10000</v>
      </c>
      <c r="V178" s="518">
        <v>10000</v>
      </c>
      <c r="W178" s="518">
        <v>10000</v>
      </c>
      <c r="X178" s="518">
        <v>10000</v>
      </c>
      <c r="Y178" s="518">
        <v>10000</v>
      </c>
      <c r="Z178" s="518">
        <v>10000</v>
      </c>
      <c r="AA178" s="518">
        <v>10000</v>
      </c>
      <c r="AB178" s="518">
        <v>0</v>
      </c>
      <c r="AC178" s="518">
        <v>0</v>
      </c>
      <c r="AD178" s="518">
        <v>0</v>
      </c>
      <c r="AE178" s="518">
        <v>0</v>
      </c>
      <c r="AF178" s="518">
        <v>0</v>
      </c>
      <c r="AG178" s="518">
        <v>0</v>
      </c>
      <c r="AH178" s="518">
        <v>0</v>
      </c>
      <c r="AI178" s="518">
        <v>0</v>
      </c>
      <c r="AJ178" s="518">
        <v>0</v>
      </c>
      <c r="AK178" s="518">
        <v>0</v>
      </c>
      <c r="AL178" s="518">
        <v>0</v>
      </c>
      <c r="AM178" s="518">
        <v>0</v>
      </c>
      <c r="AN178" s="518">
        <v>0</v>
      </c>
      <c r="AO178" s="518">
        <v>0</v>
      </c>
      <c r="AP178" s="518">
        <v>0</v>
      </c>
      <c r="AQ178" s="518">
        <v>0</v>
      </c>
      <c r="AR178" s="518">
        <v>0</v>
      </c>
      <c r="AS178" s="518">
        <v>0</v>
      </c>
      <c r="AT178" s="518">
        <v>0</v>
      </c>
      <c r="AU178" s="518">
        <v>0</v>
      </c>
      <c r="AV178" s="518">
        <v>0</v>
      </c>
      <c r="AW178" s="518">
        <v>0</v>
      </c>
      <c r="AX178" s="518">
        <v>0</v>
      </c>
      <c r="AY178" s="518">
        <v>0</v>
      </c>
      <c r="AZ178" s="518">
        <v>0</v>
      </c>
      <c r="BA178" s="518">
        <v>0</v>
      </c>
      <c r="BB178" s="518">
        <v>0</v>
      </c>
      <c r="BC178" s="518">
        <v>0</v>
      </c>
      <c r="BD178" s="518">
        <v>0</v>
      </c>
      <c r="BE178" s="518">
        <v>0</v>
      </c>
      <c r="BF178" s="518">
        <v>0</v>
      </c>
      <c r="BG178" s="518">
        <v>0</v>
      </c>
      <c r="BH178" s="518">
        <v>0</v>
      </c>
      <c r="BI178" s="518">
        <v>0</v>
      </c>
      <c r="BJ178" s="518">
        <v>0</v>
      </c>
      <c r="BK178" s="518">
        <v>0</v>
      </c>
      <c r="BL178" s="518">
        <v>0</v>
      </c>
      <c r="BM178" s="518">
        <v>0</v>
      </c>
      <c r="BN178" s="518">
        <v>0</v>
      </c>
      <c r="BO178" s="518">
        <v>0</v>
      </c>
      <c r="BP178" s="518">
        <v>0</v>
      </c>
      <c r="BQ178" s="518">
        <v>0</v>
      </c>
      <c r="BR178" s="518">
        <v>0</v>
      </c>
      <c r="BS178" s="518">
        <v>0</v>
      </c>
      <c r="BT178" s="518">
        <v>0</v>
      </c>
      <c r="BU178" s="518">
        <v>0</v>
      </c>
      <c r="BV178" s="518">
        <v>0</v>
      </c>
      <c r="BW178" s="518">
        <v>0</v>
      </c>
      <c r="BX178" s="518">
        <v>0</v>
      </c>
      <c r="BY178" s="518">
        <v>0</v>
      </c>
      <c r="BZ178" s="518">
        <v>0</v>
      </c>
      <c r="CA178" s="518">
        <v>0</v>
      </c>
      <c r="CB178" s="518">
        <v>0</v>
      </c>
      <c r="CC178" s="518">
        <v>0</v>
      </c>
      <c r="CD178" s="518">
        <v>0</v>
      </c>
      <c r="CE178" s="518">
        <v>0</v>
      </c>
      <c r="CF178" s="518">
        <v>0</v>
      </c>
      <c r="CG178" s="518">
        <v>0</v>
      </c>
      <c r="CH178" s="518">
        <v>0</v>
      </c>
      <c r="CI178" s="518">
        <v>0</v>
      </c>
      <c r="CJ178" s="518">
        <v>0</v>
      </c>
      <c r="CK178" s="518">
        <v>0</v>
      </c>
      <c r="CL178" s="518">
        <v>0</v>
      </c>
      <c r="CM178" s="518">
        <v>0</v>
      </c>
      <c r="CN178" s="518">
        <v>0</v>
      </c>
      <c r="CO178" s="518">
        <v>0</v>
      </c>
      <c r="CP178" s="518">
        <v>0</v>
      </c>
      <c r="CQ178" s="518">
        <v>0</v>
      </c>
      <c r="CR178" s="518">
        <v>0</v>
      </c>
      <c r="CS178" s="518">
        <v>0</v>
      </c>
      <c r="CT178" s="518">
        <v>0</v>
      </c>
      <c r="CU178" s="518">
        <v>0</v>
      </c>
      <c r="CV178" s="518">
        <v>0</v>
      </c>
      <c r="CW178" s="518">
        <v>0</v>
      </c>
      <c r="CX178" s="518">
        <v>0</v>
      </c>
      <c r="CY178" s="518">
        <v>0</v>
      </c>
      <c r="CZ178" s="518">
        <v>0</v>
      </c>
      <c r="DA178" s="518">
        <v>0</v>
      </c>
      <c r="DB178" s="518">
        <v>0</v>
      </c>
      <c r="DC178" s="518">
        <v>0</v>
      </c>
      <c r="DD178" s="518">
        <v>0</v>
      </c>
      <c r="DE178" s="518">
        <v>0</v>
      </c>
      <c r="DF178" s="518">
        <v>0</v>
      </c>
      <c r="DG178" s="518">
        <v>0</v>
      </c>
      <c r="DH178" s="518">
        <v>0</v>
      </c>
      <c r="DI178" s="518">
        <v>0</v>
      </c>
      <c r="DJ178" s="518">
        <v>0</v>
      </c>
      <c r="DK178" s="518">
        <v>0</v>
      </c>
      <c r="DL178" s="518">
        <v>0</v>
      </c>
      <c r="DM178" s="518">
        <v>0</v>
      </c>
      <c r="DN178" s="518">
        <v>0</v>
      </c>
      <c r="DO178" s="518">
        <v>0</v>
      </c>
      <c r="DP178" s="518">
        <v>0</v>
      </c>
      <c r="DQ178" s="518">
        <v>0</v>
      </c>
      <c r="DR178" s="518">
        <v>0</v>
      </c>
      <c r="DS178" s="518">
        <v>0</v>
      </c>
      <c r="DT178" s="518">
        <v>0</v>
      </c>
      <c r="DU178" s="518">
        <v>0</v>
      </c>
      <c r="DV178" s="518">
        <v>0</v>
      </c>
      <c r="DW178" s="518">
        <v>0</v>
      </c>
      <c r="DX178" s="518">
        <v>0</v>
      </c>
      <c r="DZ178" s="517" t="s">
        <v>721</v>
      </c>
      <c r="EA178" s="517" t="s">
        <v>1101</v>
      </c>
      <c r="EB178" s="517" t="s">
        <v>26</v>
      </c>
      <c r="EC178" s="518">
        <v>45</v>
      </c>
      <c r="ED178" s="494" t="str">
        <f t="shared" si="9"/>
        <v>SWUC100245</v>
      </c>
      <c r="EE178" s="518">
        <v>254.4</v>
      </c>
      <c r="EF178" s="518">
        <v>2000</v>
      </c>
      <c r="EG178" s="518">
        <v>2000</v>
      </c>
      <c r="EH178" s="518">
        <v>2000</v>
      </c>
      <c r="EI178" s="518">
        <v>2000</v>
      </c>
      <c r="EJ178" s="518">
        <v>2000</v>
      </c>
      <c r="EK178" s="518">
        <v>2000</v>
      </c>
      <c r="EL178" s="518">
        <v>2035.2</v>
      </c>
      <c r="EM178" s="518">
        <v>2289.6</v>
      </c>
      <c r="EN178" s="518">
        <v>2544</v>
      </c>
      <c r="EO178" s="518">
        <v>0</v>
      </c>
      <c r="EP178" s="518">
        <v>0</v>
      </c>
      <c r="EQ178" s="518">
        <v>0</v>
      </c>
      <c r="ER178" s="518">
        <v>0</v>
      </c>
      <c r="ES178" s="518">
        <v>0</v>
      </c>
      <c r="ET178" s="518">
        <v>0</v>
      </c>
      <c r="EU178" s="518">
        <v>0</v>
      </c>
      <c r="EV178" s="518">
        <v>0</v>
      </c>
      <c r="EW178" s="518">
        <v>0</v>
      </c>
      <c r="EX178" s="518">
        <v>0</v>
      </c>
      <c r="EY178" s="518">
        <v>0</v>
      </c>
      <c r="EZ178" s="518">
        <v>0</v>
      </c>
      <c r="FA178" s="518">
        <v>0</v>
      </c>
      <c r="FB178" s="518">
        <v>0</v>
      </c>
      <c r="FC178" s="518">
        <v>0</v>
      </c>
      <c r="FD178" s="518">
        <v>0</v>
      </c>
      <c r="FE178" s="518">
        <v>0</v>
      </c>
      <c r="FF178" s="518">
        <v>0</v>
      </c>
      <c r="FG178" s="518">
        <v>0</v>
      </c>
      <c r="FH178" s="518">
        <v>0</v>
      </c>
      <c r="FI178" s="518">
        <v>0</v>
      </c>
      <c r="FJ178" s="518">
        <v>0</v>
      </c>
      <c r="FK178" s="518">
        <v>0</v>
      </c>
      <c r="FL178" s="518">
        <v>0</v>
      </c>
      <c r="FM178" s="518">
        <v>0</v>
      </c>
      <c r="FN178" s="518">
        <v>0</v>
      </c>
      <c r="FO178" s="518">
        <v>0</v>
      </c>
      <c r="FP178" s="518">
        <v>0</v>
      </c>
      <c r="FQ178" s="518">
        <v>0</v>
      </c>
      <c r="FR178" s="518">
        <v>0</v>
      </c>
      <c r="FS178" s="518">
        <v>0</v>
      </c>
      <c r="FT178" s="518">
        <v>0</v>
      </c>
      <c r="FU178" s="518">
        <v>0</v>
      </c>
      <c r="FV178" s="518">
        <v>0</v>
      </c>
      <c r="FW178" s="518">
        <v>0</v>
      </c>
      <c r="FX178" s="518">
        <v>0</v>
      </c>
      <c r="FY178" s="518">
        <v>0</v>
      </c>
      <c r="FZ178" s="518">
        <v>0</v>
      </c>
      <c r="GA178" s="518">
        <v>0</v>
      </c>
      <c r="GB178" s="518">
        <v>0</v>
      </c>
      <c r="GC178" s="518">
        <v>0</v>
      </c>
      <c r="GD178" s="518">
        <v>0</v>
      </c>
      <c r="GE178" s="518">
        <v>0</v>
      </c>
      <c r="GF178" s="518">
        <v>0</v>
      </c>
      <c r="GG178" s="518">
        <v>0</v>
      </c>
      <c r="GH178" s="518">
        <v>0</v>
      </c>
      <c r="GI178" s="518">
        <v>0</v>
      </c>
      <c r="GJ178" s="518">
        <v>0</v>
      </c>
      <c r="GK178" s="518">
        <v>0</v>
      </c>
      <c r="GL178" s="518">
        <v>0</v>
      </c>
      <c r="GM178" s="518">
        <v>0</v>
      </c>
      <c r="GN178" s="518">
        <v>0</v>
      </c>
      <c r="GO178" s="518">
        <v>0</v>
      </c>
      <c r="GP178" s="518">
        <v>0</v>
      </c>
      <c r="GQ178" s="518">
        <v>0</v>
      </c>
      <c r="GR178" s="518">
        <v>0</v>
      </c>
      <c r="GS178" s="518">
        <v>0</v>
      </c>
      <c r="GT178" s="518">
        <v>0</v>
      </c>
      <c r="GU178" s="518">
        <v>0</v>
      </c>
      <c r="GV178" s="518">
        <v>0</v>
      </c>
      <c r="GW178" s="518">
        <v>0</v>
      </c>
      <c r="GX178" s="518">
        <v>0</v>
      </c>
      <c r="GY178" s="518">
        <v>0</v>
      </c>
      <c r="GZ178" s="518">
        <v>0</v>
      </c>
      <c r="HA178" s="518">
        <v>0</v>
      </c>
      <c r="HB178" s="518">
        <v>0</v>
      </c>
      <c r="HC178" s="518">
        <v>0</v>
      </c>
      <c r="HD178" s="518">
        <v>0</v>
      </c>
      <c r="HE178" s="518">
        <v>0</v>
      </c>
      <c r="HF178" s="518">
        <v>0</v>
      </c>
      <c r="HG178" s="518">
        <v>0</v>
      </c>
      <c r="HH178" s="518">
        <v>0</v>
      </c>
      <c r="HI178" s="518">
        <v>0</v>
      </c>
      <c r="HJ178" s="518">
        <v>0</v>
      </c>
      <c r="HK178" s="518">
        <v>0</v>
      </c>
      <c r="HL178" s="518">
        <v>0</v>
      </c>
      <c r="HM178" s="518">
        <v>0</v>
      </c>
      <c r="HN178" s="518">
        <v>0</v>
      </c>
      <c r="HO178" s="518">
        <v>0</v>
      </c>
      <c r="HP178" s="518">
        <v>0</v>
      </c>
      <c r="HQ178" s="518">
        <v>0</v>
      </c>
      <c r="HR178" s="518">
        <v>0</v>
      </c>
      <c r="HS178" s="518">
        <v>0</v>
      </c>
      <c r="HT178" s="518">
        <v>0</v>
      </c>
      <c r="HU178" s="518">
        <v>0</v>
      </c>
      <c r="HV178" s="518">
        <v>0</v>
      </c>
      <c r="HW178" s="518">
        <v>0</v>
      </c>
      <c r="HX178" s="518">
        <v>0</v>
      </c>
      <c r="HY178" s="518">
        <v>0</v>
      </c>
      <c r="HZ178" s="518">
        <v>0</v>
      </c>
      <c r="IA178" s="518">
        <v>0</v>
      </c>
      <c r="IB178" s="518">
        <v>0</v>
      </c>
      <c r="IC178" s="518">
        <v>0</v>
      </c>
      <c r="ID178" s="518">
        <v>0</v>
      </c>
      <c r="IE178" s="518">
        <v>0</v>
      </c>
      <c r="IF178" s="518">
        <v>0</v>
      </c>
      <c r="IG178" s="518">
        <v>0</v>
      </c>
      <c r="IH178" s="518">
        <v>0</v>
      </c>
      <c r="II178" s="518">
        <v>0</v>
      </c>
      <c r="IJ178" s="518">
        <v>0</v>
      </c>
      <c r="IK178" s="518">
        <v>0</v>
      </c>
    </row>
    <row r="179" spans="13:245" hidden="1">
      <c r="M179" s="517" t="s">
        <v>721</v>
      </c>
      <c r="N179" s="517" t="s">
        <v>1101</v>
      </c>
      <c r="O179" s="517" t="s">
        <v>26</v>
      </c>
      <c r="P179" s="518">
        <v>46</v>
      </c>
      <c r="Q179" s="494" t="str">
        <f t="shared" si="8"/>
        <v>SWUC100246</v>
      </c>
      <c r="R179" s="518">
        <v>270.3</v>
      </c>
      <c r="S179" s="518">
        <v>10000</v>
      </c>
      <c r="T179" s="518">
        <v>10000</v>
      </c>
      <c r="U179" s="518">
        <v>10000</v>
      </c>
      <c r="V179" s="518">
        <v>10000</v>
      </c>
      <c r="W179" s="518">
        <v>10000</v>
      </c>
      <c r="X179" s="518">
        <v>10000</v>
      </c>
      <c r="Y179" s="518">
        <v>10000</v>
      </c>
      <c r="Z179" s="518">
        <v>10000</v>
      </c>
      <c r="AA179" s="518">
        <v>10000</v>
      </c>
      <c r="AB179" s="518">
        <v>0</v>
      </c>
      <c r="AC179" s="518">
        <v>0</v>
      </c>
      <c r="AD179" s="518">
        <v>0</v>
      </c>
      <c r="AE179" s="518">
        <v>0</v>
      </c>
      <c r="AF179" s="518">
        <v>0</v>
      </c>
      <c r="AG179" s="518">
        <v>0</v>
      </c>
      <c r="AH179" s="518">
        <v>0</v>
      </c>
      <c r="AI179" s="518">
        <v>0</v>
      </c>
      <c r="AJ179" s="518">
        <v>0</v>
      </c>
      <c r="AK179" s="518">
        <v>0</v>
      </c>
      <c r="AL179" s="518">
        <v>0</v>
      </c>
      <c r="AM179" s="518">
        <v>0</v>
      </c>
      <c r="AN179" s="518">
        <v>0</v>
      </c>
      <c r="AO179" s="518">
        <v>0</v>
      </c>
      <c r="AP179" s="518">
        <v>0</v>
      </c>
      <c r="AQ179" s="518">
        <v>0</v>
      </c>
      <c r="AR179" s="518">
        <v>0</v>
      </c>
      <c r="AS179" s="518">
        <v>0</v>
      </c>
      <c r="AT179" s="518">
        <v>0</v>
      </c>
      <c r="AU179" s="518">
        <v>0</v>
      </c>
      <c r="AV179" s="518">
        <v>0</v>
      </c>
      <c r="AW179" s="518">
        <v>0</v>
      </c>
      <c r="AX179" s="518">
        <v>0</v>
      </c>
      <c r="AY179" s="518">
        <v>0</v>
      </c>
      <c r="AZ179" s="518">
        <v>0</v>
      </c>
      <c r="BA179" s="518">
        <v>0</v>
      </c>
      <c r="BB179" s="518">
        <v>0</v>
      </c>
      <c r="BC179" s="518">
        <v>0</v>
      </c>
      <c r="BD179" s="518">
        <v>0</v>
      </c>
      <c r="BE179" s="518">
        <v>0</v>
      </c>
      <c r="BF179" s="518">
        <v>0</v>
      </c>
      <c r="BG179" s="518">
        <v>0</v>
      </c>
      <c r="BH179" s="518">
        <v>0</v>
      </c>
      <c r="BI179" s="518">
        <v>0</v>
      </c>
      <c r="BJ179" s="518">
        <v>0</v>
      </c>
      <c r="BK179" s="518">
        <v>0</v>
      </c>
      <c r="BL179" s="518">
        <v>0</v>
      </c>
      <c r="BM179" s="518">
        <v>0</v>
      </c>
      <c r="BN179" s="518">
        <v>0</v>
      </c>
      <c r="BO179" s="518">
        <v>0</v>
      </c>
      <c r="BP179" s="518">
        <v>0</v>
      </c>
      <c r="BQ179" s="518">
        <v>0</v>
      </c>
      <c r="BR179" s="518">
        <v>0</v>
      </c>
      <c r="BS179" s="518">
        <v>0</v>
      </c>
      <c r="BT179" s="518">
        <v>0</v>
      </c>
      <c r="BU179" s="518">
        <v>0</v>
      </c>
      <c r="BV179" s="518">
        <v>0</v>
      </c>
      <c r="BW179" s="518">
        <v>0</v>
      </c>
      <c r="BX179" s="518">
        <v>0</v>
      </c>
      <c r="BY179" s="518">
        <v>0</v>
      </c>
      <c r="BZ179" s="518">
        <v>0</v>
      </c>
      <c r="CA179" s="518">
        <v>0</v>
      </c>
      <c r="CB179" s="518">
        <v>0</v>
      </c>
      <c r="CC179" s="518">
        <v>0</v>
      </c>
      <c r="CD179" s="518">
        <v>0</v>
      </c>
      <c r="CE179" s="518">
        <v>0</v>
      </c>
      <c r="CF179" s="518">
        <v>0</v>
      </c>
      <c r="CG179" s="518">
        <v>0</v>
      </c>
      <c r="CH179" s="518">
        <v>0</v>
      </c>
      <c r="CI179" s="518">
        <v>0</v>
      </c>
      <c r="CJ179" s="518">
        <v>0</v>
      </c>
      <c r="CK179" s="518">
        <v>0</v>
      </c>
      <c r="CL179" s="518">
        <v>0</v>
      </c>
      <c r="CM179" s="518">
        <v>0</v>
      </c>
      <c r="CN179" s="518">
        <v>0</v>
      </c>
      <c r="CO179" s="518">
        <v>0</v>
      </c>
      <c r="CP179" s="518">
        <v>0</v>
      </c>
      <c r="CQ179" s="518">
        <v>0</v>
      </c>
      <c r="CR179" s="518">
        <v>0</v>
      </c>
      <c r="CS179" s="518">
        <v>0</v>
      </c>
      <c r="CT179" s="518">
        <v>0</v>
      </c>
      <c r="CU179" s="518">
        <v>0</v>
      </c>
      <c r="CV179" s="518">
        <v>0</v>
      </c>
      <c r="CW179" s="518">
        <v>0</v>
      </c>
      <c r="CX179" s="518">
        <v>0</v>
      </c>
      <c r="CY179" s="518">
        <v>0</v>
      </c>
      <c r="CZ179" s="518">
        <v>0</v>
      </c>
      <c r="DA179" s="518">
        <v>0</v>
      </c>
      <c r="DB179" s="518">
        <v>0</v>
      </c>
      <c r="DC179" s="518">
        <v>0</v>
      </c>
      <c r="DD179" s="518">
        <v>0</v>
      </c>
      <c r="DE179" s="518">
        <v>0</v>
      </c>
      <c r="DF179" s="518">
        <v>0</v>
      </c>
      <c r="DG179" s="518">
        <v>0</v>
      </c>
      <c r="DH179" s="518">
        <v>0</v>
      </c>
      <c r="DI179" s="518">
        <v>0</v>
      </c>
      <c r="DJ179" s="518">
        <v>0</v>
      </c>
      <c r="DK179" s="518">
        <v>0</v>
      </c>
      <c r="DL179" s="518">
        <v>0</v>
      </c>
      <c r="DM179" s="518">
        <v>0</v>
      </c>
      <c r="DN179" s="518">
        <v>0</v>
      </c>
      <c r="DO179" s="518">
        <v>0</v>
      </c>
      <c r="DP179" s="518">
        <v>0</v>
      </c>
      <c r="DQ179" s="518">
        <v>0</v>
      </c>
      <c r="DR179" s="518">
        <v>0</v>
      </c>
      <c r="DS179" s="518">
        <v>0</v>
      </c>
      <c r="DT179" s="518">
        <v>0</v>
      </c>
      <c r="DU179" s="518">
        <v>0</v>
      </c>
      <c r="DV179" s="518">
        <v>0</v>
      </c>
      <c r="DW179" s="518">
        <v>0</v>
      </c>
      <c r="DX179" s="518">
        <v>0</v>
      </c>
      <c r="DZ179" s="517" t="s">
        <v>721</v>
      </c>
      <c r="EA179" s="517" t="s">
        <v>1101</v>
      </c>
      <c r="EB179" s="517" t="s">
        <v>26</v>
      </c>
      <c r="EC179" s="518">
        <v>46</v>
      </c>
      <c r="ED179" s="494" t="str">
        <f t="shared" si="9"/>
        <v>SWUC100246</v>
      </c>
      <c r="EE179" s="518">
        <v>270.3</v>
      </c>
      <c r="EF179" s="518">
        <v>2000</v>
      </c>
      <c r="EG179" s="518">
        <v>2000</v>
      </c>
      <c r="EH179" s="518">
        <v>2000</v>
      </c>
      <c r="EI179" s="518">
        <v>2000</v>
      </c>
      <c r="EJ179" s="518">
        <v>2000</v>
      </c>
      <c r="EK179" s="518">
        <v>2000</v>
      </c>
      <c r="EL179" s="518">
        <v>2162.4</v>
      </c>
      <c r="EM179" s="518">
        <v>2432.6999999999998</v>
      </c>
      <c r="EN179" s="518">
        <v>2703</v>
      </c>
      <c r="EO179" s="518">
        <v>0</v>
      </c>
      <c r="EP179" s="518">
        <v>0</v>
      </c>
      <c r="EQ179" s="518">
        <v>0</v>
      </c>
      <c r="ER179" s="518">
        <v>0</v>
      </c>
      <c r="ES179" s="518">
        <v>0</v>
      </c>
      <c r="ET179" s="518">
        <v>0</v>
      </c>
      <c r="EU179" s="518">
        <v>0</v>
      </c>
      <c r="EV179" s="518">
        <v>0</v>
      </c>
      <c r="EW179" s="518">
        <v>0</v>
      </c>
      <c r="EX179" s="518">
        <v>0</v>
      </c>
      <c r="EY179" s="518">
        <v>0</v>
      </c>
      <c r="EZ179" s="518">
        <v>0</v>
      </c>
      <c r="FA179" s="518">
        <v>0</v>
      </c>
      <c r="FB179" s="518">
        <v>0</v>
      </c>
      <c r="FC179" s="518">
        <v>0</v>
      </c>
      <c r="FD179" s="518">
        <v>0</v>
      </c>
      <c r="FE179" s="518">
        <v>0</v>
      </c>
      <c r="FF179" s="518">
        <v>0</v>
      </c>
      <c r="FG179" s="518">
        <v>0</v>
      </c>
      <c r="FH179" s="518">
        <v>0</v>
      </c>
      <c r="FI179" s="518">
        <v>0</v>
      </c>
      <c r="FJ179" s="518">
        <v>0</v>
      </c>
      <c r="FK179" s="518">
        <v>0</v>
      </c>
      <c r="FL179" s="518">
        <v>0</v>
      </c>
      <c r="FM179" s="518">
        <v>0</v>
      </c>
      <c r="FN179" s="518">
        <v>0</v>
      </c>
      <c r="FO179" s="518">
        <v>0</v>
      </c>
      <c r="FP179" s="518">
        <v>0</v>
      </c>
      <c r="FQ179" s="518">
        <v>0</v>
      </c>
      <c r="FR179" s="518">
        <v>0</v>
      </c>
      <c r="FS179" s="518">
        <v>0</v>
      </c>
      <c r="FT179" s="518">
        <v>0</v>
      </c>
      <c r="FU179" s="518">
        <v>0</v>
      </c>
      <c r="FV179" s="518">
        <v>0</v>
      </c>
      <c r="FW179" s="518">
        <v>0</v>
      </c>
      <c r="FX179" s="518">
        <v>0</v>
      </c>
      <c r="FY179" s="518">
        <v>0</v>
      </c>
      <c r="FZ179" s="518">
        <v>0</v>
      </c>
      <c r="GA179" s="518">
        <v>0</v>
      </c>
      <c r="GB179" s="518">
        <v>0</v>
      </c>
      <c r="GC179" s="518">
        <v>0</v>
      </c>
      <c r="GD179" s="518">
        <v>0</v>
      </c>
      <c r="GE179" s="518">
        <v>0</v>
      </c>
      <c r="GF179" s="518">
        <v>0</v>
      </c>
      <c r="GG179" s="518">
        <v>0</v>
      </c>
      <c r="GH179" s="518">
        <v>0</v>
      </c>
      <c r="GI179" s="518">
        <v>0</v>
      </c>
      <c r="GJ179" s="518">
        <v>0</v>
      </c>
      <c r="GK179" s="518">
        <v>0</v>
      </c>
      <c r="GL179" s="518">
        <v>0</v>
      </c>
      <c r="GM179" s="518">
        <v>0</v>
      </c>
      <c r="GN179" s="518">
        <v>0</v>
      </c>
      <c r="GO179" s="518">
        <v>0</v>
      </c>
      <c r="GP179" s="518">
        <v>0</v>
      </c>
      <c r="GQ179" s="518">
        <v>0</v>
      </c>
      <c r="GR179" s="518">
        <v>0</v>
      </c>
      <c r="GS179" s="518">
        <v>0</v>
      </c>
      <c r="GT179" s="518">
        <v>0</v>
      </c>
      <c r="GU179" s="518">
        <v>0</v>
      </c>
      <c r="GV179" s="518">
        <v>0</v>
      </c>
      <c r="GW179" s="518">
        <v>0</v>
      </c>
      <c r="GX179" s="518">
        <v>0</v>
      </c>
      <c r="GY179" s="518">
        <v>0</v>
      </c>
      <c r="GZ179" s="518">
        <v>0</v>
      </c>
      <c r="HA179" s="518">
        <v>0</v>
      </c>
      <c r="HB179" s="518">
        <v>0</v>
      </c>
      <c r="HC179" s="518">
        <v>0</v>
      </c>
      <c r="HD179" s="518">
        <v>0</v>
      </c>
      <c r="HE179" s="518">
        <v>0</v>
      </c>
      <c r="HF179" s="518">
        <v>0</v>
      </c>
      <c r="HG179" s="518">
        <v>0</v>
      </c>
      <c r="HH179" s="518">
        <v>0</v>
      </c>
      <c r="HI179" s="518">
        <v>0</v>
      </c>
      <c r="HJ179" s="518">
        <v>0</v>
      </c>
      <c r="HK179" s="518">
        <v>0</v>
      </c>
      <c r="HL179" s="518">
        <v>0</v>
      </c>
      <c r="HM179" s="518">
        <v>0</v>
      </c>
      <c r="HN179" s="518">
        <v>0</v>
      </c>
      <c r="HO179" s="518">
        <v>0</v>
      </c>
      <c r="HP179" s="518">
        <v>0</v>
      </c>
      <c r="HQ179" s="518">
        <v>0</v>
      </c>
      <c r="HR179" s="518">
        <v>0</v>
      </c>
      <c r="HS179" s="518">
        <v>0</v>
      </c>
      <c r="HT179" s="518">
        <v>0</v>
      </c>
      <c r="HU179" s="518">
        <v>0</v>
      </c>
      <c r="HV179" s="518">
        <v>0</v>
      </c>
      <c r="HW179" s="518">
        <v>0</v>
      </c>
      <c r="HX179" s="518">
        <v>0</v>
      </c>
      <c r="HY179" s="518">
        <v>0</v>
      </c>
      <c r="HZ179" s="518">
        <v>0</v>
      </c>
      <c r="IA179" s="518">
        <v>0</v>
      </c>
      <c r="IB179" s="518">
        <v>0</v>
      </c>
      <c r="IC179" s="518">
        <v>0</v>
      </c>
      <c r="ID179" s="518">
        <v>0</v>
      </c>
      <c r="IE179" s="518">
        <v>0</v>
      </c>
      <c r="IF179" s="518">
        <v>0</v>
      </c>
      <c r="IG179" s="518">
        <v>0</v>
      </c>
      <c r="IH179" s="518">
        <v>0</v>
      </c>
      <c r="II179" s="518">
        <v>0</v>
      </c>
      <c r="IJ179" s="518">
        <v>0</v>
      </c>
      <c r="IK179" s="518">
        <v>0</v>
      </c>
    </row>
    <row r="180" spans="13:245" hidden="1">
      <c r="M180" s="517" t="s">
        <v>721</v>
      </c>
      <c r="N180" s="517" t="s">
        <v>1101</v>
      </c>
      <c r="O180" s="517" t="s">
        <v>26</v>
      </c>
      <c r="P180" s="518">
        <v>47</v>
      </c>
      <c r="Q180" s="494" t="str">
        <f t="shared" si="8"/>
        <v>SWUC100247</v>
      </c>
      <c r="R180" s="518">
        <v>286.2</v>
      </c>
      <c r="S180" s="518">
        <v>10000</v>
      </c>
      <c r="T180" s="518">
        <v>10000</v>
      </c>
      <c r="U180" s="518">
        <v>10000</v>
      </c>
      <c r="V180" s="518">
        <v>10000</v>
      </c>
      <c r="W180" s="518">
        <v>10000</v>
      </c>
      <c r="X180" s="518">
        <v>10000</v>
      </c>
      <c r="Y180" s="518">
        <v>10000</v>
      </c>
      <c r="Z180" s="518">
        <v>10000</v>
      </c>
      <c r="AA180" s="518">
        <v>10000</v>
      </c>
      <c r="AB180" s="518">
        <v>0</v>
      </c>
      <c r="AC180" s="518">
        <v>0</v>
      </c>
      <c r="AD180" s="518">
        <v>0</v>
      </c>
      <c r="AE180" s="518">
        <v>0</v>
      </c>
      <c r="AF180" s="518">
        <v>0</v>
      </c>
      <c r="AG180" s="518">
        <v>0</v>
      </c>
      <c r="AH180" s="518">
        <v>0</v>
      </c>
      <c r="AI180" s="518">
        <v>0</v>
      </c>
      <c r="AJ180" s="518">
        <v>0</v>
      </c>
      <c r="AK180" s="518">
        <v>0</v>
      </c>
      <c r="AL180" s="518">
        <v>0</v>
      </c>
      <c r="AM180" s="518">
        <v>0</v>
      </c>
      <c r="AN180" s="518">
        <v>0</v>
      </c>
      <c r="AO180" s="518">
        <v>0</v>
      </c>
      <c r="AP180" s="518">
        <v>0</v>
      </c>
      <c r="AQ180" s="518">
        <v>0</v>
      </c>
      <c r="AR180" s="518">
        <v>0</v>
      </c>
      <c r="AS180" s="518">
        <v>0</v>
      </c>
      <c r="AT180" s="518">
        <v>0</v>
      </c>
      <c r="AU180" s="518">
        <v>0</v>
      </c>
      <c r="AV180" s="518">
        <v>0</v>
      </c>
      <c r="AW180" s="518">
        <v>0</v>
      </c>
      <c r="AX180" s="518">
        <v>0</v>
      </c>
      <c r="AY180" s="518">
        <v>0</v>
      </c>
      <c r="AZ180" s="518">
        <v>0</v>
      </c>
      <c r="BA180" s="518">
        <v>0</v>
      </c>
      <c r="BB180" s="518">
        <v>0</v>
      </c>
      <c r="BC180" s="518">
        <v>0</v>
      </c>
      <c r="BD180" s="518">
        <v>0</v>
      </c>
      <c r="BE180" s="518">
        <v>0</v>
      </c>
      <c r="BF180" s="518">
        <v>0</v>
      </c>
      <c r="BG180" s="518">
        <v>0</v>
      </c>
      <c r="BH180" s="518">
        <v>0</v>
      </c>
      <c r="BI180" s="518">
        <v>0</v>
      </c>
      <c r="BJ180" s="518">
        <v>0</v>
      </c>
      <c r="BK180" s="518">
        <v>0</v>
      </c>
      <c r="BL180" s="518">
        <v>0</v>
      </c>
      <c r="BM180" s="518">
        <v>0</v>
      </c>
      <c r="BN180" s="518">
        <v>0</v>
      </c>
      <c r="BO180" s="518">
        <v>0</v>
      </c>
      <c r="BP180" s="518">
        <v>0</v>
      </c>
      <c r="BQ180" s="518">
        <v>0</v>
      </c>
      <c r="BR180" s="518">
        <v>0</v>
      </c>
      <c r="BS180" s="518">
        <v>0</v>
      </c>
      <c r="BT180" s="518">
        <v>0</v>
      </c>
      <c r="BU180" s="518">
        <v>0</v>
      </c>
      <c r="BV180" s="518">
        <v>0</v>
      </c>
      <c r="BW180" s="518">
        <v>0</v>
      </c>
      <c r="BX180" s="518">
        <v>0</v>
      </c>
      <c r="BY180" s="518">
        <v>0</v>
      </c>
      <c r="BZ180" s="518">
        <v>0</v>
      </c>
      <c r="CA180" s="518">
        <v>0</v>
      </c>
      <c r="CB180" s="518">
        <v>0</v>
      </c>
      <c r="CC180" s="518">
        <v>0</v>
      </c>
      <c r="CD180" s="518">
        <v>0</v>
      </c>
      <c r="CE180" s="518">
        <v>0</v>
      </c>
      <c r="CF180" s="518">
        <v>0</v>
      </c>
      <c r="CG180" s="518">
        <v>0</v>
      </c>
      <c r="CH180" s="518">
        <v>0</v>
      </c>
      <c r="CI180" s="518">
        <v>0</v>
      </c>
      <c r="CJ180" s="518">
        <v>0</v>
      </c>
      <c r="CK180" s="518">
        <v>0</v>
      </c>
      <c r="CL180" s="518">
        <v>0</v>
      </c>
      <c r="CM180" s="518">
        <v>0</v>
      </c>
      <c r="CN180" s="518">
        <v>0</v>
      </c>
      <c r="CO180" s="518">
        <v>0</v>
      </c>
      <c r="CP180" s="518">
        <v>0</v>
      </c>
      <c r="CQ180" s="518">
        <v>0</v>
      </c>
      <c r="CR180" s="518">
        <v>0</v>
      </c>
      <c r="CS180" s="518">
        <v>0</v>
      </c>
      <c r="CT180" s="518">
        <v>0</v>
      </c>
      <c r="CU180" s="518">
        <v>0</v>
      </c>
      <c r="CV180" s="518">
        <v>0</v>
      </c>
      <c r="CW180" s="518">
        <v>0</v>
      </c>
      <c r="CX180" s="518">
        <v>0</v>
      </c>
      <c r="CY180" s="518">
        <v>0</v>
      </c>
      <c r="CZ180" s="518">
        <v>0</v>
      </c>
      <c r="DA180" s="518">
        <v>0</v>
      </c>
      <c r="DB180" s="518">
        <v>0</v>
      </c>
      <c r="DC180" s="518">
        <v>0</v>
      </c>
      <c r="DD180" s="518">
        <v>0</v>
      </c>
      <c r="DE180" s="518">
        <v>0</v>
      </c>
      <c r="DF180" s="518">
        <v>0</v>
      </c>
      <c r="DG180" s="518">
        <v>0</v>
      </c>
      <c r="DH180" s="518">
        <v>0</v>
      </c>
      <c r="DI180" s="518">
        <v>0</v>
      </c>
      <c r="DJ180" s="518">
        <v>0</v>
      </c>
      <c r="DK180" s="518">
        <v>0</v>
      </c>
      <c r="DL180" s="518">
        <v>0</v>
      </c>
      <c r="DM180" s="518">
        <v>0</v>
      </c>
      <c r="DN180" s="518">
        <v>0</v>
      </c>
      <c r="DO180" s="518">
        <v>0</v>
      </c>
      <c r="DP180" s="518">
        <v>0</v>
      </c>
      <c r="DQ180" s="518">
        <v>0</v>
      </c>
      <c r="DR180" s="518">
        <v>0</v>
      </c>
      <c r="DS180" s="518">
        <v>0</v>
      </c>
      <c r="DT180" s="518">
        <v>0</v>
      </c>
      <c r="DU180" s="518">
        <v>0</v>
      </c>
      <c r="DV180" s="518">
        <v>0</v>
      </c>
      <c r="DW180" s="518">
        <v>0</v>
      </c>
      <c r="DX180" s="518">
        <v>0</v>
      </c>
      <c r="DZ180" s="517" t="s">
        <v>721</v>
      </c>
      <c r="EA180" s="517" t="s">
        <v>1101</v>
      </c>
      <c r="EB180" s="517" t="s">
        <v>26</v>
      </c>
      <c r="EC180" s="518">
        <v>47</v>
      </c>
      <c r="ED180" s="494" t="str">
        <f t="shared" si="9"/>
        <v>SWUC100247</v>
      </c>
      <c r="EE180" s="518">
        <v>286.2</v>
      </c>
      <c r="EF180" s="518">
        <v>2000</v>
      </c>
      <c r="EG180" s="518">
        <v>2000</v>
      </c>
      <c r="EH180" s="518">
        <v>2000</v>
      </c>
      <c r="EI180" s="518">
        <v>2000</v>
      </c>
      <c r="EJ180" s="518">
        <v>2000</v>
      </c>
      <c r="EK180" s="518">
        <v>2003.4</v>
      </c>
      <c r="EL180" s="518">
        <v>2289.6</v>
      </c>
      <c r="EM180" s="518">
        <v>2575.8000000000002</v>
      </c>
      <c r="EN180" s="518">
        <v>2862</v>
      </c>
      <c r="EO180" s="518">
        <v>0</v>
      </c>
      <c r="EP180" s="518">
        <v>0</v>
      </c>
      <c r="EQ180" s="518">
        <v>0</v>
      </c>
      <c r="ER180" s="518">
        <v>0</v>
      </c>
      <c r="ES180" s="518">
        <v>0</v>
      </c>
      <c r="ET180" s="518">
        <v>0</v>
      </c>
      <c r="EU180" s="518">
        <v>0</v>
      </c>
      <c r="EV180" s="518">
        <v>0</v>
      </c>
      <c r="EW180" s="518">
        <v>0</v>
      </c>
      <c r="EX180" s="518">
        <v>0</v>
      </c>
      <c r="EY180" s="518">
        <v>0</v>
      </c>
      <c r="EZ180" s="518">
        <v>0</v>
      </c>
      <c r="FA180" s="518">
        <v>0</v>
      </c>
      <c r="FB180" s="518">
        <v>0</v>
      </c>
      <c r="FC180" s="518">
        <v>0</v>
      </c>
      <c r="FD180" s="518">
        <v>0</v>
      </c>
      <c r="FE180" s="518">
        <v>0</v>
      </c>
      <c r="FF180" s="518">
        <v>0</v>
      </c>
      <c r="FG180" s="518">
        <v>0</v>
      </c>
      <c r="FH180" s="518">
        <v>0</v>
      </c>
      <c r="FI180" s="518">
        <v>0</v>
      </c>
      <c r="FJ180" s="518">
        <v>0</v>
      </c>
      <c r="FK180" s="518">
        <v>0</v>
      </c>
      <c r="FL180" s="518">
        <v>0</v>
      </c>
      <c r="FM180" s="518">
        <v>0</v>
      </c>
      <c r="FN180" s="518">
        <v>0</v>
      </c>
      <c r="FO180" s="518">
        <v>0</v>
      </c>
      <c r="FP180" s="518">
        <v>0</v>
      </c>
      <c r="FQ180" s="518">
        <v>0</v>
      </c>
      <c r="FR180" s="518">
        <v>0</v>
      </c>
      <c r="FS180" s="518">
        <v>0</v>
      </c>
      <c r="FT180" s="518">
        <v>0</v>
      </c>
      <c r="FU180" s="518">
        <v>0</v>
      </c>
      <c r="FV180" s="518">
        <v>0</v>
      </c>
      <c r="FW180" s="518">
        <v>0</v>
      </c>
      <c r="FX180" s="518">
        <v>0</v>
      </c>
      <c r="FY180" s="518">
        <v>0</v>
      </c>
      <c r="FZ180" s="518">
        <v>0</v>
      </c>
      <c r="GA180" s="518">
        <v>0</v>
      </c>
      <c r="GB180" s="518">
        <v>0</v>
      </c>
      <c r="GC180" s="518">
        <v>0</v>
      </c>
      <c r="GD180" s="518">
        <v>0</v>
      </c>
      <c r="GE180" s="518">
        <v>0</v>
      </c>
      <c r="GF180" s="518">
        <v>0</v>
      </c>
      <c r="GG180" s="518">
        <v>0</v>
      </c>
      <c r="GH180" s="518">
        <v>0</v>
      </c>
      <c r="GI180" s="518">
        <v>0</v>
      </c>
      <c r="GJ180" s="518">
        <v>0</v>
      </c>
      <c r="GK180" s="518">
        <v>0</v>
      </c>
      <c r="GL180" s="518">
        <v>0</v>
      </c>
      <c r="GM180" s="518">
        <v>0</v>
      </c>
      <c r="GN180" s="518">
        <v>0</v>
      </c>
      <c r="GO180" s="518">
        <v>0</v>
      </c>
      <c r="GP180" s="518">
        <v>0</v>
      </c>
      <c r="GQ180" s="518">
        <v>0</v>
      </c>
      <c r="GR180" s="518">
        <v>0</v>
      </c>
      <c r="GS180" s="518">
        <v>0</v>
      </c>
      <c r="GT180" s="518">
        <v>0</v>
      </c>
      <c r="GU180" s="518">
        <v>0</v>
      </c>
      <c r="GV180" s="518">
        <v>0</v>
      </c>
      <c r="GW180" s="518">
        <v>0</v>
      </c>
      <c r="GX180" s="518">
        <v>0</v>
      </c>
      <c r="GY180" s="518">
        <v>0</v>
      </c>
      <c r="GZ180" s="518">
        <v>0</v>
      </c>
      <c r="HA180" s="518">
        <v>0</v>
      </c>
      <c r="HB180" s="518">
        <v>0</v>
      </c>
      <c r="HC180" s="518">
        <v>0</v>
      </c>
      <c r="HD180" s="518">
        <v>0</v>
      </c>
      <c r="HE180" s="518">
        <v>0</v>
      </c>
      <c r="HF180" s="518">
        <v>0</v>
      </c>
      <c r="HG180" s="518">
        <v>0</v>
      </c>
      <c r="HH180" s="518">
        <v>0</v>
      </c>
      <c r="HI180" s="518">
        <v>0</v>
      </c>
      <c r="HJ180" s="518">
        <v>0</v>
      </c>
      <c r="HK180" s="518">
        <v>0</v>
      </c>
      <c r="HL180" s="518">
        <v>0</v>
      </c>
      <c r="HM180" s="518">
        <v>0</v>
      </c>
      <c r="HN180" s="518">
        <v>0</v>
      </c>
      <c r="HO180" s="518">
        <v>0</v>
      </c>
      <c r="HP180" s="518">
        <v>0</v>
      </c>
      <c r="HQ180" s="518">
        <v>0</v>
      </c>
      <c r="HR180" s="518">
        <v>0</v>
      </c>
      <c r="HS180" s="518">
        <v>0</v>
      </c>
      <c r="HT180" s="518">
        <v>0</v>
      </c>
      <c r="HU180" s="518">
        <v>0</v>
      </c>
      <c r="HV180" s="518">
        <v>0</v>
      </c>
      <c r="HW180" s="518">
        <v>0</v>
      </c>
      <c r="HX180" s="518">
        <v>0</v>
      </c>
      <c r="HY180" s="518">
        <v>0</v>
      </c>
      <c r="HZ180" s="518">
        <v>0</v>
      </c>
      <c r="IA180" s="518">
        <v>0</v>
      </c>
      <c r="IB180" s="518">
        <v>0</v>
      </c>
      <c r="IC180" s="518">
        <v>0</v>
      </c>
      <c r="ID180" s="518">
        <v>0</v>
      </c>
      <c r="IE180" s="518">
        <v>0</v>
      </c>
      <c r="IF180" s="518">
        <v>0</v>
      </c>
      <c r="IG180" s="518">
        <v>0</v>
      </c>
      <c r="IH180" s="518">
        <v>0</v>
      </c>
      <c r="II180" s="518">
        <v>0</v>
      </c>
      <c r="IJ180" s="518">
        <v>0</v>
      </c>
      <c r="IK180" s="518">
        <v>0</v>
      </c>
    </row>
    <row r="181" spans="13:245" hidden="1">
      <c r="M181" s="517" t="s">
        <v>721</v>
      </c>
      <c r="N181" s="517" t="s">
        <v>1101</v>
      </c>
      <c r="O181" s="517" t="s">
        <v>26</v>
      </c>
      <c r="P181" s="518">
        <v>48</v>
      </c>
      <c r="Q181" s="494" t="str">
        <f t="shared" si="8"/>
        <v>SWUC100248</v>
      </c>
      <c r="R181" s="518">
        <v>302.10000000000002</v>
      </c>
      <c r="S181" s="518">
        <v>10000</v>
      </c>
      <c r="T181" s="518">
        <v>10000</v>
      </c>
      <c r="U181" s="518">
        <v>10000</v>
      </c>
      <c r="V181" s="518">
        <v>10000</v>
      </c>
      <c r="W181" s="518">
        <v>10000</v>
      </c>
      <c r="X181" s="518">
        <v>10000</v>
      </c>
      <c r="Y181" s="518">
        <v>10000</v>
      </c>
      <c r="Z181" s="518">
        <v>10000</v>
      </c>
      <c r="AA181" s="518">
        <v>10000</v>
      </c>
      <c r="AB181" s="518">
        <v>0</v>
      </c>
      <c r="AC181" s="518">
        <v>0</v>
      </c>
      <c r="AD181" s="518">
        <v>0</v>
      </c>
      <c r="AE181" s="518">
        <v>0</v>
      </c>
      <c r="AF181" s="518">
        <v>0</v>
      </c>
      <c r="AG181" s="518">
        <v>0</v>
      </c>
      <c r="AH181" s="518">
        <v>0</v>
      </c>
      <c r="AI181" s="518">
        <v>0</v>
      </c>
      <c r="AJ181" s="518">
        <v>0</v>
      </c>
      <c r="AK181" s="518">
        <v>0</v>
      </c>
      <c r="AL181" s="518">
        <v>0</v>
      </c>
      <c r="AM181" s="518">
        <v>0</v>
      </c>
      <c r="AN181" s="518">
        <v>0</v>
      </c>
      <c r="AO181" s="518">
        <v>0</v>
      </c>
      <c r="AP181" s="518">
        <v>0</v>
      </c>
      <c r="AQ181" s="518">
        <v>0</v>
      </c>
      <c r="AR181" s="518">
        <v>0</v>
      </c>
      <c r="AS181" s="518">
        <v>0</v>
      </c>
      <c r="AT181" s="518">
        <v>0</v>
      </c>
      <c r="AU181" s="518">
        <v>0</v>
      </c>
      <c r="AV181" s="518">
        <v>0</v>
      </c>
      <c r="AW181" s="518">
        <v>0</v>
      </c>
      <c r="AX181" s="518">
        <v>0</v>
      </c>
      <c r="AY181" s="518">
        <v>0</v>
      </c>
      <c r="AZ181" s="518">
        <v>0</v>
      </c>
      <c r="BA181" s="518">
        <v>0</v>
      </c>
      <c r="BB181" s="518">
        <v>0</v>
      </c>
      <c r="BC181" s="518">
        <v>0</v>
      </c>
      <c r="BD181" s="518">
        <v>0</v>
      </c>
      <c r="BE181" s="518">
        <v>0</v>
      </c>
      <c r="BF181" s="518">
        <v>0</v>
      </c>
      <c r="BG181" s="518">
        <v>0</v>
      </c>
      <c r="BH181" s="518">
        <v>0</v>
      </c>
      <c r="BI181" s="518">
        <v>0</v>
      </c>
      <c r="BJ181" s="518">
        <v>0</v>
      </c>
      <c r="BK181" s="518">
        <v>0</v>
      </c>
      <c r="BL181" s="518">
        <v>0</v>
      </c>
      <c r="BM181" s="518">
        <v>0</v>
      </c>
      <c r="BN181" s="518">
        <v>0</v>
      </c>
      <c r="BO181" s="518">
        <v>0</v>
      </c>
      <c r="BP181" s="518">
        <v>0</v>
      </c>
      <c r="BQ181" s="518">
        <v>0</v>
      </c>
      <c r="BR181" s="518">
        <v>0</v>
      </c>
      <c r="BS181" s="518">
        <v>0</v>
      </c>
      <c r="BT181" s="518">
        <v>0</v>
      </c>
      <c r="BU181" s="518">
        <v>0</v>
      </c>
      <c r="BV181" s="518">
        <v>0</v>
      </c>
      <c r="BW181" s="518">
        <v>0</v>
      </c>
      <c r="BX181" s="518">
        <v>0</v>
      </c>
      <c r="BY181" s="518">
        <v>0</v>
      </c>
      <c r="BZ181" s="518">
        <v>0</v>
      </c>
      <c r="CA181" s="518">
        <v>0</v>
      </c>
      <c r="CB181" s="518">
        <v>0</v>
      </c>
      <c r="CC181" s="518">
        <v>0</v>
      </c>
      <c r="CD181" s="518">
        <v>0</v>
      </c>
      <c r="CE181" s="518">
        <v>0</v>
      </c>
      <c r="CF181" s="518">
        <v>0</v>
      </c>
      <c r="CG181" s="518">
        <v>0</v>
      </c>
      <c r="CH181" s="518">
        <v>0</v>
      </c>
      <c r="CI181" s="518">
        <v>0</v>
      </c>
      <c r="CJ181" s="518">
        <v>0</v>
      </c>
      <c r="CK181" s="518">
        <v>0</v>
      </c>
      <c r="CL181" s="518">
        <v>0</v>
      </c>
      <c r="CM181" s="518">
        <v>0</v>
      </c>
      <c r="CN181" s="518">
        <v>0</v>
      </c>
      <c r="CO181" s="518">
        <v>0</v>
      </c>
      <c r="CP181" s="518">
        <v>0</v>
      </c>
      <c r="CQ181" s="518">
        <v>0</v>
      </c>
      <c r="CR181" s="518">
        <v>0</v>
      </c>
      <c r="CS181" s="518">
        <v>0</v>
      </c>
      <c r="CT181" s="518">
        <v>0</v>
      </c>
      <c r="CU181" s="518">
        <v>0</v>
      </c>
      <c r="CV181" s="518">
        <v>0</v>
      </c>
      <c r="CW181" s="518">
        <v>0</v>
      </c>
      <c r="CX181" s="518">
        <v>0</v>
      </c>
      <c r="CY181" s="518">
        <v>0</v>
      </c>
      <c r="CZ181" s="518">
        <v>0</v>
      </c>
      <c r="DA181" s="518">
        <v>0</v>
      </c>
      <c r="DB181" s="518">
        <v>0</v>
      </c>
      <c r="DC181" s="518">
        <v>0</v>
      </c>
      <c r="DD181" s="518">
        <v>0</v>
      </c>
      <c r="DE181" s="518">
        <v>0</v>
      </c>
      <c r="DF181" s="518">
        <v>0</v>
      </c>
      <c r="DG181" s="518">
        <v>0</v>
      </c>
      <c r="DH181" s="518">
        <v>0</v>
      </c>
      <c r="DI181" s="518">
        <v>0</v>
      </c>
      <c r="DJ181" s="518">
        <v>0</v>
      </c>
      <c r="DK181" s="518">
        <v>0</v>
      </c>
      <c r="DL181" s="518">
        <v>0</v>
      </c>
      <c r="DM181" s="518">
        <v>0</v>
      </c>
      <c r="DN181" s="518">
        <v>0</v>
      </c>
      <c r="DO181" s="518">
        <v>0</v>
      </c>
      <c r="DP181" s="518">
        <v>0</v>
      </c>
      <c r="DQ181" s="518">
        <v>0</v>
      </c>
      <c r="DR181" s="518">
        <v>0</v>
      </c>
      <c r="DS181" s="518">
        <v>0</v>
      </c>
      <c r="DT181" s="518">
        <v>0</v>
      </c>
      <c r="DU181" s="518">
        <v>0</v>
      </c>
      <c r="DV181" s="518">
        <v>0</v>
      </c>
      <c r="DW181" s="518">
        <v>0</v>
      </c>
      <c r="DX181" s="518">
        <v>0</v>
      </c>
      <c r="DZ181" s="517" t="s">
        <v>721</v>
      </c>
      <c r="EA181" s="517" t="s">
        <v>1101</v>
      </c>
      <c r="EB181" s="517" t="s">
        <v>26</v>
      </c>
      <c r="EC181" s="518">
        <v>48</v>
      </c>
      <c r="ED181" s="494" t="str">
        <f t="shared" si="9"/>
        <v>SWUC100248</v>
      </c>
      <c r="EE181" s="518">
        <v>302.10000000000002</v>
      </c>
      <c r="EF181" s="518">
        <v>2000</v>
      </c>
      <c r="EG181" s="518">
        <v>2000</v>
      </c>
      <c r="EH181" s="518">
        <v>2000</v>
      </c>
      <c r="EI181" s="518">
        <v>2000</v>
      </c>
      <c r="EJ181" s="518">
        <v>2000</v>
      </c>
      <c r="EK181" s="518">
        <v>2114.6999999999998</v>
      </c>
      <c r="EL181" s="518">
        <v>2416.8000000000002</v>
      </c>
      <c r="EM181" s="518">
        <v>2718.9</v>
      </c>
      <c r="EN181" s="518">
        <v>3021</v>
      </c>
      <c r="EO181" s="518">
        <v>0</v>
      </c>
      <c r="EP181" s="518">
        <v>0</v>
      </c>
      <c r="EQ181" s="518">
        <v>0</v>
      </c>
      <c r="ER181" s="518">
        <v>0</v>
      </c>
      <c r="ES181" s="518">
        <v>0</v>
      </c>
      <c r="ET181" s="518">
        <v>0</v>
      </c>
      <c r="EU181" s="518">
        <v>0</v>
      </c>
      <c r="EV181" s="518">
        <v>0</v>
      </c>
      <c r="EW181" s="518">
        <v>0</v>
      </c>
      <c r="EX181" s="518">
        <v>0</v>
      </c>
      <c r="EY181" s="518">
        <v>0</v>
      </c>
      <c r="EZ181" s="518">
        <v>0</v>
      </c>
      <c r="FA181" s="518">
        <v>0</v>
      </c>
      <c r="FB181" s="518">
        <v>0</v>
      </c>
      <c r="FC181" s="518">
        <v>0</v>
      </c>
      <c r="FD181" s="518">
        <v>0</v>
      </c>
      <c r="FE181" s="518">
        <v>0</v>
      </c>
      <c r="FF181" s="518">
        <v>0</v>
      </c>
      <c r="FG181" s="518">
        <v>0</v>
      </c>
      <c r="FH181" s="518">
        <v>0</v>
      </c>
      <c r="FI181" s="518">
        <v>0</v>
      </c>
      <c r="FJ181" s="518">
        <v>0</v>
      </c>
      <c r="FK181" s="518">
        <v>0</v>
      </c>
      <c r="FL181" s="518">
        <v>0</v>
      </c>
      <c r="FM181" s="518">
        <v>0</v>
      </c>
      <c r="FN181" s="518">
        <v>0</v>
      </c>
      <c r="FO181" s="518">
        <v>0</v>
      </c>
      <c r="FP181" s="518">
        <v>0</v>
      </c>
      <c r="FQ181" s="518">
        <v>0</v>
      </c>
      <c r="FR181" s="518">
        <v>0</v>
      </c>
      <c r="FS181" s="518">
        <v>0</v>
      </c>
      <c r="FT181" s="518">
        <v>0</v>
      </c>
      <c r="FU181" s="518">
        <v>0</v>
      </c>
      <c r="FV181" s="518">
        <v>0</v>
      </c>
      <c r="FW181" s="518">
        <v>0</v>
      </c>
      <c r="FX181" s="518">
        <v>0</v>
      </c>
      <c r="FY181" s="518">
        <v>0</v>
      </c>
      <c r="FZ181" s="518">
        <v>0</v>
      </c>
      <c r="GA181" s="518">
        <v>0</v>
      </c>
      <c r="GB181" s="518">
        <v>0</v>
      </c>
      <c r="GC181" s="518">
        <v>0</v>
      </c>
      <c r="GD181" s="518">
        <v>0</v>
      </c>
      <c r="GE181" s="518">
        <v>0</v>
      </c>
      <c r="GF181" s="518">
        <v>0</v>
      </c>
      <c r="GG181" s="518">
        <v>0</v>
      </c>
      <c r="GH181" s="518">
        <v>0</v>
      </c>
      <c r="GI181" s="518">
        <v>0</v>
      </c>
      <c r="GJ181" s="518">
        <v>0</v>
      </c>
      <c r="GK181" s="518">
        <v>0</v>
      </c>
      <c r="GL181" s="518">
        <v>0</v>
      </c>
      <c r="GM181" s="518">
        <v>0</v>
      </c>
      <c r="GN181" s="518">
        <v>0</v>
      </c>
      <c r="GO181" s="518">
        <v>0</v>
      </c>
      <c r="GP181" s="518">
        <v>0</v>
      </c>
      <c r="GQ181" s="518">
        <v>0</v>
      </c>
      <c r="GR181" s="518">
        <v>0</v>
      </c>
      <c r="GS181" s="518">
        <v>0</v>
      </c>
      <c r="GT181" s="518">
        <v>0</v>
      </c>
      <c r="GU181" s="518">
        <v>0</v>
      </c>
      <c r="GV181" s="518">
        <v>0</v>
      </c>
      <c r="GW181" s="518">
        <v>0</v>
      </c>
      <c r="GX181" s="518">
        <v>0</v>
      </c>
      <c r="GY181" s="518">
        <v>0</v>
      </c>
      <c r="GZ181" s="518">
        <v>0</v>
      </c>
      <c r="HA181" s="518">
        <v>0</v>
      </c>
      <c r="HB181" s="518">
        <v>0</v>
      </c>
      <c r="HC181" s="518">
        <v>0</v>
      </c>
      <c r="HD181" s="518">
        <v>0</v>
      </c>
      <c r="HE181" s="518">
        <v>0</v>
      </c>
      <c r="HF181" s="518">
        <v>0</v>
      </c>
      <c r="HG181" s="518">
        <v>0</v>
      </c>
      <c r="HH181" s="518">
        <v>0</v>
      </c>
      <c r="HI181" s="518">
        <v>0</v>
      </c>
      <c r="HJ181" s="518">
        <v>0</v>
      </c>
      <c r="HK181" s="518">
        <v>0</v>
      </c>
      <c r="HL181" s="518">
        <v>0</v>
      </c>
      <c r="HM181" s="518">
        <v>0</v>
      </c>
      <c r="HN181" s="518">
        <v>0</v>
      </c>
      <c r="HO181" s="518">
        <v>0</v>
      </c>
      <c r="HP181" s="518">
        <v>0</v>
      </c>
      <c r="HQ181" s="518">
        <v>0</v>
      </c>
      <c r="HR181" s="518">
        <v>0</v>
      </c>
      <c r="HS181" s="518">
        <v>0</v>
      </c>
      <c r="HT181" s="518">
        <v>0</v>
      </c>
      <c r="HU181" s="518">
        <v>0</v>
      </c>
      <c r="HV181" s="518">
        <v>0</v>
      </c>
      <c r="HW181" s="518">
        <v>0</v>
      </c>
      <c r="HX181" s="518">
        <v>0</v>
      </c>
      <c r="HY181" s="518">
        <v>0</v>
      </c>
      <c r="HZ181" s="518">
        <v>0</v>
      </c>
      <c r="IA181" s="518">
        <v>0</v>
      </c>
      <c r="IB181" s="518">
        <v>0</v>
      </c>
      <c r="IC181" s="518">
        <v>0</v>
      </c>
      <c r="ID181" s="518">
        <v>0</v>
      </c>
      <c r="IE181" s="518">
        <v>0</v>
      </c>
      <c r="IF181" s="518">
        <v>0</v>
      </c>
      <c r="IG181" s="518">
        <v>0</v>
      </c>
      <c r="IH181" s="518">
        <v>0</v>
      </c>
      <c r="II181" s="518">
        <v>0</v>
      </c>
      <c r="IJ181" s="518">
        <v>0</v>
      </c>
      <c r="IK181" s="518">
        <v>0</v>
      </c>
    </row>
    <row r="182" spans="13:245" hidden="1">
      <c r="M182" s="517" t="s">
        <v>721</v>
      </c>
      <c r="N182" s="517" t="s">
        <v>1101</v>
      </c>
      <c r="O182" s="517" t="s">
        <v>26</v>
      </c>
      <c r="P182" s="518">
        <v>49</v>
      </c>
      <c r="Q182" s="494" t="str">
        <f t="shared" si="8"/>
        <v>SWUC100249</v>
      </c>
      <c r="R182" s="518">
        <v>318</v>
      </c>
      <c r="S182" s="518">
        <v>10000</v>
      </c>
      <c r="T182" s="518">
        <v>10000</v>
      </c>
      <c r="U182" s="518">
        <v>10000</v>
      </c>
      <c r="V182" s="518">
        <v>10000</v>
      </c>
      <c r="W182" s="518">
        <v>10000</v>
      </c>
      <c r="X182" s="518">
        <v>10000</v>
      </c>
      <c r="Y182" s="518">
        <v>10000</v>
      </c>
      <c r="Z182" s="518">
        <v>10000</v>
      </c>
      <c r="AA182" s="518">
        <v>10000</v>
      </c>
      <c r="AB182" s="518">
        <v>0</v>
      </c>
      <c r="AC182" s="518">
        <v>0</v>
      </c>
      <c r="AD182" s="518">
        <v>0</v>
      </c>
      <c r="AE182" s="518">
        <v>0</v>
      </c>
      <c r="AF182" s="518">
        <v>0</v>
      </c>
      <c r="AG182" s="518">
        <v>0</v>
      </c>
      <c r="AH182" s="518">
        <v>0</v>
      </c>
      <c r="AI182" s="518">
        <v>0</v>
      </c>
      <c r="AJ182" s="518">
        <v>0</v>
      </c>
      <c r="AK182" s="518">
        <v>0</v>
      </c>
      <c r="AL182" s="518">
        <v>0</v>
      </c>
      <c r="AM182" s="518">
        <v>0</v>
      </c>
      <c r="AN182" s="518">
        <v>0</v>
      </c>
      <c r="AO182" s="518">
        <v>0</v>
      </c>
      <c r="AP182" s="518">
        <v>0</v>
      </c>
      <c r="AQ182" s="518">
        <v>0</v>
      </c>
      <c r="AR182" s="518">
        <v>0</v>
      </c>
      <c r="AS182" s="518">
        <v>0</v>
      </c>
      <c r="AT182" s="518">
        <v>0</v>
      </c>
      <c r="AU182" s="518">
        <v>0</v>
      </c>
      <c r="AV182" s="518">
        <v>0</v>
      </c>
      <c r="AW182" s="518">
        <v>0</v>
      </c>
      <c r="AX182" s="518">
        <v>0</v>
      </c>
      <c r="AY182" s="518">
        <v>0</v>
      </c>
      <c r="AZ182" s="518">
        <v>0</v>
      </c>
      <c r="BA182" s="518">
        <v>0</v>
      </c>
      <c r="BB182" s="518">
        <v>0</v>
      </c>
      <c r="BC182" s="518">
        <v>0</v>
      </c>
      <c r="BD182" s="518">
        <v>0</v>
      </c>
      <c r="BE182" s="518">
        <v>0</v>
      </c>
      <c r="BF182" s="518">
        <v>0</v>
      </c>
      <c r="BG182" s="518">
        <v>0</v>
      </c>
      <c r="BH182" s="518">
        <v>0</v>
      </c>
      <c r="BI182" s="518">
        <v>0</v>
      </c>
      <c r="BJ182" s="518">
        <v>0</v>
      </c>
      <c r="BK182" s="518">
        <v>0</v>
      </c>
      <c r="BL182" s="518">
        <v>0</v>
      </c>
      <c r="BM182" s="518">
        <v>0</v>
      </c>
      <c r="BN182" s="518">
        <v>0</v>
      </c>
      <c r="BO182" s="518">
        <v>0</v>
      </c>
      <c r="BP182" s="518">
        <v>0</v>
      </c>
      <c r="BQ182" s="518">
        <v>0</v>
      </c>
      <c r="BR182" s="518">
        <v>0</v>
      </c>
      <c r="BS182" s="518">
        <v>0</v>
      </c>
      <c r="BT182" s="518">
        <v>0</v>
      </c>
      <c r="BU182" s="518">
        <v>0</v>
      </c>
      <c r="BV182" s="518">
        <v>0</v>
      </c>
      <c r="BW182" s="518">
        <v>0</v>
      </c>
      <c r="BX182" s="518">
        <v>0</v>
      </c>
      <c r="BY182" s="518">
        <v>0</v>
      </c>
      <c r="BZ182" s="518">
        <v>0</v>
      </c>
      <c r="CA182" s="518">
        <v>0</v>
      </c>
      <c r="CB182" s="518">
        <v>0</v>
      </c>
      <c r="CC182" s="518">
        <v>0</v>
      </c>
      <c r="CD182" s="518">
        <v>0</v>
      </c>
      <c r="CE182" s="518">
        <v>0</v>
      </c>
      <c r="CF182" s="518">
        <v>0</v>
      </c>
      <c r="CG182" s="518">
        <v>0</v>
      </c>
      <c r="CH182" s="518">
        <v>0</v>
      </c>
      <c r="CI182" s="518">
        <v>0</v>
      </c>
      <c r="CJ182" s="518">
        <v>0</v>
      </c>
      <c r="CK182" s="518">
        <v>0</v>
      </c>
      <c r="CL182" s="518">
        <v>0</v>
      </c>
      <c r="CM182" s="518">
        <v>0</v>
      </c>
      <c r="CN182" s="518">
        <v>0</v>
      </c>
      <c r="CO182" s="518">
        <v>0</v>
      </c>
      <c r="CP182" s="518">
        <v>0</v>
      </c>
      <c r="CQ182" s="518">
        <v>0</v>
      </c>
      <c r="CR182" s="518">
        <v>0</v>
      </c>
      <c r="CS182" s="518">
        <v>0</v>
      </c>
      <c r="CT182" s="518">
        <v>0</v>
      </c>
      <c r="CU182" s="518">
        <v>0</v>
      </c>
      <c r="CV182" s="518">
        <v>0</v>
      </c>
      <c r="CW182" s="518">
        <v>0</v>
      </c>
      <c r="CX182" s="518">
        <v>0</v>
      </c>
      <c r="CY182" s="518">
        <v>0</v>
      </c>
      <c r="CZ182" s="518">
        <v>0</v>
      </c>
      <c r="DA182" s="518">
        <v>0</v>
      </c>
      <c r="DB182" s="518">
        <v>0</v>
      </c>
      <c r="DC182" s="518">
        <v>0</v>
      </c>
      <c r="DD182" s="518">
        <v>0</v>
      </c>
      <c r="DE182" s="518">
        <v>0</v>
      </c>
      <c r="DF182" s="518">
        <v>0</v>
      </c>
      <c r="DG182" s="518">
        <v>0</v>
      </c>
      <c r="DH182" s="518">
        <v>0</v>
      </c>
      <c r="DI182" s="518">
        <v>0</v>
      </c>
      <c r="DJ182" s="518">
        <v>0</v>
      </c>
      <c r="DK182" s="518">
        <v>0</v>
      </c>
      <c r="DL182" s="518">
        <v>0</v>
      </c>
      <c r="DM182" s="518">
        <v>0</v>
      </c>
      <c r="DN182" s="518">
        <v>0</v>
      </c>
      <c r="DO182" s="518">
        <v>0</v>
      </c>
      <c r="DP182" s="518">
        <v>0</v>
      </c>
      <c r="DQ182" s="518">
        <v>0</v>
      </c>
      <c r="DR182" s="518">
        <v>0</v>
      </c>
      <c r="DS182" s="518">
        <v>0</v>
      </c>
      <c r="DT182" s="518">
        <v>0</v>
      </c>
      <c r="DU182" s="518">
        <v>0</v>
      </c>
      <c r="DV182" s="518">
        <v>0</v>
      </c>
      <c r="DW182" s="518">
        <v>0</v>
      </c>
      <c r="DX182" s="518">
        <v>0</v>
      </c>
      <c r="DZ182" s="517" t="s">
        <v>721</v>
      </c>
      <c r="EA182" s="517" t="s">
        <v>1101</v>
      </c>
      <c r="EB182" s="517" t="s">
        <v>26</v>
      </c>
      <c r="EC182" s="518">
        <v>49</v>
      </c>
      <c r="ED182" s="494" t="str">
        <f t="shared" si="9"/>
        <v>SWUC100249</v>
      </c>
      <c r="EE182" s="518">
        <v>318</v>
      </c>
      <c r="EF182" s="518">
        <v>2000</v>
      </c>
      <c r="EG182" s="518">
        <v>2000</v>
      </c>
      <c r="EH182" s="518">
        <v>2000</v>
      </c>
      <c r="EI182" s="518">
        <v>2000</v>
      </c>
      <c r="EJ182" s="518">
        <v>2000</v>
      </c>
      <c r="EK182" s="518">
        <v>2226</v>
      </c>
      <c r="EL182" s="518">
        <v>2544</v>
      </c>
      <c r="EM182" s="518">
        <v>2862</v>
      </c>
      <c r="EN182" s="518">
        <v>3180</v>
      </c>
      <c r="EO182" s="518">
        <v>0</v>
      </c>
      <c r="EP182" s="518">
        <v>0</v>
      </c>
      <c r="EQ182" s="518">
        <v>0</v>
      </c>
      <c r="ER182" s="518">
        <v>0</v>
      </c>
      <c r="ES182" s="518">
        <v>0</v>
      </c>
      <c r="ET182" s="518">
        <v>0</v>
      </c>
      <c r="EU182" s="518">
        <v>0</v>
      </c>
      <c r="EV182" s="518">
        <v>0</v>
      </c>
      <c r="EW182" s="518">
        <v>0</v>
      </c>
      <c r="EX182" s="518">
        <v>0</v>
      </c>
      <c r="EY182" s="518">
        <v>0</v>
      </c>
      <c r="EZ182" s="518">
        <v>0</v>
      </c>
      <c r="FA182" s="518">
        <v>0</v>
      </c>
      <c r="FB182" s="518">
        <v>0</v>
      </c>
      <c r="FC182" s="518">
        <v>0</v>
      </c>
      <c r="FD182" s="518">
        <v>0</v>
      </c>
      <c r="FE182" s="518">
        <v>0</v>
      </c>
      <c r="FF182" s="518">
        <v>0</v>
      </c>
      <c r="FG182" s="518">
        <v>0</v>
      </c>
      <c r="FH182" s="518">
        <v>0</v>
      </c>
      <c r="FI182" s="518">
        <v>0</v>
      </c>
      <c r="FJ182" s="518">
        <v>0</v>
      </c>
      <c r="FK182" s="518">
        <v>0</v>
      </c>
      <c r="FL182" s="518">
        <v>0</v>
      </c>
      <c r="FM182" s="518">
        <v>0</v>
      </c>
      <c r="FN182" s="518">
        <v>0</v>
      </c>
      <c r="FO182" s="518">
        <v>0</v>
      </c>
      <c r="FP182" s="518">
        <v>0</v>
      </c>
      <c r="FQ182" s="518">
        <v>0</v>
      </c>
      <c r="FR182" s="518">
        <v>0</v>
      </c>
      <c r="FS182" s="518">
        <v>0</v>
      </c>
      <c r="FT182" s="518">
        <v>0</v>
      </c>
      <c r="FU182" s="518">
        <v>0</v>
      </c>
      <c r="FV182" s="518">
        <v>0</v>
      </c>
      <c r="FW182" s="518">
        <v>0</v>
      </c>
      <c r="FX182" s="518">
        <v>0</v>
      </c>
      <c r="FY182" s="518">
        <v>0</v>
      </c>
      <c r="FZ182" s="518">
        <v>0</v>
      </c>
      <c r="GA182" s="518">
        <v>0</v>
      </c>
      <c r="GB182" s="518">
        <v>0</v>
      </c>
      <c r="GC182" s="518">
        <v>0</v>
      </c>
      <c r="GD182" s="518">
        <v>0</v>
      </c>
      <c r="GE182" s="518">
        <v>0</v>
      </c>
      <c r="GF182" s="518">
        <v>0</v>
      </c>
      <c r="GG182" s="518">
        <v>0</v>
      </c>
      <c r="GH182" s="518">
        <v>0</v>
      </c>
      <c r="GI182" s="518">
        <v>0</v>
      </c>
      <c r="GJ182" s="518">
        <v>0</v>
      </c>
      <c r="GK182" s="518">
        <v>0</v>
      </c>
      <c r="GL182" s="518">
        <v>0</v>
      </c>
      <c r="GM182" s="518">
        <v>0</v>
      </c>
      <c r="GN182" s="518">
        <v>0</v>
      </c>
      <c r="GO182" s="518">
        <v>0</v>
      </c>
      <c r="GP182" s="518">
        <v>0</v>
      </c>
      <c r="GQ182" s="518">
        <v>0</v>
      </c>
      <c r="GR182" s="518">
        <v>0</v>
      </c>
      <c r="GS182" s="518">
        <v>0</v>
      </c>
      <c r="GT182" s="518">
        <v>0</v>
      </c>
      <c r="GU182" s="518">
        <v>0</v>
      </c>
      <c r="GV182" s="518">
        <v>0</v>
      </c>
      <c r="GW182" s="518">
        <v>0</v>
      </c>
      <c r="GX182" s="518">
        <v>0</v>
      </c>
      <c r="GY182" s="518">
        <v>0</v>
      </c>
      <c r="GZ182" s="518">
        <v>0</v>
      </c>
      <c r="HA182" s="518">
        <v>0</v>
      </c>
      <c r="HB182" s="518">
        <v>0</v>
      </c>
      <c r="HC182" s="518">
        <v>0</v>
      </c>
      <c r="HD182" s="518">
        <v>0</v>
      </c>
      <c r="HE182" s="518">
        <v>0</v>
      </c>
      <c r="HF182" s="518">
        <v>0</v>
      </c>
      <c r="HG182" s="518">
        <v>0</v>
      </c>
      <c r="HH182" s="518">
        <v>0</v>
      </c>
      <c r="HI182" s="518">
        <v>0</v>
      </c>
      <c r="HJ182" s="518">
        <v>0</v>
      </c>
      <c r="HK182" s="518">
        <v>0</v>
      </c>
      <c r="HL182" s="518">
        <v>0</v>
      </c>
      <c r="HM182" s="518">
        <v>0</v>
      </c>
      <c r="HN182" s="518">
        <v>0</v>
      </c>
      <c r="HO182" s="518">
        <v>0</v>
      </c>
      <c r="HP182" s="518">
        <v>0</v>
      </c>
      <c r="HQ182" s="518">
        <v>0</v>
      </c>
      <c r="HR182" s="518">
        <v>0</v>
      </c>
      <c r="HS182" s="518">
        <v>0</v>
      </c>
      <c r="HT182" s="518">
        <v>0</v>
      </c>
      <c r="HU182" s="518">
        <v>0</v>
      </c>
      <c r="HV182" s="518">
        <v>0</v>
      </c>
      <c r="HW182" s="518">
        <v>0</v>
      </c>
      <c r="HX182" s="518">
        <v>0</v>
      </c>
      <c r="HY182" s="518">
        <v>0</v>
      </c>
      <c r="HZ182" s="518">
        <v>0</v>
      </c>
      <c r="IA182" s="518">
        <v>0</v>
      </c>
      <c r="IB182" s="518">
        <v>0</v>
      </c>
      <c r="IC182" s="518">
        <v>0</v>
      </c>
      <c r="ID182" s="518">
        <v>0</v>
      </c>
      <c r="IE182" s="518">
        <v>0</v>
      </c>
      <c r="IF182" s="518">
        <v>0</v>
      </c>
      <c r="IG182" s="518">
        <v>0</v>
      </c>
      <c r="IH182" s="518">
        <v>0</v>
      </c>
      <c r="II182" s="518">
        <v>0</v>
      </c>
      <c r="IJ182" s="518">
        <v>0</v>
      </c>
      <c r="IK182" s="518">
        <v>0</v>
      </c>
    </row>
    <row r="183" spans="13:245" hidden="1">
      <c r="M183" s="517" t="s">
        <v>721</v>
      </c>
      <c r="N183" s="517" t="s">
        <v>1101</v>
      </c>
      <c r="O183" s="517" t="s">
        <v>26</v>
      </c>
      <c r="P183" s="518">
        <v>50</v>
      </c>
      <c r="Q183" s="494" t="str">
        <f t="shared" si="8"/>
        <v>SWUC100250</v>
      </c>
      <c r="R183" s="518">
        <v>337.1</v>
      </c>
      <c r="S183" s="518">
        <v>10000</v>
      </c>
      <c r="T183" s="518">
        <v>10000</v>
      </c>
      <c r="U183" s="518">
        <v>10000</v>
      </c>
      <c r="V183" s="518">
        <v>10000</v>
      </c>
      <c r="W183" s="518">
        <v>10000</v>
      </c>
      <c r="X183" s="518">
        <v>10000</v>
      </c>
      <c r="Y183" s="518">
        <v>10000</v>
      </c>
      <c r="Z183" s="518">
        <v>10000</v>
      </c>
      <c r="AA183" s="518">
        <v>10000</v>
      </c>
      <c r="AB183" s="518">
        <v>0</v>
      </c>
      <c r="AC183" s="518">
        <v>0</v>
      </c>
      <c r="AD183" s="518">
        <v>0</v>
      </c>
      <c r="AE183" s="518">
        <v>0</v>
      </c>
      <c r="AF183" s="518">
        <v>0</v>
      </c>
      <c r="AG183" s="518">
        <v>0</v>
      </c>
      <c r="AH183" s="518">
        <v>0</v>
      </c>
      <c r="AI183" s="518">
        <v>0</v>
      </c>
      <c r="AJ183" s="518">
        <v>0</v>
      </c>
      <c r="AK183" s="518">
        <v>0</v>
      </c>
      <c r="AL183" s="518">
        <v>0</v>
      </c>
      <c r="AM183" s="518">
        <v>0</v>
      </c>
      <c r="AN183" s="518">
        <v>0</v>
      </c>
      <c r="AO183" s="518">
        <v>0</v>
      </c>
      <c r="AP183" s="518">
        <v>0</v>
      </c>
      <c r="AQ183" s="518">
        <v>0</v>
      </c>
      <c r="AR183" s="518">
        <v>0</v>
      </c>
      <c r="AS183" s="518">
        <v>0</v>
      </c>
      <c r="AT183" s="518">
        <v>0</v>
      </c>
      <c r="AU183" s="518">
        <v>0</v>
      </c>
      <c r="AV183" s="518">
        <v>0</v>
      </c>
      <c r="AW183" s="518">
        <v>0</v>
      </c>
      <c r="AX183" s="518">
        <v>0</v>
      </c>
      <c r="AY183" s="518">
        <v>0</v>
      </c>
      <c r="AZ183" s="518">
        <v>0</v>
      </c>
      <c r="BA183" s="518">
        <v>0</v>
      </c>
      <c r="BB183" s="518">
        <v>0</v>
      </c>
      <c r="BC183" s="518">
        <v>0</v>
      </c>
      <c r="BD183" s="518">
        <v>0</v>
      </c>
      <c r="BE183" s="518">
        <v>0</v>
      </c>
      <c r="BF183" s="518">
        <v>0</v>
      </c>
      <c r="BG183" s="518">
        <v>0</v>
      </c>
      <c r="BH183" s="518">
        <v>0</v>
      </c>
      <c r="BI183" s="518">
        <v>0</v>
      </c>
      <c r="BJ183" s="518">
        <v>0</v>
      </c>
      <c r="BK183" s="518">
        <v>0</v>
      </c>
      <c r="BL183" s="518">
        <v>0</v>
      </c>
      <c r="BM183" s="518">
        <v>0</v>
      </c>
      <c r="BN183" s="518">
        <v>0</v>
      </c>
      <c r="BO183" s="518">
        <v>0</v>
      </c>
      <c r="BP183" s="518">
        <v>0</v>
      </c>
      <c r="BQ183" s="518">
        <v>0</v>
      </c>
      <c r="BR183" s="518">
        <v>0</v>
      </c>
      <c r="BS183" s="518">
        <v>0</v>
      </c>
      <c r="BT183" s="518">
        <v>0</v>
      </c>
      <c r="BU183" s="518">
        <v>0</v>
      </c>
      <c r="BV183" s="518">
        <v>0</v>
      </c>
      <c r="BW183" s="518">
        <v>0</v>
      </c>
      <c r="BX183" s="518">
        <v>0</v>
      </c>
      <c r="BY183" s="518">
        <v>0</v>
      </c>
      <c r="BZ183" s="518">
        <v>0</v>
      </c>
      <c r="CA183" s="518">
        <v>0</v>
      </c>
      <c r="CB183" s="518">
        <v>0</v>
      </c>
      <c r="CC183" s="518">
        <v>0</v>
      </c>
      <c r="CD183" s="518">
        <v>0</v>
      </c>
      <c r="CE183" s="518">
        <v>0</v>
      </c>
      <c r="CF183" s="518">
        <v>0</v>
      </c>
      <c r="CG183" s="518">
        <v>0</v>
      </c>
      <c r="CH183" s="518">
        <v>0</v>
      </c>
      <c r="CI183" s="518">
        <v>0</v>
      </c>
      <c r="CJ183" s="518">
        <v>0</v>
      </c>
      <c r="CK183" s="518">
        <v>0</v>
      </c>
      <c r="CL183" s="518">
        <v>0</v>
      </c>
      <c r="CM183" s="518">
        <v>0</v>
      </c>
      <c r="CN183" s="518">
        <v>0</v>
      </c>
      <c r="CO183" s="518">
        <v>0</v>
      </c>
      <c r="CP183" s="518">
        <v>0</v>
      </c>
      <c r="CQ183" s="518">
        <v>0</v>
      </c>
      <c r="CR183" s="518">
        <v>0</v>
      </c>
      <c r="CS183" s="518">
        <v>0</v>
      </c>
      <c r="CT183" s="518">
        <v>0</v>
      </c>
      <c r="CU183" s="518">
        <v>0</v>
      </c>
      <c r="CV183" s="518">
        <v>0</v>
      </c>
      <c r="CW183" s="518">
        <v>0</v>
      </c>
      <c r="CX183" s="518">
        <v>0</v>
      </c>
      <c r="CY183" s="518">
        <v>0</v>
      </c>
      <c r="CZ183" s="518">
        <v>0</v>
      </c>
      <c r="DA183" s="518">
        <v>0</v>
      </c>
      <c r="DB183" s="518">
        <v>0</v>
      </c>
      <c r="DC183" s="518">
        <v>0</v>
      </c>
      <c r="DD183" s="518">
        <v>0</v>
      </c>
      <c r="DE183" s="518">
        <v>0</v>
      </c>
      <c r="DF183" s="518">
        <v>0</v>
      </c>
      <c r="DG183" s="518">
        <v>0</v>
      </c>
      <c r="DH183" s="518">
        <v>0</v>
      </c>
      <c r="DI183" s="518">
        <v>0</v>
      </c>
      <c r="DJ183" s="518">
        <v>0</v>
      </c>
      <c r="DK183" s="518">
        <v>0</v>
      </c>
      <c r="DL183" s="518">
        <v>0</v>
      </c>
      <c r="DM183" s="518">
        <v>0</v>
      </c>
      <c r="DN183" s="518">
        <v>0</v>
      </c>
      <c r="DO183" s="518">
        <v>0</v>
      </c>
      <c r="DP183" s="518">
        <v>0</v>
      </c>
      <c r="DQ183" s="518">
        <v>0</v>
      </c>
      <c r="DR183" s="518">
        <v>0</v>
      </c>
      <c r="DS183" s="518">
        <v>0</v>
      </c>
      <c r="DT183" s="518">
        <v>0</v>
      </c>
      <c r="DU183" s="518">
        <v>0</v>
      </c>
      <c r="DV183" s="518">
        <v>0</v>
      </c>
      <c r="DW183" s="518">
        <v>0</v>
      </c>
      <c r="DX183" s="518">
        <v>0</v>
      </c>
      <c r="DZ183" s="517" t="s">
        <v>721</v>
      </c>
      <c r="EA183" s="517" t="s">
        <v>1101</v>
      </c>
      <c r="EB183" s="517" t="s">
        <v>26</v>
      </c>
      <c r="EC183" s="518">
        <v>50</v>
      </c>
      <c r="ED183" s="494" t="str">
        <f t="shared" si="9"/>
        <v>SWUC100250</v>
      </c>
      <c r="EE183" s="518">
        <v>337.1</v>
      </c>
      <c r="EF183" s="518">
        <v>2000</v>
      </c>
      <c r="EG183" s="518">
        <v>2000</v>
      </c>
      <c r="EH183" s="518">
        <v>2000</v>
      </c>
      <c r="EI183" s="518">
        <v>2000</v>
      </c>
      <c r="EJ183" s="518">
        <v>2022.5</v>
      </c>
      <c r="EK183" s="518">
        <v>2359.6</v>
      </c>
      <c r="EL183" s="518">
        <v>2696.6</v>
      </c>
      <c r="EM183" s="518">
        <v>3033.7</v>
      </c>
      <c r="EN183" s="518">
        <v>3370.8</v>
      </c>
      <c r="EO183" s="518">
        <v>0</v>
      </c>
      <c r="EP183" s="518">
        <v>0</v>
      </c>
      <c r="EQ183" s="518">
        <v>0</v>
      </c>
      <c r="ER183" s="518">
        <v>0</v>
      </c>
      <c r="ES183" s="518">
        <v>0</v>
      </c>
      <c r="ET183" s="518">
        <v>0</v>
      </c>
      <c r="EU183" s="518">
        <v>0</v>
      </c>
      <c r="EV183" s="518">
        <v>0</v>
      </c>
      <c r="EW183" s="518">
        <v>0</v>
      </c>
      <c r="EX183" s="518">
        <v>0</v>
      </c>
      <c r="EY183" s="518">
        <v>0</v>
      </c>
      <c r="EZ183" s="518">
        <v>0</v>
      </c>
      <c r="FA183" s="518">
        <v>0</v>
      </c>
      <c r="FB183" s="518">
        <v>0</v>
      </c>
      <c r="FC183" s="518">
        <v>0</v>
      </c>
      <c r="FD183" s="518">
        <v>0</v>
      </c>
      <c r="FE183" s="518">
        <v>0</v>
      </c>
      <c r="FF183" s="518">
        <v>0</v>
      </c>
      <c r="FG183" s="518">
        <v>0</v>
      </c>
      <c r="FH183" s="518">
        <v>0</v>
      </c>
      <c r="FI183" s="518">
        <v>0</v>
      </c>
      <c r="FJ183" s="518">
        <v>0</v>
      </c>
      <c r="FK183" s="518">
        <v>0</v>
      </c>
      <c r="FL183" s="518">
        <v>0</v>
      </c>
      <c r="FM183" s="518">
        <v>0</v>
      </c>
      <c r="FN183" s="518">
        <v>0</v>
      </c>
      <c r="FO183" s="518">
        <v>0</v>
      </c>
      <c r="FP183" s="518">
        <v>0</v>
      </c>
      <c r="FQ183" s="518">
        <v>0</v>
      </c>
      <c r="FR183" s="518">
        <v>0</v>
      </c>
      <c r="FS183" s="518">
        <v>0</v>
      </c>
      <c r="FT183" s="518">
        <v>0</v>
      </c>
      <c r="FU183" s="518">
        <v>0</v>
      </c>
      <c r="FV183" s="518">
        <v>0</v>
      </c>
      <c r="FW183" s="518">
        <v>0</v>
      </c>
      <c r="FX183" s="518">
        <v>0</v>
      </c>
      <c r="FY183" s="518">
        <v>0</v>
      </c>
      <c r="FZ183" s="518">
        <v>0</v>
      </c>
      <c r="GA183" s="518">
        <v>0</v>
      </c>
      <c r="GB183" s="518">
        <v>0</v>
      </c>
      <c r="GC183" s="518">
        <v>0</v>
      </c>
      <c r="GD183" s="518">
        <v>0</v>
      </c>
      <c r="GE183" s="518">
        <v>0</v>
      </c>
      <c r="GF183" s="518">
        <v>0</v>
      </c>
      <c r="GG183" s="518">
        <v>0</v>
      </c>
      <c r="GH183" s="518">
        <v>0</v>
      </c>
      <c r="GI183" s="518">
        <v>0</v>
      </c>
      <c r="GJ183" s="518">
        <v>0</v>
      </c>
      <c r="GK183" s="518">
        <v>0</v>
      </c>
      <c r="GL183" s="518">
        <v>0</v>
      </c>
      <c r="GM183" s="518">
        <v>0</v>
      </c>
      <c r="GN183" s="518">
        <v>0</v>
      </c>
      <c r="GO183" s="518">
        <v>0</v>
      </c>
      <c r="GP183" s="518">
        <v>0</v>
      </c>
      <c r="GQ183" s="518">
        <v>0</v>
      </c>
      <c r="GR183" s="518">
        <v>0</v>
      </c>
      <c r="GS183" s="518">
        <v>0</v>
      </c>
      <c r="GT183" s="518">
        <v>0</v>
      </c>
      <c r="GU183" s="518">
        <v>0</v>
      </c>
      <c r="GV183" s="518">
        <v>0</v>
      </c>
      <c r="GW183" s="518">
        <v>0</v>
      </c>
      <c r="GX183" s="518">
        <v>0</v>
      </c>
      <c r="GY183" s="518">
        <v>0</v>
      </c>
      <c r="GZ183" s="518">
        <v>0</v>
      </c>
      <c r="HA183" s="518">
        <v>0</v>
      </c>
      <c r="HB183" s="518">
        <v>0</v>
      </c>
      <c r="HC183" s="518">
        <v>0</v>
      </c>
      <c r="HD183" s="518">
        <v>0</v>
      </c>
      <c r="HE183" s="518">
        <v>0</v>
      </c>
      <c r="HF183" s="518">
        <v>0</v>
      </c>
      <c r="HG183" s="518">
        <v>0</v>
      </c>
      <c r="HH183" s="518">
        <v>0</v>
      </c>
      <c r="HI183" s="518">
        <v>0</v>
      </c>
      <c r="HJ183" s="518">
        <v>0</v>
      </c>
      <c r="HK183" s="518">
        <v>0</v>
      </c>
      <c r="HL183" s="518">
        <v>0</v>
      </c>
      <c r="HM183" s="518">
        <v>0</v>
      </c>
      <c r="HN183" s="518">
        <v>0</v>
      </c>
      <c r="HO183" s="518">
        <v>0</v>
      </c>
      <c r="HP183" s="518">
        <v>0</v>
      </c>
      <c r="HQ183" s="518">
        <v>0</v>
      </c>
      <c r="HR183" s="518">
        <v>0</v>
      </c>
      <c r="HS183" s="518">
        <v>0</v>
      </c>
      <c r="HT183" s="518">
        <v>0</v>
      </c>
      <c r="HU183" s="518">
        <v>0</v>
      </c>
      <c r="HV183" s="518">
        <v>0</v>
      </c>
      <c r="HW183" s="518">
        <v>0</v>
      </c>
      <c r="HX183" s="518">
        <v>0</v>
      </c>
      <c r="HY183" s="518">
        <v>0</v>
      </c>
      <c r="HZ183" s="518">
        <v>0</v>
      </c>
      <c r="IA183" s="518">
        <v>0</v>
      </c>
      <c r="IB183" s="518">
        <v>0</v>
      </c>
      <c r="IC183" s="518">
        <v>0</v>
      </c>
      <c r="ID183" s="518">
        <v>0</v>
      </c>
      <c r="IE183" s="518">
        <v>0</v>
      </c>
      <c r="IF183" s="518">
        <v>0</v>
      </c>
      <c r="IG183" s="518">
        <v>0</v>
      </c>
      <c r="IH183" s="518">
        <v>0</v>
      </c>
      <c r="II183" s="518">
        <v>0</v>
      </c>
      <c r="IJ183" s="518">
        <v>0</v>
      </c>
      <c r="IK183" s="518">
        <v>0</v>
      </c>
    </row>
    <row r="184" spans="13:245" hidden="1">
      <c r="M184" s="517" t="s">
        <v>721</v>
      </c>
      <c r="N184" s="517" t="s">
        <v>1101</v>
      </c>
      <c r="O184" s="517" t="s">
        <v>26</v>
      </c>
      <c r="P184" s="518">
        <v>51</v>
      </c>
      <c r="Q184" s="494" t="str">
        <f t="shared" si="8"/>
        <v>SWUC100251</v>
      </c>
      <c r="R184" s="518">
        <v>357.2</v>
      </c>
      <c r="S184" s="518">
        <v>10000</v>
      </c>
      <c r="T184" s="518">
        <v>10000</v>
      </c>
      <c r="U184" s="518">
        <v>10000</v>
      </c>
      <c r="V184" s="518">
        <v>10000</v>
      </c>
      <c r="W184" s="518">
        <v>10000</v>
      </c>
      <c r="X184" s="518">
        <v>10000</v>
      </c>
      <c r="Y184" s="518">
        <v>10000</v>
      </c>
      <c r="Z184" s="518">
        <v>10000</v>
      </c>
      <c r="AA184" s="518">
        <v>10000</v>
      </c>
      <c r="AB184" s="518">
        <v>0</v>
      </c>
      <c r="AC184" s="518">
        <v>0</v>
      </c>
      <c r="AD184" s="518">
        <v>0</v>
      </c>
      <c r="AE184" s="518">
        <v>0</v>
      </c>
      <c r="AF184" s="518">
        <v>0</v>
      </c>
      <c r="AG184" s="518">
        <v>0</v>
      </c>
      <c r="AH184" s="518">
        <v>0</v>
      </c>
      <c r="AI184" s="518">
        <v>0</v>
      </c>
      <c r="AJ184" s="518">
        <v>0</v>
      </c>
      <c r="AK184" s="518">
        <v>0</v>
      </c>
      <c r="AL184" s="518">
        <v>0</v>
      </c>
      <c r="AM184" s="518">
        <v>0</v>
      </c>
      <c r="AN184" s="518">
        <v>0</v>
      </c>
      <c r="AO184" s="518">
        <v>0</v>
      </c>
      <c r="AP184" s="518">
        <v>0</v>
      </c>
      <c r="AQ184" s="518">
        <v>0</v>
      </c>
      <c r="AR184" s="518">
        <v>0</v>
      </c>
      <c r="AS184" s="518">
        <v>0</v>
      </c>
      <c r="AT184" s="518">
        <v>0</v>
      </c>
      <c r="AU184" s="518">
        <v>0</v>
      </c>
      <c r="AV184" s="518">
        <v>0</v>
      </c>
      <c r="AW184" s="518">
        <v>0</v>
      </c>
      <c r="AX184" s="518">
        <v>0</v>
      </c>
      <c r="AY184" s="518">
        <v>0</v>
      </c>
      <c r="AZ184" s="518">
        <v>0</v>
      </c>
      <c r="BA184" s="518">
        <v>0</v>
      </c>
      <c r="BB184" s="518">
        <v>0</v>
      </c>
      <c r="BC184" s="518">
        <v>0</v>
      </c>
      <c r="BD184" s="518">
        <v>0</v>
      </c>
      <c r="BE184" s="518">
        <v>0</v>
      </c>
      <c r="BF184" s="518">
        <v>0</v>
      </c>
      <c r="BG184" s="518">
        <v>0</v>
      </c>
      <c r="BH184" s="518">
        <v>0</v>
      </c>
      <c r="BI184" s="518">
        <v>0</v>
      </c>
      <c r="BJ184" s="518">
        <v>0</v>
      </c>
      <c r="BK184" s="518">
        <v>0</v>
      </c>
      <c r="BL184" s="518">
        <v>0</v>
      </c>
      <c r="BM184" s="518">
        <v>0</v>
      </c>
      <c r="BN184" s="518">
        <v>0</v>
      </c>
      <c r="BO184" s="518">
        <v>0</v>
      </c>
      <c r="BP184" s="518">
        <v>0</v>
      </c>
      <c r="BQ184" s="518">
        <v>0</v>
      </c>
      <c r="BR184" s="518">
        <v>0</v>
      </c>
      <c r="BS184" s="518">
        <v>0</v>
      </c>
      <c r="BT184" s="518">
        <v>0</v>
      </c>
      <c r="BU184" s="518">
        <v>0</v>
      </c>
      <c r="BV184" s="518">
        <v>0</v>
      </c>
      <c r="BW184" s="518">
        <v>0</v>
      </c>
      <c r="BX184" s="518">
        <v>0</v>
      </c>
      <c r="BY184" s="518">
        <v>0</v>
      </c>
      <c r="BZ184" s="518">
        <v>0</v>
      </c>
      <c r="CA184" s="518">
        <v>0</v>
      </c>
      <c r="CB184" s="518">
        <v>0</v>
      </c>
      <c r="CC184" s="518">
        <v>0</v>
      </c>
      <c r="CD184" s="518">
        <v>0</v>
      </c>
      <c r="CE184" s="518">
        <v>0</v>
      </c>
      <c r="CF184" s="518">
        <v>0</v>
      </c>
      <c r="CG184" s="518">
        <v>0</v>
      </c>
      <c r="CH184" s="518">
        <v>0</v>
      </c>
      <c r="CI184" s="518">
        <v>0</v>
      </c>
      <c r="CJ184" s="518">
        <v>0</v>
      </c>
      <c r="CK184" s="518">
        <v>0</v>
      </c>
      <c r="CL184" s="518">
        <v>0</v>
      </c>
      <c r="CM184" s="518">
        <v>0</v>
      </c>
      <c r="CN184" s="518">
        <v>0</v>
      </c>
      <c r="CO184" s="518">
        <v>0</v>
      </c>
      <c r="CP184" s="518">
        <v>0</v>
      </c>
      <c r="CQ184" s="518">
        <v>0</v>
      </c>
      <c r="CR184" s="518">
        <v>0</v>
      </c>
      <c r="CS184" s="518">
        <v>0</v>
      </c>
      <c r="CT184" s="518">
        <v>0</v>
      </c>
      <c r="CU184" s="518">
        <v>0</v>
      </c>
      <c r="CV184" s="518">
        <v>0</v>
      </c>
      <c r="CW184" s="518">
        <v>0</v>
      </c>
      <c r="CX184" s="518">
        <v>0</v>
      </c>
      <c r="CY184" s="518">
        <v>0</v>
      </c>
      <c r="CZ184" s="518">
        <v>0</v>
      </c>
      <c r="DA184" s="518">
        <v>0</v>
      </c>
      <c r="DB184" s="518">
        <v>0</v>
      </c>
      <c r="DC184" s="518">
        <v>0</v>
      </c>
      <c r="DD184" s="518">
        <v>0</v>
      </c>
      <c r="DE184" s="518">
        <v>0</v>
      </c>
      <c r="DF184" s="518">
        <v>0</v>
      </c>
      <c r="DG184" s="518">
        <v>0</v>
      </c>
      <c r="DH184" s="518">
        <v>0</v>
      </c>
      <c r="DI184" s="518">
        <v>0</v>
      </c>
      <c r="DJ184" s="518">
        <v>0</v>
      </c>
      <c r="DK184" s="518">
        <v>0</v>
      </c>
      <c r="DL184" s="518">
        <v>0</v>
      </c>
      <c r="DM184" s="518">
        <v>0</v>
      </c>
      <c r="DN184" s="518">
        <v>0</v>
      </c>
      <c r="DO184" s="518">
        <v>0</v>
      </c>
      <c r="DP184" s="518">
        <v>0</v>
      </c>
      <c r="DQ184" s="518">
        <v>0</v>
      </c>
      <c r="DR184" s="518">
        <v>0</v>
      </c>
      <c r="DS184" s="518">
        <v>0</v>
      </c>
      <c r="DT184" s="518">
        <v>0</v>
      </c>
      <c r="DU184" s="518">
        <v>0</v>
      </c>
      <c r="DV184" s="518">
        <v>0</v>
      </c>
      <c r="DW184" s="518">
        <v>0</v>
      </c>
      <c r="DX184" s="518">
        <v>0</v>
      </c>
      <c r="DZ184" s="517" t="s">
        <v>721</v>
      </c>
      <c r="EA184" s="517" t="s">
        <v>1101</v>
      </c>
      <c r="EB184" s="517" t="s">
        <v>26</v>
      </c>
      <c r="EC184" s="518">
        <v>51</v>
      </c>
      <c r="ED184" s="494" t="str">
        <f t="shared" si="9"/>
        <v>SWUC100251</v>
      </c>
      <c r="EE184" s="518">
        <v>357.2</v>
      </c>
      <c r="EF184" s="518">
        <v>2000</v>
      </c>
      <c r="EG184" s="518">
        <v>2000</v>
      </c>
      <c r="EH184" s="518">
        <v>2000</v>
      </c>
      <c r="EI184" s="518">
        <v>2000</v>
      </c>
      <c r="EJ184" s="518">
        <v>2143.3000000000002</v>
      </c>
      <c r="EK184" s="518">
        <v>2500.5</v>
      </c>
      <c r="EL184" s="518">
        <v>2857.8</v>
      </c>
      <c r="EM184" s="518">
        <v>3215</v>
      </c>
      <c r="EN184" s="518">
        <v>3572.2</v>
      </c>
      <c r="EO184" s="518">
        <v>0</v>
      </c>
      <c r="EP184" s="518">
        <v>0</v>
      </c>
      <c r="EQ184" s="518">
        <v>0</v>
      </c>
      <c r="ER184" s="518">
        <v>0</v>
      </c>
      <c r="ES184" s="518">
        <v>0</v>
      </c>
      <c r="ET184" s="518">
        <v>0</v>
      </c>
      <c r="EU184" s="518">
        <v>0</v>
      </c>
      <c r="EV184" s="518">
        <v>0</v>
      </c>
      <c r="EW184" s="518">
        <v>0</v>
      </c>
      <c r="EX184" s="518">
        <v>0</v>
      </c>
      <c r="EY184" s="518">
        <v>0</v>
      </c>
      <c r="EZ184" s="518">
        <v>0</v>
      </c>
      <c r="FA184" s="518">
        <v>0</v>
      </c>
      <c r="FB184" s="518">
        <v>0</v>
      </c>
      <c r="FC184" s="518">
        <v>0</v>
      </c>
      <c r="FD184" s="518">
        <v>0</v>
      </c>
      <c r="FE184" s="518">
        <v>0</v>
      </c>
      <c r="FF184" s="518">
        <v>0</v>
      </c>
      <c r="FG184" s="518">
        <v>0</v>
      </c>
      <c r="FH184" s="518">
        <v>0</v>
      </c>
      <c r="FI184" s="518">
        <v>0</v>
      </c>
      <c r="FJ184" s="518">
        <v>0</v>
      </c>
      <c r="FK184" s="518">
        <v>0</v>
      </c>
      <c r="FL184" s="518">
        <v>0</v>
      </c>
      <c r="FM184" s="518">
        <v>0</v>
      </c>
      <c r="FN184" s="518">
        <v>0</v>
      </c>
      <c r="FO184" s="518">
        <v>0</v>
      </c>
      <c r="FP184" s="518">
        <v>0</v>
      </c>
      <c r="FQ184" s="518">
        <v>0</v>
      </c>
      <c r="FR184" s="518">
        <v>0</v>
      </c>
      <c r="FS184" s="518">
        <v>0</v>
      </c>
      <c r="FT184" s="518">
        <v>0</v>
      </c>
      <c r="FU184" s="518">
        <v>0</v>
      </c>
      <c r="FV184" s="518">
        <v>0</v>
      </c>
      <c r="FW184" s="518">
        <v>0</v>
      </c>
      <c r="FX184" s="518">
        <v>0</v>
      </c>
      <c r="FY184" s="518">
        <v>0</v>
      </c>
      <c r="FZ184" s="518">
        <v>0</v>
      </c>
      <c r="GA184" s="518">
        <v>0</v>
      </c>
      <c r="GB184" s="518">
        <v>0</v>
      </c>
      <c r="GC184" s="518">
        <v>0</v>
      </c>
      <c r="GD184" s="518">
        <v>0</v>
      </c>
      <c r="GE184" s="518">
        <v>0</v>
      </c>
      <c r="GF184" s="518">
        <v>0</v>
      </c>
      <c r="GG184" s="518">
        <v>0</v>
      </c>
      <c r="GH184" s="518">
        <v>0</v>
      </c>
      <c r="GI184" s="518">
        <v>0</v>
      </c>
      <c r="GJ184" s="518">
        <v>0</v>
      </c>
      <c r="GK184" s="518">
        <v>0</v>
      </c>
      <c r="GL184" s="518">
        <v>0</v>
      </c>
      <c r="GM184" s="518">
        <v>0</v>
      </c>
      <c r="GN184" s="518">
        <v>0</v>
      </c>
      <c r="GO184" s="518">
        <v>0</v>
      </c>
      <c r="GP184" s="518">
        <v>0</v>
      </c>
      <c r="GQ184" s="518">
        <v>0</v>
      </c>
      <c r="GR184" s="518">
        <v>0</v>
      </c>
      <c r="GS184" s="518">
        <v>0</v>
      </c>
      <c r="GT184" s="518">
        <v>0</v>
      </c>
      <c r="GU184" s="518">
        <v>0</v>
      </c>
      <c r="GV184" s="518">
        <v>0</v>
      </c>
      <c r="GW184" s="518">
        <v>0</v>
      </c>
      <c r="GX184" s="518">
        <v>0</v>
      </c>
      <c r="GY184" s="518">
        <v>0</v>
      </c>
      <c r="GZ184" s="518">
        <v>0</v>
      </c>
      <c r="HA184" s="518">
        <v>0</v>
      </c>
      <c r="HB184" s="518">
        <v>0</v>
      </c>
      <c r="HC184" s="518">
        <v>0</v>
      </c>
      <c r="HD184" s="518">
        <v>0</v>
      </c>
      <c r="HE184" s="518">
        <v>0</v>
      </c>
      <c r="HF184" s="518">
        <v>0</v>
      </c>
      <c r="HG184" s="518">
        <v>0</v>
      </c>
      <c r="HH184" s="518">
        <v>0</v>
      </c>
      <c r="HI184" s="518">
        <v>0</v>
      </c>
      <c r="HJ184" s="518">
        <v>0</v>
      </c>
      <c r="HK184" s="518">
        <v>0</v>
      </c>
      <c r="HL184" s="518">
        <v>0</v>
      </c>
      <c r="HM184" s="518">
        <v>0</v>
      </c>
      <c r="HN184" s="518">
        <v>0</v>
      </c>
      <c r="HO184" s="518">
        <v>0</v>
      </c>
      <c r="HP184" s="518">
        <v>0</v>
      </c>
      <c r="HQ184" s="518">
        <v>0</v>
      </c>
      <c r="HR184" s="518">
        <v>0</v>
      </c>
      <c r="HS184" s="518">
        <v>0</v>
      </c>
      <c r="HT184" s="518">
        <v>0</v>
      </c>
      <c r="HU184" s="518">
        <v>0</v>
      </c>
      <c r="HV184" s="518">
        <v>0</v>
      </c>
      <c r="HW184" s="518">
        <v>0</v>
      </c>
      <c r="HX184" s="518">
        <v>0</v>
      </c>
      <c r="HY184" s="518">
        <v>0</v>
      </c>
      <c r="HZ184" s="518">
        <v>0</v>
      </c>
      <c r="IA184" s="518">
        <v>0</v>
      </c>
      <c r="IB184" s="518">
        <v>0</v>
      </c>
      <c r="IC184" s="518">
        <v>0</v>
      </c>
      <c r="ID184" s="518">
        <v>0</v>
      </c>
      <c r="IE184" s="518">
        <v>0</v>
      </c>
      <c r="IF184" s="518">
        <v>0</v>
      </c>
      <c r="IG184" s="518">
        <v>0</v>
      </c>
      <c r="IH184" s="518">
        <v>0</v>
      </c>
      <c r="II184" s="518">
        <v>0</v>
      </c>
      <c r="IJ184" s="518">
        <v>0</v>
      </c>
      <c r="IK184" s="518">
        <v>0</v>
      </c>
    </row>
    <row r="185" spans="13:245" hidden="1">
      <c r="M185" s="517" t="s">
        <v>721</v>
      </c>
      <c r="N185" s="517" t="s">
        <v>1101</v>
      </c>
      <c r="O185" s="517" t="s">
        <v>26</v>
      </c>
      <c r="P185" s="518">
        <v>52</v>
      </c>
      <c r="Q185" s="494" t="str">
        <f t="shared" si="8"/>
        <v>SWUC100252</v>
      </c>
      <c r="R185" s="518">
        <v>377.4</v>
      </c>
      <c r="S185" s="518">
        <v>10000</v>
      </c>
      <c r="T185" s="518">
        <v>10000</v>
      </c>
      <c r="U185" s="518">
        <v>10000</v>
      </c>
      <c r="V185" s="518">
        <v>10000</v>
      </c>
      <c r="W185" s="518">
        <v>10000</v>
      </c>
      <c r="X185" s="518">
        <v>10000</v>
      </c>
      <c r="Y185" s="518">
        <v>10000</v>
      </c>
      <c r="Z185" s="518">
        <v>10000</v>
      </c>
      <c r="AA185" s="518">
        <v>10000</v>
      </c>
      <c r="AB185" s="518">
        <v>0</v>
      </c>
      <c r="AC185" s="518">
        <v>0</v>
      </c>
      <c r="AD185" s="518">
        <v>0</v>
      </c>
      <c r="AE185" s="518">
        <v>0</v>
      </c>
      <c r="AF185" s="518">
        <v>0</v>
      </c>
      <c r="AG185" s="518">
        <v>0</v>
      </c>
      <c r="AH185" s="518">
        <v>0</v>
      </c>
      <c r="AI185" s="518">
        <v>0</v>
      </c>
      <c r="AJ185" s="518">
        <v>0</v>
      </c>
      <c r="AK185" s="518">
        <v>0</v>
      </c>
      <c r="AL185" s="518">
        <v>0</v>
      </c>
      <c r="AM185" s="518">
        <v>0</v>
      </c>
      <c r="AN185" s="518">
        <v>0</v>
      </c>
      <c r="AO185" s="518">
        <v>0</v>
      </c>
      <c r="AP185" s="518">
        <v>0</v>
      </c>
      <c r="AQ185" s="518">
        <v>0</v>
      </c>
      <c r="AR185" s="518">
        <v>0</v>
      </c>
      <c r="AS185" s="518">
        <v>0</v>
      </c>
      <c r="AT185" s="518">
        <v>0</v>
      </c>
      <c r="AU185" s="518">
        <v>0</v>
      </c>
      <c r="AV185" s="518">
        <v>0</v>
      </c>
      <c r="AW185" s="518">
        <v>0</v>
      </c>
      <c r="AX185" s="518">
        <v>0</v>
      </c>
      <c r="AY185" s="518">
        <v>0</v>
      </c>
      <c r="AZ185" s="518">
        <v>0</v>
      </c>
      <c r="BA185" s="518">
        <v>0</v>
      </c>
      <c r="BB185" s="518">
        <v>0</v>
      </c>
      <c r="BC185" s="518">
        <v>0</v>
      </c>
      <c r="BD185" s="518">
        <v>0</v>
      </c>
      <c r="BE185" s="518">
        <v>0</v>
      </c>
      <c r="BF185" s="518">
        <v>0</v>
      </c>
      <c r="BG185" s="518">
        <v>0</v>
      </c>
      <c r="BH185" s="518">
        <v>0</v>
      </c>
      <c r="BI185" s="518">
        <v>0</v>
      </c>
      <c r="BJ185" s="518">
        <v>0</v>
      </c>
      <c r="BK185" s="518">
        <v>0</v>
      </c>
      <c r="BL185" s="518">
        <v>0</v>
      </c>
      <c r="BM185" s="518">
        <v>0</v>
      </c>
      <c r="BN185" s="518">
        <v>0</v>
      </c>
      <c r="BO185" s="518">
        <v>0</v>
      </c>
      <c r="BP185" s="518">
        <v>0</v>
      </c>
      <c r="BQ185" s="518">
        <v>0</v>
      </c>
      <c r="BR185" s="518">
        <v>0</v>
      </c>
      <c r="BS185" s="518">
        <v>0</v>
      </c>
      <c r="BT185" s="518">
        <v>0</v>
      </c>
      <c r="BU185" s="518">
        <v>0</v>
      </c>
      <c r="BV185" s="518">
        <v>0</v>
      </c>
      <c r="BW185" s="518">
        <v>0</v>
      </c>
      <c r="BX185" s="518">
        <v>0</v>
      </c>
      <c r="BY185" s="518">
        <v>0</v>
      </c>
      <c r="BZ185" s="518">
        <v>0</v>
      </c>
      <c r="CA185" s="518">
        <v>0</v>
      </c>
      <c r="CB185" s="518">
        <v>0</v>
      </c>
      <c r="CC185" s="518">
        <v>0</v>
      </c>
      <c r="CD185" s="518">
        <v>0</v>
      </c>
      <c r="CE185" s="518">
        <v>0</v>
      </c>
      <c r="CF185" s="518">
        <v>0</v>
      </c>
      <c r="CG185" s="518">
        <v>0</v>
      </c>
      <c r="CH185" s="518">
        <v>0</v>
      </c>
      <c r="CI185" s="518">
        <v>0</v>
      </c>
      <c r="CJ185" s="518">
        <v>0</v>
      </c>
      <c r="CK185" s="518">
        <v>0</v>
      </c>
      <c r="CL185" s="518">
        <v>0</v>
      </c>
      <c r="CM185" s="518">
        <v>0</v>
      </c>
      <c r="CN185" s="518">
        <v>0</v>
      </c>
      <c r="CO185" s="518">
        <v>0</v>
      </c>
      <c r="CP185" s="518">
        <v>0</v>
      </c>
      <c r="CQ185" s="518">
        <v>0</v>
      </c>
      <c r="CR185" s="518">
        <v>0</v>
      </c>
      <c r="CS185" s="518">
        <v>0</v>
      </c>
      <c r="CT185" s="518">
        <v>0</v>
      </c>
      <c r="CU185" s="518">
        <v>0</v>
      </c>
      <c r="CV185" s="518">
        <v>0</v>
      </c>
      <c r="CW185" s="518">
        <v>0</v>
      </c>
      <c r="CX185" s="518">
        <v>0</v>
      </c>
      <c r="CY185" s="518">
        <v>0</v>
      </c>
      <c r="CZ185" s="518">
        <v>0</v>
      </c>
      <c r="DA185" s="518">
        <v>0</v>
      </c>
      <c r="DB185" s="518">
        <v>0</v>
      </c>
      <c r="DC185" s="518">
        <v>0</v>
      </c>
      <c r="DD185" s="518">
        <v>0</v>
      </c>
      <c r="DE185" s="518">
        <v>0</v>
      </c>
      <c r="DF185" s="518">
        <v>0</v>
      </c>
      <c r="DG185" s="518">
        <v>0</v>
      </c>
      <c r="DH185" s="518">
        <v>0</v>
      </c>
      <c r="DI185" s="518">
        <v>0</v>
      </c>
      <c r="DJ185" s="518">
        <v>0</v>
      </c>
      <c r="DK185" s="518">
        <v>0</v>
      </c>
      <c r="DL185" s="518">
        <v>0</v>
      </c>
      <c r="DM185" s="518">
        <v>0</v>
      </c>
      <c r="DN185" s="518">
        <v>0</v>
      </c>
      <c r="DO185" s="518">
        <v>0</v>
      </c>
      <c r="DP185" s="518">
        <v>0</v>
      </c>
      <c r="DQ185" s="518">
        <v>0</v>
      </c>
      <c r="DR185" s="518">
        <v>0</v>
      </c>
      <c r="DS185" s="518">
        <v>0</v>
      </c>
      <c r="DT185" s="518">
        <v>0</v>
      </c>
      <c r="DU185" s="518">
        <v>0</v>
      </c>
      <c r="DV185" s="518">
        <v>0</v>
      </c>
      <c r="DW185" s="518">
        <v>0</v>
      </c>
      <c r="DX185" s="518">
        <v>0</v>
      </c>
      <c r="DZ185" s="517" t="s">
        <v>721</v>
      </c>
      <c r="EA185" s="517" t="s">
        <v>1101</v>
      </c>
      <c r="EB185" s="517" t="s">
        <v>26</v>
      </c>
      <c r="EC185" s="518">
        <v>52</v>
      </c>
      <c r="ED185" s="494" t="str">
        <f t="shared" si="9"/>
        <v>SWUC100252</v>
      </c>
      <c r="EE185" s="518">
        <v>377.4</v>
      </c>
      <c r="EF185" s="518">
        <v>2000</v>
      </c>
      <c r="EG185" s="518">
        <v>2000</v>
      </c>
      <c r="EH185" s="518">
        <v>2000</v>
      </c>
      <c r="EI185" s="518">
        <v>2000</v>
      </c>
      <c r="EJ185" s="518">
        <v>2264.1999999999998</v>
      </c>
      <c r="EK185" s="518">
        <v>2641.5</v>
      </c>
      <c r="EL185" s="518">
        <v>3018.9</v>
      </c>
      <c r="EM185" s="518">
        <v>3396.2</v>
      </c>
      <c r="EN185" s="518">
        <v>3773.6</v>
      </c>
      <c r="EO185" s="518">
        <v>0</v>
      </c>
      <c r="EP185" s="518">
        <v>0</v>
      </c>
      <c r="EQ185" s="518">
        <v>0</v>
      </c>
      <c r="ER185" s="518">
        <v>0</v>
      </c>
      <c r="ES185" s="518">
        <v>0</v>
      </c>
      <c r="ET185" s="518">
        <v>0</v>
      </c>
      <c r="EU185" s="518">
        <v>0</v>
      </c>
      <c r="EV185" s="518">
        <v>0</v>
      </c>
      <c r="EW185" s="518">
        <v>0</v>
      </c>
      <c r="EX185" s="518">
        <v>0</v>
      </c>
      <c r="EY185" s="518">
        <v>0</v>
      </c>
      <c r="EZ185" s="518">
        <v>0</v>
      </c>
      <c r="FA185" s="518">
        <v>0</v>
      </c>
      <c r="FB185" s="518">
        <v>0</v>
      </c>
      <c r="FC185" s="518">
        <v>0</v>
      </c>
      <c r="FD185" s="518">
        <v>0</v>
      </c>
      <c r="FE185" s="518">
        <v>0</v>
      </c>
      <c r="FF185" s="518">
        <v>0</v>
      </c>
      <c r="FG185" s="518">
        <v>0</v>
      </c>
      <c r="FH185" s="518">
        <v>0</v>
      </c>
      <c r="FI185" s="518">
        <v>0</v>
      </c>
      <c r="FJ185" s="518">
        <v>0</v>
      </c>
      <c r="FK185" s="518">
        <v>0</v>
      </c>
      <c r="FL185" s="518">
        <v>0</v>
      </c>
      <c r="FM185" s="518">
        <v>0</v>
      </c>
      <c r="FN185" s="518">
        <v>0</v>
      </c>
      <c r="FO185" s="518">
        <v>0</v>
      </c>
      <c r="FP185" s="518">
        <v>0</v>
      </c>
      <c r="FQ185" s="518">
        <v>0</v>
      </c>
      <c r="FR185" s="518">
        <v>0</v>
      </c>
      <c r="FS185" s="518">
        <v>0</v>
      </c>
      <c r="FT185" s="518">
        <v>0</v>
      </c>
      <c r="FU185" s="518">
        <v>0</v>
      </c>
      <c r="FV185" s="518">
        <v>0</v>
      </c>
      <c r="FW185" s="518">
        <v>0</v>
      </c>
      <c r="FX185" s="518">
        <v>0</v>
      </c>
      <c r="FY185" s="518">
        <v>0</v>
      </c>
      <c r="FZ185" s="518">
        <v>0</v>
      </c>
      <c r="GA185" s="518">
        <v>0</v>
      </c>
      <c r="GB185" s="518">
        <v>0</v>
      </c>
      <c r="GC185" s="518">
        <v>0</v>
      </c>
      <c r="GD185" s="518">
        <v>0</v>
      </c>
      <c r="GE185" s="518">
        <v>0</v>
      </c>
      <c r="GF185" s="518">
        <v>0</v>
      </c>
      <c r="GG185" s="518">
        <v>0</v>
      </c>
      <c r="GH185" s="518">
        <v>0</v>
      </c>
      <c r="GI185" s="518">
        <v>0</v>
      </c>
      <c r="GJ185" s="518">
        <v>0</v>
      </c>
      <c r="GK185" s="518">
        <v>0</v>
      </c>
      <c r="GL185" s="518">
        <v>0</v>
      </c>
      <c r="GM185" s="518">
        <v>0</v>
      </c>
      <c r="GN185" s="518">
        <v>0</v>
      </c>
      <c r="GO185" s="518">
        <v>0</v>
      </c>
      <c r="GP185" s="518">
        <v>0</v>
      </c>
      <c r="GQ185" s="518">
        <v>0</v>
      </c>
      <c r="GR185" s="518">
        <v>0</v>
      </c>
      <c r="GS185" s="518">
        <v>0</v>
      </c>
      <c r="GT185" s="518">
        <v>0</v>
      </c>
      <c r="GU185" s="518">
        <v>0</v>
      </c>
      <c r="GV185" s="518">
        <v>0</v>
      </c>
      <c r="GW185" s="518">
        <v>0</v>
      </c>
      <c r="GX185" s="518">
        <v>0</v>
      </c>
      <c r="GY185" s="518">
        <v>0</v>
      </c>
      <c r="GZ185" s="518">
        <v>0</v>
      </c>
      <c r="HA185" s="518">
        <v>0</v>
      </c>
      <c r="HB185" s="518">
        <v>0</v>
      </c>
      <c r="HC185" s="518">
        <v>0</v>
      </c>
      <c r="HD185" s="518">
        <v>0</v>
      </c>
      <c r="HE185" s="518">
        <v>0</v>
      </c>
      <c r="HF185" s="518">
        <v>0</v>
      </c>
      <c r="HG185" s="518">
        <v>0</v>
      </c>
      <c r="HH185" s="518">
        <v>0</v>
      </c>
      <c r="HI185" s="518">
        <v>0</v>
      </c>
      <c r="HJ185" s="518">
        <v>0</v>
      </c>
      <c r="HK185" s="518">
        <v>0</v>
      </c>
      <c r="HL185" s="518">
        <v>0</v>
      </c>
      <c r="HM185" s="518">
        <v>0</v>
      </c>
      <c r="HN185" s="518">
        <v>0</v>
      </c>
      <c r="HO185" s="518">
        <v>0</v>
      </c>
      <c r="HP185" s="518">
        <v>0</v>
      </c>
      <c r="HQ185" s="518">
        <v>0</v>
      </c>
      <c r="HR185" s="518">
        <v>0</v>
      </c>
      <c r="HS185" s="518">
        <v>0</v>
      </c>
      <c r="HT185" s="518">
        <v>0</v>
      </c>
      <c r="HU185" s="518">
        <v>0</v>
      </c>
      <c r="HV185" s="518">
        <v>0</v>
      </c>
      <c r="HW185" s="518">
        <v>0</v>
      </c>
      <c r="HX185" s="518">
        <v>0</v>
      </c>
      <c r="HY185" s="518">
        <v>0</v>
      </c>
      <c r="HZ185" s="518">
        <v>0</v>
      </c>
      <c r="IA185" s="518">
        <v>0</v>
      </c>
      <c r="IB185" s="518">
        <v>0</v>
      </c>
      <c r="IC185" s="518">
        <v>0</v>
      </c>
      <c r="ID185" s="518">
        <v>0</v>
      </c>
      <c r="IE185" s="518">
        <v>0</v>
      </c>
      <c r="IF185" s="518">
        <v>0</v>
      </c>
      <c r="IG185" s="518">
        <v>0</v>
      </c>
      <c r="IH185" s="518">
        <v>0</v>
      </c>
      <c r="II185" s="518">
        <v>0</v>
      </c>
      <c r="IJ185" s="518">
        <v>0</v>
      </c>
      <c r="IK185" s="518">
        <v>0</v>
      </c>
    </row>
    <row r="186" spans="13:245" hidden="1">
      <c r="M186" s="517" t="s">
        <v>721</v>
      </c>
      <c r="N186" s="517" t="s">
        <v>1101</v>
      </c>
      <c r="O186" s="517" t="s">
        <v>26</v>
      </c>
      <c r="P186" s="518">
        <v>53</v>
      </c>
      <c r="Q186" s="494" t="str">
        <f t="shared" si="8"/>
        <v>SWUC100253</v>
      </c>
      <c r="R186" s="518">
        <v>397.5</v>
      </c>
      <c r="S186" s="518">
        <v>10000</v>
      </c>
      <c r="T186" s="518">
        <v>10000</v>
      </c>
      <c r="U186" s="518">
        <v>10000</v>
      </c>
      <c r="V186" s="518">
        <v>10000</v>
      </c>
      <c r="W186" s="518">
        <v>10000</v>
      </c>
      <c r="X186" s="518">
        <v>10000</v>
      </c>
      <c r="Y186" s="518">
        <v>10000</v>
      </c>
      <c r="Z186" s="518">
        <v>10000</v>
      </c>
      <c r="AA186" s="518">
        <v>10000</v>
      </c>
      <c r="AB186" s="518">
        <v>0</v>
      </c>
      <c r="AC186" s="518">
        <v>0</v>
      </c>
      <c r="AD186" s="518">
        <v>0</v>
      </c>
      <c r="AE186" s="518">
        <v>0</v>
      </c>
      <c r="AF186" s="518">
        <v>0</v>
      </c>
      <c r="AG186" s="518">
        <v>0</v>
      </c>
      <c r="AH186" s="518">
        <v>0</v>
      </c>
      <c r="AI186" s="518">
        <v>0</v>
      </c>
      <c r="AJ186" s="518">
        <v>0</v>
      </c>
      <c r="AK186" s="518">
        <v>0</v>
      </c>
      <c r="AL186" s="518">
        <v>0</v>
      </c>
      <c r="AM186" s="518">
        <v>0</v>
      </c>
      <c r="AN186" s="518">
        <v>0</v>
      </c>
      <c r="AO186" s="518">
        <v>0</v>
      </c>
      <c r="AP186" s="518">
        <v>0</v>
      </c>
      <c r="AQ186" s="518">
        <v>0</v>
      </c>
      <c r="AR186" s="518">
        <v>0</v>
      </c>
      <c r="AS186" s="518">
        <v>0</v>
      </c>
      <c r="AT186" s="518">
        <v>0</v>
      </c>
      <c r="AU186" s="518">
        <v>0</v>
      </c>
      <c r="AV186" s="518">
        <v>0</v>
      </c>
      <c r="AW186" s="518">
        <v>0</v>
      </c>
      <c r="AX186" s="518">
        <v>0</v>
      </c>
      <c r="AY186" s="518">
        <v>0</v>
      </c>
      <c r="AZ186" s="518">
        <v>0</v>
      </c>
      <c r="BA186" s="518">
        <v>0</v>
      </c>
      <c r="BB186" s="518">
        <v>0</v>
      </c>
      <c r="BC186" s="518">
        <v>0</v>
      </c>
      <c r="BD186" s="518">
        <v>0</v>
      </c>
      <c r="BE186" s="518">
        <v>0</v>
      </c>
      <c r="BF186" s="518">
        <v>0</v>
      </c>
      <c r="BG186" s="518">
        <v>0</v>
      </c>
      <c r="BH186" s="518">
        <v>0</v>
      </c>
      <c r="BI186" s="518">
        <v>0</v>
      </c>
      <c r="BJ186" s="518">
        <v>0</v>
      </c>
      <c r="BK186" s="518">
        <v>0</v>
      </c>
      <c r="BL186" s="518">
        <v>0</v>
      </c>
      <c r="BM186" s="518">
        <v>0</v>
      </c>
      <c r="BN186" s="518">
        <v>0</v>
      </c>
      <c r="BO186" s="518">
        <v>0</v>
      </c>
      <c r="BP186" s="518">
        <v>0</v>
      </c>
      <c r="BQ186" s="518">
        <v>0</v>
      </c>
      <c r="BR186" s="518">
        <v>0</v>
      </c>
      <c r="BS186" s="518">
        <v>0</v>
      </c>
      <c r="BT186" s="518">
        <v>0</v>
      </c>
      <c r="BU186" s="518">
        <v>0</v>
      </c>
      <c r="BV186" s="518">
        <v>0</v>
      </c>
      <c r="BW186" s="518">
        <v>0</v>
      </c>
      <c r="BX186" s="518">
        <v>0</v>
      </c>
      <c r="BY186" s="518">
        <v>0</v>
      </c>
      <c r="BZ186" s="518">
        <v>0</v>
      </c>
      <c r="CA186" s="518">
        <v>0</v>
      </c>
      <c r="CB186" s="518">
        <v>0</v>
      </c>
      <c r="CC186" s="518">
        <v>0</v>
      </c>
      <c r="CD186" s="518">
        <v>0</v>
      </c>
      <c r="CE186" s="518">
        <v>0</v>
      </c>
      <c r="CF186" s="518">
        <v>0</v>
      </c>
      <c r="CG186" s="518">
        <v>0</v>
      </c>
      <c r="CH186" s="518">
        <v>0</v>
      </c>
      <c r="CI186" s="518">
        <v>0</v>
      </c>
      <c r="CJ186" s="518">
        <v>0</v>
      </c>
      <c r="CK186" s="518">
        <v>0</v>
      </c>
      <c r="CL186" s="518">
        <v>0</v>
      </c>
      <c r="CM186" s="518">
        <v>0</v>
      </c>
      <c r="CN186" s="518">
        <v>0</v>
      </c>
      <c r="CO186" s="518">
        <v>0</v>
      </c>
      <c r="CP186" s="518">
        <v>0</v>
      </c>
      <c r="CQ186" s="518">
        <v>0</v>
      </c>
      <c r="CR186" s="518">
        <v>0</v>
      </c>
      <c r="CS186" s="518">
        <v>0</v>
      </c>
      <c r="CT186" s="518">
        <v>0</v>
      </c>
      <c r="CU186" s="518">
        <v>0</v>
      </c>
      <c r="CV186" s="518">
        <v>0</v>
      </c>
      <c r="CW186" s="518">
        <v>0</v>
      </c>
      <c r="CX186" s="518">
        <v>0</v>
      </c>
      <c r="CY186" s="518">
        <v>0</v>
      </c>
      <c r="CZ186" s="518">
        <v>0</v>
      </c>
      <c r="DA186" s="518">
        <v>0</v>
      </c>
      <c r="DB186" s="518">
        <v>0</v>
      </c>
      <c r="DC186" s="518">
        <v>0</v>
      </c>
      <c r="DD186" s="518">
        <v>0</v>
      </c>
      <c r="DE186" s="518">
        <v>0</v>
      </c>
      <c r="DF186" s="518">
        <v>0</v>
      </c>
      <c r="DG186" s="518">
        <v>0</v>
      </c>
      <c r="DH186" s="518">
        <v>0</v>
      </c>
      <c r="DI186" s="518">
        <v>0</v>
      </c>
      <c r="DJ186" s="518">
        <v>0</v>
      </c>
      <c r="DK186" s="518">
        <v>0</v>
      </c>
      <c r="DL186" s="518">
        <v>0</v>
      </c>
      <c r="DM186" s="518">
        <v>0</v>
      </c>
      <c r="DN186" s="518">
        <v>0</v>
      </c>
      <c r="DO186" s="518">
        <v>0</v>
      </c>
      <c r="DP186" s="518">
        <v>0</v>
      </c>
      <c r="DQ186" s="518">
        <v>0</v>
      </c>
      <c r="DR186" s="518">
        <v>0</v>
      </c>
      <c r="DS186" s="518">
        <v>0</v>
      </c>
      <c r="DT186" s="518">
        <v>0</v>
      </c>
      <c r="DU186" s="518">
        <v>0</v>
      </c>
      <c r="DV186" s="518">
        <v>0</v>
      </c>
      <c r="DW186" s="518">
        <v>0</v>
      </c>
      <c r="DX186" s="518">
        <v>0</v>
      </c>
      <c r="DZ186" s="517" t="s">
        <v>721</v>
      </c>
      <c r="EA186" s="517" t="s">
        <v>1101</v>
      </c>
      <c r="EB186" s="517" t="s">
        <v>26</v>
      </c>
      <c r="EC186" s="518">
        <v>53</v>
      </c>
      <c r="ED186" s="494" t="str">
        <f t="shared" si="9"/>
        <v>SWUC100253</v>
      </c>
      <c r="EE186" s="518">
        <v>397.5</v>
      </c>
      <c r="EF186" s="518">
        <v>2000</v>
      </c>
      <c r="EG186" s="518">
        <v>2000</v>
      </c>
      <c r="EH186" s="518">
        <v>2000</v>
      </c>
      <c r="EI186" s="518">
        <v>2000</v>
      </c>
      <c r="EJ186" s="518">
        <v>2385</v>
      </c>
      <c r="EK186" s="518">
        <v>2782.5</v>
      </c>
      <c r="EL186" s="518">
        <v>3180</v>
      </c>
      <c r="EM186" s="518">
        <v>3577.5</v>
      </c>
      <c r="EN186" s="518">
        <v>3975</v>
      </c>
      <c r="EO186" s="518">
        <v>0</v>
      </c>
      <c r="EP186" s="518">
        <v>0</v>
      </c>
      <c r="EQ186" s="518">
        <v>0</v>
      </c>
      <c r="ER186" s="518">
        <v>0</v>
      </c>
      <c r="ES186" s="518">
        <v>0</v>
      </c>
      <c r="ET186" s="518">
        <v>0</v>
      </c>
      <c r="EU186" s="518">
        <v>0</v>
      </c>
      <c r="EV186" s="518">
        <v>0</v>
      </c>
      <c r="EW186" s="518">
        <v>0</v>
      </c>
      <c r="EX186" s="518">
        <v>0</v>
      </c>
      <c r="EY186" s="518">
        <v>0</v>
      </c>
      <c r="EZ186" s="518">
        <v>0</v>
      </c>
      <c r="FA186" s="518">
        <v>0</v>
      </c>
      <c r="FB186" s="518">
        <v>0</v>
      </c>
      <c r="FC186" s="518">
        <v>0</v>
      </c>
      <c r="FD186" s="518">
        <v>0</v>
      </c>
      <c r="FE186" s="518">
        <v>0</v>
      </c>
      <c r="FF186" s="518">
        <v>0</v>
      </c>
      <c r="FG186" s="518">
        <v>0</v>
      </c>
      <c r="FH186" s="518">
        <v>0</v>
      </c>
      <c r="FI186" s="518">
        <v>0</v>
      </c>
      <c r="FJ186" s="518">
        <v>0</v>
      </c>
      <c r="FK186" s="518">
        <v>0</v>
      </c>
      <c r="FL186" s="518">
        <v>0</v>
      </c>
      <c r="FM186" s="518">
        <v>0</v>
      </c>
      <c r="FN186" s="518">
        <v>0</v>
      </c>
      <c r="FO186" s="518">
        <v>0</v>
      </c>
      <c r="FP186" s="518">
        <v>0</v>
      </c>
      <c r="FQ186" s="518">
        <v>0</v>
      </c>
      <c r="FR186" s="518">
        <v>0</v>
      </c>
      <c r="FS186" s="518">
        <v>0</v>
      </c>
      <c r="FT186" s="518">
        <v>0</v>
      </c>
      <c r="FU186" s="518">
        <v>0</v>
      </c>
      <c r="FV186" s="518">
        <v>0</v>
      </c>
      <c r="FW186" s="518">
        <v>0</v>
      </c>
      <c r="FX186" s="518">
        <v>0</v>
      </c>
      <c r="FY186" s="518">
        <v>0</v>
      </c>
      <c r="FZ186" s="518">
        <v>0</v>
      </c>
      <c r="GA186" s="518">
        <v>0</v>
      </c>
      <c r="GB186" s="518">
        <v>0</v>
      </c>
      <c r="GC186" s="518">
        <v>0</v>
      </c>
      <c r="GD186" s="518">
        <v>0</v>
      </c>
      <c r="GE186" s="518">
        <v>0</v>
      </c>
      <c r="GF186" s="518">
        <v>0</v>
      </c>
      <c r="GG186" s="518">
        <v>0</v>
      </c>
      <c r="GH186" s="518">
        <v>0</v>
      </c>
      <c r="GI186" s="518">
        <v>0</v>
      </c>
      <c r="GJ186" s="518">
        <v>0</v>
      </c>
      <c r="GK186" s="518">
        <v>0</v>
      </c>
      <c r="GL186" s="518">
        <v>0</v>
      </c>
      <c r="GM186" s="518">
        <v>0</v>
      </c>
      <c r="GN186" s="518">
        <v>0</v>
      </c>
      <c r="GO186" s="518">
        <v>0</v>
      </c>
      <c r="GP186" s="518">
        <v>0</v>
      </c>
      <c r="GQ186" s="518">
        <v>0</v>
      </c>
      <c r="GR186" s="518">
        <v>0</v>
      </c>
      <c r="GS186" s="518">
        <v>0</v>
      </c>
      <c r="GT186" s="518">
        <v>0</v>
      </c>
      <c r="GU186" s="518">
        <v>0</v>
      </c>
      <c r="GV186" s="518">
        <v>0</v>
      </c>
      <c r="GW186" s="518">
        <v>0</v>
      </c>
      <c r="GX186" s="518">
        <v>0</v>
      </c>
      <c r="GY186" s="518">
        <v>0</v>
      </c>
      <c r="GZ186" s="518">
        <v>0</v>
      </c>
      <c r="HA186" s="518">
        <v>0</v>
      </c>
      <c r="HB186" s="518">
        <v>0</v>
      </c>
      <c r="HC186" s="518">
        <v>0</v>
      </c>
      <c r="HD186" s="518">
        <v>0</v>
      </c>
      <c r="HE186" s="518">
        <v>0</v>
      </c>
      <c r="HF186" s="518">
        <v>0</v>
      </c>
      <c r="HG186" s="518">
        <v>0</v>
      </c>
      <c r="HH186" s="518">
        <v>0</v>
      </c>
      <c r="HI186" s="518">
        <v>0</v>
      </c>
      <c r="HJ186" s="518">
        <v>0</v>
      </c>
      <c r="HK186" s="518">
        <v>0</v>
      </c>
      <c r="HL186" s="518">
        <v>0</v>
      </c>
      <c r="HM186" s="518">
        <v>0</v>
      </c>
      <c r="HN186" s="518">
        <v>0</v>
      </c>
      <c r="HO186" s="518">
        <v>0</v>
      </c>
      <c r="HP186" s="518">
        <v>0</v>
      </c>
      <c r="HQ186" s="518">
        <v>0</v>
      </c>
      <c r="HR186" s="518">
        <v>0</v>
      </c>
      <c r="HS186" s="518">
        <v>0</v>
      </c>
      <c r="HT186" s="518">
        <v>0</v>
      </c>
      <c r="HU186" s="518">
        <v>0</v>
      </c>
      <c r="HV186" s="518">
        <v>0</v>
      </c>
      <c r="HW186" s="518">
        <v>0</v>
      </c>
      <c r="HX186" s="518">
        <v>0</v>
      </c>
      <c r="HY186" s="518">
        <v>0</v>
      </c>
      <c r="HZ186" s="518">
        <v>0</v>
      </c>
      <c r="IA186" s="518">
        <v>0</v>
      </c>
      <c r="IB186" s="518">
        <v>0</v>
      </c>
      <c r="IC186" s="518">
        <v>0</v>
      </c>
      <c r="ID186" s="518">
        <v>0</v>
      </c>
      <c r="IE186" s="518">
        <v>0</v>
      </c>
      <c r="IF186" s="518">
        <v>0</v>
      </c>
      <c r="IG186" s="518">
        <v>0</v>
      </c>
      <c r="IH186" s="518">
        <v>0</v>
      </c>
      <c r="II186" s="518">
        <v>0</v>
      </c>
      <c r="IJ186" s="518">
        <v>0</v>
      </c>
      <c r="IK186" s="518">
        <v>0</v>
      </c>
    </row>
    <row r="187" spans="13:245" hidden="1">
      <c r="M187" s="517" t="s">
        <v>721</v>
      </c>
      <c r="N187" s="517" t="s">
        <v>1101</v>
      </c>
      <c r="O187" s="517" t="s">
        <v>26</v>
      </c>
      <c r="P187" s="518">
        <v>54</v>
      </c>
      <c r="Q187" s="494" t="str">
        <f t="shared" si="8"/>
        <v>SWUC100254</v>
      </c>
      <c r="R187" s="518">
        <v>417.6</v>
      </c>
      <c r="S187" s="518">
        <v>10000</v>
      </c>
      <c r="T187" s="518">
        <v>10000</v>
      </c>
      <c r="U187" s="518">
        <v>10000</v>
      </c>
      <c r="V187" s="518">
        <v>10000</v>
      </c>
      <c r="W187" s="518">
        <v>10000</v>
      </c>
      <c r="X187" s="518">
        <v>10000</v>
      </c>
      <c r="Y187" s="518">
        <v>10000</v>
      </c>
      <c r="Z187" s="518">
        <v>10000</v>
      </c>
      <c r="AA187" s="518">
        <v>10000</v>
      </c>
      <c r="AB187" s="518">
        <v>0</v>
      </c>
      <c r="AC187" s="518">
        <v>0</v>
      </c>
      <c r="AD187" s="518">
        <v>0</v>
      </c>
      <c r="AE187" s="518">
        <v>0</v>
      </c>
      <c r="AF187" s="518">
        <v>0</v>
      </c>
      <c r="AG187" s="518">
        <v>0</v>
      </c>
      <c r="AH187" s="518">
        <v>0</v>
      </c>
      <c r="AI187" s="518">
        <v>0</v>
      </c>
      <c r="AJ187" s="518">
        <v>0</v>
      </c>
      <c r="AK187" s="518">
        <v>0</v>
      </c>
      <c r="AL187" s="518">
        <v>0</v>
      </c>
      <c r="AM187" s="518">
        <v>0</v>
      </c>
      <c r="AN187" s="518">
        <v>0</v>
      </c>
      <c r="AO187" s="518">
        <v>0</v>
      </c>
      <c r="AP187" s="518">
        <v>0</v>
      </c>
      <c r="AQ187" s="518">
        <v>0</v>
      </c>
      <c r="AR187" s="518">
        <v>0</v>
      </c>
      <c r="AS187" s="518">
        <v>0</v>
      </c>
      <c r="AT187" s="518">
        <v>0</v>
      </c>
      <c r="AU187" s="518">
        <v>0</v>
      </c>
      <c r="AV187" s="518">
        <v>0</v>
      </c>
      <c r="AW187" s="518">
        <v>0</v>
      </c>
      <c r="AX187" s="518">
        <v>0</v>
      </c>
      <c r="AY187" s="518">
        <v>0</v>
      </c>
      <c r="AZ187" s="518">
        <v>0</v>
      </c>
      <c r="BA187" s="518">
        <v>0</v>
      </c>
      <c r="BB187" s="518">
        <v>0</v>
      </c>
      <c r="BC187" s="518">
        <v>0</v>
      </c>
      <c r="BD187" s="518">
        <v>0</v>
      </c>
      <c r="BE187" s="518">
        <v>0</v>
      </c>
      <c r="BF187" s="518">
        <v>0</v>
      </c>
      <c r="BG187" s="518">
        <v>0</v>
      </c>
      <c r="BH187" s="518">
        <v>0</v>
      </c>
      <c r="BI187" s="518">
        <v>0</v>
      </c>
      <c r="BJ187" s="518">
        <v>0</v>
      </c>
      <c r="BK187" s="518">
        <v>0</v>
      </c>
      <c r="BL187" s="518">
        <v>0</v>
      </c>
      <c r="BM187" s="518">
        <v>0</v>
      </c>
      <c r="BN187" s="518">
        <v>0</v>
      </c>
      <c r="BO187" s="518">
        <v>0</v>
      </c>
      <c r="BP187" s="518">
        <v>0</v>
      </c>
      <c r="BQ187" s="518">
        <v>0</v>
      </c>
      <c r="BR187" s="518">
        <v>0</v>
      </c>
      <c r="BS187" s="518">
        <v>0</v>
      </c>
      <c r="BT187" s="518">
        <v>0</v>
      </c>
      <c r="BU187" s="518">
        <v>0</v>
      </c>
      <c r="BV187" s="518">
        <v>0</v>
      </c>
      <c r="BW187" s="518">
        <v>0</v>
      </c>
      <c r="BX187" s="518">
        <v>0</v>
      </c>
      <c r="BY187" s="518">
        <v>0</v>
      </c>
      <c r="BZ187" s="518">
        <v>0</v>
      </c>
      <c r="CA187" s="518">
        <v>0</v>
      </c>
      <c r="CB187" s="518">
        <v>0</v>
      </c>
      <c r="CC187" s="518">
        <v>0</v>
      </c>
      <c r="CD187" s="518">
        <v>0</v>
      </c>
      <c r="CE187" s="518">
        <v>0</v>
      </c>
      <c r="CF187" s="518">
        <v>0</v>
      </c>
      <c r="CG187" s="518">
        <v>0</v>
      </c>
      <c r="CH187" s="518">
        <v>0</v>
      </c>
      <c r="CI187" s="518">
        <v>0</v>
      </c>
      <c r="CJ187" s="518">
        <v>0</v>
      </c>
      <c r="CK187" s="518">
        <v>0</v>
      </c>
      <c r="CL187" s="518">
        <v>0</v>
      </c>
      <c r="CM187" s="518">
        <v>0</v>
      </c>
      <c r="CN187" s="518">
        <v>0</v>
      </c>
      <c r="CO187" s="518">
        <v>0</v>
      </c>
      <c r="CP187" s="518">
        <v>0</v>
      </c>
      <c r="CQ187" s="518">
        <v>0</v>
      </c>
      <c r="CR187" s="518">
        <v>0</v>
      </c>
      <c r="CS187" s="518">
        <v>0</v>
      </c>
      <c r="CT187" s="518">
        <v>0</v>
      </c>
      <c r="CU187" s="518">
        <v>0</v>
      </c>
      <c r="CV187" s="518">
        <v>0</v>
      </c>
      <c r="CW187" s="518">
        <v>0</v>
      </c>
      <c r="CX187" s="518">
        <v>0</v>
      </c>
      <c r="CY187" s="518">
        <v>0</v>
      </c>
      <c r="CZ187" s="518">
        <v>0</v>
      </c>
      <c r="DA187" s="518">
        <v>0</v>
      </c>
      <c r="DB187" s="518">
        <v>0</v>
      </c>
      <c r="DC187" s="518">
        <v>0</v>
      </c>
      <c r="DD187" s="518">
        <v>0</v>
      </c>
      <c r="DE187" s="518">
        <v>0</v>
      </c>
      <c r="DF187" s="518">
        <v>0</v>
      </c>
      <c r="DG187" s="518">
        <v>0</v>
      </c>
      <c r="DH187" s="518">
        <v>0</v>
      </c>
      <c r="DI187" s="518">
        <v>0</v>
      </c>
      <c r="DJ187" s="518">
        <v>0</v>
      </c>
      <c r="DK187" s="518">
        <v>0</v>
      </c>
      <c r="DL187" s="518">
        <v>0</v>
      </c>
      <c r="DM187" s="518">
        <v>0</v>
      </c>
      <c r="DN187" s="518">
        <v>0</v>
      </c>
      <c r="DO187" s="518">
        <v>0</v>
      </c>
      <c r="DP187" s="518">
        <v>0</v>
      </c>
      <c r="DQ187" s="518">
        <v>0</v>
      </c>
      <c r="DR187" s="518">
        <v>0</v>
      </c>
      <c r="DS187" s="518">
        <v>0</v>
      </c>
      <c r="DT187" s="518">
        <v>0</v>
      </c>
      <c r="DU187" s="518">
        <v>0</v>
      </c>
      <c r="DV187" s="518">
        <v>0</v>
      </c>
      <c r="DW187" s="518">
        <v>0</v>
      </c>
      <c r="DX187" s="518">
        <v>0</v>
      </c>
      <c r="DZ187" s="517" t="s">
        <v>721</v>
      </c>
      <c r="EA187" s="517" t="s">
        <v>1101</v>
      </c>
      <c r="EB187" s="517" t="s">
        <v>26</v>
      </c>
      <c r="EC187" s="518">
        <v>54</v>
      </c>
      <c r="ED187" s="494" t="str">
        <f t="shared" si="9"/>
        <v>SWUC100254</v>
      </c>
      <c r="EE187" s="518">
        <v>417.6</v>
      </c>
      <c r="EF187" s="518">
        <v>2000</v>
      </c>
      <c r="EG187" s="518">
        <v>2000</v>
      </c>
      <c r="EH187" s="518">
        <v>2000</v>
      </c>
      <c r="EI187" s="518">
        <v>2088.1999999999998</v>
      </c>
      <c r="EJ187" s="518">
        <v>2505.8000000000002</v>
      </c>
      <c r="EK187" s="518">
        <v>2923.5</v>
      </c>
      <c r="EL187" s="518">
        <v>3341.1</v>
      </c>
      <c r="EM187" s="518">
        <v>3758.8</v>
      </c>
      <c r="EN187" s="518">
        <v>4176.3999999999996</v>
      </c>
      <c r="EO187" s="518">
        <v>0</v>
      </c>
      <c r="EP187" s="518">
        <v>0</v>
      </c>
      <c r="EQ187" s="518">
        <v>0</v>
      </c>
      <c r="ER187" s="518">
        <v>0</v>
      </c>
      <c r="ES187" s="518">
        <v>0</v>
      </c>
      <c r="ET187" s="518">
        <v>0</v>
      </c>
      <c r="EU187" s="518">
        <v>0</v>
      </c>
      <c r="EV187" s="518">
        <v>0</v>
      </c>
      <c r="EW187" s="518">
        <v>0</v>
      </c>
      <c r="EX187" s="518">
        <v>0</v>
      </c>
      <c r="EY187" s="518">
        <v>0</v>
      </c>
      <c r="EZ187" s="518">
        <v>0</v>
      </c>
      <c r="FA187" s="518">
        <v>0</v>
      </c>
      <c r="FB187" s="518">
        <v>0</v>
      </c>
      <c r="FC187" s="518">
        <v>0</v>
      </c>
      <c r="FD187" s="518">
        <v>0</v>
      </c>
      <c r="FE187" s="518">
        <v>0</v>
      </c>
      <c r="FF187" s="518">
        <v>0</v>
      </c>
      <c r="FG187" s="518">
        <v>0</v>
      </c>
      <c r="FH187" s="518">
        <v>0</v>
      </c>
      <c r="FI187" s="518">
        <v>0</v>
      </c>
      <c r="FJ187" s="518">
        <v>0</v>
      </c>
      <c r="FK187" s="518">
        <v>0</v>
      </c>
      <c r="FL187" s="518">
        <v>0</v>
      </c>
      <c r="FM187" s="518">
        <v>0</v>
      </c>
      <c r="FN187" s="518">
        <v>0</v>
      </c>
      <c r="FO187" s="518">
        <v>0</v>
      </c>
      <c r="FP187" s="518">
        <v>0</v>
      </c>
      <c r="FQ187" s="518">
        <v>0</v>
      </c>
      <c r="FR187" s="518">
        <v>0</v>
      </c>
      <c r="FS187" s="518">
        <v>0</v>
      </c>
      <c r="FT187" s="518">
        <v>0</v>
      </c>
      <c r="FU187" s="518">
        <v>0</v>
      </c>
      <c r="FV187" s="518">
        <v>0</v>
      </c>
      <c r="FW187" s="518">
        <v>0</v>
      </c>
      <c r="FX187" s="518">
        <v>0</v>
      </c>
      <c r="FY187" s="518">
        <v>0</v>
      </c>
      <c r="FZ187" s="518">
        <v>0</v>
      </c>
      <c r="GA187" s="518">
        <v>0</v>
      </c>
      <c r="GB187" s="518">
        <v>0</v>
      </c>
      <c r="GC187" s="518">
        <v>0</v>
      </c>
      <c r="GD187" s="518">
        <v>0</v>
      </c>
      <c r="GE187" s="518">
        <v>0</v>
      </c>
      <c r="GF187" s="518">
        <v>0</v>
      </c>
      <c r="GG187" s="518">
        <v>0</v>
      </c>
      <c r="GH187" s="518">
        <v>0</v>
      </c>
      <c r="GI187" s="518">
        <v>0</v>
      </c>
      <c r="GJ187" s="518">
        <v>0</v>
      </c>
      <c r="GK187" s="518">
        <v>0</v>
      </c>
      <c r="GL187" s="518">
        <v>0</v>
      </c>
      <c r="GM187" s="518">
        <v>0</v>
      </c>
      <c r="GN187" s="518">
        <v>0</v>
      </c>
      <c r="GO187" s="518">
        <v>0</v>
      </c>
      <c r="GP187" s="518">
        <v>0</v>
      </c>
      <c r="GQ187" s="518">
        <v>0</v>
      </c>
      <c r="GR187" s="518">
        <v>0</v>
      </c>
      <c r="GS187" s="518">
        <v>0</v>
      </c>
      <c r="GT187" s="518">
        <v>0</v>
      </c>
      <c r="GU187" s="518">
        <v>0</v>
      </c>
      <c r="GV187" s="518">
        <v>0</v>
      </c>
      <c r="GW187" s="518">
        <v>0</v>
      </c>
      <c r="GX187" s="518">
        <v>0</v>
      </c>
      <c r="GY187" s="518">
        <v>0</v>
      </c>
      <c r="GZ187" s="518">
        <v>0</v>
      </c>
      <c r="HA187" s="518">
        <v>0</v>
      </c>
      <c r="HB187" s="518">
        <v>0</v>
      </c>
      <c r="HC187" s="518">
        <v>0</v>
      </c>
      <c r="HD187" s="518">
        <v>0</v>
      </c>
      <c r="HE187" s="518">
        <v>0</v>
      </c>
      <c r="HF187" s="518">
        <v>0</v>
      </c>
      <c r="HG187" s="518">
        <v>0</v>
      </c>
      <c r="HH187" s="518">
        <v>0</v>
      </c>
      <c r="HI187" s="518">
        <v>0</v>
      </c>
      <c r="HJ187" s="518">
        <v>0</v>
      </c>
      <c r="HK187" s="518">
        <v>0</v>
      </c>
      <c r="HL187" s="518">
        <v>0</v>
      </c>
      <c r="HM187" s="518">
        <v>0</v>
      </c>
      <c r="HN187" s="518">
        <v>0</v>
      </c>
      <c r="HO187" s="518">
        <v>0</v>
      </c>
      <c r="HP187" s="518">
        <v>0</v>
      </c>
      <c r="HQ187" s="518">
        <v>0</v>
      </c>
      <c r="HR187" s="518">
        <v>0</v>
      </c>
      <c r="HS187" s="518">
        <v>0</v>
      </c>
      <c r="HT187" s="518">
        <v>0</v>
      </c>
      <c r="HU187" s="518">
        <v>0</v>
      </c>
      <c r="HV187" s="518">
        <v>0</v>
      </c>
      <c r="HW187" s="518">
        <v>0</v>
      </c>
      <c r="HX187" s="518">
        <v>0</v>
      </c>
      <c r="HY187" s="518">
        <v>0</v>
      </c>
      <c r="HZ187" s="518">
        <v>0</v>
      </c>
      <c r="IA187" s="518">
        <v>0</v>
      </c>
      <c r="IB187" s="518">
        <v>0</v>
      </c>
      <c r="IC187" s="518">
        <v>0</v>
      </c>
      <c r="ID187" s="518">
        <v>0</v>
      </c>
      <c r="IE187" s="518">
        <v>0</v>
      </c>
      <c r="IF187" s="518">
        <v>0</v>
      </c>
      <c r="IG187" s="518">
        <v>0</v>
      </c>
      <c r="IH187" s="518">
        <v>0</v>
      </c>
      <c r="II187" s="518">
        <v>0</v>
      </c>
      <c r="IJ187" s="518">
        <v>0</v>
      </c>
      <c r="IK187" s="518">
        <v>0</v>
      </c>
    </row>
    <row r="188" spans="13:245" hidden="1">
      <c r="M188" s="517" t="s">
        <v>721</v>
      </c>
      <c r="N188" s="517" t="s">
        <v>1101</v>
      </c>
      <c r="O188" s="517" t="s">
        <v>26</v>
      </c>
      <c r="P188" s="518">
        <v>55</v>
      </c>
      <c r="Q188" s="494" t="str">
        <f t="shared" si="8"/>
        <v>SWUC100255</v>
      </c>
      <c r="R188" s="518">
        <v>437.8</v>
      </c>
      <c r="S188" s="518">
        <v>10000</v>
      </c>
      <c r="T188" s="518">
        <v>10000</v>
      </c>
      <c r="U188" s="518">
        <v>10000</v>
      </c>
      <c r="V188" s="518">
        <v>10000</v>
      </c>
      <c r="W188" s="518">
        <v>10000</v>
      </c>
      <c r="X188" s="518">
        <v>10000</v>
      </c>
      <c r="Y188" s="518">
        <v>10000</v>
      </c>
      <c r="Z188" s="518">
        <v>10000</v>
      </c>
      <c r="AA188" s="518">
        <v>10000</v>
      </c>
      <c r="AB188" s="518">
        <v>0</v>
      </c>
      <c r="AC188" s="518">
        <v>0</v>
      </c>
      <c r="AD188" s="518">
        <v>0</v>
      </c>
      <c r="AE188" s="518">
        <v>0</v>
      </c>
      <c r="AF188" s="518">
        <v>0</v>
      </c>
      <c r="AG188" s="518">
        <v>0</v>
      </c>
      <c r="AH188" s="518">
        <v>0</v>
      </c>
      <c r="AI188" s="518">
        <v>0</v>
      </c>
      <c r="AJ188" s="518">
        <v>0</v>
      </c>
      <c r="AK188" s="518">
        <v>0</v>
      </c>
      <c r="AL188" s="518">
        <v>0</v>
      </c>
      <c r="AM188" s="518">
        <v>0</v>
      </c>
      <c r="AN188" s="518">
        <v>0</v>
      </c>
      <c r="AO188" s="518">
        <v>0</v>
      </c>
      <c r="AP188" s="518">
        <v>0</v>
      </c>
      <c r="AQ188" s="518">
        <v>0</v>
      </c>
      <c r="AR188" s="518">
        <v>0</v>
      </c>
      <c r="AS188" s="518">
        <v>0</v>
      </c>
      <c r="AT188" s="518">
        <v>0</v>
      </c>
      <c r="AU188" s="518">
        <v>0</v>
      </c>
      <c r="AV188" s="518">
        <v>0</v>
      </c>
      <c r="AW188" s="518">
        <v>0</v>
      </c>
      <c r="AX188" s="518">
        <v>0</v>
      </c>
      <c r="AY188" s="518">
        <v>0</v>
      </c>
      <c r="AZ188" s="518">
        <v>0</v>
      </c>
      <c r="BA188" s="518">
        <v>0</v>
      </c>
      <c r="BB188" s="518">
        <v>0</v>
      </c>
      <c r="BC188" s="518">
        <v>0</v>
      </c>
      <c r="BD188" s="518">
        <v>0</v>
      </c>
      <c r="BE188" s="518">
        <v>0</v>
      </c>
      <c r="BF188" s="518">
        <v>0</v>
      </c>
      <c r="BG188" s="518">
        <v>0</v>
      </c>
      <c r="BH188" s="518">
        <v>0</v>
      </c>
      <c r="BI188" s="518">
        <v>0</v>
      </c>
      <c r="BJ188" s="518">
        <v>0</v>
      </c>
      <c r="BK188" s="518">
        <v>0</v>
      </c>
      <c r="BL188" s="518">
        <v>0</v>
      </c>
      <c r="BM188" s="518">
        <v>0</v>
      </c>
      <c r="BN188" s="518">
        <v>0</v>
      </c>
      <c r="BO188" s="518">
        <v>0</v>
      </c>
      <c r="BP188" s="518">
        <v>0</v>
      </c>
      <c r="BQ188" s="518">
        <v>0</v>
      </c>
      <c r="BR188" s="518">
        <v>0</v>
      </c>
      <c r="BS188" s="518">
        <v>0</v>
      </c>
      <c r="BT188" s="518">
        <v>0</v>
      </c>
      <c r="BU188" s="518">
        <v>0</v>
      </c>
      <c r="BV188" s="518">
        <v>0</v>
      </c>
      <c r="BW188" s="518">
        <v>0</v>
      </c>
      <c r="BX188" s="518">
        <v>0</v>
      </c>
      <c r="BY188" s="518">
        <v>0</v>
      </c>
      <c r="BZ188" s="518">
        <v>0</v>
      </c>
      <c r="CA188" s="518">
        <v>0</v>
      </c>
      <c r="CB188" s="518">
        <v>0</v>
      </c>
      <c r="CC188" s="518">
        <v>0</v>
      </c>
      <c r="CD188" s="518">
        <v>0</v>
      </c>
      <c r="CE188" s="518">
        <v>0</v>
      </c>
      <c r="CF188" s="518">
        <v>0</v>
      </c>
      <c r="CG188" s="518">
        <v>0</v>
      </c>
      <c r="CH188" s="518">
        <v>0</v>
      </c>
      <c r="CI188" s="518">
        <v>0</v>
      </c>
      <c r="CJ188" s="518">
        <v>0</v>
      </c>
      <c r="CK188" s="518">
        <v>0</v>
      </c>
      <c r="CL188" s="518">
        <v>0</v>
      </c>
      <c r="CM188" s="518">
        <v>0</v>
      </c>
      <c r="CN188" s="518">
        <v>0</v>
      </c>
      <c r="CO188" s="518">
        <v>0</v>
      </c>
      <c r="CP188" s="518">
        <v>0</v>
      </c>
      <c r="CQ188" s="518">
        <v>0</v>
      </c>
      <c r="CR188" s="518">
        <v>0</v>
      </c>
      <c r="CS188" s="518">
        <v>0</v>
      </c>
      <c r="CT188" s="518">
        <v>0</v>
      </c>
      <c r="CU188" s="518">
        <v>0</v>
      </c>
      <c r="CV188" s="518">
        <v>0</v>
      </c>
      <c r="CW188" s="518">
        <v>0</v>
      </c>
      <c r="CX188" s="518">
        <v>0</v>
      </c>
      <c r="CY188" s="518">
        <v>0</v>
      </c>
      <c r="CZ188" s="518">
        <v>0</v>
      </c>
      <c r="DA188" s="518">
        <v>0</v>
      </c>
      <c r="DB188" s="518">
        <v>0</v>
      </c>
      <c r="DC188" s="518">
        <v>0</v>
      </c>
      <c r="DD188" s="518">
        <v>0</v>
      </c>
      <c r="DE188" s="518">
        <v>0</v>
      </c>
      <c r="DF188" s="518">
        <v>0</v>
      </c>
      <c r="DG188" s="518">
        <v>0</v>
      </c>
      <c r="DH188" s="518">
        <v>0</v>
      </c>
      <c r="DI188" s="518">
        <v>0</v>
      </c>
      <c r="DJ188" s="518">
        <v>0</v>
      </c>
      <c r="DK188" s="518">
        <v>0</v>
      </c>
      <c r="DL188" s="518">
        <v>0</v>
      </c>
      <c r="DM188" s="518">
        <v>0</v>
      </c>
      <c r="DN188" s="518">
        <v>0</v>
      </c>
      <c r="DO188" s="518">
        <v>0</v>
      </c>
      <c r="DP188" s="518">
        <v>0</v>
      </c>
      <c r="DQ188" s="518">
        <v>0</v>
      </c>
      <c r="DR188" s="518">
        <v>0</v>
      </c>
      <c r="DS188" s="518">
        <v>0</v>
      </c>
      <c r="DT188" s="518">
        <v>0</v>
      </c>
      <c r="DU188" s="518">
        <v>0</v>
      </c>
      <c r="DV188" s="518">
        <v>0</v>
      </c>
      <c r="DW188" s="518">
        <v>0</v>
      </c>
      <c r="DX188" s="518">
        <v>0</v>
      </c>
      <c r="DZ188" s="517" t="s">
        <v>721</v>
      </c>
      <c r="EA188" s="517" t="s">
        <v>1101</v>
      </c>
      <c r="EB188" s="517" t="s">
        <v>26</v>
      </c>
      <c r="EC188" s="518">
        <v>55</v>
      </c>
      <c r="ED188" s="494" t="str">
        <f t="shared" si="9"/>
        <v>SWUC100255</v>
      </c>
      <c r="EE188" s="518">
        <v>437.8</v>
      </c>
      <c r="EF188" s="518">
        <v>2000</v>
      </c>
      <c r="EG188" s="518">
        <v>2000</v>
      </c>
      <c r="EH188" s="518">
        <v>2000</v>
      </c>
      <c r="EI188" s="518">
        <v>2188.9</v>
      </c>
      <c r="EJ188" s="518">
        <v>2626.7</v>
      </c>
      <c r="EK188" s="518">
        <v>3064.5</v>
      </c>
      <c r="EL188" s="518">
        <v>3502.2</v>
      </c>
      <c r="EM188" s="518">
        <v>3940</v>
      </c>
      <c r="EN188" s="518">
        <v>4377.8</v>
      </c>
      <c r="EO188" s="518">
        <v>0</v>
      </c>
      <c r="EP188" s="518">
        <v>0</v>
      </c>
      <c r="EQ188" s="518">
        <v>0</v>
      </c>
      <c r="ER188" s="518">
        <v>0</v>
      </c>
      <c r="ES188" s="518">
        <v>0</v>
      </c>
      <c r="ET188" s="518">
        <v>0</v>
      </c>
      <c r="EU188" s="518">
        <v>0</v>
      </c>
      <c r="EV188" s="518">
        <v>0</v>
      </c>
      <c r="EW188" s="518">
        <v>0</v>
      </c>
      <c r="EX188" s="518">
        <v>0</v>
      </c>
      <c r="EY188" s="518">
        <v>0</v>
      </c>
      <c r="EZ188" s="518">
        <v>0</v>
      </c>
      <c r="FA188" s="518">
        <v>0</v>
      </c>
      <c r="FB188" s="518">
        <v>0</v>
      </c>
      <c r="FC188" s="518">
        <v>0</v>
      </c>
      <c r="FD188" s="518">
        <v>0</v>
      </c>
      <c r="FE188" s="518">
        <v>0</v>
      </c>
      <c r="FF188" s="518">
        <v>0</v>
      </c>
      <c r="FG188" s="518">
        <v>0</v>
      </c>
      <c r="FH188" s="518">
        <v>0</v>
      </c>
      <c r="FI188" s="518">
        <v>0</v>
      </c>
      <c r="FJ188" s="518">
        <v>0</v>
      </c>
      <c r="FK188" s="518">
        <v>0</v>
      </c>
      <c r="FL188" s="518">
        <v>0</v>
      </c>
      <c r="FM188" s="518">
        <v>0</v>
      </c>
      <c r="FN188" s="518">
        <v>0</v>
      </c>
      <c r="FO188" s="518">
        <v>0</v>
      </c>
      <c r="FP188" s="518">
        <v>0</v>
      </c>
      <c r="FQ188" s="518">
        <v>0</v>
      </c>
      <c r="FR188" s="518">
        <v>0</v>
      </c>
      <c r="FS188" s="518">
        <v>0</v>
      </c>
      <c r="FT188" s="518">
        <v>0</v>
      </c>
      <c r="FU188" s="518">
        <v>0</v>
      </c>
      <c r="FV188" s="518">
        <v>0</v>
      </c>
      <c r="FW188" s="518">
        <v>0</v>
      </c>
      <c r="FX188" s="518">
        <v>0</v>
      </c>
      <c r="FY188" s="518">
        <v>0</v>
      </c>
      <c r="FZ188" s="518">
        <v>0</v>
      </c>
      <c r="GA188" s="518">
        <v>0</v>
      </c>
      <c r="GB188" s="518">
        <v>0</v>
      </c>
      <c r="GC188" s="518">
        <v>0</v>
      </c>
      <c r="GD188" s="518">
        <v>0</v>
      </c>
      <c r="GE188" s="518">
        <v>0</v>
      </c>
      <c r="GF188" s="518">
        <v>0</v>
      </c>
      <c r="GG188" s="518">
        <v>0</v>
      </c>
      <c r="GH188" s="518">
        <v>0</v>
      </c>
      <c r="GI188" s="518">
        <v>0</v>
      </c>
      <c r="GJ188" s="518">
        <v>0</v>
      </c>
      <c r="GK188" s="518">
        <v>0</v>
      </c>
      <c r="GL188" s="518">
        <v>0</v>
      </c>
      <c r="GM188" s="518">
        <v>0</v>
      </c>
      <c r="GN188" s="518">
        <v>0</v>
      </c>
      <c r="GO188" s="518">
        <v>0</v>
      </c>
      <c r="GP188" s="518">
        <v>0</v>
      </c>
      <c r="GQ188" s="518">
        <v>0</v>
      </c>
      <c r="GR188" s="518">
        <v>0</v>
      </c>
      <c r="GS188" s="518">
        <v>0</v>
      </c>
      <c r="GT188" s="518">
        <v>0</v>
      </c>
      <c r="GU188" s="518">
        <v>0</v>
      </c>
      <c r="GV188" s="518">
        <v>0</v>
      </c>
      <c r="GW188" s="518">
        <v>0</v>
      </c>
      <c r="GX188" s="518">
        <v>0</v>
      </c>
      <c r="GY188" s="518">
        <v>0</v>
      </c>
      <c r="GZ188" s="518">
        <v>0</v>
      </c>
      <c r="HA188" s="518">
        <v>0</v>
      </c>
      <c r="HB188" s="518">
        <v>0</v>
      </c>
      <c r="HC188" s="518">
        <v>0</v>
      </c>
      <c r="HD188" s="518">
        <v>0</v>
      </c>
      <c r="HE188" s="518">
        <v>0</v>
      </c>
      <c r="HF188" s="518">
        <v>0</v>
      </c>
      <c r="HG188" s="518">
        <v>0</v>
      </c>
      <c r="HH188" s="518">
        <v>0</v>
      </c>
      <c r="HI188" s="518">
        <v>0</v>
      </c>
      <c r="HJ188" s="518">
        <v>0</v>
      </c>
      <c r="HK188" s="518">
        <v>0</v>
      </c>
      <c r="HL188" s="518">
        <v>0</v>
      </c>
      <c r="HM188" s="518">
        <v>0</v>
      </c>
      <c r="HN188" s="518">
        <v>0</v>
      </c>
      <c r="HO188" s="518">
        <v>0</v>
      </c>
      <c r="HP188" s="518">
        <v>0</v>
      </c>
      <c r="HQ188" s="518">
        <v>0</v>
      </c>
      <c r="HR188" s="518">
        <v>0</v>
      </c>
      <c r="HS188" s="518">
        <v>0</v>
      </c>
      <c r="HT188" s="518">
        <v>0</v>
      </c>
      <c r="HU188" s="518">
        <v>0</v>
      </c>
      <c r="HV188" s="518">
        <v>0</v>
      </c>
      <c r="HW188" s="518">
        <v>0</v>
      </c>
      <c r="HX188" s="518">
        <v>0</v>
      </c>
      <c r="HY188" s="518">
        <v>0</v>
      </c>
      <c r="HZ188" s="518">
        <v>0</v>
      </c>
      <c r="IA188" s="518">
        <v>0</v>
      </c>
      <c r="IB188" s="518">
        <v>0</v>
      </c>
      <c r="IC188" s="518">
        <v>0</v>
      </c>
      <c r="ID188" s="518">
        <v>0</v>
      </c>
      <c r="IE188" s="518">
        <v>0</v>
      </c>
      <c r="IF188" s="518">
        <v>0</v>
      </c>
      <c r="IG188" s="518">
        <v>0</v>
      </c>
      <c r="IH188" s="518">
        <v>0</v>
      </c>
      <c r="II188" s="518">
        <v>0</v>
      </c>
      <c r="IJ188" s="518">
        <v>0</v>
      </c>
      <c r="IK188" s="518">
        <v>0</v>
      </c>
    </row>
    <row r="189" spans="13:245" hidden="1">
      <c r="M189" s="517" t="s">
        <v>721</v>
      </c>
      <c r="N189" s="517" t="s">
        <v>1101</v>
      </c>
      <c r="O189" s="517" t="s">
        <v>26</v>
      </c>
      <c r="P189" s="518">
        <v>56</v>
      </c>
      <c r="Q189" s="494" t="str">
        <f t="shared" si="8"/>
        <v>SWUC100256</v>
      </c>
      <c r="R189" s="518">
        <v>457.9</v>
      </c>
      <c r="S189" s="518">
        <v>10000</v>
      </c>
      <c r="T189" s="518">
        <v>10000</v>
      </c>
      <c r="U189" s="518">
        <v>10000</v>
      </c>
      <c r="V189" s="518">
        <v>10000</v>
      </c>
      <c r="W189" s="518">
        <v>10000</v>
      </c>
      <c r="X189" s="518">
        <v>10000</v>
      </c>
      <c r="Y189" s="518">
        <v>10000</v>
      </c>
      <c r="Z189" s="518">
        <v>10000</v>
      </c>
      <c r="AA189" s="518">
        <v>10000</v>
      </c>
      <c r="AB189" s="518">
        <v>0</v>
      </c>
      <c r="AC189" s="518">
        <v>0</v>
      </c>
      <c r="AD189" s="518">
        <v>0</v>
      </c>
      <c r="AE189" s="518">
        <v>0</v>
      </c>
      <c r="AF189" s="518">
        <v>0</v>
      </c>
      <c r="AG189" s="518">
        <v>0</v>
      </c>
      <c r="AH189" s="518">
        <v>0</v>
      </c>
      <c r="AI189" s="518">
        <v>0</v>
      </c>
      <c r="AJ189" s="518">
        <v>0</v>
      </c>
      <c r="AK189" s="518">
        <v>0</v>
      </c>
      <c r="AL189" s="518">
        <v>0</v>
      </c>
      <c r="AM189" s="518">
        <v>0</v>
      </c>
      <c r="AN189" s="518">
        <v>0</v>
      </c>
      <c r="AO189" s="518">
        <v>0</v>
      </c>
      <c r="AP189" s="518">
        <v>0</v>
      </c>
      <c r="AQ189" s="518">
        <v>0</v>
      </c>
      <c r="AR189" s="518">
        <v>0</v>
      </c>
      <c r="AS189" s="518">
        <v>0</v>
      </c>
      <c r="AT189" s="518">
        <v>0</v>
      </c>
      <c r="AU189" s="518">
        <v>0</v>
      </c>
      <c r="AV189" s="518">
        <v>0</v>
      </c>
      <c r="AW189" s="518">
        <v>0</v>
      </c>
      <c r="AX189" s="518">
        <v>0</v>
      </c>
      <c r="AY189" s="518">
        <v>0</v>
      </c>
      <c r="AZ189" s="518">
        <v>0</v>
      </c>
      <c r="BA189" s="518">
        <v>0</v>
      </c>
      <c r="BB189" s="518">
        <v>0</v>
      </c>
      <c r="BC189" s="518">
        <v>0</v>
      </c>
      <c r="BD189" s="518">
        <v>0</v>
      </c>
      <c r="BE189" s="518">
        <v>0</v>
      </c>
      <c r="BF189" s="518">
        <v>0</v>
      </c>
      <c r="BG189" s="518">
        <v>0</v>
      </c>
      <c r="BH189" s="518">
        <v>0</v>
      </c>
      <c r="BI189" s="518">
        <v>0</v>
      </c>
      <c r="BJ189" s="518">
        <v>0</v>
      </c>
      <c r="BK189" s="518">
        <v>0</v>
      </c>
      <c r="BL189" s="518">
        <v>0</v>
      </c>
      <c r="BM189" s="518">
        <v>0</v>
      </c>
      <c r="BN189" s="518">
        <v>0</v>
      </c>
      <c r="BO189" s="518">
        <v>0</v>
      </c>
      <c r="BP189" s="518">
        <v>0</v>
      </c>
      <c r="BQ189" s="518">
        <v>0</v>
      </c>
      <c r="BR189" s="518">
        <v>0</v>
      </c>
      <c r="BS189" s="518">
        <v>0</v>
      </c>
      <c r="BT189" s="518">
        <v>0</v>
      </c>
      <c r="BU189" s="518">
        <v>0</v>
      </c>
      <c r="BV189" s="518">
        <v>0</v>
      </c>
      <c r="BW189" s="518">
        <v>0</v>
      </c>
      <c r="BX189" s="518">
        <v>0</v>
      </c>
      <c r="BY189" s="518">
        <v>0</v>
      </c>
      <c r="BZ189" s="518">
        <v>0</v>
      </c>
      <c r="CA189" s="518">
        <v>0</v>
      </c>
      <c r="CB189" s="518">
        <v>0</v>
      </c>
      <c r="CC189" s="518">
        <v>0</v>
      </c>
      <c r="CD189" s="518">
        <v>0</v>
      </c>
      <c r="CE189" s="518">
        <v>0</v>
      </c>
      <c r="CF189" s="518">
        <v>0</v>
      </c>
      <c r="CG189" s="518">
        <v>0</v>
      </c>
      <c r="CH189" s="518">
        <v>0</v>
      </c>
      <c r="CI189" s="518">
        <v>0</v>
      </c>
      <c r="CJ189" s="518">
        <v>0</v>
      </c>
      <c r="CK189" s="518">
        <v>0</v>
      </c>
      <c r="CL189" s="518">
        <v>0</v>
      </c>
      <c r="CM189" s="518">
        <v>0</v>
      </c>
      <c r="CN189" s="518">
        <v>0</v>
      </c>
      <c r="CO189" s="518">
        <v>0</v>
      </c>
      <c r="CP189" s="518">
        <v>0</v>
      </c>
      <c r="CQ189" s="518">
        <v>0</v>
      </c>
      <c r="CR189" s="518">
        <v>0</v>
      </c>
      <c r="CS189" s="518">
        <v>0</v>
      </c>
      <c r="CT189" s="518">
        <v>0</v>
      </c>
      <c r="CU189" s="518">
        <v>0</v>
      </c>
      <c r="CV189" s="518">
        <v>0</v>
      </c>
      <c r="CW189" s="518">
        <v>0</v>
      </c>
      <c r="CX189" s="518">
        <v>0</v>
      </c>
      <c r="CY189" s="518">
        <v>0</v>
      </c>
      <c r="CZ189" s="518">
        <v>0</v>
      </c>
      <c r="DA189" s="518">
        <v>0</v>
      </c>
      <c r="DB189" s="518">
        <v>0</v>
      </c>
      <c r="DC189" s="518">
        <v>0</v>
      </c>
      <c r="DD189" s="518">
        <v>0</v>
      </c>
      <c r="DE189" s="518">
        <v>0</v>
      </c>
      <c r="DF189" s="518">
        <v>0</v>
      </c>
      <c r="DG189" s="518">
        <v>0</v>
      </c>
      <c r="DH189" s="518">
        <v>0</v>
      </c>
      <c r="DI189" s="518">
        <v>0</v>
      </c>
      <c r="DJ189" s="518">
        <v>0</v>
      </c>
      <c r="DK189" s="518">
        <v>0</v>
      </c>
      <c r="DL189" s="518">
        <v>0</v>
      </c>
      <c r="DM189" s="518">
        <v>0</v>
      </c>
      <c r="DN189" s="518">
        <v>0</v>
      </c>
      <c r="DO189" s="518">
        <v>0</v>
      </c>
      <c r="DP189" s="518">
        <v>0</v>
      </c>
      <c r="DQ189" s="518">
        <v>0</v>
      </c>
      <c r="DR189" s="518">
        <v>0</v>
      </c>
      <c r="DS189" s="518">
        <v>0</v>
      </c>
      <c r="DT189" s="518">
        <v>0</v>
      </c>
      <c r="DU189" s="518">
        <v>0</v>
      </c>
      <c r="DV189" s="518">
        <v>0</v>
      </c>
      <c r="DW189" s="518">
        <v>0</v>
      </c>
      <c r="DX189" s="518">
        <v>0</v>
      </c>
      <c r="DZ189" s="517" t="s">
        <v>721</v>
      </c>
      <c r="EA189" s="517" t="s">
        <v>1101</v>
      </c>
      <c r="EB189" s="517" t="s">
        <v>26</v>
      </c>
      <c r="EC189" s="518">
        <v>56</v>
      </c>
      <c r="ED189" s="494" t="str">
        <f t="shared" si="9"/>
        <v>SWUC100256</v>
      </c>
      <c r="EE189" s="518">
        <v>457.9</v>
      </c>
      <c r="EF189" s="518">
        <v>2000</v>
      </c>
      <c r="EG189" s="518">
        <v>2000</v>
      </c>
      <c r="EH189" s="518">
        <v>2000</v>
      </c>
      <c r="EI189" s="518">
        <v>2289.6</v>
      </c>
      <c r="EJ189" s="518">
        <v>2747.5</v>
      </c>
      <c r="EK189" s="518">
        <v>3205.4</v>
      </c>
      <c r="EL189" s="518">
        <v>3663.4</v>
      </c>
      <c r="EM189" s="518">
        <v>4121.3</v>
      </c>
      <c r="EN189" s="518">
        <v>4579.2</v>
      </c>
      <c r="EO189" s="518">
        <v>0</v>
      </c>
      <c r="EP189" s="518">
        <v>0</v>
      </c>
      <c r="EQ189" s="518">
        <v>0</v>
      </c>
      <c r="ER189" s="518">
        <v>0</v>
      </c>
      <c r="ES189" s="518">
        <v>0</v>
      </c>
      <c r="ET189" s="518">
        <v>0</v>
      </c>
      <c r="EU189" s="518">
        <v>0</v>
      </c>
      <c r="EV189" s="518">
        <v>0</v>
      </c>
      <c r="EW189" s="518">
        <v>0</v>
      </c>
      <c r="EX189" s="518">
        <v>0</v>
      </c>
      <c r="EY189" s="518">
        <v>0</v>
      </c>
      <c r="EZ189" s="518">
        <v>0</v>
      </c>
      <c r="FA189" s="518">
        <v>0</v>
      </c>
      <c r="FB189" s="518">
        <v>0</v>
      </c>
      <c r="FC189" s="518">
        <v>0</v>
      </c>
      <c r="FD189" s="518">
        <v>0</v>
      </c>
      <c r="FE189" s="518">
        <v>0</v>
      </c>
      <c r="FF189" s="518">
        <v>0</v>
      </c>
      <c r="FG189" s="518">
        <v>0</v>
      </c>
      <c r="FH189" s="518">
        <v>0</v>
      </c>
      <c r="FI189" s="518">
        <v>0</v>
      </c>
      <c r="FJ189" s="518">
        <v>0</v>
      </c>
      <c r="FK189" s="518">
        <v>0</v>
      </c>
      <c r="FL189" s="518">
        <v>0</v>
      </c>
      <c r="FM189" s="518">
        <v>0</v>
      </c>
      <c r="FN189" s="518">
        <v>0</v>
      </c>
      <c r="FO189" s="518">
        <v>0</v>
      </c>
      <c r="FP189" s="518">
        <v>0</v>
      </c>
      <c r="FQ189" s="518">
        <v>0</v>
      </c>
      <c r="FR189" s="518">
        <v>0</v>
      </c>
      <c r="FS189" s="518">
        <v>0</v>
      </c>
      <c r="FT189" s="518">
        <v>0</v>
      </c>
      <c r="FU189" s="518">
        <v>0</v>
      </c>
      <c r="FV189" s="518">
        <v>0</v>
      </c>
      <c r="FW189" s="518">
        <v>0</v>
      </c>
      <c r="FX189" s="518">
        <v>0</v>
      </c>
      <c r="FY189" s="518">
        <v>0</v>
      </c>
      <c r="FZ189" s="518">
        <v>0</v>
      </c>
      <c r="GA189" s="518">
        <v>0</v>
      </c>
      <c r="GB189" s="518">
        <v>0</v>
      </c>
      <c r="GC189" s="518">
        <v>0</v>
      </c>
      <c r="GD189" s="518">
        <v>0</v>
      </c>
      <c r="GE189" s="518">
        <v>0</v>
      </c>
      <c r="GF189" s="518">
        <v>0</v>
      </c>
      <c r="GG189" s="518">
        <v>0</v>
      </c>
      <c r="GH189" s="518">
        <v>0</v>
      </c>
      <c r="GI189" s="518">
        <v>0</v>
      </c>
      <c r="GJ189" s="518">
        <v>0</v>
      </c>
      <c r="GK189" s="518">
        <v>0</v>
      </c>
      <c r="GL189" s="518">
        <v>0</v>
      </c>
      <c r="GM189" s="518">
        <v>0</v>
      </c>
      <c r="GN189" s="518">
        <v>0</v>
      </c>
      <c r="GO189" s="518">
        <v>0</v>
      </c>
      <c r="GP189" s="518">
        <v>0</v>
      </c>
      <c r="GQ189" s="518">
        <v>0</v>
      </c>
      <c r="GR189" s="518">
        <v>0</v>
      </c>
      <c r="GS189" s="518">
        <v>0</v>
      </c>
      <c r="GT189" s="518">
        <v>0</v>
      </c>
      <c r="GU189" s="518">
        <v>0</v>
      </c>
      <c r="GV189" s="518">
        <v>0</v>
      </c>
      <c r="GW189" s="518">
        <v>0</v>
      </c>
      <c r="GX189" s="518">
        <v>0</v>
      </c>
      <c r="GY189" s="518">
        <v>0</v>
      </c>
      <c r="GZ189" s="518">
        <v>0</v>
      </c>
      <c r="HA189" s="518">
        <v>0</v>
      </c>
      <c r="HB189" s="518">
        <v>0</v>
      </c>
      <c r="HC189" s="518">
        <v>0</v>
      </c>
      <c r="HD189" s="518">
        <v>0</v>
      </c>
      <c r="HE189" s="518">
        <v>0</v>
      </c>
      <c r="HF189" s="518">
        <v>0</v>
      </c>
      <c r="HG189" s="518">
        <v>0</v>
      </c>
      <c r="HH189" s="518">
        <v>0</v>
      </c>
      <c r="HI189" s="518">
        <v>0</v>
      </c>
      <c r="HJ189" s="518">
        <v>0</v>
      </c>
      <c r="HK189" s="518">
        <v>0</v>
      </c>
      <c r="HL189" s="518">
        <v>0</v>
      </c>
      <c r="HM189" s="518">
        <v>0</v>
      </c>
      <c r="HN189" s="518">
        <v>0</v>
      </c>
      <c r="HO189" s="518">
        <v>0</v>
      </c>
      <c r="HP189" s="518">
        <v>0</v>
      </c>
      <c r="HQ189" s="518">
        <v>0</v>
      </c>
      <c r="HR189" s="518">
        <v>0</v>
      </c>
      <c r="HS189" s="518">
        <v>0</v>
      </c>
      <c r="HT189" s="518">
        <v>0</v>
      </c>
      <c r="HU189" s="518">
        <v>0</v>
      </c>
      <c r="HV189" s="518">
        <v>0</v>
      </c>
      <c r="HW189" s="518">
        <v>0</v>
      </c>
      <c r="HX189" s="518">
        <v>0</v>
      </c>
      <c r="HY189" s="518">
        <v>0</v>
      </c>
      <c r="HZ189" s="518">
        <v>0</v>
      </c>
      <c r="IA189" s="518">
        <v>0</v>
      </c>
      <c r="IB189" s="518">
        <v>0</v>
      </c>
      <c r="IC189" s="518">
        <v>0</v>
      </c>
      <c r="ID189" s="518">
        <v>0</v>
      </c>
      <c r="IE189" s="518">
        <v>0</v>
      </c>
      <c r="IF189" s="518">
        <v>0</v>
      </c>
      <c r="IG189" s="518">
        <v>0</v>
      </c>
      <c r="IH189" s="518">
        <v>0</v>
      </c>
      <c r="II189" s="518">
        <v>0</v>
      </c>
      <c r="IJ189" s="518">
        <v>0</v>
      </c>
      <c r="IK189" s="518">
        <v>0</v>
      </c>
    </row>
    <row r="190" spans="13:245" hidden="1">
      <c r="M190" s="517" t="s">
        <v>721</v>
      </c>
      <c r="N190" s="517" t="s">
        <v>1101</v>
      </c>
      <c r="O190" s="517" t="s">
        <v>26</v>
      </c>
      <c r="P190" s="518">
        <v>57</v>
      </c>
      <c r="Q190" s="494" t="str">
        <f t="shared" si="8"/>
        <v>SWUC100257</v>
      </c>
      <c r="R190" s="518">
        <v>478.1</v>
      </c>
      <c r="S190" s="518">
        <v>10000</v>
      </c>
      <c r="T190" s="518">
        <v>10000</v>
      </c>
      <c r="U190" s="518">
        <v>10000</v>
      </c>
      <c r="V190" s="518">
        <v>10000</v>
      </c>
      <c r="W190" s="518">
        <v>10000</v>
      </c>
      <c r="X190" s="518">
        <v>10000</v>
      </c>
      <c r="Y190" s="518">
        <v>10000</v>
      </c>
      <c r="Z190" s="518">
        <v>10000</v>
      </c>
      <c r="AA190" s="518">
        <v>10000</v>
      </c>
      <c r="AB190" s="518">
        <v>0</v>
      </c>
      <c r="AC190" s="518">
        <v>0</v>
      </c>
      <c r="AD190" s="518">
        <v>0</v>
      </c>
      <c r="AE190" s="518">
        <v>0</v>
      </c>
      <c r="AF190" s="518">
        <v>0</v>
      </c>
      <c r="AG190" s="518">
        <v>0</v>
      </c>
      <c r="AH190" s="518">
        <v>0</v>
      </c>
      <c r="AI190" s="518">
        <v>0</v>
      </c>
      <c r="AJ190" s="518">
        <v>0</v>
      </c>
      <c r="AK190" s="518">
        <v>0</v>
      </c>
      <c r="AL190" s="518">
        <v>0</v>
      </c>
      <c r="AM190" s="518">
        <v>0</v>
      </c>
      <c r="AN190" s="518">
        <v>0</v>
      </c>
      <c r="AO190" s="518">
        <v>0</v>
      </c>
      <c r="AP190" s="518">
        <v>0</v>
      </c>
      <c r="AQ190" s="518">
        <v>0</v>
      </c>
      <c r="AR190" s="518">
        <v>0</v>
      </c>
      <c r="AS190" s="518">
        <v>0</v>
      </c>
      <c r="AT190" s="518">
        <v>0</v>
      </c>
      <c r="AU190" s="518">
        <v>0</v>
      </c>
      <c r="AV190" s="518">
        <v>0</v>
      </c>
      <c r="AW190" s="518">
        <v>0</v>
      </c>
      <c r="AX190" s="518">
        <v>0</v>
      </c>
      <c r="AY190" s="518">
        <v>0</v>
      </c>
      <c r="AZ190" s="518">
        <v>0</v>
      </c>
      <c r="BA190" s="518">
        <v>0</v>
      </c>
      <c r="BB190" s="518">
        <v>0</v>
      </c>
      <c r="BC190" s="518">
        <v>0</v>
      </c>
      <c r="BD190" s="518">
        <v>0</v>
      </c>
      <c r="BE190" s="518">
        <v>0</v>
      </c>
      <c r="BF190" s="518">
        <v>0</v>
      </c>
      <c r="BG190" s="518">
        <v>0</v>
      </c>
      <c r="BH190" s="518">
        <v>0</v>
      </c>
      <c r="BI190" s="518">
        <v>0</v>
      </c>
      <c r="BJ190" s="518">
        <v>0</v>
      </c>
      <c r="BK190" s="518">
        <v>0</v>
      </c>
      <c r="BL190" s="518">
        <v>0</v>
      </c>
      <c r="BM190" s="518">
        <v>0</v>
      </c>
      <c r="BN190" s="518">
        <v>0</v>
      </c>
      <c r="BO190" s="518">
        <v>0</v>
      </c>
      <c r="BP190" s="518">
        <v>0</v>
      </c>
      <c r="BQ190" s="518">
        <v>0</v>
      </c>
      <c r="BR190" s="518">
        <v>0</v>
      </c>
      <c r="BS190" s="518">
        <v>0</v>
      </c>
      <c r="BT190" s="518">
        <v>0</v>
      </c>
      <c r="BU190" s="518">
        <v>0</v>
      </c>
      <c r="BV190" s="518">
        <v>0</v>
      </c>
      <c r="BW190" s="518">
        <v>0</v>
      </c>
      <c r="BX190" s="518">
        <v>0</v>
      </c>
      <c r="BY190" s="518">
        <v>0</v>
      </c>
      <c r="BZ190" s="518">
        <v>0</v>
      </c>
      <c r="CA190" s="518">
        <v>0</v>
      </c>
      <c r="CB190" s="518">
        <v>0</v>
      </c>
      <c r="CC190" s="518">
        <v>0</v>
      </c>
      <c r="CD190" s="518">
        <v>0</v>
      </c>
      <c r="CE190" s="518">
        <v>0</v>
      </c>
      <c r="CF190" s="518">
        <v>0</v>
      </c>
      <c r="CG190" s="518">
        <v>0</v>
      </c>
      <c r="CH190" s="518">
        <v>0</v>
      </c>
      <c r="CI190" s="518">
        <v>0</v>
      </c>
      <c r="CJ190" s="518">
        <v>0</v>
      </c>
      <c r="CK190" s="518">
        <v>0</v>
      </c>
      <c r="CL190" s="518">
        <v>0</v>
      </c>
      <c r="CM190" s="518">
        <v>0</v>
      </c>
      <c r="CN190" s="518">
        <v>0</v>
      </c>
      <c r="CO190" s="518">
        <v>0</v>
      </c>
      <c r="CP190" s="518">
        <v>0</v>
      </c>
      <c r="CQ190" s="518">
        <v>0</v>
      </c>
      <c r="CR190" s="518">
        <v>0</v>
      </c>
      <c r="CS190" s="518">
        <v>0</v>
      </c>
      <c r="CT190" s="518">
        <v>0</v>
      </c>
      <c r="CU190" s="518">
        <v>0</v>
      </c>
      <c r="CV190" s="518">
        <v>0</v>
      </c>
      <c r="CW190" s="518">
        <v>0</v>
      </c>
      <c r="CX190" s="518">
        <v>0</v>
      </c>
      <c r="CY190" s="518">
        <v>0</v>
      </c>
      <c r="CZ190" s="518">
        <v>0</v>
      </c>
      <c r="DA190" s="518">
        <v>0</v>
      </c>
      <c r="DB190" s="518">
        <v>0</v>
      </c>
      <c r="DC190" s="518">
        <v>0</v>
      </c>
      <c r="DD190" s="518">
        <v>0</v>
      </c>
      <c r="DE190" s="518">
        <v>0</v>
      </c>
      <c r="DF190" s="518">
        <v>0</v>
      </c>
      <c r="DG190" s="518">
        <v>0</v>
      </c>
      <c r="DH190" s="518">
        <v>0</v>
      </c>
      <c r="DI190" s="518">
        <v>0</v>
      </c>
      <c r="DJ190" s="518">
        <v>0</v>
      </c>
      <c r="DK190" s="518">
        <v>0</v>
      </c>
      <c r="DL190" s="518">
        <v>0</v>
      </c>
      <c r="DM190" s="518">
        <v>0</v>
      </c>
      <c r="DN190" s="518">
        <v>0</v>
      </c>
      <c r="DO190" s="518">
        <v>0</v>
      </c>
      <c r="DP190" s="518">
        <v>0</v>
      </c>
      <c r="DQ190" s="518">
        <v>0</v>
      </c>
      <c r="DR190" s="518">
        <v>0</v>
      </c>
      <c r="DS190" s="518">
        <v>0</v>
      </c>
      <c r="DT190" s="518">
        <v>0</v>
      </c>
      <c r="DU190" s="518">
        <v>0</v>
      </c>
      <c r="DV190" s="518">
        <v>0</v>
      </c>
      <c r="DW190" s="518">
        <v>0</v>
      </c>
      <c r="DX190" s="518">
        <v>0</v>
      </c>
      <c r="DZ190" s="517" t="s">
        <v>721</v>
      </c>
      <c r="EA190" s="517" t="s">
        <v>1101</v>
      </c>
      <c r="EB190" s="517" t="s">
        <v>26</v>
      </c>
      <c r="EC190" s="518">
        <v>57</v>
      </c>
      <c r="ED190" s="494" t="str">
        <f t="shared" si="9"/>
        <v>SWUC100257</v>
      </c>
      <c r="EE190" s="518">
        <v>478.1</v>
      </c>
      <c r="EF190" s="518">
        <v>2000</v>
      </c>
      <c r="EG190" s="518">
        <v>2000</v>
      </c>
      <c r="EH190" s="518">
        <v>2000</v>
      </c>
      <c r="EI190" s="518">
        <v>2390.3000000000002</v>
      </c>
      <c r="EJ190" s="518">
        <v>2868.4</v>
      </c>
      <c r="EK190" s="518">
        <v>3346.4</v>
      </c>
      <c r="EL190" s="518">
        <v>3824.5</v>
      </c>
      <c r="EM190" s="518">
        <v>4302.5</v>
      </c>
      <c r="EN190" s="518">
        <v>4780.6000000000004</v>
      </c>
      <c r="EO190" s="518">
        <v>0</v>
      </c>
      <c r="EP190" s="518">
        <v>0</v>
      </c>
      <c r="EQ190" s="518">
        <v>0</v>
      </c>
      <c r="ER190" s="518">
        <v>0</v>
      </c>
      <c r="ES190" s="518">
        <v>0</v>
      </c>
      <c r="ET190" s="518">
        <v>0</v>
      </c>
      <c r="EU190" s="518">
        <v>0</v>
      </c>
      <c r="EV190" s="518">
        <v>0</v>
      </c>
      <c r="EW190" s="518">
        <v>0</v>
      </c>
      <c r="EX190" s="518">
        <v>0</v>
      </c>
      <c r="EY190" s="518">
        <v>0</v>
      </c>
      <c r="EZ190" s="518">
        <v>0</v>
      </c>
      <c r="FA190" s="518">
        <v>0</v>
      </c>
      <c r="FB190" s="518">
        <v>0</v>
      </c>
      <c r="FC190" s="518">
        <v>0</v>
      </c>
      <c r="FD190" s="518">
        <v>0</v>
      </c>
      <c r="FE190" s="518">
        <v>0</v>
      </c>
      <c r="FF190" s="518">
        <v>0</v>
      </c>
      <c r="FG190" s="518">
        <v>0</v>
      </c>
      <c r="FH190" s="518">
        <v>0</v>
      </c>
      <c r="FI190" s="518">
        <v>0</v>
      </c>
      <c r="FJ190" s="518">
        <v>0</v>
      </c>
      <c r="FK190" s="518">
        <v>0</v>
      </c>
      <c r="FL190" s="518">
        <v>0</v>
      </c>
      <c r="FM190" s="518">
        <v>0</v>
      </c>
      <c r="FN190" s="518">
        <v>0</v>
      </c>
      <c r="FO190" s="518">
        <v>0</v>
      </c>
      <c r="FP190" s="518">
        <v>0</v>
      </c>
      <c r="FQ190" s="518">
        <v>0</v>
      </c>
      <c r="FR190" s="518">
        <v>0</v>
      </c>
      <c r="FS190" s="518">
        <v>0</v>
      </c>
      <c r="FT190" s="518">
        <v>0</v>
      </c>
      <c r="FU190" s="518">
        <v>0</v>
      </c>
      <c r="FV190" s="518">
        <v>0</v>
      </c>
      <c r="FW190" s="518">
        <v>0</v>
      </c>
      <c r="FX190" s="518">
        <v>0</v>
      </c>
      <c r="FY190" s="518">
        <v>0</v>
      </c>
      <c r="FZ190" s="518">
        <v>0</v>
      </c>
      <c r="GA190" s="518">
        <v>0</v>
      </c>
      <c r="GB190" s="518">
        <v>0</v>
      </c>
      <c r="GC190" s="518">
        <v>0</v>
      </c>
      <c r="GD190" s="518">
        <v>0</v>
      </c>
      <c r="GE190" s="518">
        <v>0</v>
      </c>
      <c r="GF190" s="518">
        <v>0</v>
      </c>
      <c r="GG190" s="518">
        <v>0</v>
      </c>
      <c r="GH190" s="518">
        <v>0</v>
      </c>
      <c r="GI190" s="518">
        <v>0</v>
      </c>
      <c r="GJ190" s="518">
        <v>0</v>
      </c>
      <c r="GK190" s="518">
        <v>0</v>
      </c>
      <c r="GL190" s="518">
        <v>0</v>
      </c>
      <c r="GM190" s="518">
        <v>0</v>
      </c>
      <c r="GN190" s="518">
        <v>0</v>
      </c>
      <c r="GO190" s="518">
        <v>0</v>
      </c>
      <c r="GP190" s="518">
        <v>0</v>
      </c>
      <c r="GQ190" s="518">
        <v>0</v>
      </c>
      <c r="GR190" s="518">
        <v>0</v>
      </c>
      <c r="GS190" s="518">
        <v>0</v>
      </c>
      <c r="GT190" s="518">
        <v>0</v>
      </c>
      <c r="GU190" s="518">
        <v>0</v>
      </c>
      <c r="GV190" s="518">
        <v>0</v>
      </c>
      <c r="GW190" s="518">
        <v>0</v>
      </c>
      <c r="GX190" s="518">
        <v>0</v>
      </c>
      <c r="GY190" s="518">
        <v>0</v>
      </c>
      <c r="GZ190" s="518">
        <v>0</v>
      </c>
      <c r="HA190" s="518">
        <v>0</v>
      </c>
      <c r="HB190" s="518">
        <v>0</v>
      </c>
      <c r="HC190" s="518">
        <v>0</v>
      </c>
      <c r="HD190" s="518">
        <v>0</v>
      </c>
      <c r="HE190" s="518">
        <v>0</v>
      </c>
      <c r="HF190" s="518">
        <v>0</v>
      </c>
      <c r="HG190" s="518">
        <v>0</v>
      </c>
      <c r="HH190" s="518">
        <v>0</v>
      </c>
      <c r="HI190" s="518">
        <v>0</v>
      </c>
      <c r="HJ190" s="518">
        <v>0</v>
      </c>
      <c r="HK190" s="518">
        <v>0</v>
      </c>
      <c r="HL190" s="518">
        <v>0</v>
      </c>
      <c r="HM190" s="518">
        <v>0</v>
      </c>
      <c r="HN190" s="518">
        <v>0</v>
      </c>
      <c r="HO190" s="518">
        <v>0</v>
      </c>
      <c r="HP190" s="518">
        <v>0</v>
      </c>
      <c r="HQ190" s="518">
        <v>0</v>
      </c>
      <c r="HR190" s="518">
        <v>0</v>
      </c>
      <c r="HS190" s="518">
        <v>0</v>
      </c>
      <c r="HT190" s="518">
        <v>0</v>
      </c>
      <c r="HU190" s="518">
        <v>0</v>
      </c>
      <c r="HV190" s="518">
        <v>0</v>
      </c>
      <c r="HW190" s="518">
        <v>0</v>
      </c>
      <c r="HX190" s="518">
        <v>0</v>
      </c>
      <c r="HY190" s="518">
        <v>0</v>
      </c>
      <c r="HZ190" s="518">
        <v>0</v>
      </c>
      <c r="IA190" s="518">
        <v>0</v>
      </c>
      <c r="IB190" s="518">
        <v>0</v>
      </c>
      <c r="IC190" s="518">
        <v>0</v>
      </c>
      <c r="ID190" s="518">
        <v>0</v>
      </c>
      <c r="IE190" s="518">
        <v>0</v>
      </c>
      <c r="IF190" s="518">
        <v>0</v>
      </c>
      <c r="IG190" s="518">
        <v>0</v>
      </c>
      <c r="IH190" s="518">
        <v>0</v>
      </c>
      <c r="II190" s="518">
        <v>0</v>
      </c>
      <c r="IJ190" s="518">
        <v>0</v>
      </c>
      <c r="IK190" s="518">
        <v>0</v>
      </c>
    </row>
    <row r="191" spans="13:245" hidden="1">
      <c r="M191" s="517" t="s">
        <v>721</v>
      </c>
      <c r="N191" s="517" t="s">
        <v>1101</v>
      </c>
      <c r="O191" s="517" t="s">
        <v>26</v>
      </c>
      <c r="P191" s="518">
        <v>58</v>
      </c>
      <c r="Q191" s="494" t="str">
        <f t="shared" si="8"/>
        <v>SWUC100258</v>
      </c>
      <c r="R191" s="518">
        <v>498.2</v>
      </c>
      <c r="S191" s="518">
        <v>10000</v>
      </c>
      <c r="T191" s="518">
        <v>10000</v>
      </c>
      <c r="U191" s="518">
        <v>10000</v>
      </c>
      <c r="V191" s="518">
        <v>10000</v>
      </c>
      <c r="W191" s="518">
        <v>10000</v>
      </c>
      <c r="X191" s="518">
        <v>10000</v>
      </c>
      <c r="Y191" s="518">
        <v>10000</v>
      </c>
      <c r="Z191" s="518">
        <v>10000</v>
      </c>
      <c r="AA191" s="518">
        <v>10000</v>
      </c>
      <c r="AB191" s="518">
        <v>0</v>
      </c>
      <c r="AC191" s="518">
        <v>0</v>
      </c>
      <c r="AD191" s="518">
        <v>0</v>
      </c>
      <c r="AE191" s="518">
        <v>0</v>
      </c>
      <c r="AF191" s="518">
        <v>0</v>
      </c>
      <c r="AG191" s="518">
        <v>0</v>
      </c>
      <c r="AH191" s="518">
        <v>0</v>
      </c>
      <c r="AI191" s="518">
        <v>0</v>
      </c>
      <c r="AJ191" s="518">
        <v>0</v>
      </c>
      <c r="AK191" s="518">
        <v>0</v>
      </c>
      <c r="AL191" s="518">
        <v>0</v>
      </c>
      <c r="AM191" s="518">
        <v>0</v>
      </c>
      <c r="AN191" s="518">
        <v>0</v>
      </c>
      <c r="AO191" s="518">
        <v>0</v>
      </c>
      <c r="AP191" s="518">
        <v>0</v>
      </c>
      <c r="AQ191" s="518">
        <v>0</v>
      </c>
      <c r="AR191" s="518">
        <v>0</v>
      </c>
      <c r="AS191" s="518">
        <v>0</v>
      </c>
      <c r="AT191" s="518">
        <v>0</v>
      </c>
      <c r="AU191" s="518">
        <v>0</v>
      </c>
      <c r="AV191" s="518">
        <v>0</v>
      </c>
      <c r="AW191" s="518">
        <v>0</v>
      </c>
      <c r="AX191" s="518">
        <v>0</v>
      </c>
      <c r="AY191" s="518">
        <v>0</v>
      </c>
      <c r="AZ191" s="518">
        <v>0</v>
      </c>
      <c r="BA191" s="518">
        <v>0</v>
      </c>
      <c r="BB191" s="518">
        <v>0</v>
      </c>
      <c r="BC191" s="518">
        <v>0</v>
      </c>
      <c r="BD191" s="518">
        <v>0</v>
      </c>
      <c r="BE191" s="518">
        <v>0</v>
      </c>
      <c r="BF191" s="518">
        <v>0</v>
      </c>
      <c r="BG191" s="518">
        <v>0</v>
      </c>
      <c r="BH191" s="518">
        <v>0</v>
      </c>
      <c r="BI191" s="518">
        <v>0</v>
      </c>
      <c r="BJ191" s="518">
        <v>0</v>
      </c>
      <c r="BK191" s="518">
        <v>0</v>
      </c>
      <c r="BL191" s="518">
        <v>0</v>
      </c>
      <c r="BM191" s="518">
        <v>0</v>
      </c>
      <c r="BN191" s="518">
        <v>0</v>
      </c>
      <c r="BO191" s="518">
        <v>0</v>
      </c>
      <c r="BP191" s="518">
        <v>0</v>
      </c>
      <c r="BQ191" s="518">
        <v>0</v>
      </c>
      <c r="BR191" s="518">
        <v>0</v>
      </c>
      <c r="BS191" s="518">
        <v>0</v>
      </c>
      <c r="BT191" s="518">
        <v>0</v>
      </c>
      <c r="BU191" s="518">
        <v>0</v>
      </c>
      <c r="BV191" s="518">
        <v>0</v>
      </c>
      <c r="BW191" s="518">
        <v>0</v>
      </c>
      <c r="BX191" s="518">
        <v>0</v>
      </c>
      <c r="BY191" s="518">
        <v>0</v>
      </c>
      <c r="BZ191" s="518">
        <v>0</v>
      </c>
      <c r="CA191" s="518">
        <v>0</v>
      </c>
      <c r="CB191" s="518">
        <v>0</v>
      </c>
      <c r="CC191" s="518">
        <v>0</v>
      </c>
      <c r="CD191" s="518">
        <v>0</v>
      </c>
      <c r="CE191" s="518">
        <v>0</v>
      </c>
      <c r="CF191" s="518">
        <v>0</v>
      </c>
      <c r="CG191" s="518">
        <v>0</v>
      </c>
      <c r="CH191" s="518">
        <v>0</v>
      </c>
      <c r="CI191" s="518">
        <v>0</v>
      </c>
      <c r="CJ191" s="518">
        <v>0</v>
      </c>
      <c r="CK191" s="518">
        <v>0</v>
      </c>
      <c r="CL191" s="518">
        <v>0</v>
      </c>
      <c r="CM191" s="518">
        <v>0</v>
      </c>
      <c r="CN191" s="518">
        <v>0</v>
      </c>
      <c r="CO191" s="518">
        <v>0</v>
      </c>
      <c r="CP191" s="518">
        <v>0</v>
      </c>
      <c r="CQ191" s="518">
        <v>0</v>
      </c>
      <c r="CR191" s="518">
        <v>0</v>
      </c>
      <c r="CS191" s="518">
        <v>0</v>
      </c>
      <c r="CT191" s="518">
        <v>0</v>
      </c>
      <c r="CU191" s="518">
        <v>0</v>
      </c>
      <c r="CV191" s="518">
        <v>0</v>
      </c>
      <c r="CW191" s="518">
        <v>0</v>
      </c>
      <c r="CX191" s="518">
        <v>0</v>
      </c>
      <c r="CY191" s="518">
        <v>0</v>
      </c>
      <c r="CZ191" s="518">
        <v>0</v>
      </c>
      <c r="DA191" s="518">
        <v>0</v>
      </c>
      <c r="DB191" s="518">
        <v>0</v>
      </c>
      <c r="DC191" s="518">
        <v>0</v>
      </c>
      <c r="DD191" s="518">
        <v>0</v>
      </c>
      <c r="DE191" s="518">
        <v>0</v>
      </c>
      <c r="DF191" s="518">
        <v>0</v>
      </c>
      <c r="DG191" s="518">
        <v>0</v>
      </c>
      <c r="DH191" s="518">
        <v>0</v>
      </c>
      <c r="DI191" s="518">
        <v>0</v>
      </c>
      <c r="DJ191" s="518">
        <v>0</v>
      </c>
      <c r="DK191" s="518">
        <v>0</v>
      </c>
      <c r="DL191" s="518">
        <v>0</v>
      </c>
      <c r="DM191" s="518">
        <v>0</v>
      </c>
      <c r="DN191" s="518">
        <v>0</v>
      </c>
      <c r="DO191" s="518">
        <v>0</v>
      </c>
      <c r="DP191" s="518">
        <v>0</v>
      </c>
      <c r="DQ191" s="518">
        <v>0</v>
      </c>
      <c r="DR191" s="518">
        <v>0</v>
      </c>
      <c r="DS191" s="518">
        <v>0</v>
      </c>
      <c r="DT191" s="518">
        <v>0</v>
      </c>
      <c r="DU191" s="518">
        <v>0</v>
      </c>
      <c r="DV191" s="518">
        <v>0</v>
      </c>
      <c r="DW191" s="518">
        <v>0</v>
      </c>
      <c r="DX191" s="518">
        <v>0</v>
      </c>
      <c r="DZ191" s="517" t="s">
        <v>721</v>
      </c>
      <c r="EA191" s="517" t="s">
        <v>1101</v>
      </c>
      <c r="EB191" s="517" t="s">
        <v>26</v>
      </c>
      <c r="EC191" s="518">
        <v>58</v>
      </c>
      <c r="ED191" s="494" t="str">
        <f t="shared" si="9"/>
        <v>SWUC100258</v>
      </c>
      <c r="EE191" s="518">
        <v>498.2</v>
      </c>
      <c r="EF191" s="518">
        <v>2000</v>
      </c>
      <c r="EG191" s="518">
        <v>2000</v>
      </c>
      <c r="EH191" s="518">
        <v>2000</v>
      </c>
      <c r="EI191" s="518">
        <v>2491</v>
      </c>
      <c r="EJ191" s="518">
        <v>2989.2</v>
      </c>
      <c r="EK191" s="518">
        <v>3487.4</v>
      </c>
      <c r="EL191" s="518">
        <v>3985.6</v>
      </c>
      <c r="EM191" s="518">
        <v>4483.8</v>
      </c>
      <c r="EN191" s="518">
        <v>4982</v>
      </c>
      <c r="EO191" s="518">
        <v>0</v>
      </c>
      <c r="EP191" s="518">
        <v>0</v>
      </c>
      <c r="EQ191" s="518">
        <v>0</v>
      </c>
      <c r="ER191" s="518">
        <v>0</v>
      </c>
      <c r="ES191" s="518">
        <v>0</v>
      </c>
      <c r="ET191" s="518">
        <v>0</v>
      </c>
      <c r="EU191" s="518">
        <v>0</v>
      </c>
      <c r="EV191" s="518">
        <v>0</v>
      </c>
      <c r="EW191" s="518">
        <v>0</v>
      </c>
      <c r="EX191" s="518">
        <v>0</v>
      </c>
      <c r="EY191" s="518">
        <v>0</v>
      </c>
      <c r="EZ191" s="518">
        <v>0</v>
      </c>
      <c r="FA191" s="518">
        <v>0</v>
      </c>
      <c r="FB191" s="518">
        <v>0</v>
      </c>
      <c r="FC191" s="518">
        <v>0</v>
      </c>
      <c r="FD191" s="518">
        <v>0</v>
      </c>
      <c r="FE191" s="518">
        <v>0</v>
      </c>
      <c r="FF191" s="518">
        <v>0</v>
      </c>
      <c r="FG191" s="518">
        <v>0</v>
      </c>
      <c r="FH191" s="518">
        <v>0</v>
      </c>
      <c r="FI191" s="518">
        <v>0</v>
      </c>
      <c r="FJ191" s="518">
        <v>0</v>
      </c>
      <c r="FK191" s="518">
        <v>0</v>
      </c>
      <c r="FL191" s="518">
        <v>0</v>
      </c>
      <c r="FM191" s="518">
        <v>0</v>
      </c>
      <c r="FN191" s="518">
        <v>0</v>
      </c>
      <c r="FO191" s="518">
        <v>0</v>
      </c>
      <c r="FP191" s="518">
        <v>0</v>
      </c>
      <c r="FQ191" s="518">
        <v>0</v>
      </c>
      <c r="FR191" s="518">
        <v>0</v>
      </c>
      <c r="FS191" s="518">
        <v>0</v>
      </c>
      <c r="FT191" s="518">
        <v>0</v>
      </c>
      <c r="FU191" s="518">
        <v>0</v>
      </c>
      <c r="FV191" s="518">
        <v>0</v>
      </c>
      <c r="FW191" s="518">
        <v>0</v>
      </c>
      <c r="FX191" s="518">
        <v>0</v>
      </c>
      <c r="FY191" s="518">
        <v>0</v>
      </c>
      <c r="FZ191" s="518">
        <v>0</v>
      </c>
      <c r="GA191" s="518">
        <v>0</v>
      </c>
      <c r="GB191" s="518">
        <v>0</v>
      </c>
      <c r="GC191" s="518">
        <v>0</v>
      </c>
      <c r="GD191" s="518">
        <v>0</v>
      </c>
      <c r="GE191" s="518">
        <v>0</v>
      </c>
      <c r="GF191" s="518">
        <v>0</v>
      </c>
      <c r="GG191" s="518">
        <v>0</v>
      </c>
      <c r="GH191" s="518">
        <v>0</v>
      </c>
      <c r="GI191" s="518">
        <v>0</v>
      </c>
      <c r="GJ191" s="518">
        <v>0</v>
      </c>
      <c r="GK191" s="518">
        <v>0</v>
      </c>
      <c r="GL191" s="518">
        <v>0</v>
      </c>
      <c r="GM191" s="518">
        <v>0</v>
      </c>
      <c r="GN191" s="518">
        <v>0</v>
      </c>
      <c r="GO191" s="518">
        <v>0</v>
      </c>
      <c r="GP191" s="518">
        <v>0</v>
      </c>
      <c r="GQ191" s="518">
        <v>0</v>
      </c>
      <c r="GR191" s="518">
        <v>0</v>
      </c>
      <c r="GS191" s="518">
        <v>0</v>
      </c>
      <c r="GT191" s="518">
        <v>0</v>
      </c>
      <c r="GU191" s="518">
        <v>0</v>
      </c>
      <c r="GV191" s="518">
        <v>0</v>
      </c>
      <c r="GW191" s="518">
        <v>0</v>
      </c>
      <c r="GX191" s="518">
        <v>0</v>
      </c>
      <c r="GY191" s="518">
        <v>0</v>
      </c>
      <c r="GZ191" s="518">
        <v>0</v>
      </c>
      <c r="HA191" s="518">
        <v>0</v>
      </c>
      <c r="HB191" s="518">
        <v>0</v>
      </c>
      <c r="HC191" s="518">
        <v>0</v>
      </c>
      <c r="HD191" s="518">
        <v>0</v>
      </c>
      <c r="HE191" s="518">
        <v>0</v>
      </c>
      <c r="HF191" s="518">
        <v>0</v>
      </c>
      <c r="HG191" s="518">
        <v>0</v>
      </c>
      <c r="HH191" s="518">
        <v>0</v>
      </c>
      <c r="HI191" s="518">
        <v>0</v>
      </c>
      <c r="HJ191" s="518">
        <v>0</v>
      </c>
      <c r="HK191" s="518">
        <v>0</v>
      </c>
      <c r="HL191" s="518">
        <v>0</v>
      </c>
      <c r="HM191" s="518">
        <v>0</v>
      </c>
      <c r="HN191" s="518">
        <v>0</v>
      </c>
      <c r="HO191" s="518">
        <v>0</v>
      </c>
      <c r="HP191" s="518">
        <v>0</v>
      </c>
      <c r="HQ191" s="518">
        <v>0</v>
      </c>
      <c r="HR191" s="518">
        <v>0</v>
      </c>
      <c r="HS191" s="518">
        <v>0</v>
      </c>
      <c r="HT191" s="518">
        <v>0</v>
      </c>
      <c r="HU191" s="518">
        <v>0</v>
      </c>
      <c r="HV191" s="518">
        <v>0</v>
      </c>
      <c r="HW191" s="518">
        <v>0</v>
      </c>
      <c r="HX191" s="518">
        <v>0</v>
      </c>
      <c r="HY191" s="518">
        <v>0</v>
      </c>
      <c r="HZ191" s="518">
        <v>0</v>
      </c>
      <c r="IA191" s="518">
        <v>0</v>
      </c>
      <c r="IB191" s="518">
        <v>0</v>
      </c>
      <c r="IC191" s="518">
        <v>0</v>
      </c>
      <c r="ID191" s="518">
        <v>0</v>
      </c>
      <c r="IE191" s="518">
        <v>0</v>
      </c>
      <c r="IF191" s="518">
        <v>0</v>
      </c>
      <c r="IG191" s="518">
        <v>0</v>
      </c>
      <c r="IH191" s="518">
        <v>0</v>
      </c>
      <c r="II191" s="518">
        <v>0</v>
      </c>
      <c r="IJ191" s="518">
        <v>0</v>
      </c>
      <c r="IK191" s="518">
        <v>0</v>
      </c>
    </row>
    <row r="192" spans="13:245" hidden="1">
      <c r="M192" s="517" t="s">
        <v>721</v>
      </c>
      <c r="N192" s="517" t="s">
        <v>1101</v>
      </c>
      <c r="O192" s="517" t="s">
        <v>26</v>
      </c>
      <c r="P192" s="518">
        <v>59</v>
      </c>
      <c r="Q192" s="494" t="str">
        <f t="shared" si="8"/>
        <v>SWUC100259</v>
      </c>
      <c r="R192" s="518">
        <v>518.29999999999995</v>
      </c>
      <c r="S192" s="518">
        <v>10000</v>
      </c>
      <c r="T192" s="518">
        <v>10000</v>
      </c>
      <c r="U192" s="518">
        <v>10000</v>
      </c>
      <c r="V192" s="518">
        <v>10000</v>
      </c>
      <c r="W192" s="518">
        <v>10000</v>
      </c>
      <c r="X192" s="518">
        <v>10000</v>
      </c>
      <c r="Y192" s="518">
        <v>10000</v>
      </c>
      <c r="Z192" s="518">
        <v>10000</v>
      </c>
      <c r="AA192" s="518">
        <v>10000</v>
      </c>
      <c r="AB192" s="518">
        <v>0</v>
      </c>
      <c r="AC192" s="518">
        <v>0</v>
      </c>
      <c r="AD192" s="518">
        <v>0</v>
      </c>
      <c r="AE192" s="518">
        <v>0</v>
      </c>
      <c r="AF192" s="518">
        <v>0</v>
      </c>
      <c r="AG192" s="518">
        <v>0</v>
      </c>
      <c r="AH192" s="518">
        <v>0</v>
      </c>
      <c r="AI192" s="518">
        <v>0</v>
      </c>
      <c r="AJ192" s="518">
        <v>0</v>
      </c>
      <c r="AK192" s="518">
        <v>0</v>
      </c>
      <c r="AL192" s="518">
        <v>0</v>
      </c>
      <c r="AM192" s="518">
        <v>0</v>
      </c>
      <c r="AN192" s="518">
        <v>0</v>
      </c>
      <c r="AO192" s="518">
        <v>0</v>
      </c>
      <c r="AP192" s="518">
        <v>0</v>
      </c>
      <c r="AQ192" s="518">
        <v>0</v>
      </c>
      <c r="AR192" s="518">
        <v>0</v>
      </c>
      <c r="AS192" s="518">
        <v>0</v>
      </c>
      <c r="AT192" s="518">
        <v>0</v>
      </c>
      <c r="AU192" s="518">
        <v>0</v>
      </c>
      <c r="AV192" s="518">
        <v>0</v>
      </c>
      <c r="AW192" s="518">
        <v>0</v>
      </c>
      <c r="AX192" s="518">
        <v>0</v>
      </c>
      <c r="AY192" s="518">
        <v>0</v>
      </c>
      <c r="AZ192" s="518">
        <v>0</v>
      </c>
      <c r="BA192" s="518">
        <v>0</v>
      </c>
      <c r="BB192" s="518">
        <v>0</v>
      </c>
      <c r="BC192" s="518">
        <v>0</v>
      </c>
      <c r="BD192" s="518">
        <v>0</v>
      </c>
      <c r="BE192" s="518">
        <v>0</v>
      </c>
      <c r="BF192" s="518">
        <v>0</v>
      </c>
      <c r="BG192" s="518">
        <v>0</v>
      </c>
      <c r="BH192" s="518">
        <v>0</v>
      </c>
      <c r="BI192" s="518">
        <v>0</v>
      </c>
      <c r="BJ192" s="518">
        <v>0</v>
      </c>
      <c r="BK192" s="518">
        <v>0</v>
      </c>
      <c r="BL192" s="518">
        <v>0</v>
      </c>
      <c r="BM192" s="518">
        <v>0</v>
      </c>
      <c r="BN192" s="518">
        <v>0</v>
      </c>
      <c r="BO192" s="518">
        <v>0</v>
      </c>
      <c r="BP192" s="518">
        <v>0</v>
      </c>
      <c r="BQ192" s="518">
        <v>0</v>
      </c>
      <c r="BR192" s="518">
        <v>0</v>
      </c>
      <c r="BS192" s="518">
        <v>0</v>
      </c>
      <c r="BT192" s="518">
        <v>0</v>
      </c>
      <c r="BU192" s="518">
        <v>0</v>
      </c>
      <c r="BV192" s="518">
        <v>0</v>
      </c>
      <c r="BW192" s="518">
        <v>0</v>
      </c>
      <c r="BX192" s="518">
        <v>0</v>
      </c>
      <c r="BY192" s="518">
        <v>0</v>
      </c>
      <c r="BZ192" s="518">
        <v>0</v>
      </c>
      <c r="CA192" s="518">
        <v>0</v>
      </c>
      <c r="CB192" s="518">
        <v>0</v>
      </c>
      <c r="CC192" s="518">
        <v>0</v>
      </c>
      <c r="CD192" s="518">
        <v>0</v>
      </c>
      <c r="CE192" s="518">
        <v>0</v>
      </c>
      <c r="CF192" s="518">
        <v>0</v>
      </c>
      <c r="CG192" s="518">
        <v>0</v>
      </c>
      <c r="CH192" s="518">
        <v>0</v>
      </c>
      <c r="CI192" s="518">
        <v>0</v>
      </c>
      <c r="CJ192" s="518">
        <v>0</v>
      </c>
      <c r="CK192" s="518">
        <v>0</v>
      </c>
      <c r="CL192" s="518">
        <v>0</v>
      </c>
      <c r="CM192" s="518">
        <v>0</v>
      </c>
      <c r="CN192" s="518">
        <v>0</v>
      </c>
      <c r="CO192" s="518">
        <v>0</v>
      </c>
      <c r="CP192" s="518">
        <v>0</v>
      </c>
      <c r="CQ192" s="518">
        <v>0</v>
      </c>
      <c r="CR192" s="518">
        <v>0</v>
      </c>
      <c r="CS192" s="518">
        <v>0</v>
      </c>
      <c r="CT192" s="518">
        <v>0</v>
      </c>
      <c r="CU192" s="518">
        <v>0</v>
      </c>
      <c r="CV192" s="518">
        <v>0</v>
      </c>
      <c r="CW192" s="518">
        <v>0</v>
      </c>
      <c r="CX192" s="518">
        <v>0</v>
      </c>
      <c r="CY192" s="518">
        <v>0</v>
      </c>
      <c r="CZ192" s="518">
        <v>0</v>
      </c>
      <c r="DA192" s="518">
        <v>0</v>
      </c>
      <c r="DB192" s="518">
        <v>0</v>
      </c>
      <c r="DC192" s="518">
        <v>0</v>
      </c>
      <c r="DD192" s="518">
        <v>0</v>
      </c>
      <c r="DE192" s="518">
        <v>0</v>
      </c>
      <c r="DF192" s="518">
        <v>0</v>
      </c>
      <c r="DG192" s="518">
        <v>0</v>
      </c>
      <c r="DH192" s="518">
        <v>0</v>
      </c>
      <c r="DI192" s="518">
        <v>0</v>
      </c>
      <c r="DJ192" s="518">
        <v>0</v>
      </c>
      <c r="DK192" s="518">
        <v>0</v>
      </c>
      <c r="DL192" s="518">
        <v>0</v>
      </c>
      <c r="DM192" s="518">
        <v>0</v>
      </c>
      <c r="DN192" s="518">
        <v>0</v>
      </c>
      <c r="DO192" s="518">
        <v>0</v>
      </c>
      <c r="DP192" s="518">
        <v>0</v>
      </c>
      <c r="DQ192" s="518">
        <v>0</v>
      </c>
      <c r="DR192" s="518">
        <v>0</v>
      </c>
      <c r="DS192" s="518">
        <v>0</v>
      </c>
      <c r="DT192" s="518">
        <v>0</v>
      </c>
      <c r="DU192" s="518">
        <v>0</v>
      </c>
      <c r="DV192" s="518">
        <v>0</v>
      </c>
      <c r="DW192" s="518">
        <v>0</v>
      </c>
      <c r="DX192" s="518">
        <v>0</v>
      </c>
      <c r="DZ192" s="517" t="s">
        <v>721</v>
      </c>
      <c r="EA192" s="517" t="s">
        <v>1101</v>
      </c>
      <c r="EB192" s="517" t="s">
        <v>26</v>
      </c>
      <c r="EC192" s="518">
        <v>59</v>
      </c>
      <c r="ED192" s="494" t="str">
        <f t="shared" si="9"/>
        <v>SWUC100259</v>
      </c>
      <c r="EE192" s="518">
        <v>518.29999999999995</v>
      </c>
      <c r="EF192" s="518">
        <v>2000</v>
      </c>
      <c r="EG192" s="518">
        <v>2000</v>
      </c>
      <c r="EH192" s="518">
        <v>2073.4</v>
      </c>
      <c r="EI192" s="518">
        <v>2591.6999999999998</v>
      </c>
      <c r="EJ192" s="518">
        <v>3110</v>
      </c>
      <c r="EK192" s="518">
        <v>3628.4</v>
      </c>
      <c r="EL192" s="518">
        <v>4146.7</v>
      </c>
      <c r="EM192" s="518">
        <v>4665.1000000000004</v>
      </c>
      <c r="EN192" s="518">
        <v>5183.3999999999996</v>
      </c>
      <c r="EO192" s="518">
        <v>0</v>
      </c>
      <c r="EP192" s="518">
        <v>0</v>
      </c>
      <c r="EQ192" s="518">
        <v>0</v>
      </c>
      <c r="ER192" s="518">
        <v>0</v>
      </c>
      <c r="ES192" s="518">
        <v>0</v>
      </c>
      <c r="ET192" s="518">
        <v>0</v>
      </c>
      <c r="EU192" s="518">
        <v>0</v>
      </c>
      <c r="EV192" s="518">
        <v>0</v>
      </c>
      <c r="EW192" s="518">
        <v>0</v>
      </c>
      <c r="EX192" s="518">
        <v>0</v>
      </c>
      <c r="EY192" s="518">
        <v>0</v>
      </c>
      <c r="EZ192" s="518">
        <v>0</v>
      </c>
      <c r="FA192" s="518">
        <v>0</v>
      </c>
      <c r="FB192" s="518">
        <v>0</v>
      </c>
      <c r="FC192" s="518">
        <v>0</v>
      </c>
      <c r="FD192" s="518">
        <v>0</v>
      </c>
      <c r="FE192" s="518">
        <v>0</v>
      </c>
      <c r="FF192" s="518">
        <v>0</v>
      </c>
      <c r="FG192" s="518">
        <v>0</v>
      </c>
      <c r="FH192" s="518">
        <v>0</v>
      </c>
      <c r="FI192" s="518">
        <v>0</v>
      </c>
      <c r="FJ192" s="518">
        <v>0</v>
      </c>
      <c r="FK192" s="518">
        <v>0</v>
      </c>
      <c r="FL192" s="518">
        <v>0</v>
      </c>
      <c r="FM192" s="518">
        <v>0</v>
      </c>
      <c r="FN192" s="518">
        <v>0</v>
      </c>
      <c r="FO192" s="518">
        <v>0</v>
      </c>
      <c r="FP192" s="518">
        <v>0</v>
      </c>
      <c r="FQ192" s="518">
        <v>0</v>
      </c>
      <c r="FR192" s="518">
        <v>0</v>
      </c>
      <c r="FS192" s="518">
        <v>0</v>
      </c>
      <c r="FT192" s="518">
        <v>0</v>
      </c>
      <c r="FU192" s="518">
        <v>0</v>
      </c>
      <c r="FV192" s="518">
        <v>0</v>
      </c>
      <c r="FW192" s="518">
        <v>0</v>
      </c>
      <c r="FX192" s="518">
        <v>0</v>
      </c>
      <c r="FY192" s="518">
        <v>0</v>
      </c>
      <c r="FZ192" s="518">
        <v>0</v>
      </c>
      <c r="GA192" s="518">
        <v>0</v>
      </c>
      <c r="GB192" s="518">
        <v>0</v>
      </c>
      <c r="GC192" s="518">
        <v>0</v>
      </c>
      <c r="GD192" s="518">
        <v>0</v>
      </c>
      <c r="GE192" s="518">
        <v>0</v>
      </c>
      <c r="GF192" s="518">
        <v>0</v>
      </c>
      <c r="GG192" s="518">
        <v>0</v>
      </c>
      <c r="GH192" s="518">
        <v>0</v>
      </c>
      <c r="GI192" s="518">
        <v>0</v>
      </c>
      <c r="GJ192" s="518">
        <v>0</v>
      </c>
      <c r="GK192" s="518">
        <v>0</v>
      </c>
      <c r="GL192" s="518">
        <v>0</v>
      </c>
      <c r="GM192" s="518">
        <v>0</v>
      </c>
      <c r="GN192" s="518">
        <v>0</v>
      </c>
      <c r="GO192" s="518">
        <v>0</v>
      </c>
      <c r="GP192" s="518">
        <v>0</v>
      </c>
      <c r="GQ192" s="518">
        <v>0</v>
      </c>
      <c r="GR192" s="518">
        <v>0</v>
      </c>
      <c r="GS192" s="518">
        <v>0</v>
      </c>
      <c r="GT192" s="518">
        <v>0</v>
      </c>
      <c r="GU192" s="518">
        <v>0</v>
      </c>
      <c r="GV192" s="518">
        <v>0</v>
      </c>
      <c r="GW192" s="518">
        <v>0</v>
      </c>
      <c r="GX192" s="518">
        <v>0</v>
      </c>
      <c r="GY192" s="518">
        <v>0</v>
      </c>
      <c r="GZ192" s="518">
        <v>0</v>
      </c>
      <c r="HA192" s="518">
        <v>0</v>
      </c>
      <c r="HB192" s="518">
        <v>0</v>
      </c>
      <c r="HC192" s="518">
        <v>0</v>
      </c>
      <c r="HD192" s="518">
        <v>0</v>
      </c>
      <c r="HE192" s="518">
        <v>0</v>
      </c>
      <c r="HF192" s="518">
        <v>0</v>
      </c>
      <c r="HG192" s="518">
        <v>0</v>
      </c>
      <c r="HH192" s="518">
        <v>0</v>
      </c>
      <c r="HI192" s="518">
        <v>0</v>
      </c>
      <c r="HJ192" s="518">
        <v>0</v>
      </c>
      <c r="HK192" s="518">
        <v>0</v>
      </c>
      <c r="HL192" s="518">
        <v>0</v>
      </c>
      <c r="HM192" s="518">
        <v>0</v>
      </c>
      <c r="HN192" s="518">
        <v>0</v>
      </c>
      <c r="HO192" s="518">
        <v>0</v>
      </c>
      <c r="HP192" s="518">
        <v>0</v>
      </c>
      <c r="HQ192" s="518">
        <v>0</v>
      </c>
      <c r="HR192" s="518">
        <v>0</v>
      </c>
      <c r="HS192" s="518">
        <v>0</v>
      </c>
      <c r="HT192" s="518">
        <v>0</v>
      </c>
      <c r="HU192" s="518">
        <v>0</v>
      </c>
      <c r="HV192" s="518">
        <v>0</v>
      </c>
      <c r="HW192" s="518">
        <v>0</v>
      </c>
      <c r="HX192" s="518">
        <v>0</v>
      </c>
      <c r="HY192" s="518">
        <v>0</v>
      </c>
      <c r="HZ192" s="518">
        <v>0</v>
      </c>
      <c r="IA192" s="518">
        <v>0</v>
      </c>
      <c r="IB192" s="518">
        <v>0</v>
      </c>
      <c r="IC192" s="518">
        <v>0</v>
      </c>
      <c r="ID192" s="518">
        <v>0</v>
      </c>
      <c r="IE192" s="518">
        <v>0</v>
      </c>
      <c r="IF192" s="518">
        <v>0</v>
      </c>
      <c r="IG192" s="518">
        <v>0</v>
      </c>
      <c r="IH192" s="518">
        <v>0</v>
      </c>
      <c r="II192" s="518">
        <v>0</v>
      </c>
      <c r="IJ192" s="518">
        <v>0</v>
      </c>
      <c r="IK192" s="518">
        <v>0</v>
      </c>
    </row>
    <row r="193" spans="13:245" hidden="1">
      <c r="M193" s="517" t="s">
        <v>721</v>
      </c>
      <c r="N193" s="517" t="s">
        <v>1101</v>
      </c>
      <c r="O193" s="517" t="s">
        <v>26</v>
      </c>
      <c r="P193" s="518">
        <v>60</v>
      </c>
      <c r="Q193" s="494" t="str">
        <f t="shared" si="8"/>
        <v>SWUC100260</v>
      </c>
      <c r="R193" s="518">
        <v>542.70000000000005</v>
      </c>
      <c r="S193" s="518">
        <v>10000</v>
      </c>
      <c r="T193" s="518">
        <v>10000</v>
      </c>
      <c r="U193" s="518">
        <v>10000</v>
      </c>
      <c r="V193" s="518">
        <v>10000</v>
      </c>
      <c r="W193" s="518">
        <v>10000</v>
      </c>
      <c r="X193" s="518">
        <v>10000</v>
      </c>
      <c r="Y193" s="518">
        <v>10000</v>
      </c>
      <c r="Z193" s="518">
        <v>10000</v>
      </c>
      <c r="AA193" s="518">
        <v>10000</v>
      </c>
      <c r="AB193" s="518">
        <v>0</v>
      </c>
      <c r="AC193" s="518">
        <v>0</v>
      </c>
      <c r="AD193" s="518">
        <v>0</v>
      </c>
      <c r="AE193" s="518">
        <v>0</v>
      </c>
      <c r="AF193" s="518">
        <v>0</v>
      </c>
      <c r="AG193" s="518">
        <v>0</v>
      </c>
      <c r="AH193" s="518">
        <v>0</v>
      </c>
      <c r="AI193" s="518">
        <v>0</v>
      </c>
      <c r="AJ193" s="518">
        <v>0</v>
      </c>
      <c r="AK193" s="518">
        <v>0</v>
      </c>
      <c r="AL193" s="518">
        <v>0</v>
      </c>
      <c r="AM193" s="518">
        <v>0</v>
      </c>
      <c r="AN193" s="518">
        <v>0</v>
      </c>
      <c r="AO193" s="518">
        <v>0</v>
      </c>
      <c r="AP193" s="518">
        <v>0</v>
      </c>
      <c r="AQ193" s="518">
        <v>0</v>
      </c>
      <c r="AR193" s="518">
        <v>0</v>
      </c>
      <c r="AS193" s="518">
        <v>0</v>
      </c>
      <c r="AT193" s="518">
        <v>0</v>
      </c>
      <c r="AU193" s="518">
        <v>0</v>
      </c>
      <c r="AV193" s="518">
        <v>0</v>
      </c>
      <c r="AW193" s="518">
        <v>0</v>
      </c>
      <c r="AX193" s="518">
        <v>0</v>
      </c>
      <c r="AY193" s="518">
        <v>0</v>
      </c>
      <c r="AZ193" s="518">
        <v>0</v>
      </c>
      <c r="BA193" s="518">
        <v>0</v>
      </c>
      <c r="BB193" s="518">
        <v>0</v>
      </c>
      <c r="BC193" s="518">
        <v>0</v>
      </c>
      <c r="BD193" s="518">
        <v>0</v>
      </c>
      <c r="BE193" s="518">
        <v>0</v>
      </c>
      <c r="BF193" s="518">
        <v>0</v>
      </c>
      <c r="BG193" s="518">
        <v>0</v>
      </c>
      <c r="BH193" s="518">
        <v>0</v>
      </c>
      <c r="BI193" s="518">
        <v>0</v>
      </c>
      <c r="BJ193" s="518">
        <v>0</v>
      </c>
      <c r="BK193" s="518">
        <v>0</v>
      </c>
      <c r="BL193" s="518">
        <v>0</v>
      </c>
      <c r="BM193" s="518">
        <v>0</v>
      </c>
      <c r="BN193" s="518">
        <v>0</v>
      </c>
      <c r="BO193" s="518">
        <v>0</v>
      </c>
      <c r="BP193" s="518">
        <v>0</v>
      </c>
      <c r="BQ193" s="518">
        <v>0</v>
      </c>
      <c r="BR193" s="518">
        <v>0</v>
      </c>
      <c r="BS193" s="518">
        <v>0</v>
      </c>
      <c r="BT193" s="518">
        <v>0</v>
      </c>
      <c r="BU193" s="518">
        <v>0</v>
      </c>
      <c r="BV193" s="518">
        <v>0</v>
      </c>
      <c r="BW193" s="518">
        <v>0</v>
      </c>
      <c r="BX193" s="518">
        <v>0</v>
      </c>
      <c r="BY193" s="518">
        <v>0</v>
      </c>
      <c r="BZ193" s="518">
        <v>0</v>
      </c>
      <c r="CA193" s="518">
        <v>0</v>
      </c>
      <c r="CB193" s="518">
        <v>0</v>
      </c>
      <c r="CC193" s="518">
        <v>0</v>
      </c>
      <c r="CD193" s="518">
        <v>0</v>
      </c>
      <c r="CE193" s="518">
        <v>0</v>
      </c>
      <c r="CF193" s="518">
        <v>0</v>
      </c>
      <c r="CG193" s="518">
        <v>0</v>
      </c>
      <c r="CH193" s="518">
        <v>0</v>
      </c>
      <c r="CI193" s="518">
        <v>0</v>
      </c>
      <c r="CJ193" s="518">
        <v>0</v>
      </c>
      <c r="CK193" s="518">
        <v>0</v>
      </c>
      <c r="CL193" s="518">
        <v>0</v>
      </c>
      <c r="CM193" s="518">
        <v>0</v>
      </c>
      <c r="CN193" s="518">
        <v>0</v>
      </c>
      <c r="CO193" s="518">
        <v>0</v>
      </c>
      <c r="CP193" s="518">
        <v>0</v>
      </c>
      <c r="CQ193" s="518">
        <v>0</v>
      </c>
      <c r="CR193" s="518">
        <v>0</v>
      </c>
      <c r="CS193" s="518">
        <v>0</v>
      </c>
      <c r="CT193" s="518">
        <v>0</v>
      </c>
      <c r="CU193" s="518">
        <v>0</v>
      </c>
      <c r="CV193" s="518">
        <v>0</v>
      </c>
      <c r="CW193" s="518">
        <v>0</v>
      </c>
      <c r="CX193" s="518">
        <v>0</v>
      </c>
      <c r="CY193" s="518">
        <v>0</v>
      </c>
      <c r="CZ193" s="518">
        <v>0</v>
      </c>
      <c r="DA193" s="518">
        <v>0</v>
      </c>
      <c r="DB193" s="518">
        <v>0</v>
      </c>
      <c r="DC193" s="518">
        <v>0</v>
      </c>
      <c r="DD193" s="518">
        <v>0</v>
      </c>
      <c r="DE193" s="518">
        <v>0</v>
      </c>
      <c r="DF193" s="518">
        <v>0</v>
      </c>
      <c r="DG193" s="518">
        <v>0</v>
      </c>
      <c r="DH193" s="518">
        <v>0</v>
      </c>
      <c r="DI193" s="518">
        <v>0</v>
      </c>
      <c r="DJ193" s="518">
        <v>0</v>
      </c>
      <c r="DK193" s="518">
        <v>0</v>
      </c>
      <c r="DL193" s="518">
        <v>0</v>
      </c>
      <c r="DM193" s="518">
        <v>0</v>
      </c>
      <c r="DN193" s="518">
        <v>0</v>
      </c>
      <c r="DO193" s="518">
        <v>0</v>
      </c>
      <c r="DP193" s="518">
        <v>0</v>
      </c>
      <c r="DQ193" s="518">
        <v>0</v>
      </c>
      <c r="DR193" s="518">
        <v>0</v>
      </c>
      <c r="DS193" s="518">
        <v>0</v>
      </c>
      <c r="DT193" s="518">
        <v>0</v>
      </c>
      <c r="DU193" s="518">
        <v>0</v>
      </c>
      <c r="DV193" s="518">
        <v>0</v>
      </c>
      <c r="DW193" s="518">
        <v>0</v>
      </c>
      <c r="DX193" s="518">
        <v>0</v>
      </c>
      <c r="DZ193" s="517" t="s">
        <v>721</v>
      </c>
      <c r="EA193" s="517" t="s">
        <v>1101</v>
      </c>
      <c r="EB193" s="517" t="s">
        <v>26</v>
      </c>
      <c r="EC193" s="518">
        <v>60</v>
      </c>
      <c r="ED193" s="494" t="str">
        <f t="shared" si="9"/>
        <v>SWUC100260</v>
      </c>
      <c r="EE193" s="518">
        <v>542.70000000000005</v>
      </c>
      <c r="EF193" s="518">
        <v>2000</v>
      </c>
      <c r="EG193" s="518">
        <v>2000</v>
      </c>
      <c r="EH193" s="518">
        <v>2170.9</v>
      </c>
      <c r="EI193" s="518">
        <v>2713.6</v>
      </c>
      <c r="EJ193" s="518">
        <v>3256.3</v>
      </c>
      <c r="EK193" s="518">
        <v>3799</v>
      </c>
      <c r="EL193" s="518">
        <v>4341.8</v>
      </c>
      <c r="EM193" s="518">
        <v>4884.5</v>
      </c>
      <c r="EN193" s="518">
        <v>5427.2</v>
      </c>
      <c r="EO193" s="518">
        <v>0</v>
      </c>
      <c r="EP193" s="518">
        <v>0</v>
      </c>
      <c r="EQ193" s="518">
        <v>0</v>
      </c>
      <c r="ER193" s="518">
        <v>0</v>
      </c>
      <c r="ES193" s="518">
        <v>0</v>
      </c>
      <c r="ET193" s="518">
        <v>0</v>
      </c>
      <c r="EU193" s="518">
        <v>0</v>
      </c>
      <c r="EV193" s="518">
        <v>0</v>
      </c>
      <c r="EW193" s="518">
        <v>0</v>
      </c>
      <c r="EX193" s="518">
        <v>0</v>
      </c>
      <c r="EY193" s="518">
        <v>0</v>
      </c>
      <c r="EZ193" s="518">
        <v>0</v>
      </c>
      <c r="FA193" s="518">
        <v>0</v>
      </c>
      <c r="FB193" s="518">
        <v>0</v>
      </c>
      <c r="FC193" s="518">
        <v>0</v>
      </c>
      <c r="FD193" s="518">
        <v>0</v>
      </c>
      <c r="FE193" s="518">
        <v>0</v>
      </c>
      <c r="FF193" s="518">
        <v>0</v>
      </c>
      <c r="FG193" s="518">
        <v>0</v>
      </c>
      <c r="FH193" s="518">
        <v>0</v>
      </c>
      <c r="FI193" s="518">
        <v>0</v>
      </c>
      <c r="FJ193" s="518">
        <v>0</v>
      </c>
      <c r="FK193" s="518">
        <v>0</v>
      </c>
      <c r="FL193" s="518">
        <v>0</v>
      </c>
      <c r="FM193" s="518">
        <v>0</v>
      </c>
      <c r="FN193" s="518">
        <v>0</v>
      </c>
      <c r="FO193" s="518">
        <v>0</v>
      </c>
      <c r="FP193" s="518">
        <v>0</v>
      </c>
      <c r="FQ193" s="518">
        <v>0</v>
      </c>
      <c r="FR193" s="518">
        <v>0</v>
      </c>
      <c r="FS193" s="518">
        <v>0</v>
      </c>
      <c r="FT193" s="518">
        <v>0</v>
      </c>
      <c r="FU193" s="518">
        <v>0</v>
      </c>
      <c r="FV193" s="518">
        <v>0</v>
      </c>
      <c r="FW193" s="518">
        <v>0</v>
      </c>
      <c r="FX193" s="518">
        <v>0</v>
      </c>
      <c r="FY193" s="518">
        <v>0</v>
      </c>
      <c r="FZ193" s="518">
        <v>0</v>
      </c>
      <c r="GA193" s="518">
        <v>0</v>
      </c>
      <c r="GB193" s="518">
        <v>0</v>
      </c>
      <c r="GC193" s="518">
        <v>0</v>
      </c>
      <c r="GD193" s="518">
        <v>0</v>
      </c>
      <c r="GE193" s="518">
        <v>0</v>
      </c>
      <c r="GF193" s="518">
        <v>0</v>
      </c>
      <c r="GG193" s="518">
        <v>0</v>
      </c>
      <c r="GH193" s="518">
        <v>0</v>
      </c>
      <c r="GI193" s="518">
        <v>0</v>
      </c>
      <c r="GJ193" s="518">
        <v>0</v>
      </c>
      <c r="GK193" s="518">
        <v>0</v>
      </c>
      <c r="GL193" s="518">
        <v>0</v>
      </c>
      <c r="GM193" s="518">
        <v>0</v>
      </c>
      <c r="GN193" s="518">
        <v>0</v>
      </c>
      <c r="GO193" s="518">
        <v>0</v>
      </c>
      <c r="GP193" s="518">
        <v>0</v>
      </c>
      <c r="GQ193" s="518">
        <v>0</v>
      </c>
      <c r="GR193" s="518">
        <v>0</v>
      </c>
      <c r="GS193" s="518">
        <v>0</v>
      </c>
      <c r="GT193" s="518">
        <v>0</v>
      </c>
      <c r="GU193" s="518">
        <v>0</v>
      </c>
      <c r="GV193" s="518">
        <v>0</v>
      </c>
      <c r="GW193" s="518">
        <v>0</v>
      </c>
      <c r="GX193" s="518">
        <v>0</v>
      </c>
      <c r="GY193" s="518">
        <v>0</v>
      </c>
      <c r="GZ193" s="518">
        <v>0</v>
      </c>
      <c r="HA193" s="518">
        <v>0</v>
      </c>
      <c r="HB193" s="518">
        <v>0</v>
      </c>
      <c r="HC193" s="518">
        <v>0</v>
      </c>
      <c r="HD193" s="518">
        <v>0</v>
      </c>
      <c r="HE193" s="518">
        <v>0</v>
      </c>
      <c r="HF193" s="518">
        <v>0</v>
      </c>
      <c r="HG193" s="518">
        <v>0</v>
      </c>
      <c r="HH193" s="518">
        <v>0</v>
      </c>
      <c r="HI193" s="518">
        <v>0</v>
      </c>
      <c r="HJ193" s="518">
        <v>0</v>
      </c>
      <c r="HK193" s="518">
        <v>0</v>
      </c>
      <c r="HL193" s="518">
        <v>0</v>
      </c>
      <c r="HM193" s="518">
        <v>0</v>
      </c>
      <c r="HN193" s="518">
        <v>0</v>
      </c>
      <c r="HO193" s="518">
        <v>0</v>
      </c>
      <c r="HP193" s="518">
        <v>0</v>
      </c>
      <c r="HQ193" s="518">
        <v>0</v>
      </c>
      <c r="HR193" s="518">
        <v>0</v>
      </c>
      <c r="HS193" s="518">
        <v>0</v>
      </c>
      <c r="HT193" s="518">
        <v>0</v>
      </c>
      <c r="HU193" s="518">
        <v>0</v>
      </c>
      <c r="HV193" s="518">
        <v>0</v>
      </c>
      <c r="HW193" s="518">
        <v>0</v>
      </c>
      <c r="HX193" s="518">
        <v>0</v>
      </c>
      <c r="HY193" s="518">
        <v>0</v>
      </c>
      <c r="HZ193" s="518">
        <v>0</v>
      </c>
      <c r="IA193" s="518">
        <v>0</v>
      </c>
      <c r="IB193" s="518">
        <v>0</v>
      </c>
      <c r="IC193" s="518">
        <v>0</v>
      </c>
      <c r="ID193" s="518">
        <v>0</v>
      </c>
      <c r="IE193" s="518">
        <v>0</v>
      </c>
      <c r="IF193" s="518">
        <v>0</v>
      </c>
      <c r="IG193" s="518">
        <v>0</v>
      </c>
      <c r="IH193" s="518">
        <v>0</v>
      </c>
      <c r="II193" s="518">
        <v>0</v>
      </c>
      <c r="IJ193" s="518">
        <v>0</v>
      </c>
      <c r="IK193" s="518">
        <v>0</v>
      </c>
    </row>
    <row r="194" spans="13:245" hidden="1">
      <c r="M194" s="517" t="s">
        <v>721</v>
      </c>
      <c r="N194" s="517" t="s">
        <v>1101</v>
      </c>
      <c r="O194" s="517" t="s">
        <v>26</v>
      </c>
      <c r="P194" s="518">
        <v>61</v>
      </c>
      <c r="Q194" s="494" t="str">
        <f t="shared" si="8"/>
        <v>SWUC100261</v>
      </c>
      <c r="R194" s="518">
        <v>577.70000000000005</v>
      </c>
      <c r="S194" s="518">
        <v>10000</v>
      </c>
      <c r="T194" s="518">
        <v>10000</v>
      </c>
      <c r="U194" s="518">
        <v>10000</v>
      </c>
      <c r="V194" s="518">
        <v>10000</v>
      </c>
      <c r="W194" s="518">
        <v>10000</v>
      </c>
      <c r="X194" s="518">
        <v>10000</v>
      </c>
      <c r="Y194" s="518">
        <v>10000</v>
      </c>
      <c r="Z194" s="518">
        <v>10000</v>
      </c>
      <c r="AA194" s="518">
        <v>10000</v>
      </c>
      <c r="AB194" s="518">
        <v>0</v>
      </c>
      <c r="AC194" s="518">
        <v>0</v>
      </c>
      <c r="AD194" s="518">
        <v>0</v>
      </c>
      <c r="AE194" s="518">
        <v>0</v>
      </c>
      <c r="AF194" s="518">
        <v>0</v>
      </c>
      <c r="AG194" s="518">
        <v>0</v>
      </c>
      <c r="AH194" s="518">
        <v>0</v>
      </c>
      <c r="AI194" s="518">
        <v>0</v>
      </c>
      <c r="AJ194" s="518">
        <v>0</v>
      </c>
      <c r="AK194" s="518">
        <v>0</v>
      </c>
      <c r="AL194" s="518">
        <v>0</v>
      </c>
      <c r="AM194" s="518">
        <v>0</v>
      </c>
      <c r="AN194" s="518">
        <v>0</v>
      </c>
      <c r="AO194" s="518">
        <v>0</v>
      </c>
      <c r="AP194" s="518">
        <v>0</v>
      </c>
      <c r="AQ194" s="518">
        <v>0</v>
      </c>
      <c r="AR194" s="518">
        <v>0</v>
      </c>
      <c r="AS194" s="518">
        <v>0</v>
      </c>
      <c r="AT194" s="518">
        <v>0</v>
      </c>
      <c r="AU194" s="518">
        <v>0</v>
      </c>
      <c r="AV194" s="518">
        <v>0</v>
      </c>
      <c r="AW194" s="518">
        <v>0</v>
      </c>
      <c r="AX194" s="518">
        <v>0</v>
      </c>
      <c r="AY194" s="518">
        <v>0</v>
      </c>
      <c r="AZ194" s="518">
        <v>0</v>
      </c>
      <c r="BA194" s="518">
        <v>0</v>
      </c>
      <c r="BB194" s="518">
        <v>0</v>
      </c>
      <c r="BC194" s="518">
        <v>0</v>
      </c>
      <c r="BD194" s="518">
        <v>0</v>
      </c>
      <c r="BE194" s="518">
        <v>0</v>
      </c>
      <c r="BF194" s="518">
        <v>0</v>
      </c>
      <c r="BG194" s="518">
        <v>0</v>
      </c>
      <c r="BH194" s="518">
        <v>0</v>
      </c>
      <c r="BI194" s="518">
        <v>0</v>
      </c>
      <c r="BJ194" s="518">
        <v>0</v>
      </c>
      <c r="BK194" s="518">
        <v>0</v>
      </c>
      <c r="BL194" s="518">
        <v>0</v>
      </c>
      <c r="BM194" s="518">
        <v>0</v>
      </c>
      <c r="BN194" s="518">
        <v>0</v>
      </c>
      <c r="BO194" s="518">
        <v>0</v>
      </c>
      <c r="BP194" s="518">
        <v>0</v>
      </c>
      <c r="BQ194" s="518">
        <v>0</v>
      </c>
      <c r="BR194" s="518">
        <v>0</v>
      </c>
      <c r="BS194" s="518">
        <v>0</v>
      </c>
      <c r="BT194" s="518">
        <v>0</v>
      </c>
      <c r="BU194" s="518">
        <v>0</v>
      </c>
      <c r="BV194" s="518">
        <v>0</v>
      </c>
      <c r="BW194" s="518">
        <v>0</v>
      </c>
      <c r="BX194" s="518">
        <v>0</v>
      </c>
      <c r="BY194" s="518">
        <v>0</v>
      </c>
      <c r="BZ194" s="518">
        <v>0</v>
      </c>
      <c r="CA194" s="518">
        <v>0</v>
      </c>
      <c r="CB194" s="518">
        <v>0</v>
      </c>
      <c r="CC194" s="518">
        <v>0</v>
      </c>
      <c r="CD194" s="518">
        <v>0</v>
      </c>
      <c r="CE194" s="518">
        <v>0</v>
      </c>
      <c r="CF194" s="518">
        <v>0</v>
      </c>
      <c r="CG194" s="518">
        <v>0</v>
      </c>
      <c r="CH194" s="518">
        <v>0</v>
      </c>
      <c r="CI194" s="518">
        <v>0</v>
      </c>
      <c r="CJ194" s="518">
        <v>0</v>
      </c>
      <c r="CK194" s="518">
        <v>0</v>
      </c>
      <c r="CL194" s="518">
        <v>0</v>
      </c>
      <c r="CM194" s="518">
        <v>0</v>
      </c>
      <c r="CN194" s="518">
        <v>0</v>
      </c>
      <c r="CO194" s="518">
        <v>0</v>
      </c>
      <c r="CP194" s="518">
        <v>0</v>
      </c>
      <c r="CQ194" s="518">
        <v>0</v>
      </c>
      <c r="CR194" s="518">
        <v>0</v>
      </c>
      <c r="CS194" s="518">
        <v>0</v>
      </c>
      <c r="CT194" s="518">
        <v>0</v>
      </c>
      <c r="CU194" s="518">
        <v>0</v>
      </c>
      <c r="CV194" s="518">
        <v>0</v>
      </c>
      <c r="CW194" s="518">
        <v>0</v>
      </c>
      <c r="CX194" s="518">
        <v>0</v>
      </c>
      <c r="CY194" s="518">
        <v>0</v>
      </c>
      <c r="CZ194" s="518">
        <v>0</v>
      </c>
      <c r="DA194" s="518">
        <v>0</v>
      </c>
      <c r="DB194" s="518">
        <v>0</v>
      </c>
      <c r="DC194" s="518">
        <v>0</v>
      </c>
      <c r="DD194" s="518">
        <v>0</v>
      </c>
      <c r="DE194" s="518">
        <v>0</v>
      </c>
      <c r="DF194" s="518">
        <v>0</v>
      </c>
      <c r="DG194" s="518">
        <v>0</v>
      </c>
      <c r="DH194" s="518">
        <v>0</v>
      </c>
      <c r="DI194" s="518">
        <v>0</v>
      </c>
      <c r="DJ194" s="518">
        <v>0</v>
      </c>
      <c r="DK194" s="518">
        <v>0</v>
      </c>
      <c r="DL194" s="518">
        <v>0</v>
      </c>
      <c r="DM194" s="518">
        <v>0</v>
      </c>
      <c r="DN194" s="518">
        <v>0</v>
      </c>
      <c r="DO194" s="518">
        <v>0</v>
      </c>
      <c r="DP194" s="518">
        <v>0</v>
      </c>
      <c r="DQ194" s="518">
        <v>0</v>
      </c>
      <c r="DR194" s="518">
        <v>0</v>
      </c>
      <c r="DS194" s="518">
        <v>0</v>
      </c>
      <c r="DT194" s="518">
        <v>0</v>
      </c>
      <c r="DU194" s="518">
        <v>0</v>
      </c>
      <c r="DV194" s="518">
        <v>0</v>
      </c>
      <c r="DW194" s="518">
        <v>0</v>
      </c>
      <c r="DX194" s="518">
        <v>0</v>
      </c>
      <c r="DZ194" s="517" t="s">
        <v>721</v>
      </c>
      <c r="EA194" s="517" t="s">
        <v>1101</v>
      </c>
      <c r="EB194" s="517" t="s">
        <v>26</v>
      </c>
      <c r="EC194" s="518">
        <v>61</v>
      </c>
      <c r="ED194" s="494" t="str">
        <f t="shared" si="9"/>
        <v>SWUC100261</v>
      </c>
      <c r="EE194" s="518">
        <v>577.70000000000005</v>
      </c>
      <c r="EF194" s="518">
        <v>2000</v>
      </c>
      <c r="EG194" s="518">
        <v>2000</v>
      </c>
      <c r="EH194" s="518">
        <v>2310.8000000000002</v>
      </c>
      <c r="EI194" s="518">
        <v>2888.5</v>
      </c>
      <c r="EJ194" s="518">
        <v>3466.2</v>
      </c>
      <c r="EK194" s="518">
        <v>4043.9</v>
      </c>
      <c r="EL194" s="518">
        <v>4621.6000000000004</v>
      </c>
      <c r="EM194" s="518">
        <v>5199.3</v>
      </c>
      <c r="EN194" s="518">
        <v>5777</v>
      </c>
      <c r="EO194" s="518">
        <v>0</v>
      </c>
      <c r="EP194" s="518">
        <v>0</v>
      </c>
      <c r="EQ194" s="518">
        <v>0</v>
      </c>
      <c r="ER194" s="518">
        <v>0</v>
      </c>
      <c r="ES194" s="518">
        <v>0</v>
      </c>
      <c r="ET194" s="518">
        <v>0</v>
      </c>
      <c r="EU194" s="518">
        <v>0</v>
      </c>
      <c r="EV194" s="518">
        <v>0</v>
      </c>
      <c r="EW194" s="518">
        <v>0</v>
      </c>
      <c r="EX194" s="518">
        <v>0</v>
      </c>
      <c r="EY194" s="518">
        <v>0</v>
      </c>
      <c r="EZ194" s="518">
        <v>0</v>
      </c>
      <c r="FA194" s="518">
        <v>0</v>
      </c>
      <c r="FB194" s="518">
        <v>0</v>
      </c>
      <c r="FC194" s="518">
        <v>0</v>
      </c>
      <c r="FD194" s="518">
        <v>0</v>
      </c>
      <c r="FE194" s="518">
        <v>0</v>
      </c>
      <c r="FF194" s="518">
        <v>0</v>
      </c>
      <c r="FG194" s="518">
        <v>0</v>
      </c>
      <c r="FH194" s="518">
        <v>0</v>
      </c>
      <c r="FI194" s="518">
        <v>0</v>
      </c>
      <c r="FJ194" s="518">
        <v>0</v>
      </c>
      <c r="FK194" s="518">
        <v>0</v>
      </c>
      <c r="FL194" s="518">
        <v>0</v>
      </c>
      <c r="FM194" s="518">
        <v>0</v>
      </c>
      <c r="FN194" s="518">
        <v>0</v>
      </c>
      <c r="FO194" s="518">
        <v>0</v>
      </c>
      <c r="FP194" s="518">
        <v>0</v>
      </c>
      <c r="FQ194" s="518">
        <v>0</v>
      </c>
      <c r="FR194" s="518">
        <v>0</v>
      </c>
      <c r="FS194" s="518">
        <v>0</v>
      </c>
      <c r="FT194" s="518">
        <v>0</v>
      </c>
      <c r="FU194" s="518">
        <v>0</v>
      </c>
      <c r="FV194" s="518">
        <v>0</v>
      </c>
      <c r="FW194" s="518">
        <v>0</v>
      </c>
      <c r="FX194" s="518">
        <v>0</v>
      </c>
      <c r="FY194" s="518">
        <v>0</v>
      </c>
      <c r="FZ194" s="518">
        <v>0</v>
      </c>
      <c r="GA194" s="518">
        <v>0</v>
      </c>
      <c r="GB194" s="518">
        <v>0</v>
      </c>
      <c r="GC194" s="518">
        <v>0</v>
      </c>
      <c r="GD194" s="518">
        <v>0</v>
      </c>
      <c r="GE194" s="518">
        <v>0</v>
      </c>
      <c r="GF194" s="518">
        <v>0</v>
      </c>
      <c r="GG194" s="518">
        <v>0</v>
      </c>
      <c r="GH194" s="518">
        <v>0</v>
      </c>
      <c r="GI194" s="518">
        <v>0</v>
      </c>
      <c r="GJ194" s="518">
        <v>0</v>
      </c>
      <c r="GK194" s="518">
        <v>0</v>
      </c>
      <c r="GL194" s="518">
        <v>0</v>
      </c>
      <c r="GM194" s="518">
        <v>0</v>
      </c>
      <c r="GN194" s="518">
        <v>0</v>
      </c>
      <c r="GO194" s="518">
        <v>0</v>
      </c>
      <c r="GP194" s="518">
        <v>0</v>
      </c>
      <c r="GQ194" s="518">
        <v>0</v>
      </c>
      <c r="GR194" s="518">
        <v>0</v>
      </c>
      <c r="GS194" s="518">
        <v>0</v>
      </c>
      <c r="GT194" s="518">
        <v>0</v>
      </c>
      <c r="GU194" s="518">
        <v>0</v>
      </c>
      <c r="GV194" s="518">
        <v>0</v>
      </c>
      <c r="GW194" s="518">
        <v>0</v>
      </c>
      <c r="GX194" s="518">
        <v>0</v>
      </c>
      <c r="GY194" s="518">
        <v>0</v>
      </c>
      <c r="GZ194" s="518">
        <v>0</v>
      </c>
      <c r="HA194" s="518">
        <v>0</v>
      </c>
      <c r="HB194" s="518">
        <v>0</v>
      </c>
      <c r="HC194" s="518">
        <v>0</v>
      </c>
      <c r="HD194" s="518">
        <v>0</v>
      </c>
      <c r="HE194" s="518">
        <v>0</v>
      </c>
      <c r="HF194" s="518">
        <v>0</v>
      </c>
      <c r="HG194" s="518">
        <v>0</v>
      </c>
      <c r="HH194" s="518">
        <v>0</v>
      </c>
      <c r="HI194" s="518">
        <v>0</v>
      </c>
      <c r="HJ194" s="518">
        <v>0</v>
      </c>
      <c r="HK194" s="518">
        <v>0</v>
      </c>
      <c r="HL194" s="518">
        <v>0</v>
      </c>
      <c r="HM194" s="518">
        <v>0</v>
      </c>
      <c r="HN194" s="518">
        <v>0</v>
      </c>
      <c r="HO194" s="518">
        <v>0</v>
      </c>
      <c r="HP194" s="518">
        <v>0</v>
      </c>
      <c r="HQ194" s="518">
        <v>0</v>
      </c>
      <c r="HR194" s="518">
        <v>0</v>
      </c>
      <c r="HS194" s="518">
        <v>0</v>
      </c>
      <c r="HT194" s="518">
        <v>0</v>
      </c>
      <c r="HU194" s="518">
        <v>0</v>
      </c>
      <c r="HV194" s="518">
        <v>0</v>
      </c>
      <c r="HW194" s="518">
        <v>0</v>
      </c>
      <c r="HX194" s="518">
        <v>0</v>
      </c>
      <c r="HY194" s="518">
        <v>0</v>
      </c>
      <c r="HZ194" s="518">
        <v>0</v>
      </c>
      <c r="IA194" s="518">
        <v>0</v>
      </c>
      <c r="IB194" s="518">
        <v>0</v>
      </c>
      <c r="IC194" s="518">
        <v>0</v>
      </c>
      <c r="ID194" s="518">
        <v>0</v>
      </c>
      <c r="IE194" s="518">
        <v>0</v>
      </c>
      <c r="IF194" s="518">
        <v>0</v>
      </c>
      <c r="IG194" s="518">
        <v>0</v>
      </c>
      <c r="IH194" s="518">
        <v>0</v>
      </c>
      <c r="II194" s="518">
        <v>0</v>
      </c>
      <c r="IJ194" s="518">
        <v>0</v>
      </c>
      <c r="IK194" s="518">
        <v>0</v>
      </c>
    </row>
  </sheetData>
  <sheetProtection algorithmName="SHA-512" hashValue="MhnlFVDyhlUCbqGQOzI8d5lra6OdcV5LNna+P3hKgl1zSJXlEc0cay73z6zhEtxxehzP++lzo7F+dRzYEfcxQw==" saltValue="4Jme+MXOxpyZtcHecHjaGw==" spinCount="100000" sheet="1" objects="1" scenarios="1"/>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IK195"/>
  <sheetViews>
    <sheetView topLeftCell="XFD1048576" workbookViewId="0"/>
  </sheetViews>
  <sheetFormatPr defaultColWidth="0" defaultRowHeight="14.25" zeroHeight="1"/>
  <cols>
    <col min="1" max="8" width="9.33203125" style="474" hidden="1"/>
    <col min="9" max="9" width="15.6640625" style="474" hidden="1"/>
    <col min="10" max="15" width="9.33203125" style="474" hidden="1"/>
    <col min="16" max="16" width="14.6640625" style="474" hidden="1"/>
    <col min="17" max="127" width="9.33203125" style="474" hidden="1"/>
    <col min="128" max="128" width="9.33203125" style="475" hidden="1"/>
    <col min="129" max="132" width="9.33203125" style="474" hidden="1"/>
    <col min="133" max="133" width="14.33203125" style="474" hidden="1"/>
    <col min="134" max="151" width="9.33203125" style="474" hidden="1"/>
    <col min="152" max="152" width="10.33203125" style="474" hidden="1"/>
    <col min="153" max="16384" width="9.33203125" style="474" hidden="1"/>
  </cols>
  <sheetData>
    <row r="1" spans="1:244" s="298" customFormat="1" hidden="1">
      <c r="A1" s="298" t="s">
        <v>270</v>
      </c>
      <c r="B1" s="470">
        <v>42338</v>
      </c>
      <c r="I1" s="471" t="str">
        <f>B1&amp;TEXT(F1,"00")&amp;TEXT(H1,"00")</f>
        <v>423380000</v>
      </c>
      <c r="L1" s="472" t="s">
        <v>271</v>
      </c>
      <c r="M1" s="472"/>
      <c r="N1" s="472">
        <v>1050122</v>
      </c>
      <c r="O1" s="472"/>
      <c r="P1" s="471" t="str">
        <f>M1&amp;TEXT(N1,"00")&amp;TEXT(O1,"00")</f>
        <v>105012200</v>
      </c>
      <c r="DX1" s="473"/>
      <c r="DY1" s="298" t="s">
        <v>272</v>
      </c>
      <c r="EC1" s="471" t="str">
        <f t="shared" ref="EC1:EC97" si="0">DZ1&amp;TEXT(EA1,"00")&amp;TEXT(EB1,"00")</f>
        <v>0000</v>
      </c>
    </row>
    <row r="2" spans="1:244" ht="24" hidden="1">
      <c r="A2" s="483" t="s">
        <v>163</v>
      </c>
      <c r="B2" s="483" t="s">
        <v>20</v>
      </c>
      <c r="C2" s="483" t="s">
        <v>657</v>
      </c>
      <c r="D2" s="483" t="s">
        <v>717</v>
      </c>
      <c r="E2" s="483" t="s">
        <v>718</v>
      </c>
      <c r="F2" s="483" t="s">
        <v>24</v>
      </c>
      <c r="G2" s="483" t="s">
        <v>719</v>
      </c>
      <c r="H2" s="483" t="s">
        <v>21</v>
      </c>
      <c r="I2" s="471" t="str">
        <f t="shared" ref="I2:I65" si="1">B2&amp;TEXT(F2,"00")&amp;TEXT(H2,"00")</f>
        <v>商品代號性別年齡</v>
      </c>
      <c r="J2" s="483" t="s">
        <v>164</v>
      </c>
      <c r="L2" s="483" t="s">
        <v>163</v>
      </c>
      <c r="M2" s="483" t="s">
        <v>20</v>
      </c>
      <c r="N2" s="483" t="s">
        <v>24</v>
      </c>
      <c r="O2" s="483" t="s">
        <v>21</v>
      </c>
      <c r="P2" s="471" t="str">
        <f t="shared" ref="P2:P65" si="2">M2&amp;TEXT(N2,"00")&amp;TEXT(O2,"00")</f>
        <v>商品代號性別年齡</v>
      </c>
      <c r="Q2" s="483" t="s">
        <v>273</v>
      </c>
      <c r="R2" s="483" t="s">
        <v>274</v>
      </c>
      <c r="S2" s="483" t="s">
        <v>275</v>
      </c>
      <c r="T2" s="483" t="s">
        <v>276</v>
      </c>
      <c r="U2" s="483" t="s">
        <v>277</v>
      </c>
      <c r="V2" s="483" t="s">
        <v>278</v>
      </c>
      <c r="W2" s="483" t="s">
        <v>279</v>
      </c>
      <c r="X2" s="483" t="s">
        <v>280</v>
      </c>
      <c r="Y2" s="483" t="s">
        <v>281</v>
      </c>
      <c r="Z2" s="483" t="s">
        <v>282</v>
      </c>
      <c r="AA2" s="483" t="s">
        <v>283</v>
      </c>
      <c r="AB2" s="483" t="s">
        <v>284</v>
      </c>
      <c r="AC2" s="483" t="s">
        <v>285</v>
      </c>
      <c r="AD2" s="483" t="s">
        <v>286</v>
      </c>
      <c r="AE2" s="483" t="s">
        <v>287</v>
      </c>
      <c r="AF2" s="483" t="s">
        <v>288</v>
      </c>
      <c r="AG2" s="483" t="s">
        <v>289</v>
      </c>
      <c r="AH2" s="483" t="s">
        <v>290</v>
      </c>
      <c r="AI2" s="483" t="s">
        <v>291</v>
      </c>
      <c r="AJ2" s="483" t="s">
        <v>292</v>
      </c>
      <c r="AK2" s="483" t="s">
        <v>293</v>
      </c>
      <c r="AL2" s="483" t="s">
        <v>294</v>
      </c>
      <c r="AM2" s="483" t="s">
        <v>295</v>
      </c>
      <c r="AN2" s="483" t="s">
        <v>296</v>
      </c>
      <c r="AO2" s="483" t="s">
        <v>297</v>
      </c>
      <c r="AP2" s="483" t="s">
        <v>298</v>
      </c>
      <c r="AQ2" s="483" t="s">
        <v>299</v>
      </c>
      <c r="AR2" s="483" t="s">
        <v>300</v>
      </c>
      <c r="AS2" s="483" t="s">
        <v>301</v>
      </c>
      <c r="AT2" s="483" t="s">
        <v>302</v>
      </c>
      <c r="AU2" s="483" t="s">
        <v>303</v>
      </c>
      <c r="AV2" s="483" t="s">
        <v>304</v>
      </c>
      <c r="AW2" s="483" t="s">
        <v>305</v>
      </c>
      <c r="AX2" s="483" t="s">
        <v>306</v>
      </c>
      <c r="AY2" s="483" t="s">
        <v>307</v>
      </c>
      <c r="AZ2" s="483" t="s">
        <v>308</v>
      </c>
      <c r="BA2" s="483" t="s">
        <v>309</v>
      </c>
      <c r="BB2" s="483" t="s">
        <v>310</v>
      </c>
      <c r="BC2" s="483" t="s">
        <v>311</v>
      </c>
      <c r="BD2" s="483" t="s">
        <v>312</v>
      </c>
      <c r="BE2" s="483" t="s">
        <v>313</v>
      </c>
      <c r="BF2" s="483" t="s">
        <v>314</v>
      </c>
      <c r="BG2" s="483" t="s">
        <v>315</v>
      </c>
      <c r="BH2" s="483" t="s">
        <v>316</v>
      </c>
      <c r="BI2" s="483" t="s">
        <v>317</v>
      </c>
      <c r="BJ2" s="483" t="s">
        <v>318</v>
      </c>
      <c r="BK2" s="483" t="s">
        <v>319</v>
      </c>
      <c r="BL2" s="483" t="s">
        <v>320</v>
      </c>
      <c r="BM2" s="483" t="s">
        <v>321</v>
      </c>
      <c r="BN2" s="483" t="s">
        <v>322</v>
      </c>
      <c r="BO2" s="483" t="s">
        <v>323</v>
      </c>
      <c r="BP2" s="483" t="s">
        <v>324</v>
      </c>
      <c r="BQ2" s="483" t="s">
        <v>325</v>
      </c>
      <c r="BR2" s="483" t="s">
        <v>326</v>
      </c>
      <c r="BS2" s="483" t="s">
        <v>327</v>
      </c>
      <c r="BT2" s="483" t="s">
        <v>328</v>
      </c>
      <c r="BU2" s="483" t="s">
        <v>329</v>
      </c>
      <c r="BV2" s="483" t="s">
        <v>330</v>
      </c>
      <c r="BW2" s="483" t="s">
        <v>331</v>
      </c>
      <c r="BX2" s="483" t="s">
        <v>332</v>
      </c>
      <c r="BY2" s="483" t="s">
        <v>333</v>
      </c>
      <c r="BZ2" s="483" t="s">
        <v>334</v>
      </c>
      <c r="CA2" s="483" t="s">
        <v>335</v>
      </c>
      <c r="CB2" s="483" t="s">
        <v>336</v>
      </c>
      <c r="CC2" s="483" t="s">
        <v>337</v>
      </c>
      <c r="CD2" s="483" t="s">
        <v>338</v>
      </c>
      <c r="CE2" s="483" t="s">
        <v>339</v>
      </c>
      <c r="CF2" s="483" t="s">
        <v>340</v>
      </c>
      <c r="CG2" s="483" t="s">
        <v>341</v>
      </c>
      <c r="CH2" s="483" t="s">
        <v>342</v>
      </c>
      <c r="CI2" s="483" t="s">
        <v>343</v>
      </c>
      <c r="CJ2" s="483" t="s">
        <v>344</v>
      </c>
      <c r="CK2" s="483" t="s">
        <v>345</v>
      </c>
      <c r="CL2" s="483" t="s">
        <v>346</v>
      </c>
      <c r="CM2" s="483" t="s">
        <v>347</v>
      </c>
      <c r="CN2" s="483" t="s">
        <v>348</v>
      </c>
      <c r="CO2" s="483" t="s">
        <v>349</v>
      </c>
      <c r="CP2" s="483" t="s">
        <v>350</v>
      </c>
      <c r="CQ2" s="483" t="s">
        <v>351</v>
      </c>
      <c r="CR2" s="483" t="s">
        <v>352</v>
      </c>
      <c r="CS2" s="483" t="s">
        <v>353</v>
      </c>
      <c r="CT2" s="483" t="s">
        <v>354</v>
      </c>
      <c r="CU2" s="483" t="s">
        <v>355</v>
      </c>
      <c r="CV2" s="483" t="s">
        <v>356</v>
      </c>
      <c r="CW2" s="483" t="s">
        <v>357</v>
      </c>
      <c r="CX2" s="483" t="s">
        <v>358</v>
      </c>
      <c r="CY2" s="483" t="s">
        <v>359</v>
      </c>
      <c r="CZ2" s="483" t="s">
        <v>360</v>
      </c>
      <c r="DA2" s="483" t="s">
        <v>361</v>
      </c>
      <c r="DB2" s="483" t="s">
        <v>362</v>
      </c>
      <c r="DC2" s="483" t="s">
        <v>363</v>
      </c>
      <c r="DD2" s="483" t="s">
        <v>364</v>
      </c>
      <c r="DE2" s="483" t="s">
        <v>365</v>
      </c>
      <c r="DF2" s="483" t="s">
        <v>366</v>
      </c>
      <c r="DG2" s="483" t="s">
        <v>367</v>
      </c>
      <c r="DH2" s="483" t="s">
        <v>368</v>
      </c>
      <c r="DI2" s="483" t="s">
        <v>369</v>
      </c>
      <c r="DJ2" s="483" t="s">
        <v>370</v>
      </c>
      <c r="DK2" s="483" t="s">
        <v>371</v>
      </c>
      <c r="DL2" s="483" t="s">
        <v>372</v>
      </c>
      <c r="DM2" s="483" t="s">
        <v>373</v>
      </c>
      <c r="DN2" s="483" t="s">
        <v>374</v>
      </c>
      <c r="DO2" s="483" t="s">
        <v>375</v>
      </c>
      <c r="DP2" s="483" t="s">
        <v>376</v>
      </c>
      <c r="DQ2" s="483" t="s">
        <v>377</v>
      </c>
      <c r="DR2" s="483" t="s">
        <v>378</v>
      </c>
      <c r="DS2" s="483" t="s">
        <v>379</v>
      </c>
      <c r="DT2" s="483" t="s">
        <v>380</v>
      </c>
      <c r="DU2" s="483" t="s">
        <v>381</v>
      </c>
      <c r="DV2" s="483" t="s">
        <v>382</v>
      </c>
      <c r="DW2" s="483" t="s">
        <v>383</v>
      </c>
      <c r="DX2" s="476"/>
      <c r="DY2" s="483" t="s">
        <v>163</v>
      </c>
      <c r="DZ2" s="483" t="s">
        <v>20</v>
      </c>
      <c r="EA2" s="483" t="s">
        <v>24</v>
      </c>
      <c r="EB2" s="483" t="s">
        <v>21</v>
      </c>
      <c r="EC2" s="471" t="str">
        <f t="shared" si="0"/>
        <v>商品代號性別年齡</v>
      </c>
      <c r="ED2" s="483" t="s">
        <v>384</v>
      </c>
      <c r="EE2" s="483" t="s">
        <v>385</v>
      </c>
      <c r="EF2" s="483" t="s">
        <v>386</v>
      </c>
      <c r="EG2" s="483" t="s">
        <v>387</v>
      </c>
      <c r="EH2" s="483" t="s">
        <v>388</v>
      </c>
      <c r="EI2" s="483" t="s">
        <v>389</v>
      </c>
      <c r="EJ2" s="483" t="s">
        <v>390</v>
      </c>
      <c r="EK2" s="483" t="s">
        <v>391</v>
      </c>
      <c r="EL2" s="483" t="s">
        <v>392</v>
      </c>
      <c r="EM2" s="483" t="s">
        <v>393</v>
      </c>
      <c r="EN2" s="483" t="s">
        <v>394</v>
      </c>
      <c r="EO2" s="483" t="s">
        <v>395</v>
      </c>
      <c r="EP2" s="483" t="s">
        <v>396</v>
      </c>
      <c r="EQ2" s="483" t="s">
        <v>397</v>
      </c>
      <c r="ER2" s="483" t="s">
        <v>398</v>
      </c>
      <c r="ES2" s="483" t="s">
        <v>399</v>
      </c>
      <c r="ET2" s="483" t="s">
        <v>400</v>
      </c>
      <c r="EU2" s="483" t="s">
        <v>401</v>
      </c>
      <c r="EV2" s="483" t="s">
        <v>402</v>
      </c>
      <c r="EW2" s="483" t="s">
        <v>403</v>
      </c>
      <c r="EX2" s="483" t="s">
        <v>404</v>
      </c>
      <c r="EY2" s="483" t="s">
        <v>405</v>
      </c>
      <c r="EZ2" s="483" t="s">
        <v>406</v>
      </c>
      <c r="FA2" s="483" t="s">
        <v>407</v>
      </c>
      <c r="FB2" s="483" t="s">
        <v>408</v>
      </c>
      <c r="FC2" s="483" t="s">
        <v>409</v>
      </c>
      <c r="FD2" s="483" t="s">
        <v>410</v>
      </c>
      <c r="FE2" s="483" t="s">
        <v>411</v>
      </c>
      <c r="FF2" s="483" t="s">
        <v>412</v>
      </c>
      <c r="FG2" s="483" t="s">
        <v>413</v>
      </c>
      <c r="FH2" s="483" t="s">
        <v>414</v>
      </c>
      <c r="FI2" s="483" t="s">
        <v>415</v>
      </c>
      <c r="FJ2" s="483" t="s">
        <v>416</v>
      </c>
      <c r="FK2" s="483" t="s">
        <v>417</v>
      </c>
      <c r="FL2" s="483" t="s">
        <v>418</v>
      </c>
      <c r="FM2" s="483" t="s">
        <v>419</v>
      </c>
      <c r="FN2" s="483" t="s">
        <v>420</v>
      </c>
      <c r="FO2" s="483" t="s">
        <v>421</v>
      </c>
      <c r="FP2" s="483" t="s">
        <v>422</v>
      </c>
      <c r="FQ2" s="483" t="s">
        <v>423</v>
      </c>
      <c r="FR2" s="483" t="s">
        <v>424</v>
      </c>
      <c r="FS2" s="483" t="s">
        <v>425</v>
      </c>
      <c r="FT2" s="483" t="s">
        <v>426</v>
      </c>
      <c r="FU2" s="483" t="s">
        <v>427</v>
      </c>
      <c r="FV2" s="483" t="s">
        <v>428</v>
      </c>
      <c r="FW2" s="483" t="s">
        <v>429</v>
      </c>
      <c r="FX2" s="483" t="s">
        <v>430</v>
      </c>
      <c r="FY2" s="483" t="s">
        <v>431</v>
      </c>
      <c r="FZ2" s="483" t="s">
        <v>432</v>
      </c>
      <c r="GA2" s="483" t="s">
        <v>433</v>
      </c>
      <c r="GB2" s="483" t="s">
        <v>434</v>
      </c>
      <c r="GC2" s="483" t="s">
        <v>435</v>
      </c>
      <c r="GD2" s="483" t="s">
        <v>436</v>
      </c>
      <c r="GE2" s="483" t="s">
        <v>437</v>
      </c>
      <c r="GF2" s="483" t="s">
        <v>438</v>
      </c>
      <c r="GG2" s="483" t="s">
        <v>439</v>
      </c>
      <c r="GH2" s="483" t="s">
        <v>440</v>
      </c>
      <c r="GI2" s="483" t="s">
        <v>441</v>
      </c>
      <c r="GJ2" s="483" t="s">
        <v>442</v>
      </c>
      <c r="GK2" s="483" t="s">
        <v>443</v>
      </c>
      <c r="GL2" s="483" t="s">
        <v>444</v>
      </c>
      <c r="GM2" s="483" t="s">
        <v>445</v>
      </c>
      <c r="GN2" s="483" t="s">
        <v>446</v>
      </c>
      <c r="GO2" s="483" t="s">
        <v>447</v>
      </c>
      <c r="GP2" s="483" t="s">
        <v>448</v>
      </c>
      <c r="GQ2" s="483" t="s">
        <v>449</v>
      </c>
      <c r="GR2" s="483" t="s">
        <v>450</v>
      </c>
      <c r="GS2" s="483" t="s">
        <v>451</v>
      </c>
      <c r="GT2" s="483" t="s">
        <v>452</v>
      </c>
      <c r="GU2" s="483" t="s">
        <v>453</v>
      </c>
      <c r="GV2" s="483" t="s">
        <v>454</v>
      </c>
      <c r="GW2" s="483" t="s">
        <v>455</v>
      </c>
      <c r="GX2" s="483" t="s">
        <v>456</v>
      </c>
      <c r="GY2" s="483" t="s">
        <v>457</v>
      </c>
      <c r="GZ2" s="483" t="s">
        <v>458</v>
      </c>
      <c r="HA2" s="483" t="s">
        <v>459</v>
      </c>
      <c r="HB2" s="483" t="s">
        <v>460</v>
      </c>
      <c r="HC2" s="483" t="s">
        <v>461</v>
      </c>
      <c r="HD2" s="483" t="s">
        <v>462</v>
      </c>
      <c r="HE2" s="483" t="s">
        <v>463</v>
      </c>
      <c r="HF2" s="483" t="s">
        <v>464</v>
      </c>
      <c r="HG2" s="483" t="s">
        <v>465</v>
      </c>
      <c r="HH2" s="483" t="s">
        <v>466</v>
      </c>
      <c r="HI2" s="483" t="s">
        <v>467</v>
      </c>
      <c r="HJ2" s="483" t="s">
        <v>468</v>
      </c>
      <c r="HK2" s="483" t="s">
        <v>469</v>
      </c>
      <c r="HL2" s="483" t="s">
        <v>470</v>
      </c>
      <c r="HM2" s="483" t="s">
        <v>471</v>
      </c>
      <c r="HN2" s="483" t="s">
        <v>472</v>
      </c>
      <c r="HO2" s="483" t="s">
        <v>473</v>
      </c>
      <c r="HP2" s="483" t="s">
        <v>474</v>
      </c>
      <c r="HQ2" s="483" t="s">
        <v>475</v>
      </c>
      <c r="HR2" s="483" t="s">
        <v>476</v>
      </c>
      <c r="HS2" s="483" t="s">
        <v>477</v>
      </c>
      <c r="HT2" s="483" t="s">
        <v>478</v>
      </c>
      <c r="HU2" s="483" t="s">
        <v>479</v>
      </c>
      <c r="HV2" s="483" t="s">
        <v>480</v>
      </c>
      <c r="HW2" s="483" t="s">
        <v>481</v>
      </c>
      <c r="HX2" s="483" t="s">
        <v>482</v>
      </c>
      <c r="HY2" s="483" t="s">
        <v>483</v>
      </c>
      <c r="HZ2" s="483" t="s">
        <v>484</v>
      </c>
      <c r="IA2" s="483" t="s">
        <v>485</v>
      </c>
      <c r="IB2" s="483" t="s">
        <v>486</v>
      </c>
      <c r="IC2" s="483" t="s">
        <v>487</v>
      </c>
      <c r="ID2" s="483" t="s">
        <v>488</v>
      </c>
      <c r="IE2" s="483" t="s">
        <v>489</v>
      </c>
      <c r="IF2" s="483" t="s">
        <v>490</v>
      </c>
      <c r="IG2" s="483" t="s">
        <v>491</v>
      </c>
      <c r="IH2" s="483" t="s">
        <v>492</v>
      </c>
      <c r="II2" s="483" t="s">
        <v>493</v>
      </c>
      <c r="IJ2" s="483" t="s">
        <v>494</v>
      </c>
    </row>
    <row r="3" spans="1:244" ht="16.5" hidden="1">
      <c r="A3" s="484" t="s">
        <v>720</v>
      </c>
      <c r="B3" s="484" t="s">
        <v>617</v>
      </c>
      <c r="C3" s="484" t="s">
        <v>721</v>
      </c>
      <c r="D3" s="485"/>
      <c r="E3" s="484" t="s">
        <v>721</v>
      </c>
      <c r="F3" s="484" t="s">
        <v>25</v>
      </c>
      <c r="G3" s="485"/>
      <c r="H3" s="486">
        <v>66</v>
      </c>
      <c r="I3" s="471" t="str">
        <f t="shared" si="1"/>
        <v>AIJ100166</v>
      </c>
      <c r="J3" s="486">
        <v>502</v>
      </c>
      <c r="L3" s="484" t="s">
        <v>720</v>
      </c>
      <c r="M3" s="484" t="s">
        <v>617</v>
      </c>
      <c r="N3" s="484" t="s">
        <v>25</v>
      </c>
      <c r="O3" s="486">
        <v>15</v>
      </c>
      <c r="P3" s="471" t="str">
        <f t="shared" si="2"/>
        <v>AIJ100115</v>
      </c>
      <c r="Q3" s="486">
        <v>0</v>
      </c>
      <c r="R3" s="486">
        <v>5</v>
      </c>
      <c r="S3" s="486">
        <v>8</v>
      </c>
      <c r="T3" s="486">
        <v>12</v>
      </c>
      <c r="U3" s="486">
        <v>17</v>
      </c>
      <c r="V3" s="486">
        <v>21</v>
      </c>
      <c r="W3" s="486">
        <v>26</v>
      </c>
      <c r="X3" s="486">
        <v>32</v>
      </c>
      <c r="Y3" s="486">
        <v>35</v>
      </c>
      <c r="Z3" s="486">
        <v>0</v>
      </c>
      <c r="AA3" s="486">
        <v>0</v>
      </c>
      <c r="AB3" s="486">
        <v>0</v>
      </c>
      <c r="AC3" s="486">
        <v>0</v>
      </c>
      <c r="AD3" s="486">
        <v>0</v>
      </c>
      <c r="AE3" s="486">
        <v>0</v>
      </c>
      <c r="AF3" s="486">
        <v>0</v>
      </c>
      <c r="AG3" s="486">
        <v>0</v>
      </c>
      <c r="AH3" s="486">
        <v>0</v>
      </c>
      <c r="AI3" s="486">
        <v>0</v>
      </c>
      <c r="AJ3" s="486">
        <v>0</v>
      </c>
      <c r="AK3" s="486">
        <v>0</v>
      </c>
      <c r="AL3" s="486">
        <v>0</v>
      </c>
      <c r="AM3" s="486">
        <v>0</v>
      </c>
      <c r="AN3" s="486">
        <v>0</v>
      </c>
      <c r="AO3" s="486">
        <v>0</v>
      </c>
      <c r="AP3" s="486">
        <v>0</v>
      </c>
      <c r="AQ3" s="486">
        <v>0</v>
      </c>
      <c r="AR3" s="486">
        <v>0</v>
      </c>
      <c r="AS3" s="486">
        <v>0</v>
      </c>
      <c r="AT3" s="486">
        <v>0</v>
      </c>
      <c r="AU3" s="486">
        <v>0</v>
      </c>
      <c r="AV3" s="486">
        <v>0</v>
      </c>
      <c r="AW3" s="486">
        <v>0</v>
      </c>
      <c r="AX3" s="486">
        <v>0</v>
      </c>
      <c r="AY3" s="486">
        <v>0</v>
      </c>
      <c r="AZ3" s="486">
        <v>0</v>
      </c>
      <c r="BA3" s="486">
        <v>0</v>
      </c>
      <c r="BB3" s="486">
        <v>0</v>
      </c>
      <c r="BC3" s="486">
        <v>0</v>
      </c>
      <c r="BD3" s="486">
        <v>0</v>
      </c>
      <c r="BE3" s="486">
        <v>0</v>
      </c>
      <c r="BF3" s="486">
        <v>0</v>
      </c>
      <c r="BG3" s="486">
        <v>0</v>
      </c>
      <c r="BH3" s="486">
        <v>0</v>
      </c>
      <c r="BI3" s="486">
        <v>0</v>
      </c>
      <c r="BJ3" s="486">
        <v>0</v>
      </c>
      <c r="BK3" s="486">
        <v>0</v>
      </c>
      <c r="BL3" s="486">
        <v>0</v>
      </c>
      <c r="BM3" s="486">
        <v>0</v>
      </c>
      <c r="BN3" s="486">
        <v>0</v>
      </c>
      <c r="BO3" s="486">
        <v>0</v>
      </c>
      <c r="BP3" s="486">
        <v>0</v>
      </c>
      <c r="BQ3" s="486">
        <v>0</v>
      </c>
      <c r="BR3" s="486">
        <v>0</v>
      </c>
      <c r="BS3" s="486">
        <v>0</v>
      </c>
      <c r="BT3" s="486">
        <v>0</v>
      </c>
      <c r="BU3" s="486">
        <v>0</v>
      </c>
      <c r="BV3" s="486">
        <v>0</v>
      </c>
      <c r="BW3" s="486">
        <v>0</v>
      </c>
      <c r="BX3" s="486">
        <v>0</v>
      </c>
      <c r="BY3" s="486">
        <v>0</v>
      </c>
      <c r="BZ3" s="486">
        <v>0</v>
      </c>
      <c r="CA3" s="486">
        <v>0</v>
      </c>
      <c r="CB3" s="486">
        <v>0</v>
      </c>
      <c r="CC3" s="486">
        <v>0</v>
      </c>
      <c r="CD3" s="486">
        <v>0</v>
      </c>
      <c r="CE3" s="486">
        <v>0</v>
      </c>
      <c r="CF3" s="486">
        <v>0</v>
      </c>
      <c r="CG3" s="486">
        <v>0</v>
      </c>
      <c r="CH3" s="486">
        <v>0</v>
      </c>
      <c r="CI3" s="486">
        <v>0</v>
      </c>
      <c r="CJ3" s="486">
        <v>0</v>
      </c>
      <c r="CK3" s="486">
        <v>0</v>
      </c>
      <c r="CL3" s="486">
        <v>0</v>
      </c>
      <c r="CM3" s="486">
        <v>0</v>
      </c>
      <c r="CN3" s="486">
        <v>0</v>
      </c>
      <c r="CO3" s="486">
        <v>0</v>
      </c>
      <c r="CP3" s="486">
        <v>0</v>
      </c>
      <c r="CQ3" s="486">
        <v>0</v>
      </c>
      <c r="CR3" s="486">
        <v>0</v>
      </c>
      <c r="CS3" s="486">
        <v>0</v>
      </c>
      <c r="CT3" s="486">
        <v>0</v>
      </c>
      <c r="CU3" s="486">
        <v>0</v>
      </c>
      <c r="CV3" s="486">
        <v>0</v>
      </c>
      <c r="CW3" s="486">
        <v>0</v>
      </c>
      <c r="CX3" s="486">
        <v>0</v>
      </c>
      <c r="CY3" s="486">
        <v>0</v>
      </c>
      <c r="CZ3" s="486">
        <v>0</v>
      </c>
      <c r="DA3" s="486">
        <v>0</v>
      </c>
      <c r="DB3" s="486">
        <v>0</v>
      </c>
      <c r="DC3" s="486">
        <v>0</v>
      </c>
      <c r="DD3" s="486">
        <v>0</v>
      </c>
      <c r="DE3" s="486">
        <v>0</v>
      </c>
      <c r="DF3" s="486">
        <v>0</v>
      </c>
      <c r="DG3" s="486">
        <v>0</v>
      </c>
      <c r="DH3" s="486">
        <v>0</v>
      </c>
      <c r="DI3" s="486">
        <v>0</v>
      </c>
      <c r="DJ3" s="486">
        <v>0</v>
      </c>
      <c r="DK3" s="486">
        <v>0</v>
      </c>
      <c r="DL3" s="486">
        <v>0</v>
      </c>
      <c r="DM3" s="486">
        <v>0</v>
      </c>
      <c r="DN3" s="486">
        <v>0</v>
      </c>
      <c r="DO3" s="486">
        <v>0</v>
      </c>
      <c r="DP3" s="486">
        <v>0</v>
      </c>
      <c r="DQ3" s="486">
        <v>0</v>
      </c>
      <c r="DR3" s="486">
        <v>0</v>
      </c>
      <c r="DS3" s="486">
        <v>0</v>
      </c>
      <c r="DT3" s="486">
        <v>0</v>
      </c>
      <c r="DU3" s="486">
        <v>0</v>
      </c>
      <c r="DV3" s="486">
        <v>0</v>
      </c>
      <c r="DW3" s="486">
        <v>0</v>
      </c>
      <c r="DX3" s="477"/>
      <c r="DY3" s="484" t="s">
        <v>720</v>
      </c>
      <c r="DZ3" s="484" t="s">
        <v>617</v>
      </c>
      <c r="EA3" s="484" t="s">
        <v>25</v>
      </c>
      <c r="EB3" s="486">
        <v>15</v>
      </c>
      <c r="EC3" s="471" t="str">
        <f t="shared" si="0"/>
        <v>AIJ100115</v>
      </c>
      <c r="ED3" s="486">
        <v>10000</v>
      </c>
      <c r="EE3" s="486">
        <v>10000</v>
      </c>
      <c r="EF3" s="486">
        <v>10000</v>
      </c>
      <c r="EG3" s="486">
        <v>10000</v>
      </c>
      <c r="EH3" s="486">
        <v>10000</v>
      </c>
      <c r="EI3" s="486">
        <v>10000</v>
      </c>
      <c r="EJ3" s="486">
        <v>10000</v>
      </c>
      <c r="EK3" s="486">
        <v>10000</v>
      </c>
      <c r="EL3" s="486">
        <v>10000</v>
      </c>
      <c r="EM3" s="486">
        <v>10000</v>
      </c>
      <c r="EN3" s="486">
        <v>0</v>
      </c>
      <c r="EO3" s="486">
        <v>0</v>
      </c>
      <c r="EP3" s="486">
        <v>0</v>
      </c>
      <c r="EQ3" s="486">
        <v>0</v>
      </c>
      <c r="ER3" s="486">
        <v>0</v>
      </c>
      <c r="ES3" s="486">
        <v>0</v>
      </c>
      <c r="ET3" s="486">
        <v>0</v>
      </c>
      <c r="EU3" s="486">
        <v>0</v>
      </c>
      <c r="EV3" s="486">
        <v>0</v>
      </c>
      <c r="EW3" s="486">
        <v>0</v>
      </c>
      <c r="EX3" s="486">
        <v>0</v>
      </c>
      <c r="EY3" s="486">
        <v>0</v>
      </c>
      <c r="EZ3" s="486">
        <v>0</v>
      </c>
      <c r="FA3" s="486">
        <v>0</v>
      </c>
      <c r="FB3" s="486">
        <v>0</v>
      </c>
      <c r="FC3" s="486">
        <v>0</v>
      </c>
      <c r="FD3" s="486">
        <v>0</v>
      </c>
      <c r="FE3" s="486">
        <v>0</v>
      </c>
      <c r="FF3" s="486">
        <v>0</v>
      </c>
      <c r="FG3" s="486">
        <v>0</v>
      </c>
      <c r="FH3" s="486">
        <v>0</v>
      </c>
      <c r="FI3" s="486">
        <v>0</v>
      </c>
      <c r="FJ3" s="486">
        <v>0</v>
      </c>
      <c r="FK3" s="486">
        <v>0</v>
      </c>
      <c r="FL3" s="486">
        <v>0</v>
      </c>
      <c r="FM3" s="486">
        <v>0</v>
      </c>
      <c r="FN3" s="486">
        <v>0</v>
      </c>
      <c r="FO3" s="486">
        <v>0</v>
      </c>
      <c r="FP3" s="486">
        <v>0</v>
      </c>
      <c r="FQ3" s="486">
        <v>0</v>
      </c>
      <c r="FR3" s="486">
        <v>0</v>
      </c>
      <c r="FS3" s="486">
        <v>0</v>
      </c>
      <c r="FT3" s="486">
        <v>0</v>
      </c>
      <c r="FU3" s="486">
        <v>0</v>
      </c>
      <c r="FV3" s="486">
        <v>0</v>
      </c>
      <c r="FW3" s="486">
        <v>0</v>
      </c>
      <c r="FX3" s="486">
        <v>0</v>
      </c>
      <c r="FY3" s="486">
        <v>0</v>
      </c>
      <c r="FZ3" s="486">
        <v>0</v>
      </c>
      <c r="GA3" s="486">
        <v>0</v>
      </c>
      <c r="GB3" s="486">
        <v>0</v>
      </c>
      <c r="GC3" s="486">
        <v>0</v>
      </c>
      <c r="GD3" s="486">
        <v>0</v>
      </c>
      <c r="GE3" s="486">
        <v>0</v>
      </c>
      <c r="GF3" s="486">
        <v>0</v>
      </c>
      <c r="GG3" s="486">
        <v>0</v>
      </c>
      <c r="GH3" s="486">
        <v>0</v>
      </c>
      <c r="GI3" s="486">
        <v>0</v>
      </c>
      <c r="GJ3" s="486">
        <v>0</v>
      </c>
      <c r="GK3" s="486">
        <v>0</v>
      </c>
      <c r="GL3" s="486">
        <v>0</v>
      </c>
      <c r="GM3" s="486">
        <v>0</v>
      </c>
      <c r="GN3" s="486">
        <v>0</v>
      </c>
      <c r="GO3" s="486">
        <v>0</v>
      </c>
      <c r="GP3" s="486">
        <v>0</v>
      </c>
      <c r="GQ3" s="486">
        <v>0</v>
      </c>
      <c r="GR3" s="486">
        <v>0</v>
      </c>
      <c r="GS3" s="486">
        <v>0</v>
      </c>
      <c r="GT3" s="486">
        <v>0</v>
      </c>
      <c r="GU3" s="486">
        <v>0</v>
      </c>
      <c r="GV3" s="486">
        <v>0</v>
      </c>
      <c r="GW3" s="486">
        <v>0</v>
      </c>
      <c r="GX3" s="486">
        <v>0</v>
      </c>
      <c r="GY3" s="486">
        <v>0</v>
      </c>
      <c r="GZ3" s="486">
        <v>0</v>
      </c>
      <c r="HA3" s="486">
        <v>0</v>
      </c>
      <c r="HB3" s="486">
        <v>0</v>
      </c>
      <c r="HC3" s="486">
        <v>0</v>
      </c>
      <c r="HD3" s="486">
        <v>0</v>
      </c>
      <c r="HE3" s="486">
        <v>0</v>
      </c>
      <c r="HF3" s="486">
        <v>0</v>
      </c>
      <c r="HG3" s="486">
        <v>0</v>
      </c>
      <c r="HH3" s="486">
        <v>0</v>
      </c>
      <c r="HI3" s="486">
        <v>0</v>
      </c>
      <c r="HJ3" s="486">
        <v>0</v>
      </c>
      <c r="HK3" s="486">
        <v>0</v>
      </c>
      <c r="HL3" s="486">
        <v>0</v>
      </c>
      <c r="HM3" s="486">
        <v>0</v>
      </c>
      <c r="HN3" s="486">
        <v>0</v>
      </c>
      <c r="HO3" s="486">
        <v>0</v>
      </c>
      <c r="HP3" s="486">
        <v>0</v>
      </c>
      <c r="HQ3" s="486">
        <v>0</v>
      </c>
      <c r="HR3" s="486">
        <v>0</v>
      </c>
      <c r="HS3" s="486">
        <v>0</v>
      </c>
      <c r="HT3" s="486">
        <v>0</v>
      </c>
      <c r="HU3" s="486">
        <v>0</v>
      </c>
      <c r="HV3" s="486">
        <v>0</v>
      </c>
      <c r="HW3" s="486">
        <v>0</v>
      </c>
      <c r="HX3" s="486">
        <v>0</v>
      </c>
      <c r="HY3" s="486">
        <v>0</v>
      </c>
      <c r="HZ3" s="486">
        <v>0</v>
      </c>
      <c r="IA3" s="486">
        <v>0</v>
      </c>
      <c r="IB3" s="486">
        <v>0</v>
      </c>
      <c r="IC3" s="486">
        <v>0</v>
      </c>
      <c r="ID3" s="486">
        <v>0</v>
      </c>
      <c r="IE3" s="486">
        <v>0</v>
      </c>
      <c r="IF3" s="486">
        <v>0</v>
      </c>
      <c r="IG3" s="486">
        <v>0</v>
      </c>
      <c r="IH3" s="486">
        <v>0</v>
      </c>
      <c r="II3" s="486">
        <v>0</v>
      </c>
      <c r="IJ3" s="486">
        <v>0</v>
      </c>
    </row>
    <row r="4" spans="1:244" ht="16.5" hidden="1">
      <c r="A4" s="484" t="s">
        <v>720</v>
      </c>
      <c r="B4" s="484" t="s">
        <v>617</v>
      </c>
      <c r="C4" s="484" t="s">
        <v>721</v>
      </c>
      <c r="D4" s="485"/>
      <c r="E4" s="484" t="s">
        <v>721</v>
      </c>
      <c r="F4" s="484" t="s">
        <v>25</v>
      </c>
      <c r="G4" s="485"/>
      <c r="H4" s="486">
        <v>67</v>
      </c>
      <c r="I4" s="471" t="str">
        <f t="shared" si="1"/>
        <v>AIJ100167</v>
      </c>
      <c r="J4" s="486">
        <v>535</v>
      </c>
      <c r="L4" s="484" t="s">
        <v>720</v>
      </c>
      <c r="M4" s="484" t="s">
        <v>617</v>
      </c>
      <c r="N4" s="484" t="s">
        <v>25</v>
      </c>
      <c r="O4" s="486">
        <v>16</v>
      </c>
      <c r="P4" s="471" t="str">
        <f t="shared" si="2"/>
        <v>AIJ100116</v>
      </c>
      <c r="Q4" s="486">
        <v>0</v>
      </c>
      <c r="R4" s="486">
        <v>5</v>
      </c>
      <c r="S4" s="486">
        <v>8</v>
      </c>
      <c r="T4" s="486">
        <v>12</v>
      </c>
      <c r="U4" s="486">
        <v>17</v>
      </c>
      <c r="V4" s="486">
        <v>21</v>
      </c>
      <c r="W4" s="486">
        <v>26</v>
      </c>
      <c r="X4" s="486">
        <v>32</v>
      </c>
      <c r="Y4" s="486">
        <v>36</v>
      </c>
      <c r="Z4" s="486">
        <v>0</v>
      </c>
      <c r="AA4" s="486">
        <v>0</v>
      </c>
      <c r="AB4" s="486">
        <v>0</v>
      </c>
      <c r="AC4" s="486">
        <v>0</v>
      </c>
      <c r="AD4" s="486">
        <v>0</v>
      </c>
      <c r="AE4" s="486">
        <v>0</v>
      </c>
      <c r="AF4" s="486">
        <v>0</v>
      </c>
      <c r="AG4" s="486">
        <v>0</v>
      </c>
      <c r="AH4" s="486">
        <v>0</v>
      </c>
      <c r="AI4" s="486">
        <v>0</v>
      </c>
      <c r="AJ4" s="486">
        <v>0</v>
      </c>
      <c r="AK4" s="486">
        <v>0</v>
      </c>
      <c r="AL4" s="486">
        <v>0</v>
      </c>
      <c r="AM4" s="486">
        <v>0</v>
      </c>
      <c r="AN4" s="486">
        <v>0</v>
      </c>
      <c r="AO4" s="486">
        <v>0</v>
      </c>
      <c r="AP4" s="486">
        <v>0</v>
      </c>
      <c r="AQ4" s="486">
        <v>0</v>
      </c>
      <c r="AR4" s="486">
        <v>0</v>
      </c>
      <c r="AS4" s="486">
        <v>0</v>
      </c>
      <c r="AT4" s="486">
        <v>0</v>
      </c>
      <c r="AU4" s="486">
        <v>0</v>
      </c>
      <c r="AV4" s="486">
        <v>0</v>
      </c>
      <c r="AW4" s="486">
        <v>0</v>
      </c>
      <c r="AX4" s="486">
        <v>0</v>
      </c>
      <c r="AY4" s="486">
        <v>0</v>
      </c>
      <c r="AZ4" s="486">
        <v>0</v>
      </c>
      <c r="BA4" s="486">
        <v>0</v>
      </c>
      <c r="BB4" s="486">
        <v>0</v>
      </c>
      <c r="BC4" s="486">
        <v>0</v>
      </c>
      <c r="BD4" s="486">
        <v>0</v>
      </c>
      <c r="BE4" s="486">
        <v>0</v>
      </c>
      <c r="BF4" s="486">
        <v>0</v>
      </c>
      <c r="BG4" s="486">
        <v>0</v>
      </c>
      <c r="BH4" s="486">
        <v>0</v>
      </c>
      <c r="BI4" s="486">
        <v>0</v>
      </c>
      <c r="BJ4" s="486">
        <v>0</v>
      </c>
      <c r="BK4" s="486">
        <v>0</v>
      </c>
      <c r="BL4" s="486">
        <v>0</v>
      </c>
      <c r="BM4" s="486">
        <v>0</v>
      </c>
      <c r="BN4" s="486">
        <v>0</v>
      </c>
      <c r="BO4" s="486">
        <v>0</v>
      </c>
      <c r="BP4" s="486">
        <v>0</v>
      </c>
      <c r="BQ4" s="486">
        <v>0</v>
      </c>
      <c r="BR4" s="486">
        <v>0</v>
      </c>
      <c r="BS4" s="486">
        <v>0</v>
      </c>
      <c r="BT4" s="486">
        <v>0</v>
      </c>
      <c r="BU4" s="486">
        <v>0</v>
      </c>
      <c r="BV4" s="486">
        <v>0</v>
      </c>
      <c r="BW4" s="486">
        <v>0</v>
      </c>
      <c r="BX4" s="486">
        <v>0</v>
      </c>
      <c r="BY4" s="486">
        <v>0</v>
      </c>
      <c r="BZ4" s="486">
        <v>0</v>
      </c>
      <c r="CA4" s="486">
        <v>0</v>
      </c>
      <c r="CB4" s="486">
        <v>0</v>
      </c>
      <c r="CC4" s="486">
        <v>0</v>
      </c>
      <c r="CD4" s="486">
        <v>0</v>
      </c>
      <c r="CE4" s="486">
        <v>0</v>
      </c>
      <c r="CF4" s="486">
        <v>0</v>
      </c>
      <c r="CG4" s="486">
        <v>0</v>
      </c>
      <c r="CH4" s="486">
        <v>0</v>
      </c>
      <c r="CI4" s="486">
        <v>0</v>
      </c>
      <c r="CJ4" s="486">
        <v>0</v>
      </c>
      <c r="CK4" s="486">
        <v>0</v>
      </c>
      <c r="CL4" s="486">
        <v>0</v>
      </c>
      <c r="CM4" s="486">
        <v>0</v>
      </c>
      <c r="CN4" s="486">
        <v>0</v>
      </c>
      <c r="CO4" s="486">
        <v>0</v>
      </c>
      <c r="CP4" s="486">
        <v>0</v>
      </c>
      <c r="CQ4" s="486">
        <v>0</v>
      </c>
      <c r="CR4" s="486">
        <v>0</v>
      </c>
      <c r="CS4" s="486">
        <v>0</v>
      </c>
      <c r="CT4" s="486">
        <v>0</v>
      </c>
      <c r="CU4" s="486">
        <v>0</v>
      </c>
      <c r="CV4" s="486">
        <v>0</v>
      </c>
      <c r="CW4" s="486">
        <v>0</v>
      </c>
      <c r="CX4" s="486">
        <v>0</v>
      </c>
      <c r="CY4" s="486">
        <v>0</v>
      </c>
      <c r="CZ4" s="486">
        <v>0</v>
      </c>
      <c r="DA4" s="486">
        <v>0</v>
      </c>
      <c r="DB4" s="486">
        <v>0</v>
      </c>
      <c r="DC4" s="486">
        <v>0</v>
      </c>
      <c r="DD4" s="486">
        <v>0</v>
      </c>
      <c r="DE4" s="486">
        <v>0</v>
      </c>
      <c r="DF4" s="486">
        <v>0</v>
      </c>
      <c r="DG4" s="486">
        <v>0</v>
      </c>
      <c r="DH4" s="486">
        <v>0</v>
      </c>
      <c r="DI4" s="486">
        <v>0</v>
      </c>
      <c r="DJ4" s="486">
        <v>0</v>
      </c>
      <c r="DK4" s="486">
        <v>0</v>
      </c>
      <c r="DL4" s="486">
        <v>0</v>
      </c>
      <c r="DM4" s="486">
        <v>0</v>
      </c>
      <c r="DN4" s="486">
        <v>0</v>
      </c>
      <c r="DO4" s="486">
        <v>0</v>
      </c>
      <c r="DP4" s="486">
        <v>0</v>
      </c>
      <c r="DQ4" s="486">
        <v>0</v>
      </c>
      <c r="DR4" s="486">
        <v>0</v>
      </c>
      <c r="DS4" s="486">
        <v>0</v>
      </c>
      <c r="DT4" s="486">
        <v>0</v>
      </c>
      <c r="DU4" s="486">
        <v>0</v>
      </c>
      <c r="DV4" s="486">
        <v>0</v>
      </c>
      <c r="DW4" s="486">
        <v>0</v>
      </c>
      <c r="DX4" s="477"/>
      <c r="DY4" s="484" t="s">
        <v>720</v>
      </c>
      <c r="DZ4" s="484" t="s">
        <v>617</v>
      </c>
      <c r="EA4" s="484" t="s">
        <v>25</v>
      </c>
      <c r="EB4" s="486">
        <v>16</v>
      </c>
      <c r="EC4" s="471" t="str">
        <f t="shared" si="0"/>
        <v>AIJ100116</v>
      </c>
      <c r="ED4" s="486">
        <v>10000</v>
      </c>
      <c r="EE4" s="486">
        <v>10000</v>
      </c>
      <c r="EF4" s="486">
        <v>10000</v>
      </c>
      <c r="EG4" s="486">
        <v>10000</v>
      </c>
      <c r="EH4" s="486">
        <v>10000</v>
      </c>
      <c r="EI4" s="486">
        <v>10000</v>
      </c>
      <c r="EJ4" s="486">
        <v>10000</v>
      </c>
      <c r="EK4" s="486">
        <v>10000</v>
      </c>
      <c r="EL4" s="486">
        <v>10000</v>
      </c>
      <c r="EM4" s="486">
        <v>10000</v>
      </c>
      <c r="EN4" s="486">
        <v>0</v>
      </c>
      <c r="EO4" s="486">
        <v>0</v>
      </c>
      <c r="EP4" s="486">
        <v>0</v>
      </c>
      <c r="EQ4" s="486">
        <v>0</v>
      </c>
      <c r="ER4" s="486">
        <v>0</v>
      </c>
      <c r="ES4" s="486">
        <v>0</v>
      </c>
      <c r="ET4" s="486">
        <v>0</v>
      </c>
      <c r="EU4" s="486">
        <v>0</v>
      </c>
      <c r="EV4" s="486">
        <v>0</v>
      </c>
      <c r="EW4" s="486">
        <v>0</v>
      </c>
      <c r="EX4" s="486">
        <v>0</v>
      </c>
      <c r="EY4" s="486">
        <v>0</v>
      </c>
      <c r="EZ4" s="486">
        <v>0</v>
      </c>
      <c r="FA4" s="486">
        <v>0</v>
      </c>
      <c r="FB4" s="486">
        <v>0</v>
      </c>
      <c r="FC4" s="486">
        <v>0</v>
      </c>
      <c r="FD4" s="486">
        <v>0</v>
      </c>
      <c r="FE4" s="486">
        <v>0</v>
      </c>
      <c r="FF4" s="486">
        <v>0</v>
      </c>
      <c r="FG4" s="486">
        <v>0</v>
      </c>
      <c r="FH4" s="486">
        <v>0</v>
      </c>
      <c r="FI4" s="486">
        <v>0</v>
      </c>
      <c r="FJ4" s="486">
        <v>0</v>
      </c>
      <c r="FK4" s="486">
        <v>0</v>
      </c>
      <c r="FL4" s="486">
        <v>0</v>
      </c>
      <c r="FM4" s="486">
        <v>0</v>
      </c>
      <c r="FN4" s="486">
        <v>0</v>
      </c>
      <c r="FO4" s="486">
        <v>0</v>
      </c>
      <c r="FP4" s="486">
        <v>0</v>
      </c>
      <c r="FQ4" s="486">
        <v>0</v>
      </c>
      <c r="FR4" s="486">
        <v>0</v>
      </c>
      <c r="FS4" s="486">
        <v>0</v>
      </c>
      <c r="FT4" s="486">
        <v>0</v>
      </c>
      <c r="FU4" s="486">
        <v>0</v>
      </c>
      <c r="FV4" s="486">
        <v>0</v>
      </c>
      <c r="FW4" s="486">
        <v>0</v>
      </c>
      <c r="FX4" s="486">
        <v>0</v>
      </c>
      <c r="FY4" s="486">
        <v>0</v>
      </c>
      <c r="FZ4" s="486">
        <v>0</v>
      </c>
      <c r="GA4" s="486">
        <v>0</v>
      </c>
      <c r="GB4" s="486">
        <v>0</v>
      </c>
      <c r="GC4" s="486">
        <v>0</v>
      </c>
      <c r="GD4" s="486">
        <v>0</v>
      </c>
      <c r="GE4" s="486">
        <v>0</v>
      </c>
      <c r="GF4" s="486">
        <v>0</v>
      </c>
      <c r="GG4" s="486">
        <v>0</v>
      </c>
      <c r="GH4" s="486">
        <v>0</v>
      </c>
      <c r="GI4" s="486">
        <v>0</v>
      </c>
      <c r="GJ4" s="486">
        <v>0</v>
      </c>
      <c r="GK4" s="486">
        <v>0</v>
      </c>
      <c r="GL4" s="486">
        <v>0</v>
      </c>
      <c r="GM4" s="486">
        <v>0</v>
      </c>
      <c r="GN4" s="486">
        <v>0</v>
      </c>
      <c r="GO4" s="486">
        <v>0</v>
      </c>
      <c r="GP4" s="486">
        <v>0</v>
      </c>
      <c r="GQ4" s="486">
        <v>0</v>
      </c>
      <c r="GR4" s="486">
        <v>0</v>
      </c>
      <c r="GS4" s="486">
        <v>0</v>
      </c>
      <c r="GT4" s="486">
        <v>0</v>
      </c>
      <c r="GU4" s="486">
        <v>0</v>
      </c>
      <c r="GV4" s="486">
        <v>0</v>
      </c>
      <c r="GW4" s="486">
        <v>0</v>
      </c>
      <c r="GX4" s="486">
        <v>0</v>
      </c>
      <c r="GY4" s="486">
        <v>0</v>
      </c>
      <c r="GZ4" s="486">
        <v>0</v>
      </c>
      <c r="HA4" s="486">
        <v>0</v>
      </c>
      <c r="HB4" s="486">
        <v>0</v>
      </c>
      <c r="HC4" s="486">
        <v>0</v>
      </c>
      <c r="HD4" s="486">
        <v>0</v>
      </c>
      <c r="HE4" s="486">
        <v>0</v>
      </c>
      <c r="HF4" s="486">
        <v>0</v>
      </c>
      <c r="HG4" s="486">
        <v>0</v>
      </c>
      <c r="HH4" s="486">
        <v>0</v>
      </c>
      <c r="HI4" s="486">
        <v>0</v>
      </c>
      <c r="HJ4" s="486">
        <v>0</v>
      </c>
      <c r="HK4" s="486">
        <v>0</v>
      </c>
      <c r="HL4" s="486">
        <v>0</v>
      </c>
      <c r="HM4" s="486">
        <v>0</v>
      </c>
      <c r="HN4" s="486">
        <v>0</v>
      </c>
      <c r="HO4" s="486">
        <v>0</v>
      </c>
      <c r="HP4" s="486">
        <v>0</v>
      </c>
      <c r="HQ4" s="486">
        <v>0</v>
      </c>
      <c r="HR4" s="486">
        <v>0</v>
      </c>
      <c r="HS4" s="486">
        <v>0</v>
      </c>
      <c r="HT4" s="486">
        <v>0</v>
      </c>
      <c r="HU4" s="486">
        <v>0</v>
      </c>
      <c r="HV4" s="486">
        <v>0</v>
      </c>
      <c r="HW4" s="486">
        <v>0</v>
      </c>
      <c r="HX4" s="486">
        <v>0</v>
      </c>
      <c r="HY4" s="486">
        <v>0</v>
      </c>
      <c r="HZ4" s="486">
        <v>0</v>
      </c>
      <c r="IA4" s="486">
        <v>0</v>
      </c>
      <c r="IB4" s="486">
        <v>0</v>
      </c>
      <c r="IC4" s="486">
        <v>0</v>
      </c>
      <c r="ID4" s="486">
        <v>0</v>
      </c>
      <c r="IE4" s="486">
        <v>0</v>
      </c>
      <c r="IF4" s="486">
        <v>0</v>
      </c>
      <c r="IG4" s="486">
        <v>0</v>
      </c>
      <c r="IH4" s="486">
        <v>0</v>
      </c>
      <c r="II4" s="486">
        <v>0</v>
      </c>
      <c r="IJ4" s="486">
        <v>0</v>
      </c>
    </row>
    <row r="5" spans="1:244" ht="16.5" hidden="1">
      <c r="A5" s="484" t="s">
        <v>720</v>
      </c>
      <c r="B5" s="484" t="s">
        <v>617</v>
      </c>
      <c r="C5" s="484" t="s">
        <v>721</v>
      </c>
      <c r="D5" s="485"/>
      <c r="E5" s="484" t="s">
        <v>721</v>
      </c>
      <c r="F5" s="484" t="s">
        <v>25</v>
      </c>
      <c r="G5" s="485"/>
      <c r="H5" s="486">
        <v>68</v>
      </c>
      <c r="I5" s="471" t="str">
        <f t="shared" si="1"/>
        <v>AIJ100168</v>
      </c>
      <c r="J5" s="486">
        <v>569</v>
      </c>
      <c r="L5" s="484" t="s">
        <v>720</v>
      </c>
      <c r="M5" s="484" t="s">
        <v>617</v>
      </c>
      <c r="N5" s="484" t="s">
        <v>25</v>
      </c>
      <c r="O5" s="486">
        <v>17</v>
      </c>
      <c r="P5" s="471" t="str">
        <f t="shared" si="2"/>
        <v>AIJ100117</v>
      </c>
      <c r="Q5" s="486">
        <v>0</v>
      </c>
      <c r="R5" s="486">
        <v>5</v>
      </c>
      <c r="S5" s="486">
        <v>8</v>
      </c>
      <c r="T5" s="486">
        <v>13</v>
      </c>
      <c r="U5" s="486">
        <v>18</v>
      </c>
      <c r="V5" s="486">
        <v>22</v>
      </c>
      <c r="W5" s="486">
        <v>27</v>
      </c>
      <c r="X5" s="486">
        <v>33</v>
      </c>
      <c r="Y5" s="486">
        <v>37</v>
      </c>
      <c r="Z5" s="486">
        <v>0</v>
      </c>
      <c r="AA5" s="486">
        <v>0</v>
      </c>
      <c r="AB5" s="486">
        <v>0</v>
      </c>
      <c r="AC5" s="486">
        <v>0</v>
      </c>
      <c r="AD5" s="486">
        <v>0</v>
      </c>
      <c r="AE5" s="486">
        <v>0</v>
      </c>
      <c r="AF5" s="486">
        <v>0</v>
      </c>
      <c r="AG5" s="486">
        <v>0</v>
      </c>
      <c r="AH5" s="486">
        <v>0</v>
      </c>
      <c r="AI5" s="486">
        <v>0</v>
      </c>
      <c r="AJ5" s="486">
        <v>0</v>
      </c>
      <c r="AK5" s="486">
        <v>0</v>
      </c>
      <c r="AL5" s="486">
        <v>0</v>
      </c>
      <c r="AM5" s="486">
        <v>0</v>
      </c>
      <c r="AN5" s="486">
        <v>0</v>
      </c>
      <c r="AO5" s="486">
        <v>0</v>
      </c>
      <c r="AP5" s="486">
        <v>0</v>
      </c>
      <c r="AQ5" s="486">
        <v>0</v>
      </c>
      <c r="AR5" s="486">
        <v>0</v>
      </c>
      <c r="AS5" s="486">
        <v>0</v>
      </c>
      <c r="AT5" s="486">
        <v>0</v>
      </c>
      <c r="AU5" s="486">
        <v>0</v>
      </c>
      <c r="AV5" s="486">
        <v>0</v>
      </c>
      <c r="AW5" s="486">
        <v>0</v>
      </c>
      <c r="AX5" s="486">
        <v>0</v>
      </c>
      <c r="AY5" s="486">
        <v>0</v>
      </c>
      <c r="AZ5" s="486">
        <v>0</v>
      </c>
      <c r="BA5" s="486">
        <v>0</v>
      </c>
      <c r="BB5" s="486">
        <v>0</v>
      </c>
      <c r="BC5" s="486">
        <v>0</v>
      </c>
      <c r="BD5" s="486">
        <v>0</v>
      </c>
      <c r="BE5" s="486">
        <v>0</v>
      </c>
      <c r="BF5" s="486">
        <v>0</v>
      </c>
      <c r="BG5" s="486">
        <v>0</v>
      </c>
      <c r="BH5" s="486">
        <v>0</v>
      </c>
      <c r="BI5" s="486">
        <v>0</v>
      </c>
      <c r="BJ5" s="486">
        <v>0</v>
      </c>
      <c r="BK5" s="486">
        <v>0</v>
      </c>
      <c r="BL5" s="486">
        <v>0</v>
      </c>
      <c r="BM5" s="486">
        <v>0</v>
      </c>
      <c r="BN5" s="486">
        <v>0</v>
      </c>
      <c r="BO5" s="486">
        <v>0</v>
      </c>
      <c r="BP5" s="486">
        <v>0</v>
      </c>
      <c r="BQ5" s="486">
        <v>0</v>
      </c>
      <c r="BR5" s="486">
        <v>0</v>
      </c>
      <c r="BS5" s="486">
        <v>0</v>
      </c>
      <c r="BT5" s="486">
        <v>0</v>
      </c>
      <c r="BU5" s="486">
        <v>0</v>
      </c>
      <c r="BV5" s="486">
        <v>0</v>
      </c>
      <c r="BW5" s="486">
        <v>0</v>
      </c>
      <c r="BX5" s="486">
        <v>0</v>
      </c>
      <c r="BY5" s="486">
        <v>0</v>
      </c>
      <c r="BZ5" s="486">
        <v>0</v>
      </c>
      <c r="CA5" s="486">
        <v>0</v>
      </c>
      <c r="CB5" s="486">
        <v>0</v>
      </c>
      <c r="CC5" s="486">
        <v>0</v>
      </c>
      <c r="CD5" s="486">
        <v>0</v>
      </c>
      <c r="CE5" s="486">
        <v>0</v>
      </c>
      <c r="CF5" s="486">
        <v>0</v>
      </c>
      <c r="CG5" s="486">
        <v>0</v>
      </c>
      <c r="CH5" s="486">
        <v>0</v>
      </c>
      <c r="CI5" s="486">
        <v>0</v>
      </c>
      <c r="CJ5" s="486">
        <v>0</v>
      </c>
      <c r="CK5" s="486">
        <v>0</v>
      </c>
      <c r="CL5" s="486">
        <v>0</v>
      </c>
      <c r="CM5" s="486">
        <v>0</v>
      </c>
      <c r="CN5" s="486">
        <v>0</v>
      </c>
      <c r="CO5" s="486">
        <v>0</v>
      </c>
      <c r="CP5" s="486">
        <v>0</v>
      </c>
      <c r="CQ5" s="486">
        <v>0</v>
      </c>
      <c r="CR5" s="486">
        <v>0</v>
      </c>
      <c r="CS5" s="486">
        <v>0</v>
      </c>
      <c r="CT5" s="486">
        <v>0</v>
      </c>
      <c r="CU5" s="486">
        <v>0</v>
      </c>
      <c r="CV5" s="486">
        <v>0</v>
      </c>
      <c r="CW5" s="486">
        <v>0</v>
      </c>
      <c r="CX5" s="486">
        <v>0</v>
      </c>
      <c r="CY5" s="486">
        <v>0</v>
      </c>
      <c r="CZ5" s="486">
        <v>0</v>
      </c>
      <c r="DA5" s="486">
        <v>0</v>
      </c>
      <c r="DB5" s="486">
        <v>0</v>
      </c>
      <c r="DC5" s="486">
        <v>0</v>
      </c>
      <c r="DD5" s="486">
        <v>0</v>
      </c>
      <c r="DE5" s="486">
        <v>0</v>
      </c>
      <c r="DF5" s="486">
        <v>0</v>
      </c>
      <c r="DG5" s="486">
        <v>0</v>
      </c>
      <c r="DH5" s="486">
        <v>0</v>
      </c>
      <c r="DI5" s="486">
        <v>0</v>
      </c>
      <c r="DJ5" s="486">
        <v>0</v>
      </c>
      <c r="DK5" s="486">
        <v>0</v>
      </c>
      <c r="DL5" s="486">
        <v>0</v>
      </c>
      <c r="DM5" s="486">
        <v>0</v>
      </c>
      <c r="DN5" s="486">
        <v>0</v>
      </c>
      <c r="DO5" s="486">
        <v>0</v>
      </c>
      <c r="DP5" s="486">
        <v>0</v>
      </c>
      <c r="DQ5" s="486">
        <v>0</v>
      </c>
      <c r="DR5" s="486">
        <v>0</v>
      </c>
      <c r="DS5" s="486">
        <v>0</v>
      </c>
      <c r="DT5" s="486">
        <v>0</v>
      </c>
      <c r="DU5" s="486">
        <v>0</v>
      </c>
      <c r="DV5" s="486">
        <v>0</v>
      </c>
      <c r="DW5" s="486">
        <v>0</v>
      </c>
      <c r="DX5" s="477"/>
      <c r="DY5" s="484" t="s">
        <v>720</v>
      </c>
      <c r="DZ5" s="484" t="s">
        <v>617</v>
      </c>
      <c r="EA5" s="484" t="s">
        <v>25</v>
      </c>
      <c r="EB5" s="486">
        <v>17</v>
      </c>
      <c r="EC5" s="471" t="str">
        <f t="shared" si="0"/>
        <v>AIJ100117</v>
      </c>
      <c r="ED5" s="486">
        <v>10000</v>
      </c>
      <c r="EE5" s="486">
        <v>10000</v>
      </c>
      <c r="EF5" s="486">
        <v>10000</v>
      </c>
      <c r="EG5" s="486">
        <v>10000</v>
      </c>
      <c r="EH5" s="486">
        <v>10000</v>
      </c>
      <c r="EI5" s="486">
        <v>10000</v>
      </c>
      <c r="EJ5" s="486">
        <v>10000</v>
      </c>
      <c r="EK5" s="486">
        <v>10000</v>
      </c>
      <c r="EL5" s="486">
        <v>10000</v>
      </c>
      <c r="EM5" s="486">
        <v>10000</v>
      </c>
      <c r="EN5" s="486">
        <v>0</v>
      </c>
      <c r="EO5" s="486">
        <v>0</v>
      </c>
      <c r="EP5" s="486">
        <v>0</v>
      </c>
      <c r="EQ5" s="486">
        <v>0</v>
      </c>
      <c r="ER5" s="486">
        <v>0</v>
      </c>
      <c r="ES5" s="486">
        <v>0</v>
      </c>
      <c r="ET5" s="486">
        <v>0</v>
      </c>
      <c r="EU5" s="486">
        <v>0</v>
      </c>
      <c r="EV5" s="486">
        <v>0</v>
      </c>
      <c r="EW5" s="486">
        <v>0</v>
      </c>
      <c r="EX5" s="486">
        <v>0</v>
      </c>
      <c r="EY5" s="486">
        <v>0</v>
      </c>
      <c r="EZ5" s="486">
        <v>0</v>
      </c>
      <c r="FA5" s="486">
        <v>0</v>
      </c>
      <c r="FB5" s="486">
        <v>0</v>
      </c>
      <c r="FC5" s="486">
        <v>0</v>
      </c>
      <c r="FD5" s="486">
        <v>0</v>
      </c>
      <c r="FE5" s="486">
        <v>0</v>
      </c>
      <c r="FF5" s="486">
        <v>0</v>
      </c>
      <c r="FG5" s="486">
        <v>0</v>
      </c>
      <c r="FH5" s="486">
        <v>0</v>
      </c>
      <c r="FI5" s="486">
        <v>0</v>
      </c>
      <c r="FJ5" s="486">
        <v>0</v>
      </c>
      <c r="FK5" s="486">
        <v>0</v>
      </c>
      <c r="FL5" s="486">
        <v>0</v>
      </c>
      <c r="FM5" s="486">
        <v>0</v>
      </c>
      <c r="FN5" s="486">
        <v>0</v>
      </c>
      <c r="FO5" s="486">
        <v>0</v>
      </c>
      <c r="FP5" s="486">
        <v>0</v>
      </c>
      <c r="FQ5" s="486">
        <v>0</v>
      </c>
      <c r="FR5" s="486">
        <v>0</v>
      </c>
      <c r="FS5" s="486">
        <v>0</v>
      </c>
      <c r="FT5" s="486">
        <v>0</v>
      </c>
      <c r="FU5" s="486">
        <v>0</v>
      </c>
      <c r="FV5" s="486">
        <v>0</v>
      </c>
      <c r="FW5" s="486">
        <v>0</v>
      </c>
      <c r="FX5" s="486">
        <v>0</v>
      </c>
      <c r="FY5" s="486">
        <v>0</v>
      </c>
      <c r="FZ5" s="486">
        <v>0</v>
      </c>
      <c r="GA5" s="486">
        <v>0</v>
      </c>
      <c r="GB5" s="486">
        <v>0</v>
      </c>
      <c r="GC5" s="486">
        <v>0</v>
      </c>
      <c r="GD5" s="486">
        <v>0</v>
      </c>
      <c r="GE5" s="486">
        <v>0</v>
      </c>
      <c r="GF5" s="486">
        <v>0</v>
      </c>
      <c r="GG5" s="486">
        <v>0</v>
      </c>
      <c r="GH5" s="486">
        <v>0</v>
      </c>
      <c r="GI5" s="486">
        <v>0</v>
      </c>
      <c r="GJ5" s="486">
        <v>0</v>
      </c>
      <c r="GK5" s="486">
        <v>0</v>
      </c>
      <c r="GL5" s="486">
        <v>0</v>
      </c>
      <c r="GM5" s="486">
        <v>0</v>
      </c>
      <c r="GN5" s="486">
        <v>0</v>
      </c>
      <c r="GO5" s="486">
        <v>0</v>
      </c>
      <c r="GP5" s="486">
        <v>0</v>
      </c>
      <c r="GQ5" s="486">
        <v>0</v>
      </c>
      <c r="GR5" s="486">
        <v>0</v>
      </c>
      <c r="GS5" s="486">
        <v>0</v>
      </c>
      <c r="GT5" s="486">
        <v>0</v>
      </c>
      <c r="GU5" s="486">
        <v>0</v>
      </c>
      <c r="GV5" s="486">
        <v>0</v>
      </c>
      <c r="GW5" s="486">
        <v>0</v>
      </c>
      <c r="GX5" s="486">
        <v>0</v>
      </c>
      <c r="GY5" s="486">
        <v>0</v>
      </c>
      <c r="GZ5" s="486">
        <v>0</v>
      </c>
      <c r="HA5" s="486">
        <v>0</v>
      </c>
      <c r="HB5" s="486">
        <v>0</v>
      </c>
      <c r="HC5" s="486">
        <v>0</v>
      </c>
      <c r="HD5" s="486">
        <v>0</v>
      </c>
      <c r="HE5" s="486">
        <v>0</v>
      </c>
      <c r="HF5" s="486">
        <v>0</v>
      </c>
      <c r="HG5" s="486">
        <v>0</v>
      </c>
      <c r="HH5" s="486">
        <v>0</v>
      </c>
      <c r="HI5" s="486">
        <v>0</v>
      </c>
      <c r="HJ5" s="486">
        <v>0</v>
      </c>
      <c r="HK5" s="486">
        <v>0</v>
      </c>
      <c r="HL5" s="486">
        <v>0</v>
      </c>
      <c r="HM5" s="486">
        <v>0</v>
      </c>
      <c r="HN5" s="486">
        <v>0</v>
      </c>
      <c r="HO5" s="486">
        <v>0</v>
      </c>
      <c r="HP5" s="486">
        <v>0</v>
      </c>
      <c r="HQ5" s="486">
        <v>0</v>
      </c>
      <c r="HR5" s="486">
        <v>0</v>
      </c>
      <c r="HS5" s="486">
        <v>0</v>
      </c>
      <c r="HT5" s="486">
        <v>0</v>
      </c>
      <c r="HU5" s="486">
        <v>0</v>
      </c>
      <c r="HV5" s="486">
        <v>0</v>
      </c>
      <c r="HW5" s="486">
        <v>0</v>
      </c>
      <c r="HX5" s="486">
        <v>0</v>
      </c>
      <c r="HY5" s="486">
        <v>0</v>
      </c>
      <c r="HZ5" s="486">
        <v>0</v>
      </c>
      <c r="IA5" s="486">
        <v>0</v>
      </c>
      <c r="IB5" s="486">
        <v>0</v>
      </c>
      <c r="IC5" s="486">
        <v>0</v>
      </c>
      <c r="ID5" s="486">
        <v>0</v>
      </c>
      <c r="IE5" s="486">
        <v>0</v>
      </c>
      <c r="IF5" s="486">
        <v>0</v>
      </c>
      <c r="IG5" s="486">
        <v>0</v>
      </c>
      <c r="IH5" s="486">
        <v>0</v>
      </c>
      <c r="II5" s="486">
        <v>0</v>
      </c>
      <c r="IJ5" s="486">
        <v>0</v>
      </c>
    </row>
    <row r="6" spans="1:244" ht="16.5" hidden="1">
      <c r="A6" s="484" t="s">
        <v>720</v>
      </c>
      <c r="B6" s="484" t="s">
        <v>617</v>
      </c>
      <c r="C6" s="484" t="s">
        <v>721</v>
      </c>
      <c r="D6" s="485"/>
      <c r="E6" s="484" t="s">
        <v>721</v>
      </c>
      <c r="F6" s="484" t="s">
        <v>25</v>
      </c>
      <c r="G6" s="485"/>
      <c r="H6" s="486">
        <v>69</v>
      </c>
      <c r="I6" s="471" t="str">
        <f t="shared" si="1"/>
        <v>AIJ100169</v>
      </c>
      <c r="J6" s="486">
        <v>607</v>
      </c>
      <c r="L6" s="484" t="s">
        <v>720</v>
      </c>
      <c r="M6" s="484" t="s">
        <v>617</v>
      </c>
      <c r="N6" s="484" t="s">
        <v>25</v>
      </c>
      <c r="O6" s="486">
        <v>18</v>
      </c>
      <c r="P6" s="471" t="str">
        <f t="shared" si="2"/>
        <v>AIJ100118</v>
      </c>
      <c r="Q6" s="486">
        <v>0</v>
      </c>
      <c r="R6" s="486">
        <v>5</v>
      </c>
      <c r="S6" s="486">
        <v>9</v>
      </c>
      <c r="T6" s="486">
        <v>14</v>
      </c>
      <c r="U6" s="486">
        <v>18</v>
      </c>
      <c r="V6" s="486">
        <v>23</v>
      </c>
      <c r="W6" s="486">
        <v>28</v>
      </c>
      <c r="X6" s="486">
        <v>34</v>
      </c>
      <c r="Y6" s="486">
        <v>38</v>
      </c>
      <c r="Z6" s="486">
        <v>0</v>
      </c>
      <c r="AA6" s="486">
        <v>0</v>
      </c>
      <c r="AB6" s="486">
        <v>0</v>
      </c>
      <c r="AC6" s="486">
        <v>0</v>
      </c>
      <c r="AD6" s="486">
        <v>0</v>
      </c>
      <c r="AE6" s="486">
        <v>0</v>
      </c>
      <c r="AF6" s="486">
        <v>0</v>
      </c>
      <c r="AG6" s="486">
        <v>0</v>
      </c>
      <c r="AH6" s="486">
        <v>0</v>
      </c>
      <c r="AI6" s="486">
        <v>0</v>
      </c>
      <c r="AJ6" s="486">
        <v>0</v>
      </c>
      <c r="AK6" s="486">
        <v>0</v>
      </c>
      <c r="AL6" s="486">
        <v>0</v>
      </c>
      <c r="AM6" s="486">
        <v>0</v>
      </c>
      <c r="AN6" s="486">
        <v>0</v>
      </c>
      <c r="AO6" s="486">
        <v>0</v>
      </c>
      <c r="AP6" s="486">
        <v>0</v>
      </c>
      <c r="AQ6" s="486">
        <v>0</v>
      </c>
      <c r="AR6" s="486">
        <v>0</v>
      </c>
      <c r="AS6" s="486">
        <v>0</v>
      </c>
      <c r="AT6" s="486">
        <v>0</v>
      </c>
      <c r="AU6" s="486">
        <v>0</v>
      </c>
      <c r="AV6" s="486">
        <v>0</v>
      </c>
      <c r="AW6" s="486">
        <v>0</v>
      </c>
      <c r="AX6" s="486">
        <v>0</v>
      </c>
      <c r="AY6" s="486">
        <v>0</v>
      </c>
      <c r="AZ6" s="486">
        <v>0</v>
      </c>
      <c r="BA6" s="486">
        <v>0</v>
      </c>
      <c r="BB6" s="486">
        <v>0</v>
      </c>
      <c r="BC6" s="486">
        <v>0</v>
      </c>
      <c r="BD6" s="486">
        <v>0</v>
      </c>
      <c r="BE6" s="486">
        <v>0</v>
      </c>
      <c r="BF6" s="486">
        <v>0</v>
      </c>
      <c r="BG6" s="486">
        <v>0</v>
      </c>
      <c r="BH6" s="486">
        <v>0</v>
      </c>
      <c r="BI6" s="486">
        <v>0</v>
      </c>
      <c r="BJ6" s="486">
        <v>0</v>
      </c>
      <c r="BK6" s="486">
        <v>0</v>
      </c>
      <c r="BL6" s="486">
        <v>0</v>
      </c>
      <c r="BM6" s="486">
        <v>0</v>
      </c>
      <c r="BN6" s="486">
        <v>0</v>
      </c>
      <c r="BO6" s="486">
        <v>0</v>
      </c>
      <c r="BP6" s="486">
        <v>0</v>
      </c>
      <c r="BQ6" s="486">
        <v>0</v>
      </c>
      <c r="BR6" s="486">
        <v>0</v>
      </c>
      <c r="BS6" s="486">
        <v>0</v>
      </c>
      <c r="BT6" s="486">
        <v>0</v>
      </c>
      <c r="BU6" s="486">
        <v>0</v>
      </c>
      <c r="BV6" s="486">
        <v>0</v>
      </c>
      <c r="BW6" s="486">
        <v>0</v>
      </c>
      <c r="BX6" s="486">
        <v>0</v>
      </c>
      <c r="BY6" s="486">
        <v>0</v>
      </c>
      <c r="BZ6" s="486">
        <v>0</v>
      </c>
      <c r="CA6" s="486">
        <v>0</v>
      </c>
      <c r="CB6" s="486">
        <v>0</v>
      </c>
      <c r="CC6" s="486">
        <v>0</v>
      </c>
      <c r="CD6" s="486">
        <v>0</v>
      </c>
      <c r="CE6" s="486">
        <v>0</v>
      </c>
      <c r="CF6" s="486">
        <v>0</v>
      </c>
      <c r="CG6" s="486">
        <v>0</v>
      </c>
      <c r="CH6" s="486">
        <v>0</v>
      </c>
      <c r="CI6" s="486">
        <v>0</v>
      </c>
      <c r="CJ6" s="486">
        <v>0</v>
      </c>
      <c r="CK6" s="486">
        <v>0</v>
      </c>
      <c r="CL6" s="486">
        <v>0</v>
      </c>
      <c r="CM6" s="486">
        <v>0</v>
      </c>
      <c r="CN6" s="486">
        <v>0</v>
      </c>
      <c r="CO6" s="486">
        <v>0</v>
      </c>
      <c r="CP6" s="486">
        <v>0</v>
      </c>
      <c r="CQ6" s="486">
        <v>0</v>
      </c>
      <c r="CR6" s="486">
        <v>0</v>
      </c>
      <c r="CS6" s="486">
        <v>0</v>
      </c>
      <c r="CT6" s="486">
        <v>0</v>
      </c>
      <c r="CU6" s="486">
        <v>0</v>
      </c>
      <c r="CV6" s="486">
        <v>0</v>
      </c>
      <c r="CW6" s="486">
        <v>0</v>
      </c>
      <c r="CX6" s="486">
        <v>0</v>
      </c>
      <c r="CY6" s="486">
        <v>0</v>
      </c>
      <c r="CZ6" s="486">
        <v>0</v>
      </c>
      <c r="DA6" s="486">
        <v>0</v>
      </c>
      <c r="DB6" s="486">
        <v>0</v>
      </c>
      <c r="DC6" s="486">
        <v>0</v>
      </c>
      <c r="DD6" s="486">
        <v>0</v>
      </c>
      <c r="DE6" s="486">
        <v>0</v>
      </c>
      <c r="DF6" s="486">
        <v>0</v>
      </c>
      <c r="DG6" s="486">
        <v>0</v>
      </c>
      <c r="DH6" s="486">
        <v>0</v>
      </c>
      <c r="DI6" s="486">
        <v>0</v>
      </c>
      <c r="DJ6" s="486">
        <v>0</v>
      </c>
      <c r="DK6" s="486">
        <v>0</v>
      </c>
      <c r="DL6" s="486">
        <v>0</v>
      </c>
      <c r="DM6" s="486">
        <v>0</v>
      </c>
      <c r="DN6" s="486">
        <v>0</v>
      </c>
      <c r="DO6" s="486">
        <v>0</v>
      </c>
      <c r="DP6" s="486">
        <v>0</v>
      </c>
      <c r="DQ6" s="486">
        <v>0</v>
      </c>
      <c r="DR6" s="486">
        <v>0</v>
      </c>
      <c r="DS6" s="486">
        <v>0</v>
      </c>
      <c r="DT6" s="486">
        <v>0</v>
      </c>
      <c r="DU6" s="486">
        <v>0</v>
      </c>
      <c r="DV6" s="486">
        <v>0</v>
      </c>
      <c r="DW6" s="486">
        <v>0</v>
      </c>
      <c r="DX6" s="477"/>
      <c r="DY6" s="484" t="s">
        <v>720</v>
      </c>
      <c r="DZ6" s="484" t="s">
        <v>617</v>
      </c>
      <c r="EA6" s="484" t="s">
        <v>25</v>
      </c>
      <c r="EB6" s="486">
        <v>18</v>
      </c>
      <c r="EC6" s="471" t="str">
        <f t="shared" si="0"/>
        <v>AIJ100118</v>
      </c>
      <c r="ED6" s="486">
        <v>10000</v>
      </c>
      <c r="EE6" s="486">
        <v>10000</v>
      </c>
      <c r="EF6" s="486">
        <v>10000</v>
      </c>
      <c r="EG6" s="486">
        <v>10000</v>
      </c>
      <c r="EH6" s="486">
        <v>10000</v>
      </c>
      <c r="EI6" s="486">
        <v>10000</v>
      </c>
      <c r="EJ6" s="486">
        <v>10000</v>
      </c>
      <c r="EK6" s="486">
        <v>10000</v>
      </c>
      <c r="EL6" s="486">
        <v>10000</v>
      </c>
      <c r="EM6" s="486">
        <v>10000</v>
      </c>
      <c r="EN6" s="486">
        <v>0</v>
      </c>
      <c r="EO6" s="486">
        <v>0</v>
      </c>
      <c r="EP6" s="486">
        <v>0</v>
      </c>
      <c r="EQ6" s="486">
        <v>0</v>
      </c>
      <c r="ER6" s="486">
        <v>0</v>
      </c>
      <c r="ES6" s="486">
        <v>0</v>
      </c>
      <c r="ET6" s="486">
        <v>0</v>
      </c>
      <c r="EU6" s="486">
        <v>0</v>
      </c>
      <c r="EV6" s="486">
        <v>0</v>
      </c>
      <c r="EW6" s="486">
        <v>0</v>
      </c>
      <c r="EX6" s="486">
        <v>0</v>
      </c>
      <c r="EY6" s="486">
        <v>0</v>
      </c>
      <c r="EZ6" s="486">
        <v>0</v>
      </c>
      <c r="FA6" s="486">
        <v>0</v>
      </c>
      <c r="FB6" s="486">
        <v>0</v>
      </c>
      <c r="FC6" s="486">
        <v>0</v>
      </c>
      <c r="FD6" s="486">
        <v>0</v>
      </c>
      <c r="FE6" s="486">
        <v>0</v>
      </c>
      <c r="FF6" s="486">
        <v>0</v>
      </c>
      <c r="FG6" s="486">
        <v>0</v>
      </c>
      <c r="FH6" s="486">
        <v>0</v>
      </c>
      <c r="FI6" s="486">
        <v>0</v>
      </c>
      <c r="FJ6" s="486">
        <v>0</v>
      </c>
      <c r="FK6" s="486">
        <v>0</v>
      </c>
      <c r="FL6" s="486">
        <v>0</v>
      </c>
      <c r="FM6" s="486">
        <v>0</v>
      </c>
      <c r="FN6" s="486">
        <v>0</v>
      </c>
      <c r="FO6" s="486">
        <v>0</v>
      </c>
      <c r="FP6" s="486">
        <v>0</v>
      </c>
      <c r="FQ6" s="486">
        <v>0</v>
      </c>
      <c r="FR6" s="486">
        <v>0</v>
      </c>
      <c r="FS6" s="486">
        <v>0</v>
      </c>
      <c r="FT6" s="486">
        <v>0</v>
      </c>
      <c r="FU6" s="486">
        <v>0</v>
      </c>
      <c r="FV6" s="486">
        <v>0</v>
      </c>
      <c r="FW6" s="486">
        <v>0</v>
      </c>
      <c r="FX6" s="486">
        <v>0</v>
      </c>
      <c r="FY6" s="486">
        <v>0</v>
      </c>
      <c r="FZ6" s="486">
        <v>0</v>
      </c>
      <c r="GA6" s="486">
        <v>0</v>
      </c>
      <c r="GB6" s="486">
        <v>0</v>
      </c>
      <c r="GC6" s="486">
        <v>0</v>
      </c>
      <c r="GD6" s="486">
        <v>0</v>
      </c>
      <c r="GE6" s="486">
        <v>0</v>
      </c>
      <c r="GF6" s="486">
        <v>0</v>
      </c>
      <c r="GG6" s="486">
        <v>0</v>
      </c>
      <c r="GH6" s="486">
        <v>0</v>
      </c>
      <c r="GI6" s="486">
        <v>0</v>
      </c>
      <c r="GJ6" s="486">
        <v>0</v>
      </c>
      <c r="GK6" s="486">
        <v>0</v>
      </c>
      <c r="GL6" s="486">
        <v>0</v>
      </c>
      <c r="GM6" s="486">
        <v>0</v>
      </c>
      <c r="GN6" s="486">
        <v>0</v>
      </c>
      <c r="GO6" s="486">
        <v>0</v>
      </c>
      <c r="GP6" s="486">
        <v>0</v>
      </c>
      <c r="GQ6" s="486">
        <v>0</v>
      </c>
      <c r="GR6" s="486">
        <v>0</v>
      </c>
      <c r="GS6" s="486">
        <v>0</v>
      </c>
      <c r="GT6" s="486">
        <v>0</v>
      </c>
      <c r="GU6" s="486">
        <v>0</v>
      </c>
      <c r="GV6" s="486">
        <v>0</v>
      </c>
      <c r="GW6" s="486">
        <v>0</v>
      </c>
      <c r="GX6" s="486">
        <v>0</v>
      </c>
      <c r="GY6" s="486">
        <v>0</v>
      </c>
      <c r="GZ6" s="486">
        <v>0</v>
      </c>
      <c r="HA6" s="486">
        <v>0</v>
      </c>
      <c r="HB6" s="486">
        <v>0</v>
      </c>
      <c r="HC6" s="486">
        <v>0</v>
      </c>
      <c r="HD6" s="486">
        <v>0</v>
      </c>
      <c r="HE6" s="486">
        <v>0</v>
      </c>
      <c r="HF6" s="486">
        <v>0</v>
      </c>
      <c r="HG6" s="486">
        <v>0</v>
      </c>
      <c r="HH6" s="486">
        <v>0</v>
      </c>
      <c r="HI6" s="486">
        <v>0</v>
      </c>
      <c r="HJ6" s="486">
        <v>0</v>
      </c>
      <c r="HK6" s="486">
        <v>0</v>
      </c>
      <c r="HL6" s="486">
        <v>0</v>
      </c>
      <c r="HM6" s="486">
        <v>0</v>
      </c>
      <c r="HN6" s="486">
        <v>0</v>
      </c>
      <c r="HO6" s="486">
        <v>0</v>
      </c>
      <c r="HP6" s="486">
        <v>0</v>
      </c>
      <c r="HQ6" s="486">
        <v>0</v>
      </c>
      <c r="HR6" s="486">
        <v>0</v>
      </c>
      <c r="HS6" s="486">
        <v>0</v>
      </c>
      <c r="HT6" s="486">
        <v>0</v>
      </c>
      <c r="HU6" s="486">
        <v>0</v>
      </c>
      <c r="HV6" s="486">
        <v>0</v>
      </c>
      <c r="HW6" s="486">
        <v>0</v>
      </c>
      <c r="HX6" s="486">
        <v>0</v>
      </c>
      <c r="HY6" s="486">
        <v>0</v>
      </c>
      <c r="HZ6" s="486">
        <v>0</v>
      </c>
      <c r="IA6" s="486">
        <v>0</v>
      </c>
      <c r="IB6" s="486">
        <v>0</v>
      </c>
      <c r="IC6" s="486">
        <v>0</v>
      </c>
      <c r="ID6" s="486">
        <v>0</v>
      </c>
      <c r="IE6" s="486">
        <v>0</v>
      </c>
      <c r="IF6" s="486">
        <v>0</v>
      </c>
      <c r="IG6" s="486">
        <v>0</v>
      </c>
      <c r="IH6" s="486">
        <v>0</v>
      </c>
      <c r="II6" s="486">
        <v>0</v>
      </c>
      <c r="IJ6" s="486">
        <v>0</v>
      </c>
    </row>
    <row r="7" spans="1:244" ht="16.5" hidden="1">
      <c r="A7" s="484" t="s">
        <v>720</v>
      </c>
      <c r="B7" s="484" t="s">
        <v>617</v>
      </c>
      <c r="C7" s="484" t="s">
        <v>721</v>
      </c>
      <c r="D7" s="485"/>
      <c r="E7" s="484" t="s">
        <v>721</v>
      </c>
      <c r="F7" s="484" t="s">
        <v>25</v>
      </c>
      <c r="G7" s="485"/>
      <c r="H7" s="486">
        <v>70</v>
      </c>
      <c r="I7" s="471" t="str">
        <f t="shared" si="1"/>
        <v>AIJ100170</v>
      </c>
      <c r="J7" s="486">
        <v>647</v>
      </c>
      <c r="L7" s="484" t="s">
        <v>720</v>
      </c>
      <c r="M7" s="484" t="s">
        <v>617</v>
      </c>
      <c r="N7" s="484" t="s">
        <v>25</v>
      </c>
      <c r="O7" s="486">
        <v>19</v>
      </c>
      <c r="P7" s="471" t="str">
        <f t="shared" si="2"/>
        <v>AIJ100119</v>
      </c>
      <c r="Q7" s="486">
        <v>0</v>
      </c>
      <c r="R7" s="486">
        <v>5</v>
      </c>
      <c r="S7" s="486">
        <v>10</v>
      </c>
      <c r="T7" s="486">
        <v>14</v>
      </c>
      <c r="U7" s="486">
        <v>19</v>
      </c>
      <c r="V7" s="486">
        <v>24</v>
      </c>
      <c r="W7" s="486">
        <v>29</v>
      </c>
      <c r="X7" s="486">
        <v>34</v>
      </c>
      <c r="Y7" s="486">
        <v>38</v>
      </c>
      <c r="Z7" s="486">
        <v>0</v>
      </c>
      <c r="AA7" s="486">
        <v>0</v>
      </c>
      <c r="AB7" s="486">
        <v>0</v>
      </c>
      <c r="AC7" s="486">
        <v>0</v>
      </c>
      <c r="AD7" s="486">
        <v>0</v>
      </c>
      <c r="AE7" s="486">
        <v>0</v>
      </c>
      <c r="AF7" s="486">
        <v>0</v>
      </c>
      <c r="AG7" s="486">
        <v>0</v>
      </c>
      <c r="AH7" s="486">
        <v>0</v>
      </c>
      <c r="AI7" s="486">
        <v>0</v>
      </c>
      <c r="AJ7" s="486">
        <v>0</v>
      </c>
      <c r="AK7" s="486">
        <v>0</v>
      </c>
      <c r="AL7" s="486">
        <v>0</v>
      </c>
      <c r="AM7" s="486">
        <v>0</v>
      </c>
      <c r="AN7" s="486">
        <v>0</v>
      </c>
      <c r="AO7" s="486">
        <v>0</v>
      </c>
      <c r="AP7" s="486">
        <v>0</v>
      </c>
      <c r="AQ7" s="486">
        <v>0</v>
      </c>
      <c r="AR7" s="486">
        <v>0</v>
      </c>
      <c r="AS7" s="486">
        <v>0</v>
      </c>
      <c r="AT7" s="486">
        <v>0</v>
      </c>
      <c r="AU7" s="486">
        <v>0</v>
      </c>
      <c r="AV7" s="486">
        <v>0</v>
      </c>
      <c r="AW7" s="486">
        <v>0</v>
      </c>
      <c r="AX7" s="486">
        <v>0</v>
      </c>
      <c r="AY7" s="486">
        <v>0</v>
      </c>
      <c r="AZ7" s="486">
        <v>0</v>
      </c>
      <c r="BA7" s="486">
        <v>0</v>
      </c>
      <c r="BB7" s="486">
        <v>0</v>
      </c>
      <c r="BC7" s="486">
        <v>0</v>
      </c>
      <c r="BD7" s="486">
        <v>0</v>
      </c>
      <c r="BE7" s="486">
        <v>0</v>
      </c>
      <c r="BF7" s="486">
        <v>0</v>
      </c>
      <c r="BG7" s="486">
        <v>0</v>
      </c>
      <c r="BH7" s="486">
        <v>0</v>
      </c>
      <c r="BI7" s="486">
        <v>0</v>
      </c>
      <c r="BJ7" s="486">
        <v>0</v>
      </c>
      <c r="BK7" s="486">
        <v>0</v>
      </c>
      <c r="BL7" s="486">
        <v>0</v>
      </c>
      <c r="BM7" s="486">
        <v>0</v>
      </c>
      <c r="BN7" s="486">
        <v>0</v>
      </c>
      <c r="BO7" s="486">
        <v>0</v>
      </c>
      <c r="BP7" s="486">
        <v>0</v>
      </c>
      <c r="BQ7" s="486">
        <v>0</v>
      </c>
      <c r="BR7" s="486">
        <v>0</v>
      </c>
      <c r="BS7" s="486">
        <v>0</v>
      </c>
      <c r="BT7" s="486">
        <v>0</v>
      </c>
      <c r="BU7" s="486">
        <v>0</v>
      </c>
      <c r="BV7" s="486">
        <v>0</v>
      </c>
      <c r="BW7" s="486">
        <v>0</v>
      </c>
      <c r="BX7" s="486">
        <v>0</v>
      </c>
      <c r="BY7" s="486">
        <v>0</v>
      </c>
      <c r="BZ7" s="486">
        <v>0</v>
      </c>
      <c r="CA7" s="486">
        <v>0</v>
      </c>
      <c r="CB7" s="486">
        <v>0</v>
      </c>
      <c r="CC7" s="486">
        <v>0</v>
      </c>
      <c r="CD7" s="486">
        <v>0</v>
      </c>
      <c r="CE7" s="486">
        <v>0</v>
      </c>
      <c r="CF7" s="486">
        <v>0</v>
      </c>
      <c r="CG7" s="486">
        <v>0</v>
      </c>
      <c r="CH7" s="486">
        <v>0</v>
      </c>
      <c r="CI7" s="486">
        <v>0</v>
      </c>
      <c r="CJ7" s="486">
        <v>0</v>
      </c>
      <c r="CK7" s="486">
        <v>0</v>
      </c>
      <c r="CL7" s="486">
        <v>0</v>
      </c>
      <c r="CM7" s="486">
        <v>0</v>
      </c>
      <c r="CN7" s="486">
        <v>0</v>
      </c>
      <c r="CO7" s="486">
        <v>0</v>
      </c>
      <c r="CP7" s="486">
        <v>0</v>
      </c>
      <c r="CQ7" s="486">
        <v>0</v>
      </c>
      <c r="CR7" s="486">
        <v>0</v>
      </c>
      <c r="CS7" s="486">
        <v>0</v>
      </c>
      <c r="CT7" s="486">
        <v>0</v>
      </c>
      <c r="CU7" s="486">
        <v>0</v>
      </c>
      <c r="CV7" s="486">
        <v>0</v>
      </c>
      <c r="CW7" s="486">
        <v>0</v>
      </c>
      <c r="CX7" s="486">
        <v>0</v>
      </c>
      <c r="CY7" s="486">
        <v>0</v>
      </c>
      <c r="CZ7" s="486">
        <v>0</v>
      </c>
      <c r="DA7" s="486">
        <v>0</v>
      </c>
      <c r="DB7" s="486">
        <v>0</v>
      </c>
      <c r="DC7" s="486">
        <v>0</v>
      </c>
      <c r="DD7" s="486">
        <v>0</v>
      </c>
      <c r="DE7" s="486">
        <v>0</v>
      </c>
      <c r="DF7" s="486">
        <v>0</v>
      </c>
      <c r="DG7" s="486">
        <v>0</v>
      </c>
      <c r="DH7" s="486">
        <v>0</v>
      </c>
      <c r="DI7" s="486">
        <v>0</v>
      </c>
      <c r="DJ7" s="486">
        <v>0</v>
      </c>
      <c r="DK7" s="486">
        <v>0</v>
      </c>
      <c r="DL7" s="486">
        <v>0</v>
      </c>
      <c r="DM7" s="486">
        <v>0</v>
      </c>
      <c r="DN7" s="486">
        <v>0</v>
      </c>
      <c r="DO7" s="486">
        <v>0</v>
      </c>
      <c r="DP7" s="486">
        <v>0</v>
      </c>
      <c r="DQ7" s="486">
        <v>0</v>
      </c>
      <c r="DR7" s="486">
        <v>0</v>
      </c>
      <c r="DS7" s="486">
        <v>0</v>
      </c>
      <c r="DT7" s="486">
        <v>0</v>
      </c>
      <c r="DU7" s="486">
        <v>0</v>
      </c>
      <c r="DV7" s="486">
        <v>0</v>
      </c>
      <c r="DW7" s="486">
        <v>0</v>
      </c>
      <c r="DX7" s="477"/>
      <c r="DY7" s="484" t="s">
        <v>720</v>
      </c>
      <c r="DZ7" s="484" t="s">
        <v>617</v>
      </c>
      <c r="EA7" s="484" t="s">
        <v>25</v>
      </c>
      <c r="EB7" s="486">
        <v>19</v>
      </c>
      <c r="EC7" s="471" t="str">
        <f t="shared" si="0"/>
        <v>AIJ100119</v>
      </c>
      <c r="ED7" s="486">
        <v>10000</v>
      </c>
      <c r="EE7" s="486">
        <v>10000</v>
      </c>
      <c r="EF7" s="486">
        <v>10000</v>
      </c>
      <c r="EG7" s="486">
        <v>10000</v>
      </c>
      <c r="EH7" s="486">
        <v>10000</v>
      </c>
      <c r="EI7" s="486">
        <v>10000</v>
      </c>
      <c r="EJ7" s="486">
        <v>10000</v>
      </c>
      <c r="EK7" s="486">
        <v>10000</v>
      </c>
      <c r="EL7" s="486">
        <v>10000</v>
      </c>
      <c r="EM7" s="486">
        <v>10000</v>
      </c>
      <c r="EN7" s="486">
        <v>0</v>
      </c>
      <c r="EO7" s="486">
        <v>0</v>
      </c>
      <c r="EP7" s="486">
        <v>0</v>
      </c>
      <c r="EQ7" s="486">
        <v>0</v>
      </c>
      <c r="ER7" s="486">
        <v>0</v>
      </c>
      <c r="ES7" s="486">
        <v>0</v>
      </c>
      <c r="ET7" s="486">
        <v>0</v>
      </c>
      <c r="EU7" s="486">
        <v>0</v>
      </c>
      <c r="EV7" s="486">
        <v>0</v>
      </c>
      <c r="EW7" s="486">
        <v>0</v>
      </c>
      <c r="EX7" s="486">
        <v>0</v>
      </c>
      <c r="EY7" s="486">
        <v>0</v>
      </c>
      <c r="EZ7" s="486">
        <v>0</v>
      </c>
      <c r="FA7" s="486">
        <v>0</v>
      </c>
      <c r="FB7" s="486">
        <v>0</v>
      </c>
      <c r="FC7" s="486">
        <v>0</v>
      </c>
      <c r="FD7" s="486">
        <v>0</v>
      </c>
      <c r="FE7" s="486">
        <v>0</v>
      </c>
      <c r="FF7" s="486">
        <v>0</v>
      </c>
      <c r="FG7" s="486">
        <v>0</v>
      </c>
      <c r="FH7" s="486">
        <v>0</v>
      </c>
      <c r="FI7" s="486">
        <v>0</v>
      </c>
      <c r="FJ7" s="486">
        <v>0</v>
      </c>
      <c r="FK7" s="486">
        <v>0</v>
      </c>
      <c r="FL7" s="486">
        <v>0</v>
      </c>
      <c r="FM7" s="486">
        <v>0</v>
      </c>
      <c r="FN7" s="486">
        <v>0</v>
      </c>
      <c r="FO7" s="486">
        <v>0</v>
      </c>
      <c r="FP7" s="486">
        <v>0</v>
      </c>
      <c r="FQ7" s="486">
        <v>0</v>
      </c>
      <c r="FR7" s="486">
        <v>0</v>
      </c>
      <c r="FS7" s="486">
        <v>0</v>
      </c>
      <c r="FT7" s="486">
        <v>0</v>
      </c>
      <c r="FU7" s="486">
        <v>0</v>
      </c>
      <c r="FV7" s="486">
        <v>0</v>
      </c>
      <c r="FW7" s="486">
        <v>0</v>
      </c>
      <c r="FX7" s="486">
        <v>0</v>
      </c>
      <c r="FY7" s="486">
        <v>0</v>
      </c>
      <c r="FZ7" s="486">
        <v>0</v>
      </c>
      <c r="GA7" s="486">
        <v>0</v>
      </c>
      <c r="GB7" s="486">
        <v>0</v>
      </c>
      <c r="GC7" s="486">
        <v>0</v>
      </c>
      <c r="GD7" s="486">
        <v>0</v>
      </c>
      <c r="GE7" s="486">
        <v>0</v>
      </c>
      <c r="GF7" s="486">
        <v>0</v>
      </c>
      <c r="GG7" s="486">
        <v>0</v>
      </c>
      <c r="GH7" s="486">
        <v>0</v>
      </c>
      <c r="GI7" s="486">
        <v>0</v>
      </c>
      <c r="GJ7" s="486">
        <v>0</v>
      </c>
      <c r="GK7" s="486">
        <v>0</v>
      </c>
      <c r="GL7" s="486">
        <v>0</v>
      </c>
      <c r="GM7" s="486">
        <v>0</v>
      </c>
      <c r="GN7" s="486">
        <v>0</v>
      </c>
      <c r="GO7" s="486">
        <v>0</v>
      </c>
      <c r="GP7" s="486">
        <v>0</v>
      </c>
      <c r="GQ7" s="486">
        <v>0</v>
      </c>
      <c r="GR7" s="486">
        <v>0</v>
      </c>
      <c r="GS7" s="486">
        <v>0</v>
      </c>
      <c r="GT7" s="486">
        <v>0</v>
      </c>
      <c r="GU7" s="486">
        <v>0</v>
      </c>
      <c r="GV7" s="486">
        <v>0</v>
      </c>
      <c r="GW7" s="486">
        <v>0</v>
      </c>
      <c r="GX7" s="486">
        <v>0</v>
      </c>
      <c r="GY7" s="486">
        <v>0</v>
      </c>
      <c r="GZ7" s="486">
        <v>0</v>
      </c>
      <c r="HA7" s="486">
        <v>0</v>
      </c>
      <c r="HB7" s="486">
        <v>0</v>
      </c>
      <c r="HC7" s="486">
        <v>0</v>
      </c>
      <c r="HD7" s="486">
        <v>0</v>
      </c>
      <c r="HE7" s="486">
        <v>0</v>
      </c>
      <c r="HF7" s="486">
        <v>0</v>
      </c>
      <c r="HG7" s="486">
        <v>0</v>
      </c>
      <c r="HH7" s="486">
        <v>0</v>
      </c>
      <c r="HI7" s="486">
        <v>0</v>
      </c>
      <c r="HJ7" s="486">
        <v>0</v>
      </c>
      <c r="HK7" s="486">
        <v>0</v>
      </c>
      <c r="HL7" s="486">
        <v>0</v>
      </c>
      <c r="HM7" s="486">
        <v>0</v>
      </c>
      <c r="HN7" s="486">
        <v>0</v>
      </c>
      <c r="HO7" s="486">
        <v>0</v>
      </c>
      <c r="HP7" s="486">
        <v>0</v>
      </c>
      <c r="HQ7" s="486">
        <v>0</v>
      </c>
      <c r="HR7" s="486">
        <v>0</v>
      </c>
      <c r="HS7" s="486">
        <v>0</v>
      </c>
      <c r="HT7" s="486">
        <v>0</v>
      </c>
      <c r="HU7" s="486">
        <v>0</v>
      </c>
      <c r="HV7" s="486">
        <v>0</v>
      </c>
      <c r="HW7" s="486">
        <v>0</v>
      </c>
      <c r="HX7" s="486">
        <v>0</v>
      </c>
      <c r="HY7" s="486">
        <v>0</v>
      </c>
      <c r="HZ7" s="486">
        <v>0</v>
      </c>
      <c r="IA7" s="486">
        <v>0</v>
      </c>
      <c r="IB7" s="486">
        <v>0</v>
      </c>
      <c r="IC7" s="486">
        <v>0</v>
      </c>
      <c r="ID7" s="486">
        <v>0</v>
      </c>
      <c r="IE7" s="486">
        <v>0</v>
      </c>
      <c r="IF7" s="486">
        <v>0</v>
      </c>
      <c r="IG7" s="486">
        <v>0</v>
      </c>
      <c r="IH7" s="486">
        <v>0</v>
      </c>
      <c r="II7" s="486">
        <v>0</v>
      </c>
      <c r="IJ7" s="486">
        <v>0</v>
      </c>
    </row>
    <row r="8" spans="1:244" ht="16.5" hidden="1">
      <c r="A8" s="484" t="s">
        <v>720</v>
      </c>
      <c r="B8" s="484" t="s">
        <v>617</v>
      </c>
      <c r="C8" s="484" t="s">
        <v>721</v>
      </c>
      <c r="D8" s="485"/>
      <c r="E8" s="484" t="s">
        <v>721</v>
      </c>
      <c r="F8" s="484" t="s">
        <v>25</v>
      </c>
      <c r="G8" s="485"/>
      <c r="H8" s="486">
        <v>71</v>
      </c>
      <c r="I8" s="471" t="str">
        <f t="shared" si="1"/>
        <v>AIJ100171</v>
      </c>
      <c r="J8" s="486">
        <v>687</v>
      </c>
      <c r="L8" s="484" t="s">
        <v>720</v>
      </c>
      <c r="M8" s="484" t="s">
        <v>617</v>
      </c>
      <c r="N8" s="484" t="s">
        <v>25</v>
      </c>
      <c r="O8" s="486">
        <v>20</v>
      </c>
      <c r="P8" s="471" t="str">
        <f t="shared" si="2"/>
        <v>AIJ100120</v>
      </c>
      <c r="Q8" s="486">
        <v>0</v>
      </c>
      <c r="R8" s="486">
        <v>5</v>
      </c>
      <c r="S8" s="486">
        <v>10</v>
      </c>
      <c r="T8" s="486">
        <v>14</v>
      </c>
      <c r="U8" s="486">
        <v>20</v>
      </c>
      <c r="V8" s="486">
        <v>24</v>
      </c>
      <c r="W8" s="486">
        <v>30</v>
      </c>
      <c r="X8" s="486">
        <v>35</v>
      </c>
      <c r="Y8" s="486">
        <v>39</v>
      </c>
      <c r="Z8" s="486">
        <v>0</v>
      </c>
      <c r="AA8" s="486">
        <v>0</v>
      </c>
      <c r="AB8" s="486">
        <v>0</v>
      </c>
      <c r="AC8" s="486">
        <v>0</v>
      </c>
      <c r="AD8" s="486">
        <v>0</v>
      </c>
      <c r="AE8" s="486">
        <v>0</v>
      </c>
      <c r="AF8" s="486">
        <v>0</v>
      </c>
      <c r="AG8" s="486">
        <v>0</v>
      </c>
      <c r="AH8" s="486">
        <v>0</v>
      </c>
      <c r="AI8" s="486">
        <v>0</v>
      </c>
      <c r="AJ8" s="486">
        <v>0</v>
      </c>
      <c r="AK8" s="486">
        <v>0</v>
      </c>
      <c r="AL8" s="486">
        <v>0</v>
      </c>
      <c r="AM8" s="486">
        <v>0</v>
      </c>
      <c r="AN8" s="486">
        <v>0</v>
      </c>
      <c r="AO8" s="486">
        <v>0</v>
      </c>
      <c r="AP8" s="486">
        <v>0</v>
      </c>
      <c r="AQ8" s="486">
        <v>0</v>
      </c>
      <c r="AR8" s="486">
        <v>0</v>
      </c>
      <c r="AS8" s="486">
        <v>0</v>
      </c>
      <c r="AT8" s="486">
        <v>0</v>
      </c>
      <c r="AU8" s="486">
        <v>0</v>
      </c>
      <c r="AV8" s="486">
        <v>0</v>
      </c>
      <c r="AW8" s="486">
        <v>0</v>
      </c>
      <c r="AX8" s="486">
        <v>0</v>
      </c>
      <c r="AY8" s="486">
        <v>0</v>
      </c>
      <c r="AZ8" s="486">
        <v>0</v>
      </c>
      <c r="BA8" s="486">
        <v>0</v>
      </c>
      <c r="BB8" s="486">
        <v>0</v>
      </c>
      <c r="BC8" s="486">
        <v>0</v>
      </c>
      <c r="BD8" s="486">
        <v>0</v>
      </c>
      <c r="BE8" s="486">
        <v>0</v>
      </c>
      <c r="BF8" s="486">
        <v>0</v>
      </c>
      <c r="BG8" s="486">
        <v>0</v>
      </c>
      <c r="BH8" s="486">
        <v>0</v>
      </c>
      <c r="BI8" s="486">
        <v>0</v>
      </c>
      <c r="BJ8" s="486">
        <v>0</v>
      </c>
      <c r="BK8" s="486">
        <v>0</v>
      </c>
      <c r="BL8" s="486">
        <v>0</v>
      </c>
      <c r="BM8" s="486">
        <v>0</v>
      </c>
      <c r="BN8" s="486">
        <v>0</v>
      </c>
      <c r="BO8" s="486">
        <v>0</v>
      </c>
      <c r="BP8" s="486">
        <v>0</v>
      </c>
      <c r="BQ8" s="486">
        <v>0</v>
      </c>
      <c r="BR8" s="486">
        <v>0</v>
      </c>
      <c r="BS8" s="486">
        <v>0</v>
      </c>
      <c r="BT8" s="486">
        <v>0</v>
      </c>
      <c r="BU8" s="486">
        <v>0</v>
      </c>
      <c r="BV8" s="486">
        <v>0</v>
      </c>
      <c r="BW8" s="486">
        <v>0</v>
      </c>
      <c r="BX8" s="486">
        <v>0</v>
      </c>
      <c r="BY8" s="486">
        <v>0</v>
      </c>
      <c r="BZ8" s="486">
        <v>0</v>
      </c>
      <c r="CA8" s="486">
        <v>0</v>
      </c>
      <c r="CB8" s="486">
        <v>0</v>
      </c>
      <c r="CC8" s="486">
        <v>0</v>
      </c>
      <c r="CD8" s="486">
        <v>0</v>
      </c>
      <c r="CE8" s="486">
        <v>0</v>
      </c>
      <c r="CF8" s="486">
        <v>0</v>
      </c>
      <c r="CG8" s="486">
        <v>0</v>
      </c>
      <c r="CH8" s="486">
        <v>0</v>
      </c>
      <c r="CI8" s="486">
        <v>0</v>
      </c>
      <c r="CJ8" s="486">
        <v>0</v>
      </c>
      <c r="CK8" s="486">
        <v>0</v>
      </c>
      <c r="CL8" s="486">
        <v>0</v>
      </c>
      <c r="CM8" s="486">
        <v>0</v>
      </c>
      <c r="CN8" s="486">
        <v>0</v>
      </c>
      <c r="CO8" s="486">
        <v>0</v>
      </c>
      <c r="CP8" s="486">
        <v>0</v>
      </c>
      <c r="CQ8" s="486">
        <v>0</v>
      </c>
      <c r="CR8" s="486">
        <v>0</v>
      </c>
      <c r="CS8" s="486">
        <v>0</v>
      </c>
      <c r="CT8" s="486">
        <v>0</v>
      </c>
      <c r="CU8" s="486">
        <v>0</v>
      </c>
      <c r="CV8" s="486">
        <v>0</v>
      </c>
      <c r="CW8" s="486">
        <v>0</v>
      </c>
      <c r="CX8" s="486">
        <v>0</v>
      </c>
      <c r="CY8" s="486">
        <v>0</v>
      </c>
      <c r="CZ8" s="486">
        <v>0</v>
      </c>
      <c r="DA8" s="486">
        <v>0</v>
      </c>
      <c r="DB8" s="486">
        <v>0</v>
      </c>
      <c r="DC8" s="486">
        <v>0</v>
      </c>
      <c r="DD8" s="486">
        <v>0</v>
      </c>
      <c r="DE8" s="486">
        <v>0</v>
      </c>
      <c r="DF8" s="486">
        <v>0</v>
      </c>
      <c r="DG8" s="486">
        <v>0</v>
      </c>
      <c r="DH8" s="486">
        <v>0</v>
      </c>
      <c r="DI8" s="486">
        <v>0</v>
      </c>
      <c r="DJ8" s="486">
        <v>0</v>
      </c>
      <c r="DK8" s="486">
        <v>0</v>
      </c>
      <c r="DL8" s="486">
        <v>0</v>
      </c>
      <c r="DM8" s="486">
        <v>0</v>
      </c>
      <c r="DN8" s="486">
        <v>0</v>
      </c>
      <c r="DO8" s="486">
        <v>0</v>
      </c>
      <c r="DP8" s="486">
        <v>0</v>
      </c>
      <c r="DQ8" s="486">
        <v>0</v>
      </c>
      <c r="DR8" s="486">
        <v>0</v>
      </c>
      <c r="DS8" s="486">
        <v>0</v>
      </c>
      <c r="DT8" s="486">
        <v>0</v>
      </c>
      <c r="DU8" s="486">
        <v>0</v>
      </c>
      <c r="DV8" s="486">
        <v>0</v>
      </c>
      <c r="DW8" s="486">
        <v>0</v>
      </c>
      <c r="DX8" s="477"/>
      <c r="DY8" s="484" t="s">
        <v>720</v>
      </c>
      <c r="DZ8" s="484" t="s">
        <v>617</v>
      </c>
      <c r="EA8" s="484" t="s">
        <v>25</v>
      </c>
      <c r="EB8" s="486">
        <v>20</v>
      </c>
      <c r="EC8" s="471" t="str">
        <f t="shared" si="0"/>
        <v>AIJ100120</v>
      </c>
      <c r="ED8" s="486">
        <v>10000</v>
      </c>
      <c r="EE8" s="486">
        <v>10000</v>
      </c>
      <c r="EF8" s="486">
        <v>10000</v>
      </c>
      <c r="EG8" s="486">
        <v>10000</v>
      </c>
      <c r="EH8" s="486">
        <v>10000</v>
      </c>
      <c r="EI8" s="486">
        <v>10000</v>
      </c>
      <c r="EJ8" s="486">
        <v>10000</v>
      </c>
      <c r="EK8" s="486">
        <v>10000</v>
      </c>
      <c r="EL8" s="486">
        <v>10000</v>
      </c>
      <c r="EM8" s="486">
        <v>10000</v>
      </c>
      <c r="EN8" s="486">
        <v>0</v>
      </c>
      <c r="EO8" s="486">
        <v>0</v>
      </c>
      <c r="EP8" s="486">
        <v>0</v>
      </c>
      <c r="EQ8" s="486">
        <v>0</v>
      </c>
      <c r="ER8" s="486">
        <v>0</v>
      </c>
      <c r="ES8" s="486">
        <v>0</v>
      </c>
      <c r="ET8" s="486">
        <v>0</v>
      </c>
      <c r="EU8" s="486">
        <v>0</v>
      </c>
      <c r="EV8" s="486">
        <v>0</v>
      </c>
      <c r="EW8" s="486">
        <v>0</v>
      </c>
      <c r="EX8" s="486">
        <v>0</v>
      </c>
      <c r="EY8" s="486">
        <v>0</v>
      </c>
      <c r="EZ8" s="486">
        <v>0</v>
      </c>
      <c r="FA8" s="486">
        <v>0</v>
      </c>
      <c r="FB8" s="486">
        <v>0</v>
      </c>
      <c r="FC8" s="486">
        <v>0</v>
      </c>
      <c r="FD8" s="486">
        <v>0</v>
      </c>
      <c r="FE8" s="486">
        <v>0</v>
      </c>
      <c r="FF8" s="486">
        <v>0</v>
      </c>
      <c r="FG8" s="486">
        <v>0</v>
      </c>
      <c r="FH8" s="486">
        <v>0</v>
      </c>
      <c r="FI8" s="486">
        <v>0</v>
      </c>
      <c r="FJ8" s="486">
        <v>0</v>
      </c>
      <c r="FK8" s="486">
        <v>0</v>
      </c>
      <c r="FL8" s="486">
        <v>0</v>
      </c>
      <c r="FM8" s="486">
        <v>0</v>
      </c>
      <c r="FN8" s="486">
        <v>0</v>
      </c>
      <c r="FO8" s="486">
        <v>0</v>
      </c>
      <c r="FP8" s="486">
        <v>0</v>
      </c>
      <c r="FQ8" s="486">
        <v>0</v>
      </c>
      <c r="FR8" s="486">
        <v>0</v>
      </c>
      <c r="FS8" s="486">
        <v>0</v>
      </c>
      <c r="FT8" s="486">
        <v>0</v>
      </c>
      <c r="FU8" s="486">
        <v>0</v>
      </c>
      <c r="FV8" s="486">
        <v>0</v>
      </c>
      <c r="FW8" s="486">
        <v>0</v>
      </c>
      <c r="FX8" s="486">
        <v>0</v>
      </c>
      <c r="FY8" s="486">
        <v>0</v>
      </c>
      <c r="FZ8" s="486">
        <v>0</v>
      </c>
      <c r="GA8" s="486">
        <v>0</v>
      </c>
      <c r="GB8" s="486">
        <v>0</v>
      </c>
      <c r="GC8" s="486">
        <v>0</v>
      </c>
      <c r="GD8" s="486">
        <v>0</v>
      </c>
      <c r="GE8" s="486">
        <v>0</v>
      </c>
      <c r="GF8" s="486">
        <v>0</v>
      </c>
      <c r="GG8" s="486">
        <v>0</v>
      </c>
      <c r="GH8" s="486">
        <v>0</v>
      </c>
      <c r="GI8" s="486">
        <v>0</v>
      </c>
      <c r="GJ8" s="486">
        <v>0</v>
      </c>
      <c r="GK8" s="486">
        <v>0</v>
      </c>
      <c r="GL8" s="486">
        <v>0</v>
      </c>
      <c r="GM8" s="486">
        <v>0</v>
      </c>
      <c r="GN8" s="486">
        <v>0</v>
      </c>
      <c r="GO8" s="486">
        <v>0</v>
      </c>
      <c r="GP8" s="486">
        <v>0</v>
      </c>
      <c r="GQ8" s="486">
        <v>0</v>
      </c>
      <c r="GR8" s="486">
        <v>0</v>
      </c>
      <c r="GS8" s="486">
        <v>0</v>
      </c>
      <c r="GT8" s="486">
        <v>0</v>
      </c>
      <c r="GU8" s="486">
        <v>0</v>
      </c>
      <c r="GV8" s="486">
        <v>0</v>
      </c>
      <c r="GW8" s="486">
        <v>0</v>
      </c>
      <c r="GX8" s="486">
        <v>0</v>
      </c>
      <c r="GY8" s="486">
        <v>0</v>
      </c>
      <c r="GZ8" s="486">
        <v>0</v>
      </c>
      <c r="HA8" s="486">
        <v>0</v>
      </c>
      <c r="HB8" s="486">
        <v>0</v>
      </c>
      <c r="HC8" s="486">
        <v>0</v>
      </c>
      <c r="HD8" s="486">
        <v>0</v>
      </c>
      <c r="HE8" s="486">
        <v>0</v>
      </c>
      <c r="HF8" s="486">
        <v>0</v>
      </c>
      <c r="HG8" s="486">
        <v>0</v>
      </c>
      <c r="HH8" s="486">
        <v>0</v>
      </c>
      <c r="HI8" s="486">
        <v>0</v>
      </c>
      <c r="HJ8" s="486">
        <v>0</v>
      </c>
      <c r="HK8" s="486">
        <v>0</v>
      </c>
      <c r="HL8" s="486">
        <v>0</v>
      </c>
      <c r="HM8" s="486">
        <v>0</v>
      </c>
      <c r="HN8" s="486">
        <v>0</v>
      </c>
      <c r="HO8" s="486">
        <v>0</v>
      </c>
      <c r="HP8" s="486">
        <v>0</v>
      </c>
      <c r="HQ8" s="486">
        <v>0</v>
      </c>
      <c r="HR8" s="486">
        <v>0</v>
      </c>
      <c r="HS8" s="486">
        <v>0</v>
      </c>
      <c r="HT8" s="486">
        <v>0</v>
      </c>
      <c r="HU8" s="486">
        <v>0</v>
      </c>
      <c r="HV8" s="486">
        <v>0</v>
      </c>
      <c r="HW8" s="486">
        <v>0</v>
      </c>
      <c r="HX8" s="486">
        <v>0</v>
      </c>
      <c r="HY8" s="486">
        <v>0</v>
      </c>
      <c r="HZ8" s="486">
        <v>0</v>
      </c>
      <c r="IA8" s="486">
        <v>0</v>
      </c>
      <c r="IB8" s="486">
        <v>0</v>
      </c>
      <c r="IC8" s="486">
        <v>0</v>
      </c>
      <c r="ID8" s="486">
        <v>0</v>
      </c>
      <c r="IE8" s="486">
        <v>0</v>
      </c>
      <c r="IF8" s="486">
        <v>0</v>
      </c>
      <c r="IG8" s="486">
        <v>0</v>
      </c>
      <c r="IH8" s="486">
        <v>0</v>
      </c>
      <c r="II8" s="486">
        <v>0</v>
      </c>
      <c r="IJ8" s="486">
        <v>0</v>
      </c>
    </row>
    <row r="9" spans="1:244" ht="16.5" hidden="1">
      <c r="A9" s="484" t="s">
        <v>720</v>
      </c>
      <c r="B9" s="484" t="s">
        <v>617</v>
      </c>
      <c r="C9" s="484" t="s">
        <v>721</v>
      </c>
      <c r="D9" s="485"/>
      <c r="E9" s="484" t="s">
        <v>721</v>
      </c>
      <c r="F9" s="484" t="s">
        <v>26</v>
      </c>
      <c r="G9" s="485"/>
      <c r="H9" s="486">
        <v>15</v>
      </c>
      <c r="I9" s="471" t="str">
        <f t="shared" si="1"/>
        <v>AIJ100215</v>
      </c>
      <c r="J9" s="486">
        <v>41</v>
      </c>
      <c r="L9" s="484" t="s">
        <v>720</v>
      </c>
      <c r="M9" s="484" t="s">
        <v>617</v>
      </c>
      <c r="N9" s="484" t="s">
        <v>25</v>
      </c>
      <c r="O9" s="486">
        <v>21</v>
      </c>
      <c r="P9" s="471" t="str">
        <f t="shared" si="2"/>
        <v>AIJ100121</v>
      </c>
      <c r="Q9" s="486">
        <v>0</v>
      </c>
      <c r="R9" s="486">
        <v>5</v>
      </c>
      <c r="S9" s="486">
        <v>11</v>
      </c>
      <c r="T9" s="486">
        <v>15</v>
      </c>
      <c r="U9" s="486">
        <v>20</v>
      </c>
      <c r="V9" s="486">
        <v>25</v>
      </c>
      <c r="W9" s="486">
        <v>30</v>
      </c>
      <c r="X9" s="486">
        <v>36</v>
      </c>
      <c r="Y9" s="486">
        <v>40</v>
      </c>
      <c r="Z9" s="486">
        <v>0</v>
      </c>
      <c r="AA9" s="486">
        <v>0</v>
      </c>
      <c r="AB9" s="486">
        <v>0</v>
      </c>
      <c r="AC9" s="486">
        <v>0</v>
      </c>
      <c r="AD9" s="486">
        <v>0</v>
      </c>
      <c r="AE9" s="486">
        <v>0</v>
      </c>
      <c r="AF9" s="486">
        <v>0</v>
      </c>
      <c r="AG9" s="486">
        <v>0</v>
      </c>
      <c r="AH9" s="486">
        <v>0</v>
      </c>
      <c r="AI9" s="486">
        <v>0</v>
      </c>
      <c r="AJ9" s="486">
        <v>0</v>
      </c>
      <c r="AK9" s="486">
        <v>0</v>
      </c>
      <c r="AL9" s="486">
        <v>0</v>
      </c>
      <c r="AM9" s="486">
        <v>0</v>
      </c>
      <c r="AN9" s="486">
        <v>0</v>
      </c>
      <c r="AO9" s="486">
        <v>0</v>
      </c>
      <c r="AP9" s="486">
        <v>0</v>
      </c>
      <c r="AQ9" s="486">
        <v>0</v>
      </c>
      <c r="AR9" s="486">
        <v>0</v>
      </c>
      <c r="AS9" s="486">
        <v>0</v>
      </c>
      <c r="AT9" s="486">
        <v>0</v>
      </c>
      <c r="AU9" s="486">
        <v>0</v>
      </c>
      <c r="AV9" s="486">
        <v>0</v>
      </c>
      <c r="AW9" s="486">
        <v>0</v>
      </c>
      <c r="AX9" s="486">
        <v>0</v>
      </c>
      <c r="AY9" s="486">
        <v>0</v>
      </c>
      <c r="AZ9" s="486">
        <v>0</v>
      </c>
      <c r="BA9" s="486">
        <v>0</v>
      </c>
      <c r="BB9" s="486">
        <v>0</v>
      </c>
      <c r="BC9" s="486">
        <v>0</v>
      </c>
      <c r="BD9" s="486">
        <v>0</v>
      </c>
      <c r="BE9" s="486">
        <v>0</v>
      </c>
      <c r="BF9" s="486">
        <v>0</v>
      </c>
      <c r="BG9" s="486">
        <v>0</v>
      </c>
      <c r="BH9" s="486">
        <v>0</v>
      </c>
      <c r="BI9" s="486">
        <v>0</v>
      </c>
      <c r="BJ9" s="486">
        <v>0</v>
      </c>
      <c r="BK9" s="486">
        <v>0</v>
      </c>
      <c r="BL9" s="486">
        <v>0</v>
      </c>
      <c r="BM9" s="486">
        <v>0</v>
      </c>
      <c r="BN9" s="486">
        <v>0</v>
      </c>
      <c r="BO9" s="486">
        <v>0</v>
      </c>
      <c r="BP9" s="486">
        <v>0</v>
      </c>
      <c r="BQ9" s="486">
        <v>0</v>
      </c>
      <c r="BR9" s="486">
        <v>0</v>
      </c>
      <c r="BS9" s="486">
        <v>0</v>
      </c>
      <c r="BT9" s="486">
        <v>0</v>
      </c>
      <c r="BU9" s="486">
        <v>0</v>
      </c>
      <c r="BV9" s="486">
        <v>0</v>
      </c>
      <c r="BW9" s="486">
        <v>0</v>
      </c>
      <c r="BX9" s="486">
        <v>0</v>
      </c>
      <c r="BY9" s="486">
        <v>0</v>
      </c>
      <c r="BZ9" s="486">
        <v>0</v>
      </c>
      <c r="CA9" s="486">
        <v>0</v>
      </c>
      <c r="CB9" s="486">
        <v>0</v>
      </c>
      <c r="CC9" s="486">
        <v>0</v>
      </c>
      <c r="CD9" s="486">
        <v>0</v>
      </c>
      <c r="CE9" s="486">
        <v>0</v>
      </c>
      <c r="CF9" s="486">
        <v>0</v>
      </c>
      <c r="CG9" s="486">
        <v>0</v>
      </c>
      <c r="CH9" s="486">
        <v>0</v>
      </c>
      <c r="CI9" s="486">
        <v>0</v>
      </c>
      <c r="CJ9" s="486">
        <v>0</v>
      </c>
      <c r="CK9" s="486">
        <v>0</v>
      </c>
      <c r="CL9" s="486">
        <v>0</v>
      </c>
      <c r="CM9" s="486">
        <v>0</v>
      </c>
      <c r="CN9" s="486">
        <v>0</v>
      </c>
      <c r="CO9" s="486">
        <v>0</v>
      </c>
      <c r="CP9" s="486">
        <v>0</v>
      </c>
      <c r="CQ9" s="486">
        <v>0</v>
      </c>
      <c r="CR9" s="486">
        <v>0</v>
      </c>
      <c r="CS9" s="486">
        <v>0</v>
      </c>
      <c r="CT9" s="486">
        <v>0</v>
      </c>
      <c r="CU9" s="486">
        <v>0</v>
      </c>
      <c r="CV9" s="486">
        <v>0</v>
      </c>
      <c r="CW9" s="486">
        <v>0</v>
      </c>
      <c r="CX9" s="486">
        <v>0</v>
      </c>
      <c r="CY9" s="486">
        <v>0</v>
      </c>
      <c r="CZ9" s="486">
        <v>0</v>
      </c>
      <c r="DA9" s="486">
        <v>0</v>
      </c>
      <c r="DB9" s="486">
        <v>0</v>
      </c>
      <c r="DC9" s="486">
        <v>0</v>
      </c>
      <c r="DD9" s="486">
        <v>0</v>
      </c>
      <c r="DE9" s="486">
        <v>0</v>
      </c>
      <c r="DF9" s="486">
        <v>0</v>
      </c>
      <c r="DG9" s="486">
        <v>0</v>
      </c>
      <c r="DH9" s="486">
        <v>0</v>
      </c>
      <c r="DI9" s="486">
        <v>0</v>
      </c>
      <c r="DJ9" s="486">
        <v>0</v>
      </c>
      <c r="DK9" s="486">
        <v>0</v>
      </c>
      <c r="DL9" s="486">
        <v>0</v>
      </c>
      <c r="DM9" s="486">
        <v>0</v>
      </c>
      <c r="DN9" s="486">
        <v>0</v>
      </c>
      <c r="DO9" s="486">
        <v>0</v>
      </c>
      <c r="DP9" s="486">
        <v>0</v>
      </c>
      <c r="DQ9" s="486">
        <v>0</v>
      </c>
      <c r="DR9" s="486">
        <v>0</v>
      </c>
      <c r="DS9" s="486">
        <v>0</v>
      </c>
      <c r="DT9" s="486">
        <v>0</v>
      </c>
      <c r="DU9" s="486">
        <v>0</v>
      </c>
      <c r="DV9" s="486">
        <v>0</v>
      </c>
      <c r="DW9" s="486">
        <v>0</v>
      </c>
      <c r="DX9" s="477"/>
      <c r="DY9" s="484" t="s">
        <v>720</v>
      </c>
      <c r="DZ9" s="484" t="s">
        <v>617</v>
      </c>
      <c r="EA9" s="484" t="s">
        <v>25</v>
      </c>
      <c r="EB9" s="486">
        <v>21</v>
      </c>
      <c r="EC9" s="471" t="str">
        <f t="shared" si="0"/>
        <v>AIJ100121</v>
      </c>
      <c r="ED9" s="486">
        <v>10000</v>
      </c>
      <c r="EE9" s="486">
        <v>10000</v>
      </c>
      <c r="EF9" s="486">
        <v>10000</v>
      </c>
      <c r="EG9" s="486">
        <v>10000</v>
      </c>
      <c r="EH9" s="486">
        <v>10000</v>
      </c>
      <c r="EI9" s="486">
        <v>10000</v>
      </c>
      <c r="EJ9" s="486">
        <v>10000</v>
      </c>
      <c r="EK9" s="486">
        <v>10000</v>
      </c>
      <c r="EL9" s="486">
        <v>10000</v>
      </c>
      <c r="EM9" s="486">
        <v>10000</v>
      </c>
      <c r="EN9" s="486">
        <v>0</v>
      </c>
      <c r="EO9" s="486">
        <v>0</v>
      </c>
      <c r="EP9" s="486">
        <v>0</v>
      </c>
      <c r="EQ9" s="486">
        <v>0</v>
      </c>
      <c r="ER9" s="486">
        <v>0</v>
      </c>
      <c r="ES9" s="486">
        <v>0</v>
      </c>
      <c r="ET9" s="486">
        <v>0</v>
      </c>
      <c r="EU9" s="486">
        <v>0</v>
      </c>
      <c r="EV9" s="486">
        <v>0</v>
      </c>
      <c r="EW9" s="486">
        <v>0</v>
      </c>
      <c r="EX9" s="486">
        <v>0</v>
      </c>
      <c r="EY9" s="486">
        <v>0</v>
      </c>
      <c r="EZ9" s="486">
        <v>0</v>
      </c>
      <c r="FA9" s="486">
        <v>0</v>
      </c>
      <c r="FB9" s="486">
        <v>0</v>
      </c>
      <c r="FC9" s="486">
        <v>0</v>
      </c>
      <c r="FD9" s="486">
        <v>0</v>
      </c>
      <c r="FE9" s="486">
        <v>0</v>
      </c>
      <c r="FF9" s="486">
        <v>0</v>
      </c>
      <c r="FG9" s="486">
        <v>0</v>
      </c>
      <c r="FH9" s="486">
        <v>0</v>
      </c>
      <c r="FI9" s="486">
        <v>0</v>
      </c>
      <c r="FJ9" s="486">
        <v>0</v>
      </c>
      <c r="FK9" s="486">
        <v>0</v>
      </c>
      <c r="FL9" s="486">
        <v>0</v>
      </c>
      <c r="FM9" s="486">
        <v>0</v>
      </c>
      <c r="FN9" s="486">
        <v>0</v>
      </c>
      <c r="FO9" s="486">
        <v>0</v>
      </c>
      <c r="FP9" s="486">
        <v>0</v>
      </c>
      <c r="FQ9" s="486">
        <v>0</v>
      </c>
      <c r="FR9" s="486">
        <v>0</v>
      </c>
      <c r="FS9" s="486">
        <v>0</v>
      </c>
      <c r="FT9" s="486">
        <v>0</v>
      </c>
      <c r="FU9" s="486">
        <v>0</v>
      </c>
      <c r="FV9" s="486">
        <v>0</v>
      </c>
      <c r="FW9" s="486">
        <v>0</v>
      </c>
      <c r="FX9" s="486">
        <v>0</v>
      </c>
      <c r="FY9" s="486">
        <v>0</v>
      </c>
      <c r="FZ9" s="486">
        <v>0</v>
      </c>
      <c r="GA9" s="486">
        <v>0</v>
      </c>
      <c r="GB9" s="486">
        <v>0</v>
      </c>
      <c r="GC9" s="486">
        <v>0</v>
      </c>
      <c r="GD9" s="486">
        <v>0</v>
      </c>
      <c r="GE9" s="486">
        <v>0</v>
      </c>
      <c r="GF9" s="486">
        <v>0</v>
      </c>
      <c r="GG9" s="486">
        <v>0</v>
      </c>
      <c r="GH9" s="486">
        <v>0</v>
      </c>
      <c r="GI9" s="486">
        <v>0</v>
      </c>
      <c r="GJ9" s="486">
        <v>0</v>
      </c>
      <c r="GK9" s="486">
        <v>0</v>
      </c>
      <c r="GL9" s="486">
        <v>0</v>
      </c>
      <c r="GM9" s="486">
        <v>0</v>
      </c>
      <c r="GN9" s="486">
        <v>0</v>
      </c>
      <c r="GO9" s="486">
        <v>0</v>
      </c>
      <c r="GP9" s="486">
        <v>0</v>
      </c>
      <c r="GQ9" s="486">
        <v>0</v>
      </c>
      <c r="GR9" s="486">
        <v>0</v>
      </c>
      <c r="GS9" s="486">
        <v>0</v>
      </c>
      <c r="GT9" s="486">
        <v>0</v>
      </c>
      <c r="GU9" s="486">
        <v>0</v>
      </c>
      <c r="GV9" s="486">
        <v>0</v>
      </c>
      <c r="GW9" s="486">
        <v>0</v>
      </c>
      <c r="GX9" s="486">
        <v>0</v>
      </c>
      <c r="GY9" s="486">
        <v>0</v>
      </c>
      <c r="GZ9" s="486">
        <v>0</v>
      </c>
      <c r="HA9" s="486">
        <v>0</v>
      </c>
      <c r="HB9" s="486">
        <v>0</v>
      </c>
      <c r="HC9" s="486">
        <v>0</v>
      </c>
      <c r="HD9" s="486">
        <v>0</v>
      </c>
      <c r="HE9" s="486">
        <v>0</v>
      </c>
      <c r="HF9" s="486">
        <v>0</v>
      </c>
      <c r="HG9" s="486">
        <v>0</v>
      </c>
      <c r="HH9" s="486">
        <v>0</v>
      </c>
      <c r="HI9" s="486">
        <v>0</v>
      </c>
      <c r="HJ9" s="486">
        <v>0</v>
      </c>
      <c r="HK9" s="486">
        <v>0</v>
      </c>
      <c r="HL9" s="486">
        <v>0</v>
      </c>
      <c r="HM9" s="486">
        <v>0</v>
      </c>
      <c r="HN9" s="486">
        <v>0</v>
      </c>
      <c r="HO9" s="486">
        <v>0</v>
      </c>
      <c r="HP9" s="486">
        <v>0</v>
      </c>
      <c r="HQ9" s="486">
        <v>0</v>
      </c>
      <c r="HR9" s="486">
        <v>0</v>
      </c>
      <c r="HS9" s="486">
        <v>0</v>
      </c>
      <c r="HT9" s="486">
        <v>0</v>
      </c>
      <c r="HU9" s="486">
        <v>0</v>
      </c>
      <c r="HV9" s="486">
        <v>0</v>
      </c>
      <c r="HW9" s="486">
        <v>0</v>
      </c>
      <c r="HX9" s="486">
        <v>0</v>
      </c>
      <c r="HY9" s="486">
        <v>0</v>
      </c>
      <c r="HZ9" s="486">
        <v>0</v>
      </c>
      <c r="IA9" s="486">
        <v>0</v>
      </c>
      <c r="IB9" s="486">
        <v>0</v>
      </c>
      <c r="IC9" s="486">
        <v>0</v>
      </c>
      <c r="ID9" s="486">
        <v>0</v>
      </c>
      <c r="IE9" s="486">
        <v>0</v>
      </c>
      <c r="IF9" s="486">
        <v>0</v>
      </c>
      <c r="IG9" s="486">
        <v>0</v>
      </c>
      <c r="IH9" s="486">
        <v>0</v>
      </c>
      <c r="II9" s="486">
        <v>0</v>
      </c>
      <c r="IJ9" s="486">
        <v>0</v>
      </c>
    </row>
    <row r="10" spans="1:244" ht="16.5" hidden="1">
      <c r="A10" s="484" t="s">
        <v>720</v>
      </c>
      <c r="B10" s="484" t="s">
        <v>617</v>
      </c>
      <c r="C10" s="484" t="s">
        <v>721</v>
      </c>
      <c r="D10" s="485"/>
      <c r="E10" s="484" t="s">
        <v>721</v>
      </c>
      <c r="F10" s="484" t="s">
        <v>26</v>
      </c>
      <c r="G10" s="485"/>
      <c r="H10" s="486">
        <v>16</v>
      </c>
      <c r="I10" s="471" t="str">
        <f t="shared" si="1"/>
        <v>AIJ100216</v>
      </c>
      <c r="J10" s="486">
        <v>41</v>
      </c>
      <c r="L10" s="484" t="s">
        <v>720</v>
      </c>
      <c r="M10" s="484" t="s">
        <v>617</v>
      </c>
      <c r="N10" s="484" t="s">
        <v>25</v>
      </c>
      <c r="O10" s="486">
        <v>22</v>
      </c>
      <c r="P10" s="471" t="str">
        <f t="shared" si="2"/>
        <v>AIJ100122</v>
      </c>
      <c r="Q10" s="486">
        <v>0</v>
      </c>
      <c r="R10" s="486">
        <v>5</v>
      </c>
      <c r="S10" s="486">
        <v>11</v>
      </c>
      <c r="T10" s="486">
        <v>15</v>
      </c>
      <c r="U10" s="486">
        <v>21</v>
      </c>
      <c r="V10" s="486">
        <v>25</v>
      </c>
      <c r="W10" s="486">
        <v>31</v>
      </c>
      <c r="X10" s="486">
        <v>37</v>
      </c>
      <c r="Y10" s="486">
        <v>41</v>
      </c>
      <c r="Z10" s="486">
        <v>0</v>
      </c>
      <c r="AA10" s="486">
        <v>0</v>
      </c>
      <c r="AB10" s="486">
        <v>0</v>
      </c>
      <c r="AC10" s="486">
        <v>0</v>
      </c>
      <c r="AD10" s="486">
        <v>0</v>
      </c>
      <c r="AE10" s="486">
        <v>0</v>
      </c>
      <c r="AF10" s="486">
        <v>0</v>
      </c>
      <c r="AG10" s="486">
        <v>0</v>
      </c>
      <c r="AH10" s="486">
        <v>0</v>
      </c>
      <c r="AI10" s="486">
        <v>0</v>
      </c>
      <c r="AJ10" s="486">
        <v>0</v>
      </c>
      <c r="AK10" s="486">
        <v>0</v>
      </c>
      <c r="AL10" s="486">
        <v>0</v>
      </c>
      <c r="AM10" s="486">
        <v>0</v>
      </c>
      <c r="AN10" s="486">
        <v>0</v>
      </c>
      <c r="AO10" s="486">
        <v>0</v>
      </c>
      <c r="AP10" s="486">
        <v>0</v>
      </c>
      <c r="AQ10" s="486">
        <v>0</v>
      </c>
      <c r="AR10" s="486">
        <v>0</v>
      </c>
      <c r="AS10" s="486">
        <v>0</v>
      </c>
      <c r="AT10" s="486">
        <v>0</v>
      </c>
      <c r="AU10" s="486">
        <v>0</v>
      </c>
      <c r="AV10" s="486">
        <v>0</v>
      </c>
      <c r="AW10" s="486">
        <v>0</v>
      </c>
      <c r="AX10" s="486">
        <v>0</v>
      </c>
      <c r="AY10" s="486">
        <v>0</v>
      </c>
      <c r="AZ10" s="486">
        <v>0</v>
      </c>
      <c r="BA10" s="486">
        <v>0</v>
      </c>
      <c r="BB10" s="486">
        <v>0</v>
      </c>
      <c r="BC10" s="486">
        <v>0</v>
      </c>
      <c r="BD10" s="486">
        <v>0</v>
      </c>
      <c r="BE10" s="486">
        <v>0</v>
      </c>
      <c r="BF10" s="486">
        <v>0</v>
      </c>
      <c r="BG10" s="486">
        <v>0</v>
      </c>
      <c r="BH10" s="486">
        <v>0</v>
      </c>
      <c r="BI10" s="486">
        <v>0</v>
      </c>
      <c r="BJ10" s="486">
        <v>0</v>
      </c>
      <c r="BK10" s="486">
        <v>0</v>
      </c>
      <c r="BL10" s="486">
        <v>0</v>
      </c>
      <c r="BM10" s="486">
        <v>0</v>
      </c>
      <c r="BN10" s="486">
        <v>0</v>
      </c>
      <c r="BO10" s="486">
        <v>0</v>
      </c>
      <c r="BP10" s="486">
        <v>0</v>
      </c>
      <c r="BQ10" s="486">
        <v>0</v>
      </c>
      <c r="BR10" s="486">
        <v>0</v>
      </c>
      <c r="BS10" s="486">
        <v>0</v>
      </c>
      <c r="BT10" s="486">
        <v>0</v>
      </c>
      <c r="BU10" s="486">
        <v>0</v>
      </c>
      <c r="BV10" s="486">
        <v>0</v>
      </c>
      <c r="BW10" s="486">
        <v>0</v>
      </c>
      <c r="BX10" s="486">
        <v>0</v>
      </c>
      <c r="BY10" s="486">
        <v>0</v>
      </c>
      <c r="BZ10" s="486">
        <v>0</v>
      </c>
      <c r="CA10" s="486">
        <v>0</v>
      </c>
      <c r="CB10" s="486">
        <v>0</v>
      </c>
      <c r="CC10" s="486">
        <v>0</v>
      </c>
      <c r="CD10" s="486">
        <v>0</v>
      </c>
      <c r="CE10" s="486">
        <v>0</v>
      </c>
      <c r="CF10" s="486">
        <v>0</v>
      </c>
      <c r="CG10" s="486">
        <v>0</v>
      </c>
      <c r="CH10" s="486">
        <v>0</v>
      </c>
      <c r="CI10" s="486">
        <v>0</v>
      </c>
      <c r="CJ10" s="486">
        <v>0</v>
      </c>
      <c r="CK10" s="486">
        <v>0</v>
      </c>
      <c r="CL10" s="486">
        <v>0</v>
      </c>
      <c r="CM10" s="486">
        <v>0</v>
      </c>
      <c r="CN10" s="486">
        <v>0</v>
      </c>
      <c r="CO10" s="486">
        <v>0</v>
      </c>
      <c r="CP10" s="486">
        <v>0</v>
      </c>
      <c r="CQ10" s="486">
        <v>0</v>
      </c>
      <c r="CR10" s="486">
        <v>0</v>
      </c>
      <c r="CS10" s="486">
        <v>0</v>
      </c>
      <c r="CT10" s="486">
        <v>0</v>
      </c>
      <c r="CU10" s="486">
        <v>0</v>
      </c>
      <c r="CV10" s="486">
        <v>0</v>
      </c>
      <c r="CW10" s="486">
        <v>0</v>
      </c>
      <c r="CX10" s="486">
        <v>0</v>
      </c>
      <c r="CY10" s="486">
        <v>0</v>
      </c>
      <c r="CZ10" s="486">
        <v>0</v>
      </c>
      <c r="DA10" s="486">
        <v>0</v>
      </c>
      <c r="DB10" s="486">
        <v>0</v>
      </c>
      <c r="DC10" s="486">
        <v>0</v>
      </c>
      <c r="DD10" s="486">
        <v>0</v>
      </c>
      <c r="DE10" s="486">
        <v>0</v>
      </c>
      <c r="DF10" s="486">
        <v>0</v>
      </c>
      <c r="DG10" s="486">
        <v>0</v>
      </c>
      <c r="DH10" s="486">
        <v>0</v>
      </c>
      <c r="DI10" s="486">
        <v>0</v>
      </c>
      <c r="DJ10" s="486">
        <v>0</v>
      </c>
      <c r="DK10" s="486">
        <v>0</v>
      </c>
      <c r="DL10" s="486">
        <v>0</v>
      </c>
      <c r="DM10" s="486">
        <v>0</v>
      </c>
      <c r="DN10" s="486">
        <v>0</v>
      </c>
      <c r="DO10" s="486">
        <v>0</v>
      </c>
      <c r="DP10" s="486">
        <v>0</v>
      </c>
      <c r="DQ10" s="486">
        <v>0</v>
      </c>
      <c r="DR10" s="486">
        <v>0</v>
      </c>
      <c r="DS10" s="486">
        <v>0</v>
      </c>
      <c r="DT10" s="486">
        <v>0</v>
      </c>
      <c r="DU10" s="486">
        <v>0</v>
      </c>
      <c r="DV10" s="486">
        <v>0</v>
      </c>
      <c r="DW10" s="486">
        <v>0</v>
      </c>
      <c r="DX10" s="477"/>
      <c r="DY10" s="484" t="s">
        <v>720</v>
      </c>
      <c r="DZ10" s="484" t="s">
        <v>617</v>
      </c>
      <c r="EA10" s="484" t="s">
        <v>25</v>
      </c>
      <c r="EB10" s="486">
        <v>22</v>
      </c>
      <c r="EC10" s="471" t="str">
        <f t="shared" si="0"/>
        <v>AIJ100122</v>
      </c>
      <c r="ED10" s="486">
        <v>10000</v>
      </c>
      <c r="EE10" s="486">
        <v>10000</v>
      </c>
      <c r="EF10" s="486">
        <v>10000</v>
      </c>
      <c r="EG10" s="486">
        <v>10000</v>
      </c>
      <c r="EH10" s="486">
        <v>10000</v>
      </c>
      <c r="EI10" s="486">
        <v>10000</v>
      </c>
      <c r="EJ10" s="486">
        <v>10000</v>
      </c>
      <c r="EK10" s="486">
        <v>10000</v>
      </c>
      <c r="EL10" s="486">
        <v>10000</v>
      </c>
      <c r="EM10" s="486">
        <v>10000</v>
      </c>
      <c r="EN10" s="486">
        <v>0</v>
      </c>
      <c r="EO10" s="486">
        <v>0</v>
      </c>
      <c r="EP10" s="486">
        <v>0</v>
      </c>
      <c r="EQ10" s="486">
        <v>0</v>
      </c>
      <c r="ER10" s="486">
        <v>0</v>
      </c>
      <c r="ES10" s="486">
        <v>0</v>
      </c>
      <c r="ET10" s="486">
        <v>0</v>
      </c>
      <c r="EU10" s="486">
        <v>0</v>
      </c>
      <c r="EV10" s="486">
        <v>0</v>
      </c>
      <c r="EW10" s="486">
        <v>0</v>
      </c>
      <c r="EX10" s="486">
        <v>0</v>
      </c>
      <c r="EY10" s="486">
        <v>0</v>
      </c>
      <c r="EZ10" s="486">
        <v>0</v>
      </c>
      <c r="FA10" s="486">
        <v>0</v>
      </c>
      <c r="FB10" s="486">
        <v>0</v>
      </c>
      <c r="FC10" s="486">
        <v>0</v>
      </c>
      <c r="FD10" s="486">
        <v>0</v>
      </c>
      <c r="FE10" s="486">
        <v>0</v>
      </c>
      <c r="FF10" s="486">
        <v>0</v>
      </c>
      <c r="FG10" s="486">
        <v>0</v>
      </c>
      <c r="FH10" s="486">
        <v>0</v>
      </c>
      <c r="FI10" s="486">
        <v>0</v>
      </c>
      <c r="FJ10" s="486">
        <v>0</v>
      </c>
      <c r="FK10" s="486">
        <v>0</v>
      </c>
      <c r="FL10" s="486">
        <v>0</v>
      </c>
      <c r="FM10" s="486">
        <v>0</v>
      </c>
      <c r="FN10" s="486">
        <v>0</v>
      </c>
      <c r="FO10" s="486">
        <v>0</v>
      </c>
      <c r="FP10" s="486">
        <v>0</v>
      </c>
      <c r="FQ10" s="486">
        <v>0</v>
      </c>
      <c r="FR10" s="486">
        <v>0</v>
      </c>
      <c r="FS10" s="486">
        <v>0</v>
      </c>
      <c r="FT10" s="486">
        <v>0</v>
      </c>
      <c r="FU10" s="486">
        <v>0</v>
      </c>
      <c r="FV10" s="486">
        <v>0</v>
      </c>
      <c r="FW10" s="486">
        <v>0</v>
      </c>
      <c r="FX10" s="486">
        <v>0</v>
      </c>
      <c r="FY10" s="486">
        <v>0</v>
      </c>
      <c r="FZ10" s="486">
        <v>0</v>
      </c>
      <c r="GA10" s="486">
        <v>0</v>
      </c>
      <c r="GB10" s="486">
        <v>0</v>
      </c>
      <c r="GC10" s="486">
        <v>0</v>
      </c>
      <c r="GD10" s="486">
        <v>0</v>
      </c>
      <c r="GE10" s="486">
        <v>0</v>
      </c>
      <c r="GF10" s="486">
        <v>0</v>
      </c>
      <c r="GG10" s="486">
        <v>0</v>
      </c>
      <c r="GH10" s="486">
        <v>0</v>
      </c>
      <c r="GI10" s="486">
        <v>0</v>
      </c>
      <c r="GJ10" s="486">
        <v>0</v>
      </c>
      <c r="GK10" s="486">
        <v>0</v>
      </c>
      <c r="GL10" s="486">
        <v>0</v>
      </c>
      <c r="GM10" s="486">
        <v>0</v>
      </c>
      <c r="GN10" s="486">
        <v>0</v>
      </c>
      <c r="GO10" s="486">
        <v>0</v>
      </c>
      <c r="GP10" s="486">
        <v>0</v>
      </c>
      <c r="GQ10" s="486">
        <v>0</v>
      </c>
      <c r="GR10" s="486">
        <v>0</v>
      </c>
      <c r="GS10" s="486">
        <v>0</v>
      </c>
      <c r="GT10" s="486">
        <v>0</v>
      </c>
      <c r="GU10" s="486">
        <v>0</v>
      </c>
      <c r="GV10" s="486">
        <v>0</v>
      </c>
      <c r="GW10" s="486">
        <v>0</v>
      </c>
      <c r="GX10" s="486">
        <v>0</v>
      </c>
      <c r="GY10" s="486">
        <v>0</v>
      </c>
      <c r="GZ10" s="486">
        <v>0</v>
      </c>
      <c r="HA10" s="486">
        <v>0</v>
      </c>
      <c r="HB10" s="486">
        <v>0</v>
      </c>
      <c r="HC10" s="486">
        <v>0</v>
      </c>
      <c r="HD10" s="486">
        <v>0</v>
      </c>
      <c r="HE10" s="486">
        <v>0</v>
      </c>
      <c r="HF10" s="486">
        <v>0</v>
      </c>
      <c r="HG10" s="486">
        <v>0</v>
      </c>
      <c r="HH10" s="486">
        <v>0</v>
      </c>
      <c r="HI10" s="486">
        <v>0</v>
      </c>
      <c r="HJ10" s="486">
        <v>0</v>
      </c>
      <c r="HK10" s="486">
        <v>0</v>
      </c>
      <c r="HL10" s="486">
        <v>0</v>
      </c>
      <c r="HM10" s="486">
        <v>0</v>
      </c>
      <c r="HN10" s="486">
        <v>0</v>
      </c>
      <c r="HO10" s="486">
        <v>0</v>
      </c>
      <c r="HP10" s="486">
        <v>0</v>
      </c>
      <c r="HQ10" s="486">
        <v>0</v>
      </c>
      <c r="HR10" s="486">
        <v>0</v>
      </c>
      <c r="HS10" s="486">
        <v>0</v>
      </c>
      <c r="HT10" s="486">
        <v>0</v>
      </c>
      <c r="HU10" s="486">
        <v>0</v>
      </c>
      <c r="HV10" s="486">
        <v>0</v>
      </c>
      <c r="HW10" s="486">
        <v>0</v>
      </c>
      <c r="HX10" s="486">
        <v>0</v>
      </c>
      <c r="HY10" s="486">
        <v>0</v>
      </c>
      <c r="HZ10" s="486">
        <v>0</v>
      </c>
      <c r="IA10" s="486">
        <v>0</v>
      </c>
      <c r="IB10" s="486">
        <v>0</v>
      </c>
      <c r="IC10" s="486">
        <v>0</v>
      </c>
      <c r="ID10" s="486">
        <v>0</v>
      </c>
      <c r="IE10" s="486">
        <v>0</v>
      </c>
      <c r="IF10" s="486">
        <v>0</v>
      </c>
      <c r="IG10" s="486">
        <v>0</v>
      </c>
      <c r="IH10" s="486">
        <v>0</v>
      </c>
      <c r="II10" s="486">
        <v>0</v>
      </c>
      <c r="IJ10" s="486">
        <v>0</v>
      </c>
    </row>
    <row r="11" spans="1:244" ht="16.5" hidden="1">
      <c r="A11" s="484" t="s">
        <v>720</v>
      </c>
      <c r="B11" s="484" t="s">
        <v>617</v>
      </c>
      <c r="C11" s="484" t="s">
        <v>721</v>
      </c>
      <c r="D11" s="485"/>
      <c r="E11" s="484" t="s">
        <v>721</v>
      </c>
      <c r="F11" s="484" t="s">
        <v>26</v>
      </c>
      <c r="G11" s="485"/>
      <c r="H11" s="486">
        <v>17</v>
      </c>
      <c r="I11" s="471" t="str">
        <f t="shared" si="1"/>
        <v>AIJ100217</v>
      </c>
      <c r="J11" s="486">
        <v>42</v>
      </c>
      <c r="L11" s="484" t="s">
        <v>720</v>
      </c>
      <c r="M11" s="484" t="s">
        <v>617</v>
      </c>
      <c r="N11" s="484" t="s">
        <v>25</v>
      </c>
      <c r="O11" s="486">
        <v>23</v>
      </c>
      <c r="P11" s="471" t="str">
        <f t="shared" si="2"/>
        <v>AIJ100123</v>
      </c>
      <c r="Q11" s="486">
        <v>0</v>
      </c>
      <c r="R11" s="486">
        <v>5</v>
      </c>
      <c r="S11" s="486">
        <v>11</v>
      </c>
      <c r="T11" s="486">
        <v>15</v>
      </c>
      <c r="U11" s="486">
        <v>21</v>
      </c>
      <c r="V11" s="486">
        <v>26</v>
      </c>
      <c r="W11" s="486">
        <v>31</v>
      </c>
      <c r="X11" s="486">
        <v>38</v>
      </c>
      <c r="Y11" s="486">
        <v>41</v>
      </c>
      <c r="Z11" s="486">
        <v>0</v>
      </c>
      <c r="AA11" s="486">
        <v>0</v>
      </c>
      <c r="AB11" s="486">
        <v>0</v>
      </c>
      <c r="AC11" s="486">
        <v>0</v>
      </c>
      <c r="AD11" s="486">
        <v>0</v>
      </c>
      <c r="AE11" s="486">
        <v>0</v>
      </c>
      <c r="AF11" s="486">
        <v>0</v>
      </c>
      <c r="AG11" s="486">
        <v>0</v>
      </c>
      <c r="AH11" s="486">
        <v>0</v>
      </c>
      <c r="AI11" s="486">
        <v>0</v>
      </c>
      <c r="AJ11" s="486">
        <v>0</v>
      </c>
      <c r="AK11" s="486">
        <v>0</v>
      </c>
      <c r="AL11" s="486">
        <v>0</v>
      </c>
      <c r="AM11" s="486">
        <v>0</v>
      </c>
      <c r="AN11" s="486">
        <v>0</v>
      </c>
      <c r="AO11" s="486">
        <v>0</v>
      </c>
      <c r="AP11" s="486">
        <v>0</v>
      </c>
      <c r="AQ11" s="486">
        <v>0</v>
      </c>
      <c r="AR11" s="486">
        <v>0</v>
      </c>
      <c r="AS11" s="486">
        <v>0</v>
      </c>
      <c r="AT11" s="486">
        <v>0</v>
      </c>
      <c r="AU11" s="486">
        <v>0</v>
      </c>
      <c r="AV11" s="486">
        <v>0</v>
      </c>
      <c r="AW11" s="486">
        <v>0</v>
      </c>
      <c r="AX11" s="486">
        <v>0</v>
      </c>
      <c r="AY11" s="486">
        <v>0</v>
      </c>
      <c r="AZ11" s="486">
        <v>0</v>
      </c>
      <c r="BA11" s="486">
        <v>0</v>
      </c>
      <c r="BB11" s="486">
        <v>0</v>
      </c>
      <c r="BC11" s="486">
        <v>0</v>
      </c>
      <c r="BD11" s="486">
        <v>0</v>
      </c>
      <c r="BE11" s="486">
        <v>0</v>
      </c>
      <c r="BF11" s="486">
        <v>0</v>
      </c>
      <c r="BG11" s="486">
        <v>0</v>
      </c>
      <c r="BH11" s="486">
        <v>0</v>
      </c>
      <c r="BI11" s="486">
        <v>0</v>
      </c>
      <c r="BJ11" s="486">
        <v>0</v>
      </c>
      <c r="BK11" s="486">
        <v>0</v>
      </c>
      <c r="BL11" s="486">
        <v>0</v>
      </c>
      <c r="BM11" s="486">
        <v>0</v>
      </c>
      <c r="BN11" s="486">
        <v>0</v>
      </c>
      <c r="BO11" s="486">
        <v>0</v>
      </c>
      <c r="BP11" s="486">
        <v>0</v>
      </c>
      <c r="BQ11" s="486">
        <v>0</v>
      </c>
      <c r="BR11" s="486">
        <v>0</v>
      </c>
      <c r="BS11" s="486">
        <v>0</v>
      </c>
      <c r="BT11" s="486">
        <v>0</v>
      </c>
      <c r="BU11" s="486">
        <v>0</v>
      </c>
      <c r="BV11" s="486">
        <v>0</v>
      </c>
      <c r="BW11" s="486">
        <v>0</v>
      </c>
      <c r="BX11" s="486">
        <v>0</v>
      </c>
      <c r="BY11" s="486">
        <v>0</v>
      </c>
      <c r="BZ11" s="486">
        <v>0</v>
      </c>
      <c r="CA11" s="486">
        <v>0</v>
      </c>
      <c r="CB11" s="486">
        <v>0</v>
      </c>
      <c r="CC11" s="486">
        <v>0</v>
      </c>
      <c r="CD11" s="486">
        <v>0</v>
      </c>
      <c r="CE11" s="486">
        <v>0</v>
      </c>
      <c r="CF11" s="486">
        <v>0</v>
      </c>
      <c r="CG11" s="486">
        <v>0</v>
      </c>
      <c r="CH11" s="486">
        <v>0</v>
      </c>
      <c r="CI11" s="486">
        <v>0</v>
      </c>
      <c r="CJ11" s="486">
        <v>0</v>
      </c>
      <c r="CK11" s="486">
        <v>0</v>
      </c>
      <c r="CL11" s="486">
        <v>0</v>
      </c>
      <c r="CM11" s="486">
        <v>0</v>
      </c>
      <c r="CN11" s="486">
        <v>0</v>
      </c>
      <c r="CO11" s="486">
        <v>0</v>
      </c>
      <c r="CP11" s="486">
        <v>0</v>
      </c>
      <c r="CQ11" s="486">
        <v>0</v>
      </c>
      <c r="CR11" s="486">
        <v>0</v>
      </c>
      <c r="CS11" s="486">
        <v>0</v>
      </c>
      <c r="CT11" s="486">
        <v>0</v>
      </c>
      <c r="CU11" s="486">
        <v>0</v>
      </c>
      <c r="CV11" s="486">
        <v>0</v>
      </c>
      <c r="CW11" s="486">
        <v>0</v>
      </c>
      <c r="CX11" s="486">
        <v>0</v>
      </c>
      <c r="CY11" s="486">
        <v>0</v>
      </c>
      <c r="CZ11" s="486">
        <v>0</v>
      </c>
      <c r="DA11" s="486">
        <v>0</v>
      </c>
      <c r="DB11" s="486">
        <v>0</v>
      </c>
      <c r="DC11" s="486">
        <v>0</v>
      </c>
      <c r="DD11" s="486">
        <v>0</v>
      </c>
      <c r="DE11" s="486">
        <v>0</v>
      </c>
      <c r="DF11" s="486">
        <v>0</v>
      </c>
      <c r="DG11" s="486">
        <v>0</v>
      </c>
      <c r="DH11" s="486">
        <v>0</v>
      </c>
      <c r="DI11" s="486">
        <v>0</v>
      </c>
      <c r="DJ11" s="486">
        <v>0</v>
      </c>
      <c r="DK11" s="486">
        <v>0</v>
      </c>
      <c r="DL11" s="486">
        <v>0</v>
      </c>
      <c r="DM11" s="486">
        <v>0</v>
      </c>
      <c r="DN11" s="486">
        <v>0</v>
      </c>
      <c r="DO11" s="486">
        <v>0</v>
      </c>
      <c r="DP11" s="486">
        <v>0</v>
      </c>
      <c r="DQ11" s="486">
        <v>0</v>
      </c>
      <c r="DR11" s="486">
        <v>0</v>
      </c>
      <c r="DS11" s="486">
        <v>0</v>
      </c>
      <c r="DT11" s="486">
        <v>0</v>
      </c>
      <c r="DU11" s="486">
        <v>0</v>
      </c>
      <c r="DV11" s="486">
        <v>0</v>
      </c>
      <c r="DW11" s="486">
        <v>0</v>
      </c>
      <c r="DX11" s="477"/>
      <c r="DY11" s="484" t="s">
        <v>720</v>
      </c>
      <c r="DZ11" s="484" t="s">
        <v>617</v>
      </c>
      <c r="EA11" s="484" t="s">
        <v>25</v>
      </c>
      <c r="EB11" s="486">
        <v>23</v>
      </c>
      <c r="EC11" s="471" t="str">
        <f t="shared" si="0"/>
        <v>AIJ100123</v>
      </c>
      <c r="ED11" s="486">
        <v>10000</v>
      </c>
      <c r="EE11" s="486">
        <v>10000</v>
      </c>
      <c r="EF11" s="486">
        <v>10000</v>
      </c>
      <c r="EG11" s="486">
        <v>10000</v>
      </c>
      <c r="EH11" s="486">
        <v>10000</v>
      </c>
      <c r="EI11" s="486">
        <v>10000</v>
      </c>
      <c r="EJ11" s="486">
        <v>10000</v>
      </c>
      <c r="EK11" s="486">
        <v>10000</v>
      </c>
      <c r="EL11" s="486">
        <v>10000</v>
      </c>
      <c r="EM11" s="486">
        <v>10000</v>
      </c>
      <c r="EN11" s="486">
        <v>0</v>
      </c>
      <c r="EO11" s="486">
        <v>0</v>
      </c>
      <c r="EP11" s="486">
        <v>0</v>
      </c>
      <c r="EQ11" s="486">
        <v>0</v>
      </c>
      <c r="ER11" s="486">
        <v>0</v>
      </c>
      <c r="ES11" s="486">
        <v>0</v>
      </c>
      <c r="ET11" s="486">
        <v>0</v>
      </c>
      <c r="EU11" s="486">
        <v>0</v>
      </c>
      <c r="EV11" s="486">
        <v>0</v>
      </c>
      <c r="EW11" s="486">
        <v>0</v>
      </c>
      <c r="EX11" s="486">
        <v>0</v>
      </c>
      <c r="EY11" s="486">
        <v>0</v>
      </c>
      <c r="EZ11" s="486">
        <v>0</v>
      </c>
      <c r="FA11" s="486">
        <v>0</v>
      </c>
      <c r="FB11" s="486">
        <v>0</v>
      </c>
      <c r="FC11" s="486">
        <v>0</v>
      </c>
      <c r="FD11" s="486">
        <v>0</v>
      </c>
      <c r="FE11" s="486">
        <v>0</v>
      </c>
      <c r="FF11" s="486">
        <v>0</v>
      </c>
      <c r="FG11" s="486">
        <v>0</v>
      </c>
      <c r="FH11" s="486">
        <v>0</v>
      </c>
      <c r="FI11" s="486">
        <v>0</v>
      </c>
      <c r="FJ11" s="486">
        <v>0</v>
      </c>
      <c r="FK11" s="486">
        <v>0</v>
      </c>
      <c r="FL11" s="486">
        <v>0</v>
      </c>
      <c r="FM11" s="486">
        <v>0</v>
      </c>
      <c r="FN11" s="486">
        <v>0</v>
      </c>
      <c r="FO11" s="486">
        <v>0</v>
      </c>
      <c r="FP11" s="486">
        <v>0</v>
      </c>
      <c r="FQ11" s="486">
        <v>0</v>
      </c>
      <c r="FR11" s="486">
        <v>0</v>
      </c>
      <c r="FS11" s="486">
        <v>0</v>
      </c>
      <c r="FT11" s="486">
        <v>0</v>
      </c>
      <c r="FU11" s="486">
        <v>0</v>
      </c>
      <c r="FV11" s="486">
        <v>0</v>
      </c>
      <c r="FW11" s="486">
        <v>0</v>
      </c>
      <c r="FX11" s="486">
        <v>0</v>
      </c>
      <c r="FY11" s="486">
        <v>0</v>
      </c>
      <c r="FZ11" s="486">
        <v>0</v>
      </c>
      <c r="GA11" s="486">
        <v>0</v>
      </c>
      <c r="GB11" s="486">
        <v>0</v>
      </c>
      <c r="GC11" s="486">
        <v>0</v>
      </c>
      <c r="GD11" s="486">
        <v>0</v>
      </c>
      <c r="GE11" s="486">
        <v>0</v>
      </c>
      <c r="GF11" s="486">
        <v>0</v>
      </c>
      <c r="GG11" s="486">
        <v>0</v>
      </c>
      <c r="GH11" s="486">
        <v>0</v>
      </c>
      <c r="GI11" s="486">
        <v>0</v>
      </c>
      <c r="GJ11" s="486">
        <v>0</v>
      </c>
      <c r="GK11" s="486">
        <v>0</v>
      </c>
      <c r="GL11" s="486">
        <v>0</v>
      </c>
      <c r="GM11" s="486">
        <v>0</v>
      </c>
      <c r="GN11" s="486">
        <v>0</v>
      </c>
      <c r="GO11" s="486">
        <v>0</v>
      </c>
      <c r="GP11" s="486">
        <v>0</v>
      </c>
      <c r="GQ11" s="486">
        <v>0</v>
      </c>
      <c r="GR11" s="486">
        <v>0</v>
      </c>
      <c r="GS11" s="486">
        <v>0</v>
      </c>
      <c r="GT11" s="486">
        <v>0</v>
      </c>
      <c r="GU11" s="486">
        <v>0</v>
      </c>
      <c r="GV11" s="486">
        <v>0</v>
      </c>
      <c r="GW11" s="486">
        <v>0</v>
      </c>
      <c r="GX11" s="486">
        <v>0</v>
      </c>
      <c r="GY11" s="486">
        <v>0</v>
      </c>
      <c r="GZ11" s="486">
        <v>0</v>
      </c>
      <c r="HA11" s="486">
        <v>0</v>
      </c>
      <c r="HB11" s="486">
        <v>0</v>
      </c>
      <c r="HC11" s="486">
        <v>0</v>
      </c>
      <c r="HD11" s="486">
        <v>0</v>
      </c>
      <c r="HE11" s="486">
        <v>0</v>
      </c>
      <c r="HF11" s="486">
        <v>0</v>
      </c>
      <c r="HG11" s="486">
        <v>0</v>
      </c>
      <c r="HH11" s="486">
        <v>0</v>
      </c>
      <c r="HI11" s="486">
        <v>0</v>
      </c>
      <c r="HJ11" s="486">
        <v>0</v>
      </c>
      <c r="HK11" s="486">
        <v>0</v>
      </c>
      <c r="HL11" s="486">
        <v>0</v>
      </c>
      <c r="HM11" s="486">
        <v>0</v>
      </c>
      <c r="HN11" s="486">
        <v>0</v>
      </c>
      <c r="HO11" s="486">
        <v>0</v>
      </c>
      <c r="HP11" s="486">
        <v>0</v>
      </c>
      <c r="HQ11" s="486">
        <v>0</v>
      </c>
      <c r="HR11" s="486">
        <v>0</v>
      </c>
      <c r="HS11" s="486">
        <v>0</v>
      </c>
      <c r="HT11" s="486">
        <v>0</v>
      </c>
      <c r="HU11" s="486">
        <v>0</v>
      </c>
      <c r="HV11" s="486">
        <v>0</v>
      </c>
      <c r="HW11" s="486">
        <v>0</v>
      </c>
      <c r="HX11" s="486">
        <v>0</v>
      </c>
      <c r="HY11" s="486">
        <v>0</v>
      </c>
      <c r="HZ11" s="486">
        <v>0</v>
      </c>
      <c r="IA11" s="486">
        <v>0</v>
      </c>
      <c r="IB11" s="486">
        <v>0</v>
      </c>
      <c r="IC11" s="486">
        <v>0</v>
      </c>
      <c r="ID11" s="486">
        <v>0</v>
      </c>
      <c r="IE11" s="486">
        <v>0</v>
      </c>
      <c r="IF11" s="486">
        <v>0</v>
      </c>
      <c r="IG11" s="486">
        <v>0</v>
      </c>
      <c r="IH11" s="486">
        <v>0</v>
      </c>
      <c r="II11" s="486">
        <v>0</v>
      </c>
      <c r="IJ11" s="486">
        <v>0</v>
      </c>
    </row>
    <row r="12" spans="1:244" ht="16.5" hidden="1">
      <c r="A12" s="484" t="s">
        <v>720</v>
      </c>
      <c r="B12" s="484" t="s">
        <v>617</v>
      </c>
      <c r="C12" s="484" t="s">
        <v>721</v>
      </c>
      <c r="D12" s="485"/>
      <c r="E12" s="484" t="s">
        <v>721</v>
      </c>
      <c r="F12" s="484" t="s">
        <v>26</v>
      </c>
      <c r="G12" s="485"/>
      <c r="H12" s="486">
        <v>18</v>
      </c>
      <c r="I12" s="471" t="str">
        <f t="shared" si="1"/>
        <v>AIJ100218</v>
      </c>
      <c r="J12" s="486">
        <v>42</v>
      </c>
      <c r="L12" s="484" t="s">
        <v>720</v>
      </c>
      <c r="M12" s="484" t="s">
        <v>617</v>
      </c>
      <c r="N12" s="484" t="s">
        <v>25</v>
      </c>
      <c r="O12" s="486">
        <v>24</v>
      </c>
      <c r="P12" s="471" t="str">
        <f t="shared" si="2"/>
        <v>AIJ100124</v>
      </c>
      <c r="Q12" s="486">
        <v>0</v>
      </c>
      <c r="R12" s="486">
        <v>5</v>
      </c>
      <c r="S12" s="486">
        <v>11</v>
      </c>
      <c r="T12" s="486">
        <v>16</v>
      </c>
      <c r="U12" s="486">
        <v>22</v>
      </c>
      <c r="V12" s="486">
        <v>26</v>
      </c>
      <c r="W12" s="486">
        <v>32</v>
      </c>
      <c r="X12" s="486">
        <v>39</v>
      </c>
      <c r="Y12" s="486">
        <v>42</v>
      </c>
      <c r="Z12" s="486">
        <v>0</v>
      </c>
      <c r="AA12" s="486">
        <v>0</v>
      </c>
      <c r="AB12" s="486">
        <v>0</v>
      </c>
      <c r="AC12" s="486">
        <v>0</v>
      </c>
      <c r="AD12" s="486">
        <v>0</v>
      </c>
      <c r="AE12" s="486">
        <v>0</v>
      </c>
      <c r="AF12" s="486">
        <v>0</v>
      </c>
      <c r="AG12" s="486">
        <v>0</v>
      </c>
      <c r="AH12" s="486">
        <v>0</v>
      </c>
      <c r="AI12" s="486">
        <v>0</v>
      </c>
      <c r="AJ12" s="486">
        <v>0</v>
      </c>
      <c r="AK12" s="486">
        <v>0</v>
      </c>
      <c r="AL12" s="486">
        <v>0</v>
      </c>
      <c r="AM12" s="486">
        <v>0</v>
      </c>
      <c r="AN12" s="486">
        <v>0</v>
      </c>
      <c r="AO12" s="486">
        <v>0</v>
      </c>
      <c r="AP12" s="486">
        <v>0</v>
      </c>
      <c r="AQ12" s="486">
        <v>0</v>
      </c>
      <c r="AR12" s="486">
        <v>0</v>
      </c>
      <c r="AS12" s="486">
        <v>0</v>
      </c>
      <c r="AT12" s="486">
        <v>0</v>
      </c>
      <c r="AU12" s="486">
        <v>0</v>
      </c>
      <c r="AV12" s="486">
        <v>0</v>
      </c>
      <c r="AW12" s="486">
        <v>0</v>
      </c>
      <c r="AX12" s="486">
        <v>0</v>
      </c>
      <c r="AY12" s="486">
        <v>0</v>
      </c>
      <c r="AZ12" s="486">
        <v>0</v>
      </c>
      <c r="BA12" s="486">
        <v>0</v>
      </c>
      <c r="BB12" s="486">
        <v>0</v>
      </c>
      <c r="BC12" s="486">
        <v>0</v>
      </c>
      <c r="BD12" s="486">
        <v>0</v>
      </c>
      <c r="BE12" s="486">
        <v>0</v>
      </c>
      <c r="BF12" s="486">
        <v>0</v>
      </c>
      <c r="BG12" s="486">
        <v>0</v>
      </c>
      <c r="BH12" s="486">
        <v>0</v>
      </c>
      <c r="BI12" s="486">
        <v>0</v>
      </c>
      <c r="BJ12" s="486">
        <v>0</v>
      </c>
      <c r="BK12" s="486">
        <v>0</v>
      </c>
      <c r="BL12" s="486">
        <v>0</v>
      </c>
      <c r="BM12" s="486">
        <v>0</v>
      </c>
      <c r="BN12" s="486">
        <v>0</v>
      </c>
      <c r="BO12" s="486">
        <v>0</v>
      </c>
      <c r="BP12" s="486">
        <v>0</v>
      </c>
      <c r="BQ12" s="486">
        <v>0</v>
      </c>
      <c r="BR12" s="486">
        <v>0</v>
      </c>
      <c r="BS12" s="486">
        <v>0</v>
      </c>
      <c r="BT12" s="486">
        <v>0</v>
      </c>
      <c r="BU12" s="486">
        <v>0</v>
      </c>
      <c r="BV12" s="486">
        <v>0</v>
      </c>
      <c r="BW12" s="486">
        <v>0</v>
      </c>
      <c r="BX12" s="486">
        <v>0</v>
      </c>
      <c r="BY12" s="486">
        <v>0</v>
      </c>
      <c r="BZ12" s="486">
        <v>0</v>
      </c>
      <c r="CA12" s="486">
        <v>0</v>
      </c>
      <c r="CB12" s="486">
        <v>0</v>
      </c>
      <c r="CC12" s="486">
        <v>0</v>
      </c>
      <c r="CD12" s="486">
        <v>0</v>
      </c>
      <c r="CE12" s="486">
        <v>0</v>
      </c>
      <c r="CF12" s="486">
        <v>0</v>
      </c>
      <c r="CG12" s="486">
        <v>0</v>
      </c>
      <c r="CH12" s="486">
        <v>0</v>
      </c>
      <c r="CI12" s="486">
        <v>0</v>
      </c>
      <c r="CJ12" s="486">
        <v>0</v>
      </c>
      <c r="CK12" s="486">
        <v>0</v>
      </c>
      <c r="CL12" s="486">
        <v>0</v>
      </c>
      <c r="CM12" s="486">
        <v>0</v>
      </c>
      <c r="CN12" s="486">
        <v>0</v>
      </c>
      <c r="CO12" s="486">
        <v>0</v>
      </c>
      <c r="CP12" s="486">
        <v>0</v>
      </c>
      <c r="CQ12" s="486">
        <v>0</v>
      </c>
      <c r="CR12" s="486">
        <v>0</v>
      </c>
      <c r="CS12" s="486">
        <v>0</v>
      </c>
      <c r="CT12" s="486">
        <v>0</v>
      </c>
      <c r="CU12" s="486">
        <v>0</v>
      </c>
      <c r="CV12" s="486">
        <v>0</v>
      </c>
      <c r="CW12" s="486">
        <v>0</v>
      </c>
      <c r="CX12" s="486">
        <v>0</v>
      </c>
      <c r="CY12" s="486">
        <v>0</v>
      </c>
      <c r="CZ12" s="486">
        <v>0</v>
      </c>
      <c r="DA12" s="486">
        <v>0</v>
      </c>
      <c r="DB12" s="486">
        <v>0</v>
      </c>
      <c r="DC12" s="486">
        <v>0</v>
      </c>
      <c r="DD12" s="486">
        <v>0</v>
      </c>
      <c r="DE12" s="486">
        <v>0</v>
      </c>
      <c r="DF12" s="486">
        <v>0</v>
      </c>
      <c r="DG12" s="486">
        <v>0</v>
      </c>
      <c r="DH12" s="486">
        <v>0</v>
      </c>
      <c r="DI12" s="486">
        <v>0</v>
      </c>
      <c r="DJ12" s="486">
        <v>0</v>
      </c>
      <c r="DK12" s="486">
        <v>0</v>
      </c>
      <c r="DL12" s="486">
        <v>0</v>
      </c>
      <c r="DM12" s="486">
        <v>0</v>
      </c>
      <c r="DN12" s="486">
        <v>0</v>
      </c>
      <c r="DO12" s="486">
        <v>0</v>
      </c>
      <c r="DP12" s="486">
        <v>0</v>
      </c>
      <c r="DQ12" s="486">
        <v>0</v>
      </c>
      <c r="DR12" s="486">
        <v>0</v>
      </c>
      <c r="DS12" s="486">
        <v>0</v>
      </c>
      <c r="DT12" s="486">
        <v>0</v>
      </c>
      <c r="DU12" s="486">
        <v>0</v>
      </c>
      <c r="DV12" s="486">
        <v>0</v>
      </c>
      <c r="DW12" s="486">
        <v>0</v>
      </c>
      <c r="DX12" s="477"/>
      <c r="DY12" s="484" t="s">
        <v>720</v>
      </c>
      <c r="DZ12" s="484" t="s">
        <v>617</v>
      </c>
      <c r="EA12" s="484" t="s">
        <v>25</v>
      </c>
      <c r="EB12" s="486">
        <v>24</v>
      </c>
      <c r="EC12" s="471" t="str">
        <f t="shared" si="0"/>
        <v>AIJ100124</v>
      </c>
      <c r="ED12" s="486">
        <v>10000</v>
      </c>
      <c r="EE12" s="486">
        <v>10000</v>
      </c>
      <c r="EF12" s="486">
        <v>10000</v>
      </c>
      <c r="EG12" s="486">
        <v>10000</v>
      </c>
      <c r="EH12" s="486">
        <v>10000</v>
      </c>
      <c r="EI12" s="486">
        <v>10000</v>
      </c>
      <c r="EJ12" s="486">
        <v>10000</v>
      </c>
      <c r="EK12" s="486">
        <v>10000</v>
      </c>
      <c r="EL12" s="486">
        <v>10000</v>
      </c>
      <c r="EM12" s="486">
        <v>10000</v>
      </c>
      <c r="EN12" s="486">
        <v>0</v>
      </c>
      <c r="EO12" s="486">
        <v>0</v>
      </c>
      <c r="EP12" s="486">
        <v>0</v>
      </c>
      <c r="EQ12" s="486">
        <v>0</v>
      </c>
      <c r="ER12" s="486">
        <v>0</v>
      </c>
      <c r="ES12" s="486">
        <v>0</v>
      </c>
      <c r="ET12" s="486">
        <v>0</v>
      </c>
      <c r="EU12" s="486">
        <v>0</v>
      </c>
      <c r="EV12" s="486">
        <v>0</v>
      </c>
      <c r="EW12" s="486">
        <v>0</v>
      </c>
      <c r="EX12" s="486">
        <v>0</v>
      </c>
      <c r="EY12" s="486">
        <v>0</v>
      </c>
      <c r="EZ12" s="486">
        <v>0</v>
      </c>
      <c r="FA12" s="486">
        <v>0</v>
      </c>
      <c r="FB12" s="486">
        <v>0</v>
      </c>
      <c r="FC12" s="486">
        <v>0</v>
      </c>
      <c r="FD12" s="486">
        <v>0</v>
      </c>
      <c r="FE12" s="486">
        <v>0</v>
      </c>
      <c r="FF12" s="486">
        <v>0</v>
      </c>
      <c r="FG12" s="486">
        <v>0</v>
      </c>
      <c r="FH12" s="486">
        <v>0</v>
      </c>
      <c r="FI12" s="486">
        <v>0</v>
      </c>
      <c r="FJ12" s="486">
        <v>0</v>
      </c>
      <c r="FK12" s="486">
        <v>0</v>
      </c>
      <c r="FL12" s="486">
        <v>0</v>
      </c>
      <c r="FM12" s="486">
        <v>0</v>
      </c>
      <c r="FN12" s="486">
        <v>0</v>
      </c>
      <c r="FO12" s="486">
        <v>0</v>
      </c>
      <c r="FP12" s="486">
        <v>0</v>
      </c>
      <c r="FQ12" s="486">
        <v>0</v>
      </c>
      <c r="FR12" s="486">
        <v>0</v>
      </c>
      <c r="FS12" s="486">
        <v>0</v>
      </c>
      <c r="FT12" s="486">
        <v>0</v>
      </c>
      <c r="FU12" s="486">
        <v>0</v>
      </c>
      <c r="FV12" s="486">
        <v>0</v>
      </c>
      <c r="FW12" s="486">
        <v>0</v>
      </c>
      <c r="FX12" s="486">
        <v>0</v>
      </c>
      <c r="FY12" s="486">
        <v>0</v>
      </c>
      <c r="FZ12" s="486">
        <v>0</v>
      </c>
      <c r="GA12" s="486">
        <v>0</v>
      </c>
      <c r="GB12" s="486">
        <v>0</v>
      </c>
      <c r="GC12" s="486">
        <v>0</v>
      </c>
      <c r="GD12" s="486">
        <v>0</v>
      </c>
      <c r="GE12" s="486">
        <v>0</v>
      </c>
      <c r="GF12" s="486">
        <v>0</v>
      </c>
      <c r="GG12" s="486">
        <v>0</v>
      </c>
      <c r="GH12" s="486">
        <v>0</v>
      </c>
      <c r="GI12" s="486">
        <v>0</v>
      </c>
      <c r="GJ12" s="486">
        <v>0</v>
      </c>
      <c r="GK12" s="486">
        <v>0</v>
      </c>
      <c r="GL12" s="486">
        <v>0</v>
      </c>
      <c r="GM12" s="486">
        <v>0</v>
      </c>
      <c r="GN12" s="486">
        <v>0</v>
      </c>
      <c r="GO12" s="486">
        <v>0</v>
      </c>
      <c r="GP12" s="486">
        <v>0</v>
      </c>
      <c r="GQ12" s="486">
        <v>0</v>
      </c>
      <c r="GR12" s="486">
        <v>0</v>
      </c>
      <c r="GS12" s="486">
        <v>0</v>
      </c>
      <c r="GT12" s="486">
        <v>0</v>
      </c>
      <c r="GU12" s="486">
        <v>0</v>
      </c>
      <c r="GV12" s="486">
        <v>0</v>
      </c>
      <c r="GW12" s="486">
        <v>0</v>
      </c>
      <c r="GX12" s="486">
        <v>0</v>
      </c>
      <c r="GY12" s="486">
        <v>0</v>
      </c>
      <c r="GZ12" s="486">
        <v>0</v>
      </c>
      <c r="HA12" s="486">
        <v>0</v>
      </c>
      <c r="HB12" s="486">
        <v>0</v>
      </c>
      <c r="HC12" s="486">
        <v>0</v>
      </c>
      <c r="HD12" s="486">
        <v>0</v>
      </c>
      <c r="HE12" s="486">
        <v>0</v>
      </c>
      <c r="HF12" s="486">
        <v>0</v>
      </c>
      <c r="HG12" s="486">
        <v>0</v>
      </c>
      <c r="HH12" s="486">
        <v>0</v>
      </c>
      <c r="HI12" s="486">
        <v>0</v>
      </c>
      <c r="HJ12" s="486">
        <v>0</v>
      </c>
      <c r="HK12" s="486">
        <v>0</v>
      </c>
      <c r="HL12" s="486">
        <v>0</v>
      </c>
      <c r="HM12" s="486">
        <v>0</v>
      </c>
      <c r="HN12" s="486">
        <v>0</v>
      </c>
      <c r="HO12" s="486">
        <v>0</v>
      </c>
      <c r="HP12" s="486">
        <v>0</v>
      </c>
      <c r="HQ12" s="486">
        <v>0</v>
      </c>
      <c r="HR12" s="486">
        <v>0</v>
      </c>
      <c r="HS12" s="486">
        <v>0</v>
      </c>
      <c r="HT12" s="486">
        <v>0</v>
      </c>
      <c r="HU12" s="486">
        <v>0</v>
      </c>
      <c r="HV12" s="486">
        <v>0</v>
      </c>
      <c r="HW12" s="486">
        <v>0</v>
      </c>
      <c r="HX12" s="486">
        <v>0</v>
      </c>
      <c r="HY12" s="486">
        <v>0</v>
      </c>
      <c r="HZ12" s="486">
        <v>0</v>
      </c>
      <c r="IA12" s="486">
        <v>0</v>
      </c>
      <c r="IB12" s="486">
        <v>0</v>
      </c>
      <c r="IC12" s="486">
        <v>0</v>
      </c>
      <c r="ID12" s="486">
        <v>0</v>
      </c>
      <c r="IE12" s="486">
        <v>0</v>
      </c>
      <c r="IF12" s="486">
        <v>0</v>
      </c>
      <c r="IG12" s="486">
        <v>0</v>
      </c>
      <c r="IH12" s="486">
        <v>0</v>
      </c>
      <c r="II12" s="486">
        <v>0</v>
      </c>
      <c r="IJ12" s="486">
        <v>0</v>
      </c>
    </row>
    <row r="13" spans="1:244" ht="16.5" hidden="1">
      <c r="A13" s="484" t="s">
        <v>720</v>
      </c>
      <c r="B13" s="484" t="s">
        <v>617</v>
      </c>
      <c r="C13" s="484" t="s">
        <v>721</v>
      </c>
      <c r="D13" s="485"/>
      <c r="E13" s="484" t="s">
        <v>721</v>
      </c>
      <c r="F13" s="484" t="s">
        <v>26</v>
      </c>
      <c r="G13" s="485"/>
      <c r="H13" s="486">
        <v>19</v>
      </c>
      <c r="I13" s="471" t="str">
        <f t="shared" si="1"/>
        <v>AIJ100219</v>
      </c>
      <c r="J13" s="486">
        <v>43</v>
      </c>
      <c r="L13" s="484" t="s">
        <v>720</v>
      </c>
      <c r="M13" s="484" t="s">
        <v>617</v>
      </c>
      <c r="N13" s="484" t="s">
        <v>25</v>
      </c>
      <c r="O13" s="486">
        <v>25</v>
      </c>
      <c r="P13" s="471" t="str">
        <f t="shared" si="2"/>
        <v>AIJ100125</v>
      </c>
      <c r="Q13" s="486">
        <v>0</v>
      </c>
      <c r="R13" s="486">
        <v>5</v>
      </c>
      <c r="S13" s="486">
        <v>11</v>
      </c>
      <c r="T13" s="486">
        <v>16</v>
      </c>
      <c r="U13" s="486">
        <v>22</v>
      </c>
      <c r="V13" s="486">
        <v>27</v>
      </c>
      <c r="W13" s="486">
        <v>33</v>
      </c>
      <c r="X13" s="486">
        <v>40</v>
      </c>
      <c r="Y13" s="486">
        <v>43</v>
      </c>
      <c r="Z13" s="486">
        <v>0</v>
      </c>
      <c r="AA13" s="486">
        <v>0</v>
      </c>
      <c r="AB13" s="486">
        <v>0</v>
      </c>
      <c r="AC13" s="486">
        <v>0</v>
      </c>
      <c r="AD13" s="486">
        <v>0</v>
      </c>
      <c r="AE13" s="486">
        <v>0</v>
      </c>
      <c r="AF13" s="486">
        <v>0</v>
      </c>
      <c r="AG13" s="486">
        <v>0</v>
      </c>
      <c r="AH13" s="486">
        <v>0</v>
      </c>
      <c r="AI13" s="486">
        <v>0</v>
      </c>
      <c r="AJ13" s="486">
        <v>0</v>
      </c>
      <c r="AK13" s="486">
        <v>0</v>
      </c>
      <c r="AL13" s="486">
        <v>0</v>
      </c>
      <c r="AM13" s="486">
        <v>0</v>
      </c>
      <c r="AN13" s="486">
        <v>0</v>
      </c>
      <c r="AO13" s="486">
        <v>0</v>
      </c>
      <c r="AP13" s="486">
        <v>0</v>
      </c>
      <c r="AQ13" s="486">
        <v>0</v>
      </c>
      <c r="AR13" s="486">
        <v>0</v>
      </c>
      <c r="AS13" s="486">
        <v>0</v>
      </c>
      <c r="AT13" s="486">
        <v>0</v>
      </c>
      <c r="AU13" s="486">
        <v>0</v>
      </c>
      <c r="AV13" s="486">
        <v>0</v>
      </c>
      <c r="AW13" s="486">
        <v>0</v>
      </c>
      <c r="AX13" s="486">
        <v>0</v>
      </c>
      <c r="AY13" s="486">
        <v>0</v>
      </c>
      <c r="AZ13" s="486">
        <v>0</v>
      </c>
      <c r="BA13" s="486">
        <v>0</v>
      </c>
      <c r="BB13" s="486">
        <v>0</v>
      </c>
      <c r="BC13" s="486">
        <v>0</v>
      </c>
      <c r="BD13" s="486">
        <v>0</v>
      </c>
      <c r="BE13" s="486">
        <v>0</v>
      </c>
      <c r="BF13" s="486">
        <v>0</v>
      </c>
      <c r="BG13" s="486">
        <v>0</v>
      </c>
      <c r="BH13" s="486">
        <v>0</v>
      </c>
      <c r="BI13" s="486">
        <v>0</v>
      </c>
      <c r="BJ13" s="486">
        <v>0</v>
      </c>
      <c r="BK13" s="486">
        <v>0</v>
      </c>
      <c r="BL13" s="486">
        <v>0</v>
      </c>
      <c r="BM13" s="486">
        <v>0</v>
      </c>
      <c r="BN13" s="486">
        <v>0</v>
      </c>
      <c r="BO13" s="486">
        <v>0</v>
      </c>
      <c r="BP13" s="486">
        <v>0</v>
      </c>
      <c r="BQ13" s="486">
        <v>0</v>
      </c>
      <c r="BR13" s="486">
        <v>0</v>
      </c>
      <c r="BS13" s="486">
        <v>0</v>
      </c>
      <c r="BT13" s="486">
        <v>0</v>
      </c>
      <c r="BU13" s="486">
        <v>0</v>
      </c>
      <c r="BV13" s="486">
        <v>0</v>
      </c>
      <c r="BW13" s="486">
        <v>0</v>
      </c>
      <c r="BX13" s="486">
        <v>0</v>
      </c>
      <c r="BY13" s="486">
        <v>0</v>
      </c>
      <c r="BZ13" s="486">
        <v>0</v>
      </c>
      <c r="CA13" s="486">
        <v>0</v>
      </c>
      <c r="CB13" s="486">
        <v>0</v>
      </c>
      <c r="CC13" s="486">
        <v>0</v>
      </c>
      <c r="CD13" s="486">
        <v>0</v>
      </c>
      <c r="CE13" s="486">
        <v>0</v>
      </c>
      <c r="CF13" s="486">
        <v>0</v>
      </c>
      <c r="CG13" s="486">
        <v>0</v>
      </c>
      <c r="CH13" s="486">
        <v>0</v>
      </c>
      <c r="CI13" s="486">
        <v>0</v>
      </c>
      <c r="CJ13" s="486">
        <v>0</v>
      </c>
      <c r="CK13" s="486">
        <v>0</v>
      </c>
      <c r="CL13" s="486">
        <v>0</v>
      </c>
      <c r="CM13" s="486">
        <v>0</v>
      </c>
      <c r="CN13" s="486">
        <v>0</v>
      </c>
      <c r="CO13" s="486">
        <v>0</v>
      </c>
      <c r="CP13" s="486">
        <v>0</v>
      </c>
      <c r="CQ13" s="486">
        <v>0</v>
      </c>
      <c r="CR13" s="486">
        <v>0</v>
      </c>
      <c r="CS13" s="486">
        <v>0</v>
      </c>
      <c r="CT13" s="486">
        <v>0</v>
      </c>
      <c r="CU13" s="486">
        <v>0</v>
      </c>
      <c r="CV13" s="486">
        <v>0</v>
      </c>
      <c r="CW13" s="486">
        <v>0</v>
      </c>
      <c r="CX13" s="486">
        <v>0</v>
      </c>
      <c r="CY13" s="486">
        <v>0</v>
      </c>
      <c r="CZ13" s="486">
        <v>0</v>
      </c>
      <c r="DA13" s="486">
        <v>0</v>
      </c>
      <c r="DB13" s="486">
        <v>0</v>
      </c>
      <c r="DC13" s="486">
        <v>0</v>
      </c>
      <c r="DD13" s="486">
        <v>0</v>
      </c>
      <c r="DE13" s="486">
        <v>0</v>
      </c>
      <c r="DF13" s="486">
        <v>0</v>
      </c>
      <c r="DG13" s="486">
        <v>0</v>
      </c>
      <c r="DH13" s="486">
        <v>0</v>
      </c>
      <c r="DI13" s="486">
        <v>0</v>
      </c>
      <c r="DJ13" s="486">
        <v>0</v>
      </c>
      <c r="DK13" s="486">
        <v>0</v>
      </c>
      <c r="DL13" s="486">
        <v>0</v>
      </c>
      <c r="DM13" s="486">
        <v>0</v>
      </c>
      <c r="DN13" s="486">
        <v>0</v>
      </c>
      <c r="DO13" s="486">
        <v>0</v>
      </c>
      <c r="DP13" s="486">
        <v>0</v>
      </c>
      <c r="DQ13" s="486">
        <v>0</v>
      </c>
      <c r="DR13" s="486">
        <v>0</v>
      </c>
      <c r="DS13" s="486">
        <v>0</v>
      </c>
      <c r="DT13" s="486">
        <v>0</v>
      </c>
      <c r="DU13" s="486">
        <v>0</v>
      </c>
      <c r="DV13" s="486">
        <v>0</v>
      </c>
      <c r="DW13" s="486">
        <v>0</v>
      </c>
      <c r="DX13" s="477"/>
      <c r="DY13" s="484" t="s">
        <v>720</v>
      </c>
      <c r="DZ13" s="484" t="s">
        <v>617</v>
      </c>
      <c r="EA13" s="484" t="s">
        <v>25</v>
      </c>
      <c r="EB13" s="486">
        <v>25</v>
      </c>
      <c r="EC13" s="471" t="str">
        <f t="shared" si="0"/>
        <v>AIJ100125</v>
      </c>
      <c r="ED13" s="486">
        <v>10000</v>
      </c>
      <c r="EE13" s="486">
        <v>10000</v>
      </c>
      <c r="EF13" s="486">
        <v>10000</v>
      </c>
      <c r="EG13" s="486">
        <v>10000</v>
      </c>
      <c r="EH13" s="486">
        <v>10000</v>
      </c>
      <c r="EI13" s="486">
        <v>10000</v>
      </c>
      <c r="EJ13" s="486">
        <v>10000</v>
      </c>
      <c r="EK13" s="486">
        <v>10000</v>
      </c>
      <c r="EL13" s="486">
        <v>10000</v>
      </c>
      <c r="EM13" s="486">
        <v>10000</v>
      </c>
      <c r="EN13" s="486">
        <v>0</v>
      </c>
      <c r="EO13" s="486">
        <v>0</v>
      </c>
      <c r="EP13" s="486">
        <v>0</v>
      </c>
      <c r="EQ13" s="486">
        <v>0</v>
      </c>
      <c r="ER13" s="486">
        <v>0</v>
      </c>
      <c r="ES13" s="486">
        <v>0</v>
      </c>
      <c r="ET13" s="486">
        <v>0</v>
      </c>
      <c r="EU13" s="486">
        <v>0</v>
      </c>
      <c r="EV13" s="486">
        <v>0</v>
      </c>
      <c r="EW13" s="486">
        <v>0</v>
      </c>
      <c r="EX13" s="486">
        <v>0</v>
      </c>
      <c r="EY13" s="486">
        <v>0</v>
      </c>
      <c r="EZ13" s="486">
        <v>0</v>
      </c>
      <c r="FA13" s="486">
        <v>0</v>
      </c>
      <c r="FB13" s="486">
        <v>0</v>
      </c>
      <c r="FC13" s="486">
        <v>0</v>
      </c>
      <c r="FD13" s="486">
        <v>0</v>
      </c>
      <c r="FE13" s="486">
        <v>0</v>
      </c>
      <c r="FF13" s="486">
        <v>0</v>
      </c>
      <c r="FG13" s="486">
        <v>0</v>
      </c>
      <c r="FH13" s="486">
        <v>0</v>
      </c>
      <c r="FI13" s="486">
        <v>0</v>
      </c>
      <c r="FJ13" s="486">
        <v>0</v>
      </c>
      <c r="FK13" s="486">
        <v>0</v>
      </c>
      <c r="FL13" s="486">
        <v>0</v>
      </c>
      <c r="FM13" s="486">
        <v>0</v>
      </c>
      <c r="FN13" s="486">
        <v>0</v>
      </c>
      <c r="FO13" s="486">
        <v>0</v>
      </c>
      <c r="FP13" s="486">
        <v>0</v>
      </c>
      <c r="FQ13" s="486">
        <v>0</v>
      </c>
      <c r="FR13" s="486">
        <v>0</v>
      </c>
      <c r="FS13" s="486">
        <v>0</v>
      </c>
      <c r="FT13" s="486">
        <v>0</v>
      </c>
      <c r="FU13" s="486">
        <v>0</v>
      </c>
      <c r="FV13" s="486">
        <v>0</v>
      </c>
      <c r="FW13" s="486">
        <v>0</v>
      </c>
      <c r="FX13" s="486">
        <v>0</v>
      </c>
      <c r="FY13" s="486">
        <v>0</v>
      </c>
      <c r="FZ13" s="486">
        <v>0</v>
      </c>
      <c r="GA13" s="486">
        <v>0</v>
      </c>
      <c r="GB13" s="486">
        <v>0</v>
      </c>
      <c r="GC13" s="486">
        <v>0</v>
      </c>
      <c r="GD13" s="486">
        <v>0</v>
      </c>
      <c r="GE13" s="486">
        <v>0</v>
      </c>
      <c r="GF13" s="486">
        <v>0</v>
      </c>
      <c r="GG13" s="486">
        <v>0</v>
      </c>
      <c r="GH13" s="486">
        <v>0</v>
      </c>
      <c r="GI13" s="486">
        <v>0</v>
      </c>
      <c r="GJ13" s="486">
        <v>0</v>
      </c>
      <c r="GK13" s="486">
        <v>0</v>
      </c>
      <c r="GL13" s="486">
        <v>0</v>
      </c>
      <c r="GM13" s="486">
        <v>0</v>
      </c>
      <c r="GN13" s="486">
        <v>0</v>
      </c>
      <c r="GO13" s="486">
        <v>0</v>
      </c>
      <c r="GP13" s="486">
        <v>0</v>
      </c>
      <c r="GQ13" s="486">
        <v>0</v>
      </c>
      <c r="GR13" s="486">
        <v>0</v>
      </c>
      <c r="GS13" s="486">
        <v>0</v>
      </c>
      <c r="GT13" s="486">
        <v>0</v>
      </c>
      <c r="GU13" s="486">
        <v>0</v>
      </c>
      <c r="GV13" s="486">
        <v>0</v>
      </c>
      <c r="GW13" s="486">
        <v>0</v>
      </c>
      <c r="GX13" s="486">
        <v>0</v>
      </c>
      <c r="GY13" s="486">
        <v>0</v>
      </c>
      <c r="GZ13" s="486">
        <v>0</v>
      </c>
      <c r="HA13" s="486">
        <v>0</v>
      </c>
      <c r="HB13" s="486">
        <v>0</v>
      </c>
      <c r="HC13" s="486">
        <v>0</v>
      </c>
      <c r="HD13" s="486">
        <v>0</v>
      </c>
      <c r="HE13" s="486">
        <v>0</v>
      </c>
      <c r="HF13" s="486">
        <v>0</v>
      </c>
      <c r="HG13" s="486">
        <v>0</v>
      </c>
      <c r="HH13" s="486">
        <v>0</v>
      </c>
      <c r="HI13" s="486">
        <v>0</v>
      </c>
      <c r="HJ13" s="486">
        <v>0</v>
      </c>
      <c r="HK13" s="486">
        <v>0</v>
      </c>
      <c r="HL13" s="486">
        <v>0</v>
      </c>
      <c r="HM13" s="486">
        <v>0</v>
      </c>
      <c r="HN13" s="486">
        <v>0</v>
      </c>
      <c r="HO13" s="486">
        <v>0</v>
      </c>
      <c r="HP13" s="486">
        <v>0</v>
      </c>
      <c r="HQ13" s="486">
        <v>0</v>
      </c>
      <c r="HR13" s="486">
        <v>0</v>
      </c>
      <c r="HS13" s="486">
        <v>0</v>
      </c>
      <c r="HT13" s="486">
        <v>0</v>
      </c>
      <c r="HU13" s="486">
        <v>0</v>
      </c>
      <c r="HV13" s="486">
        <v>0</v>
      </c>
      <c r="HW13" s="486">
        <v>0</v>
      </c>
      <c r="HX13" s="486">
        <v>0</v>
      </c>
      <c r="HY13" s="486">
        <v>0</v>
      </c>
      <c r="HZ13" s="486">
        <v>0</v>
      </c>
      <c r="IA13" s="486">
        <v>0</v>
      </c>
      <c r="IB13" s="486">
        <v>0</v>
      </c>
      <c r="IC13" s="486">
        <v>0</v>
      </c>
      <c r="ID13" s="486">
        <v>0</v>
      </c>
      <c r="IE13" s="486">
        <v>0</v>
      </c>
      <c r="IF13" s="486">
        <v>0</v>
      </c>
      <c r="IG13" s="486">
        <v>0</v>
      </c>
      <c r="IH13" s="486">
        <v>0</v>
      </c>
      <c r="II13" s="486">
        <v>0</v>
      </c>
      <c r="IJ13" s="486">
        <v>0</v>
      </c>
    </row>
    <row r="14" spans="1:244" ht="16.5" hidden="1">
      <c r="A14" s="484" t="s">
        <v>720</v>
      </c>
      <c r="B14" s="484" t="s">
        <v>617</v>
      </c>
      <c r="C14" s="484" t="s">
        <v>721</v>
      </c>
      <c r="D14" s="485"/>
      <c r="E14" s="484" t="s">
        <v>721</v>
      </c>
      <c r="F14" s="484" t="s">
        <v>26</v>
      </c>
      <c r="G14" s="485"/>
      <c r="H14" s="486">
        <v>20</v>
      </c>
      <c r="I14" s="471" t="str">
        <f t="shared" si="1"/>
        <v>AIJ100220</v>
      </c>
      <c r="J14" s="486">
        <v>44</v>
      </c>
      <c r="L14" s="484" t="s">
        <v>720</v>
      </c>
      <c r="M14" s="484" t="s">
        <v>617</v>
      </c>
      <c r="N14" s="484" t="s">
        <v>25</v>
      </c>
      <c r="O14" s="486">
        <v>26</v>
      </c>
      <c r="P14" s="471" t="str">
        <f t="shared" si="2"/>
        <v>AIJ100126</v>
      </c>
      <c r="Q14" s="486">
        <v>0</v>
      </c>
      <c r="R14" s="486">
        <v>6</v>
      </c>
      <c r="S14" s="486">
        <v>11</v>
      </c>
      <c r="T14" s="486">
        <v>17</v>
      </c>
      <c r="U14" s="486">
        <v>23</v>
      </c>
      <c r="V14" s="486">
        <v>29</v>
      </c>
      <c r="W14" s="486">
        <v>35</v>
      </c>
      <c r="X14" s="486">
        <v>41</v>
      </c>
      <c r="Y14" s="486">
        <v>44</v>
      </c>
      <c r="Z14" s="486">
        <v>0</v>
      </c>
      <c r="AA14" s="486">
        <v>0</v>
      </c>
      <c r="AB14" s="486">
        <v>0</v>
      </c>
      <c r="AC14" s="486">
        <v>0</v>
      </c>
      <c r="AD14" s="486">
        <v>0</v>
      </c>
      <c r="AE14" s="486">
        <v>0</v>
      </c>
      <c r="AF14" s="486">
        <v>0</v>
      </c>
      <c r="AG14" s="486">
        <v>0</v>
      </c>
      <c r="AH14" s="486">
        <v>0</v>
      </c>
      <c r="AI14" s="486">
        <v>0</v>
      </c>
      <c r="AJ14" s="486">
        <v>0</v>
      </c>
      <c r="AK14" s="486">
        <v>0</v>
      </c>
      <c r="AL14" s="486">
        <v>0</v>
      </c>
      <c r="AM14" s="486">
        <v>0</v>
      </c>
      <c r="AN14" s="486">
        <v>0</v>
      </c>
      <c r="AO14" s="486">
        <v>0</v>
      </c>
      <c r="AP14" s="486">
        <v>0</v>
      </c>
      <c r="AQ14" s="486">
        <v>0</v>
      </c>
      <c r="AR14" s="486">
        <v>0</v>
      </c>
      <c r="AS14" s="486">
        <v>0</v>
      </c>
      <c r="AT14" s="486">
        <v>0</v>
      </c>
      <c r="AU14" s="486">
        <v>0</v>
      </c>
      <c r="AV14" s="486">
        <v>0</v>
      </c>
      <c r="AW14" s="486">
        <v>0</v>
      </c>
      <c r="AX14" s="486">
        <v>0</v>
      </c>
      <c r="AY14" s="486">
        <v>0</v>
      </c>
      <c r="AZ14" s="486">
        <v>0</v>
      </c>
      <c r="BA14" s="486">
        <v>0</v>
      </c>
      <c r="BB14" s="486">
        <v>0</v>
      </c>
      <c r="BC14" s="486">
        <v>0</v>
      </c>
      <c r="BD14" s="486">
        <v>0</v>
      </c>
      <c r="BE14" s="486">
        <v>0</v>
      </c>
      <c r="BF14" s="486">
        <v>0</v>
      </c>
      <c r="BG14" s="486">
        <v>0</v>
      </c>
      <c r="BH14" s="486">
        <v>0</v>
      </c>
      <c r="BI14" s="486">
        <v>0</v>
      </c>
      <c r="BJ14" s="486">
        <v>0</v>
      </c>
      <c r="BK14" s="486">
        <v>0</v>
      </c>
      <c r="BL14" s="486">
        <v>0</v>
      </c>
      <c r="BM14" s="486">
        <v>0</v>
      </c>
      <c r="BN14" s="486">
        <v>0</v>
      </c>
      <c r="BO14" s="486">
        <v>0</v>
      </c>
      <c r="BP14" s="486">
        <v>0</v>
      </c>
      <c r="BQ14" s="486">
        <v>0</v>
      </c>
      <c r="BR14" s="486">
        <v>0</v>
      </c>
      <c r="BS14" s="486">
        <v>0</v>
      </c>
      <c r="BT14" s="486">
        <v>0</v>
      </c>
      <c r="BU14" s="486">
        <v>0</v>
      </c>
      <c r="BV14" s="486">
        <v>0</v>
      </c>
      <c r="BW14" s="486">
        <v>0</v>
      </c>
      <c r="BX14" s="486">
        <v>0</v>
      </c>
      <c r="BY14" s="486">
        <v>0</v>
      </c>
      <c r="BZ14" s="486">
        <v>0</v>
      </c>
      <c r="CA14" s="486">
        <v>0</v>
      </c>
      <c r="CB14" s="486">
        <v>0</v>
      </c>
      <c r="CC14" s="486">
        <v>0</v>
      </c>
      <c r="CD14" s="486">
        <v>0</v>
      </c>
      <c r="CE14" s="486">
        <v>0</v>
      </c>
      <c r="CF14" s="486">
        <v>0</v>
      </c>
      <c r="CG14" s="486">
        <v>0</v>
      </c>
      <c r="CH14" s="486">
        <v>0</v>
      </c>
      <c r="CI14" s="486">
        <v>0</v>
      </c>
      <c r="CJ14" s="486">
        <v>0</v>
      </c>
      <c r="CK14" s="486">
        <v>0</v>
      </c>
      <c r="CL14" s="486">
        <v>0</v>
      </c>
      <c r="CM14" s="486">
        <v>0</v>
      </c>
      <c r="CN14" s="486">
        <v>0</v>
      </c>
      <c r="CO14" s="486">
        <v>0</v>
      </c>
      <c r="CP14" s="486">
        <v>0</v>
      </c>
      <c r="CQ14" s="486">
        <v>0</v>
      </c>
      <c r="CR14" s="486">
        <v>0</v>
      </c>
      <c r="CS14" s="486">
        <v>0</v>
      </c>
      <c r="CT14" s="486">
        <v>0</v>
      </c>
      <c r="CU14" s="486">
        <v>0</v>
      </c>
      <c r="CV14" s="486">
        <v>0</v>
      </c>
      <c r="CW14" s="486">
        <v>0</v>
      </c>
      <c r="CX14" s="486">
        <v>0</v>
      </c>
      <c r="CY14" s="486">
        <v>0</v>
      </c>
      <c r="CZ14" s="486">
        <v>0</v>
      </c>
      <c r="DA14" s="486">
        <v>0</v>
      </c>
      <c r="DB14" s="486">
        <v>0</v>
      </c>
      <c r="DC14" s="486">
        <v>0</v>
      </c>
      <c r="DD14" s="486">
        <v>0</v>
      </c>
      <c r="DE14" s="486">
        <v>0</v>
      </c>
      <c r="DF14" s="486">
        <v>0</v>
      </c>
      <c r="DG14" s="486">
        <v>0</v>
      </c>
      <c r="DH14" s="486">
        <v>0</v>
      </c>
      <c r="DI14" s="486">
        <v>0</v>
      </c>
      <c r="DJ14" s="486">
        <v>0</v>
      </c>
      <c r="DK14" s="486">
        <v>0</v>
      </c>
      <c r="DL14" s="486">
        <v>0</v>
      </c>
      <c r="DM14" s="486">
        <v>0</v>
      </c>
      <c r="DN14" s="486">
        <v>0</v>
      </c>
      <c r="DO14" s="486">
        <v>0</v>
      </c>
      <c r="DP14" s="486">
        <v>0</v>
      </c>
      <c r="DQ14" s="486">
        <v>0</v>
      </c>
      <c r="DR14" s="486">
        <v>0</v>
      </c>
      <c r="DS14" s="486">
        <v>0</v>
      </c>
      <c r="DT14" s="486">
        <v>0</v>
      </c>
      <c r="DU14" s="486">
        <v>0</v>
      </c>
      <c r="DV14" s="486">
        <v>0</v>
      </c>
      <c r="DW14" s="486">
        <v>0</v>
      </c>
      <c r="DX14" s="477"/>
      <c r="DY14" s="484" t="s">
        <v>720</v>
      </c>
      <c r="DZ14" s="484" t="s">
        <v>617</v>
      </c>
      <c r="EA14" s="484" t="s">
        <v>25</v>
      </c>
      <c r="EB14" s="486">
        <v>26</v>
      </c>
      <c r="EC14" s="471" t="str">
        <f t="shared" si="0"/>
        <v>AIJ100126</v>
      </c>
      <c r="ED14" s="486">
        <v>10000</v>
      </c>
      <c r="EE14" s="486">
        <v>10000</v>
      </c>
      <c r="EF14" s="486">
        <v>10000</v>
      </c>
      <c r="EG14" s="486">
        <v>10000</v>
      </c>
      <c r="EH14" s="486">
        <v>10000</v>
      </c>
      <c r="EI14" s="486">
        <v>10000</v>
      </c>
      <c r="EJ14" s="486">
        <v>10000</v>
      </c>
      <c r="EK14" s="486">
        <v>10000</v>
      </c>
      <c r="EL14" s="486">
        <v>10000</v>
      </c>
      <c r="EM14" s="486">
        <v>10000</v>
      </c>
      <c r="EN14" s="486">
        <v>0</v>
      </c>
      <c r="EO14" s="486">
        <v>0</v>
      </c>
      <c r="EP14" s="486">
        <v>0</v>
      </c>
      <c r="EQ14" s="486">
        <v>0</v>
      </c>
      <c r="ER14" s="486">
        <v>0</v>
      </c>
      <c r="ES14" s="486">
        <v>0</v>
      </c>
      <c r="ET14" s="486">
        <v>0</v>
      </c>
      <c r="EU14" s="486">
        <v>0</v>
      </c>
      <c r="EV14" s="486">
        <v>0</v>
      </c>
      <c r="EW14" s="486">
        <v>0</v>
      </c>
      <c r="EX14" s="486">
        <v>0</v>
      </c>
      <c r="EY14" s="486">
        <v>0</v>
      </c>
      <c r="EZ14" s="486">
        <v>0</v>
      </c>
      <c r="FA14" s="486">
        <v>0</v>
      </c>
      <c r="FB14" s="486">
        <v>0</v>
      </c>
      <c r="FC14" s="486">
        <v>0</v>
      </c>
      <c r="FD14" s="486">
        <v>0</v>
      </c>
      <c r="FE14" s="486">
        <v>0</v>
      </c>
      <c r="FF14" s="486">
        <v>0</v>
      </c>
      <c r="FG14" s="486">
        <v>0</v>
      </c>
      <c r="FH14" s="486">
        <v>0</v>
      </c>
      <c r="FI14" s="486">
        <v>0</v>
      </c>
      <c r="FJ14" s="486">
        <v>0</v>
      </c>
      <c r="FK14" s="486">
        <v>0</v>
      </c>
      <c r="FL14" s="486">
        <v>0</v>
      </c>
      <c r="FM14" s="486">
        <v>0</v>
      </c>
      <c r="FN14" s="486">
        <v>0</v>
      </c>
      <c r="FO14" s="486">
        <v>0</v>
      </c>
      <c r="FP14" s="486">
        <v>0</v>
      </c>
      <c r="FQ14" s="486">
        <v>0</v>
      </c>
      <c r="FR14" s="486">
        <v>0</v>
      </c>
      <c r="FS14" s="486">
        <v>0</v>
      </c>
      <c r="FT14" s="486">
        <v>0</v>
      </c>
      <c r="FU14" s="486">
        <v>0</v>
      </c>
      <c r="FV14" s="486">
        <v>0</v>
      </c>
      <c r="FW14" s="486">
        <v>0</v>
      </c>
      <c r="FX14" s="486">
        <v>0</v>
      </c>
      <c r="FY14" s="486">
        <v>0</v>
      </c>
      <c r="FZ14" s="486">
        <v>0</v>
      </c>
      <c r="GA14" s="486">
        <v>0</v>
      </c>
      <c r="GB14" s="486">
        <v>0</v>
      </c>
      <c r="GC14" s="486">
        <v>0</v>
      </c>
      <c r="GD14" s="486">
        <v>0</v>
      </c>
      <c r="GE14" s="486">
        <v>0</v>
      </c>
      <c r="GF14" s="486">
        <v>0</v>
      </c>
      <c r="GG14" s="486">
        <v>0</v>
      </c>
      <c r="GH14" s="486">
        <v>0</v>
      </c>
      <c r="GI14" s="486">
        <v>0</v>
      </c>
      <c r="GJ14" s="486">
        <v>0</v>
      </c>
      <c r="GK14" s="486">
        <v>0</v>
      </c>
      <c r="GL14" s="486">
        <v>0</v>
      </c>
      <c r="GM14" s="486">
        <v>0</v>
      </c>
      <c r="GN14" s="486">
        <v>0</v>
      </c>
      <c r="GO14" s="486">
        <v>0</v>
      </c>
      <c r="GP14" s="486">
        <v>0</v>
      </c>
      <c r="GQ14" s="486">
        <v>0</v>
      </c>
      <c r="GR14" s="486">
        <v>0</v>
      </c>
      <c r="GS14" s="486">
        <v>0</v>
      </c>
      <c r="GT14" s="486">
        <v>0</v>
      </c>
      <c r="GU14" s="486">
        <v>0</v>
      </c>
      <c r="GV14" s="486">
        <v>0</v>
      </c>
      <c r="GW14" s="486">
        <v>0</v>
      </c>
      <c r="GX14" s="486">
        <v>0</v>
      </c>
      <c r="GY14" s="486">
        <v>0</v>
      </c>
      <c r="GZ14" s="486">
        <v>0</v>
      </c>
      <c r="HA14" s="486">
        <v>0</v>
      </c>
      <c r="HB14" s="486">
        <v>0</v>
      </c>
      <c r="HC14" s="486">
        <v>0</v>
      </c>
      <c r="HD14" s="486">
        <v>0</v>
      </c>
      <c r="HE14" s="486">
        <v>0</v>
      </c>
      <c r="HF14" s="486">
        <v>0</v>
      </c>
      <c r="HG14" s="486">
        <v>0</v>
      </c>
      <c r="HH14" s="486">
        <v>0</v>
      </c>
      <c r="HI14" s="486">
        <v>0</v>
      </c>
      <c r="HJ14" s="486">
        <v>0</v>
      </c>
      <c r="HK14" s="486">
        <v>0</v>
      </c>
      <c r="HL14" s="486">
        <v>0</v>
      </c>
      <c r="HM14" s="486">
        <v>0</v>
      </c>
      <c r="HN14" s="486">
        <v>0</v>
      </c>
      <c r="HO14" s="486">
        <v>0</v>
      </c>
      <c r="HP14" s="486">
        <v>0</v>
      </c>
      <c r="HQ14" s="486">
        <v>0</v>
      </c>
      <c r="HR14" s="486">
        <v>0</v>
      </c>
      <c r="HS14" s="486">
        <v>0</v>
      </c>
      <c r="HT14" s="486">
        <v>0</v>
      </c>
      <c r="HU14" s="486">
        <v>0</v>
      </c>
      <c r="HV14" s="486">
        <v>0</v>
      </c>
      <c r="HW14" s="486">
        <v>0</v>
      </c>
      <c r="HX14" s="486">
        <v>0</v>
      </c>
      <c r="HY14" s="486">
        <v>0</v>
      </c>
      <c r="HZ14" s="486">
        <v>0</v>
      </c>
      <c r="IA14" s="486">
        <v>0</v>
      </c>
      <c r="IB14" s="486">
        <v>0</v>
      </c>
      <c r="IC14" s="486">
        <v>0</v>
      </c>
      <c r="ID14" s="486">
        <v>0</v>
      </c>
      <c r="IE14" s="486">
        <v>0</v>
      </c>
      <c r="IF14" s="486">
        <v>0</v>
      </c>
      <c r="IG14" s="486">
        <v>0</v>
      </c>
      <c r="IH14" s="486">
        <v>0</v>
      </c>
      <c r="II14" s="486">
        <v>0</v>
      </c>
      <c r="IJ14" s="486">
        <v>0</v>
      </c>
    </row>
    <row r="15" spans="1:244" ht="16.5" hidden="1">
      <c r="A15" s="484" t="s">
        <v>720</v>
      </c>
      <c r="B15" s="484" t="s">
        <v>617</v>
      </c>
      <c r="C15" s="484" t="s">
        <v>721</v>
      </c>
      <c r="D15" s="485"/>
      <c r="E15" s="484" t="s">
        <v>721</v>
      </c>
      <c r="F15" s="484" t="s">
        <v>26</v>
      </c>
      <c r="G15" s="485"/>
      <c r="H15" s="486">
        <v>21</v>
      </c>
      <c r="I15" s="471" t="str">
        <f t="shared" si="1"/>
        <v>AIJ100221</v>
      </c>
      <c r="J15" s="486">
        <v>45</v>
      </c>
      <c r="L15" s="484" t="s">
        <v>720</v>
      </c>
      <c r="M15" s="484" t="s">
        <v>617</v>
      </c>
      <c r="N15" s="484" t="s">
        <v>25</v>
      </c>
      <c r="O15" s="486">
        <v>27</v>
      </c>
      <c r="P15" s="471" t="str">
        <f t="shared" si="2"/>
        <v>AIJ100127</v>
      </c>
      <c r="Q15" s="486">
        <v>0</v>
      </c>
      <c r="R15" s="486">
        <v>6</v>
      </c>
      <c r="S15" s="486">
        <v>12</v>
      </c>
      <c r="T15" s="486">
        <v>18</v>
      </c>
      <c r="U15" s="486">
        <v>25</v>
      </c>
      <c r="V15" s="486">
        <v>30</v>
      </c>
      <c r="W15" s="486">
        <v>37</v>
      </c>
      <c r="X15" s="486">
        <v>42</v>
      </c>
      <c r="Y15" s="486">
        <v>45</v>
      </c>
      <c r="Z15" s="486">
        <v>0</v>
      </c>
      <c r="AA15" s="486">
        <v>0</v>
      </c>
      <c r="AB15" s="486">
        <v>0</v>
      </c>
      <c r="AC15" s="486">
        <v>0</v>
      </c>
      <c r="AD15" s="486">
        <v>0</v>
      </c>
      <c r="AE15" s="486">
        <v>0</v>
      </c>
      <c r="AF15" s="486">
        <v>0</v>
      </c>
      <c r="AG15" s="486">
        <v>0</v>
      </c>
      <c r="AH15" s="486">
        <v>0</v>
      </c>
      <c r="AI15" s="486">
        <v>0</v>
      </c>
      <c r="AJ15" s="486">
        <v>0</v>
      </c>
      <c r="AK15" s="486">
        <v>0</v>
      </c>
      <c r="AL15" s="486">
        <v>0</v>
      </c>
      <c r="AM15" s="486">
        <v>0</v>
      </c>
      <c r="AN15" s="486">
        <v>0</v>
      </c>
      <c r="AO15" s="486">
        <v>0</v>
      </c>
      <c r="AP15" s="486">
        <v>0</v>
      </c>
      <c r="AQ15" s="486">
        <v>0</v>
      </c>
      <c r="AR15" s="486">
        <v>0</v>
      </c>
      <c r="AS15" s="486">
        <v>0</v>
      </c>
      <c r="AT15" s="486">
        <v>0</v>
      </c>
      <c r="AU15" s="486">
        <v>0</v>
      </c>
      <c r="AV15" s="486">
        <v>0</v>
      </c>
      <c r="AW15" s="486">
        <v>0</v>
      </c>
      <c r="AX15" s="486">
        <v>0</v>
      </c>
      <c r="AY15" s="486">
        <v>0</v>
      </c>
      <c r="AZ15" s="486">
        <v>0</v>
      </c>
      <c r="BA15" s="486">
        <v>0</v>
      </c>
      <c r="BB15" s="486">
        <v>0</v>
      </c>
      <c r="BC15" s="486">
        <v>0</v>
      </c>
      <c r="BD15" s="486">
        <v>0</v>
      </c>
      <c r="BE15" s="486">
        <v>0</v>
      </c>
      <c r="BF15" s="486">
        <v>0</v>
      </c>
      <c r="BG15" s="486">
        <v>0</v>
      </c>
      <c r="BH15" s="486">
        <v>0</v>
      </c>
      <c r="BI15" s="486">
        <v>0</v>
      </c>
      <c r="BJ15" s="486">
        <v>0</v>
      </c>
      <c r="BK15" s="486">
        <v>0</v>
      </c>
      <c r="BL15" s="486">
        <v>0</v>
      </c>
      <c r="BM15" s="486">
        <v>0</v>
      </c>
      <c r="BN15" s="486">
        <v>0</v>
      </c>
      <c r="BO15" s="486">
        <v>0</v>
      </c>
      <c r="BP15" s="486">
        <v>0</v>
      </c>
      <c r="BQ15" s="486">
        <v>0</v>
      </c>
      <c r="BR15" s="486">
        <v>0</v>
      </c>
      <c r="BS15" s="486">
        <v>0</v>
      </c>
      <c r="BT15" s="486">
        <v>0</v>
      </c>
      <c r="BU15" s="486">
        <v>0</v>
      </c>
      <c r="BV15" s="486">
        <v>0</v>
      </c>
      <c r="BW15" s="486">
        <v>0</v>
      </c>
      <c r="BX15" s="486">
        <v>0</v>
      </c>
      <c r="BY15" s="486">
        <v>0</v>
      </c>
      <c r="BZ15" s="486">
        <v>0</v>
      </c>
      <c r="CA15" s="486">
        <v>0</v>
      </c>
      <c r="CB15" s="486">
        <v>0</v>
      </c>
      <c r="CC15" s="486">
        <v>0</v>
      </c>
      <c r="CD15" s="486">
        <v>0</v>
      </c>
      <c r="CE15" s="486">
        <v>0</v>
      </c>
      <c r="CF15" s="486">
        <v>0</v>
      </c>
      <c r="CG15" s="486">
        <v>0</v>
      </c>
      <c r="CH15" s="486">
        <v>0</v>
      </c>
      <c r="CI15" s="486">
        <v>0</v>
      </c>
      <c r="CJ15" s="486">
        <v>0</v>
      </c>
      <c r="CK15" s="486">
        <v>0</v>
      </c>
      <c r="CL15" s="486">
        <v>0</v>
      </c>
      <c r="CM15" s="486">
        <v>0</v>
      </c>
      <c r="CN15" s="486">
        <v>0</v>
      </c>
      <c r="CO15" s="486">
        <v>0</v>
      </c>
      <c r="CP15" s="486">
        <v>0</v>
      </c>
      <c r="CQ15" s="486">
        <v>0</v>
      </c>
      <c r="CR15" s="486">
        <v>0</v>
      </c>
      <c r="CS15" s="486">
        <v>0</v>
      </c>
      <c r="CT15" s="486">
        <v>0</v>
      </c>
      <c r="CU15" s="486">
        <v>0</v>
      </c>
      <c r="CV15" s="486">
        <v>0</v>
      </c>
      <c r="CW15" s="486">
        <v>0</v>
      </c>
      <c r="CX15" s="486">
        <v>0</v>
      </c>
      <c r="CY15" s="486">
        <v>0</v>
      </c>
      <c r="CZ15" s="486">
        <v>0</v>
      </c>
      <c r="DA15" s="486">
        <v>0</v>
      </c>
      <c r="DB15" s="486">
        <v>0</v>
      </c>
      <c r="DC15" s="486">
        <v>0</v>
      </c>
      <c r="DD15" s="486">
        <v>0</v>
      </c>
      <c r="DE15" s="486">
        <v>0</v>
      </c>
      <c r="DF15" s="486">
        <v>0</v>
      </c>
      <c r="DG15" s="486">
        <v>0</v>
      </c>
      <c r="DH15" s="486">
        <v>0</v>
      </c>
      <c r="DI15" s="486">
        <v>0</v>
      </c>
      <c r="DJ15" s="486">
        <v>0</v>
      </c>
      <c r="DK15" s="486">
        <v>0</v>
      </c>
      <c r="DL15" s="486">
        <v>0</v>
      </c>
      <c r="DM15" s="486">
        <v>0</v>
      </c>
      <c r="DN15" s="486">
        <v>0</v>
      </c>
      <c r="DO15" s="486">
        <v>0</v>
      </c>
      <c r="DP15" s="486">
        <v>0</v>
      </c>
      <c r="DQ15" s="486">
        <v>0</v>
      </c>
      <c r="DR15" s="486">
        <v>0</v>
      </c>
      <c r="DS15" s="486">
        <v>0</v>
      </c>
      <c r="DT15" s="486">
        <v>0</v>
      </c>
      <c r="DU15" s="486">
        <v>0</v>
      </c>
      <c r="DV15" s="486">
        <v>0</v>
      </c>
      <c r="DW15" s="486">
        <v>0</v>
      </c>
      <c r="DX15" s="477"/>
      <c r="DY15" s="484" t="s">
        <v>720</v>
      </c>
      <c r="DZ15" s="484" t="s">
        <v>617</v>
      </c>
      <c r="EA15" s="484" t="s">
        <v>25</v>
      </c>
      <c r="EB15" s="486">
        <v>27</v>
      </c>
      <c r="EC15" s="471" t="str">
        <f t="shared" si="0"/>
        <v>AIJ100127</v>
      </c>
      <c r="ED15" s="486">
        <v>10000</v>
      </c>
      <c r="EE15" s="486">
        <v>10000</v>
      </c>
      <c r="EF15" s="486">
        <v>10000</v>
      </c>
      <c r="EG15" s="486">
        <v>10000</v>
      </c>
      <c r="EH15" s="486">
        <v>10000</v>
      </c>
      <c r="EI15" s="486">
        <v>10000</v>
      </c>
      <c r="EJ15" s="486">
        <v>10000</v>
      </c>
      <c r="EK15" s="486">
        <v>10000</v>
      </c>
      <c r="EL15" s="486">
        <v>10000</v>
      </c>
      <c r="EM15" s="486">
        <v>10000</v>
      </c>
      <c r="EN15" s="486">
        <v>0</v>
      </c>
      <c r="EO15" s="486">
        <v>0</v>
      </c>
      <c r="EP15" s="486">
        <v>0</v>
      </c>
      <c r="EQ15" s="486">
        <v>0</v>
      </c>
      <c r="ER15" s="486">
        <v>0</v>
      </c>
      <c r="ES15" s="486">
        <v>0</v>
      </c>
      <c r="ET15" s="486">
        <v>0</v>
      </c>
      <c r="EU15" s="486">
        <v>0</v>
      </c>
      <c r="EV15" s="486">
        <v>0</v>
      </c>
      <c r="EW15" s="486">
        <v>0</v>
      </c>
      <c r="EX15" s="486">
        <v>0</v>
      </c>
      <c r="EY15" s="486">
        <v>0</v>
      </c>
      <c r="EZ15" s="486">
        <v>0</v>
      </c>
      <c r="FA15" s="486">
        <v>0</v>
      </c>
      <c r="FB15" s="486">
        <v>0</v>
      </c>
      <c r="FC15" s="486">
        <v>0</v>
      </c>
      <c r="FD15" s="486">
        <v>0</v>
      </c>
      <c r="FE15" s="486">
        <v>0</v>
      </c>
      <c r="FF15" s="486">
        <v>0</v>
      </c>
      <c r="FG15" s="486">
        <v>0</v>
      </c>
      <c r="FH15" s="486">
        <v>0</v>
      </c>
      <c r="FI15" s="486">
        <v>0</v>
      </c>
      <c r="FJ15" s="486">
        <v>0</v>
      </c>
      <c r="FK15" s="486">
        <v>0</v>
      </c>
      <c r="FL15" s="486">
        <v>0</v>
      </c>
      <c r="FM15" s="486">
        <v>0</v>
      </c>
      <c r="FN15" s="486">
        <v>0</v>
      </c>
      <c r="FO15" s="486">
        <v>0</v>
      </c>
      <c r="FP15" s="486">
        <v>0</v>
      </c>
      <c r="FQ15" s="486">
        <v>0</v>
      </c>
      <c r="FR15" s="486">
        <v>0</v>
      </c>
      <c r="FS15" s="486">
        <v>0</v>
      </c>
      <c r="FT15" s="486">
        <v>0</v>
      </c>
      <c r="FU15" s="486">
        <v>0</v>
      </c>
      <c r="FV15" s="486">
        <v>0</v>
      </c>
      <c r="FW15" s="486">
        <v>0</v>
      </c>
      <c r="FX15" s="486">
        <v>0</v>
      </c>
      <c r="FY15" s="486">
        <v>0</v>
      </c>
      <c r="FZ15" s="486">
        <v>0</v>
      </c>
      <c r="GA15" s="486">
        <v>0</v>
      </c>
      <c r="GB15" s="486">
        <v>0</v>
      </c>
      <c r="GC15" s="486">
        <v>0</v>
      </c>
      <c r="GD15" s="486">
        <v>0</v>
      </c>
      <c r="GE15" s="486">
        <v>0</v>
      </c>
      <c r="GF15" s="486">
        <v>0</v>
      </c>
      <c r="GG15" s="486">
        <v>0</v>
      </c>
      <c r="GH15" s="486">
        <v>0</v>
      </c>
      <c r="GI15" s="486">
        <v>0</v>
      </c>
      <c r="GJ15" s="486">
        <v>0</v>
      </c>
      <c r="GK15" s="486">
        <v>0</v>
      </c>
      <c r="GL15" s="486">
        <v>0</v>
      </c>
      <c r="GM15" s="486">
        <v>0</v>
      </c>
      <c r="GN15" s="486">
        <v>0</v>
      </c>
      <c r="GO15" s="486">
        <v>0</v>
      </c>
      <c r="GP15" s="486">
        <v>0</v>
      </c>
      <c r="GQ15" s="486">
        <v>0</v>
      </c>
      <c r="GR15" s="486">
        <v>0</v>
      </c>
      <c r="GS15" s="486">
        <v>0</v>
      </c>
      <c r="GT15" s="486">
        <v>0</v>
      </c>
      <c r="GU15" s="486">
        <v>0</v>
      </c>
      <c r="GV15" s="486">
        <v>0</v>
      </c>
      <c r="GW15" s="486">
        <v>0</v>
      </c>
      <c r="GX15" s="486">
        <v>0</v>
      </c>
      <c r="GY15" s="486">
        <v>0</v>
      </c>
      <c r="GZ15" s="486">
        <v>0</v>
      </c>
      <c r="HA15" s="486">
        <v>0</v>
      </c>
      <c r="HB15" s="486">
        <v>0</v>
      </c>
      <c r="HC15" s="486">
        <v>0</v>
      </c>
      <c r="HD15" s="486">
        <v>0</v>
      </c>
      <c r="HE15" s="486">
        <v>0</v>
      </c>
      <c r="HF15" s="486">
        <v>0</v>
      </c>
      <c r="HG15" s="486">
        <v>0</v>
      </c>
      <c r="HH15" s="486">
        <v>0</v>
      </c>
      <c r="HI15" s="486">
        <v>0</v>
      </c>
      <c r="HJ15" s="486">
        <v>0</v>
      </c>
      <c r="HK15" s="486">
        <v>0</v>
      </c>
      <c r="HL15" s="486">
        <v>0</v>
      </c>
      <c r="HM15" s="486">
        <v>0</v>
      </c>
      <c r="HN15" s="486">
        <v>0</v>
      </c>
      <c r="HO15" s="486">
        <v>0</v>
      </c>
      <c r="HP15" s="486">
        <v>0</v>
      </c>
      <c r="HQ15" s="486">
        <v>0</v>
      </c>
      <c r="HR15" s="486">
        <v>0</v>
      </c>
      <c r="HS15" s="486">
        <v>0</v>
      </c>
      <c r="HT15" s="486">
        <v>0</v>
      </c>
      <c r="HU15" s="486">
        <v>0</v>
      </c>
      <c r="HV15" s="486">
        <v>0</v>
      </c>
      <c r="HW15" s="486">
        <v>0</v>
      </c>
      <c r="HX15" s="486">
        <v>0</v>
      </c>
      <c r="HY15" s="486">
        <v>0</v>
      </c>
      <c r="HZ15" s="486">
        <v>0</v>
      </c>
      <c r="IA15" s="486">
        <v>0</v>
      </c>
      <c r="IB15" s="486">
        <v>0</v>
      </c>
      <c r="IC15" s="486">
        <v>0</v>
      </c>
      <c r="ID15" s="486">
        <v>0</v>
      </c>
      <c r="IE15" s="486">
        <v>0</v>
      </c>
      <c r="IF15" s="486">
        <v>0</v>
      </c>
      <c r="IG15" s="486">
        <v>0</v>
      </c>
      <c r="IH15" s="486">
        <v>0</v>
      </c>
      <c r="II15" s="486">
        <v>0</v>
      </c>
      <c r="IJ15" s="486">
        <v>0</v>
      </c>
    </row>
    <row r="16" spans="1:244" ht="16.5" hidden="1">
      <c r="A16" s="484" t="s">
        <v>720</v>
      </c>
      <c r="B16" s="484" t="s">
        <v>617</v>
      </c>
      <c r="C16" s="484" t="s">
        <v>721</v>
      </c>
      <c r="D16" s="485"/>
      <c r="E16" s="484" t="s">
        <v>721</v>
      </c>
      <c r="F16" s="484" t="s">
        <v>26</v>
      </c>
      <c r="G16" s="485"/>
      <c r="H16" s="486">
        <v>22</v>
      </c>
      <c r="I16" s="471" t="str">
        <f t="shared" si="1"/>
        <v>AIJ100222</v>
      </c>
      <c r="J16" s="486">
        <v>46</v>
      </c>
      <c r="L16" s="484" t="s">
        <v>720</v>
      </c>
      <c r="M16" s="484" t="s">
        <v>617</v>
      </c>
      <c r="N16" s="484" t="s">
        <v>25</v>
      </c>
      <c r="O16" s="486">
        <v>28</v>
      </c>
      <c r="P16" s="471" t="str">
        <f t="shared" si="2"/>
        <v>AIJ100128</v>
      </c>
      <c r="Q16" s="486">
        <v>0</v>
      </c>
      <c r="R16" s="486">
        <v>7</v>
      </c>
      <c r="S16" s="486">
        <v>13</v>
      </c>
      <c r="T16" s="486">
        <v>19</v>
      </c>
      <c r="U16" s="486">
        <v>26</v>
      </c>
      <c r="V16" s="486">
        <v>31</v>
      </c>
      <c r="W16" s="486">
        <v>37</v>
      </c>
      <c r="X16" s="486">
        <v>44</v>
      </c>
      <c r="Y16" s="486">
        <v>47</v>
      </c>
      <c r="Z16" s="486">
        <v>0</v>
      </c>
      <c r="AA16" s="486">
        <v>0</v>
      </c>
      <c r="AB16" s="486">
        <v>0</v>
      </c>
      <c r="AC16" s="486">
        <v>0</v>
      </c>
      <c r="AD16" s="486">
        <v>0</v>
      </c>
      <c r="AE16" s="486">
        <v>0</v>
      </c>
      <c r="AF16" s="486">
        <v>0</v>
      </c>
      <c r="AG16" s="486">
        <v>0</v>
      </c>
      <c r="AH16" s="486">
        <v>0</v>
      </c>
      <c r="AI16" s="486">
        <v>0</v>
      </c>
      <c r="AJ16" s="486">
        <v>0</v>
      </c>
      <c r="AK16" s="486">
        <v>0</v>
      </c>
      <c r="AL16" s="486">
        <v>0</v>
      </c>
      <c r="AM16" s="486">
        <v>0</v>
      </c>
      <c r="AN16" s="486">
        <v>0</v>
      </c>
      <c r="AO16" s="486">
        <v>0</v>
      </c>
      <c r="AP16" s="486">
        <v>0</v>
      </c>
      <c r="AQ16" s="486">
        <v>0</v>
      </c>
      <c r="AR16" s="486">
        <v>0</v>
      </c>
      <c r="AS16" s="486">
        <v>0</v>
      </c>
      <c r="AT16" s="486">
        <v>0</v>
      </c>
      <c r="AU16" s="486">
        <v>0</v>
      </c>
      <c r="AV16" s="486">
        <v>0</v>
      </c>
      <c r="AW16" s="486">
        <v>0</v>
      </c>
      <c r="AX16" s="486">
        <v>0</v>
      </c>
      <c r="AY16" s="486">
        <v>0</v>
      </c>
      <c r="AZ16" s="486">
        <v>0</v>
      </c>
      <c r="BA16" s="486">
        <v>0</v>
      </c>
      <c r="BB16" s="486">
        <v>0</v>
      </c>
      <c r="BC16" s="486">
        <v>0</v>
      </c>
      <c r="BD16" s="486">
        <v>0</v>
      </c>
      <c r="BE16" s="486">
        <v>0</v>
      </c>
      <c r="BF16" s="486">
        <v>0</v>
      </c>
      <c r="BG16" s="486">
        <v>0</v>
      </c>
      <c r="BH16" s="486">
        <v>0</v>
      </c>
      <c r="BI16" s="486">
        <v>0</v>
      </c>
      <c r="BJ16" s="486">
        <v>0</v>
      </c>
      <c r="BK16" s="486">
        <v>0</v>
      </c>
      <c r="BL16" s="486">
        <v>0</v>
      </c>
      <c r="BM16" s="486">
        <v>0</v>
      </c>
      <c r="BN16" s="486">
        <v>0</v>
      </c>
      <c r="BO16" s="486">
        <v>0</v>
      </c>
      <c r="BP16" s="486">
        <v>0</v>
      </c>
      <c r="BQ16" s="486">
        <v>0</v>
      </c>
      <c r="BR16" s="486">
        <v>0</v>
      </c>
      <c r="BS16" s="486">
        <v>0</v>
      </c>
      <c r="BT16" s="486">
        <v>0</v>
      </c>
      <c r="BU16" s="486">
        <v>0</v>
      </c>
      <c r="BV16" s="486">
        <v>0</v>
      </c>
      <c r="BW16" s="486">
        <v>0</v>
      </c>
      <c r="BX16" s="486">
        <v>0</v>
      </c>
      <c r="BY16" s="486">
        <v>0</v>
      </c>
      <c r="BZ16" s="486">
        <v>0</v>
      </c>
      <c r="CA16" s="486">
        <v>0</v>
      </c>
      <c r="CB16" s="486">
        <v>0</v>
      </c>
      <c r="CC16" s="486">
        <v>0</v>
      </c>
      <c r="CD16" s="486">
        <v>0</v>
      </c>
      <c r="CE16" s="486">
        <v>0</v>
      </c>
      <c r="CF16" s="486">
        <v>0</v>
      </c>
      <c r="CG16" s="486">
        <v>0</v>
      </c>
      <c r="CH16" s="486">
        <v>0</v>
      </c>
      <c r="CI16" s="486">
        <v>0</v>
      </c>
      <c r="CJ16" s="486">
        <v>0</v>
      </c>
      <c r="CK16" s="486">
        <v>0</v>
      </c>
      <c r="CL16" s="486">
        <v>0</v>
      </c>
      <c r="CM16" s="486">
        <v>0</v>
      </c>
      <c r="CN16" s="486">
        <v>0</v>
      </c>
      <c r="CO16" s="486">
        <v>0</v>
      </c>
      <c r="CP16" s="486">
        <v>0</v>
      </c>
      <c r="CQ16" s="486">
        <v>0</v>
      </c>
      <c r="CR16" s="486">
        <v>0</v>
      </c>
      <c r="CS16" s="486">
        <v>0</v>
      </c>
      <c r="CT16" s="486">
        <v>0</v>
      </c>
      <c r="CU16" s="486">
        <v>0</v>
      </c>
      <c r="CV16" s="486">
        <v>0</v>
      </c>
      <c r="CW16" s="486">
        <v>0</v>
      </c>
      <c r="CX16" s="486">
        <v>0</v>
      </c>
      <c r="CY16" s="486">
        <v>0</v>
      </c>
      <c r="CZ16" s="486">
        <v>0</v>
      </c>
      <c r="DA16" s="486">
        <v>0</v>
      </c>
      <c r="DB16" s="486">
        <v>0</v>
      </c>
      <c r="DC16" s="486">
        <v>0</v>
      </c>
      <c r="DD16" s="486">
        <v>0</v>
      </c>
      <c r="DE16" s="486">
        <v>0</v>
      </c>
      <c r="DF16" s="486">
        <v>0</v>
      </c>
      <c r="DG16" s="486">
        <v>0</v>
      </c>
      <c r="DH16" s="486">
        <v>0</v>
      </c>
      <c r="DI16" s="486">
        <v>0</v>
      </c>
      <c r="DJ16" s="486">
        <v>0</v>
      </c>
      <c r="DK16" s="486">
        <v>0</v>
      </c>
      <c r="DL16" s="486">
        <v>0</v>
      </c>
      <c r="DM16" s="486">
        <v>0</v>
      </c>
      <c r="DN16" s="486">
        <v>0</v>
      </c>
      <c r="DO16" s="486">
        <v>0</v>
      </c>
      <c r="DP16" s="486">
        <v>0</v>
      </c>
      <c r="DQ16" s="486">
        <v>0</v>
      </c>
      <c r="DR16" s="486">
        <v>0</v>
      </c>
      <c r="DS16" s="486">
        <v>0</v>
      </c>
      <c r="DT16" s="486">
        <v>0</v>
      </c>
      <c r="DU16" s="486">
        <v>0</v>
      </c>
      <c r="DV16" s="486">
        <v>0</v>
      </c>
      <c r="DW16" s="486">
        <v>0</v>
      </c>
      <c r="DX16" s="477"/>
      <c r="DY16" s="484" t="s">
        <v>720</v>
      </c>
      <c r="DZ16" s="484" t="s">
        <v>617</v>
      </c>
      <c r="EA16" s="484" t="s">
        <v>25</v>
      </c>
      <c r="EB16" s="486">
        <v>28</v>
      </c>
      <c r="EC16" s="471" t="str">
        <f t="shared" si="0"/>
        <v>AIJ100128</v>
      </c>
      <c r="ED16" s="486">
        <v>10000</v>
      </c>
      <c r="EE16" s="486">
        <v>10000</v>
      </c>
      <c r="EF16" s="486">
        <v>10000</v>
      </c>
      <c r="EG16" s="486">
        <v>10000</v>
      </c>
      <c r="EH16" s="486">
        <v>10000</v>
      </c>
      <c r="EI16" s="486">
        <v>10000</v>
      </c>
      <c r="EJ16" s="486">
        <v>10000</v>
      </c>
      <c r="EK16" s="486">
        <v>10000</v>
      </c>
      <c r="EL16" s="486">
        <v>10000</v>
      </c>
      <c r="EM16" s="486">
        <v>10000</v>
      </c>
      <c r="EN16" s="486">
        <v>0</v>
      </c>
      <c r="EO16" s="486">
        <v>0</v>
      </c>
      <c r="EP16" s="486">
        <v>0</v>
      </c>
      <c r="EQ16" s="486">
        <v>0</v>
      </c>
      <c r="ER16" s="486">
        <v>0</v>
      </c>
      <c r="ES16" s="486">
        <v>0</v>
      </c>
      <c r="ET16" s="486">
        <v>0</v>
      </c>
      <c r="EU16" s="486">
        <v>0</v>
      </c>
      <c r="EV16" s="486">
        <v>0</v>
      </c>
      <c r="EW16" s="486">
        <v>0</v>
      </c>
      <c r="EX16" s="486">
        <v>0</v>
      </c>
      <c r="EY16" s="486">
        <v>0</v>
      </c>
      <c r="EZ16" s="486">
        <v>0</v>
      </c>
      <c r="FA16" s="486">
        <v>0</v>
      </c>
      <c r="FB16" s="486">
        <v>0</v>
      </c>
      <c r="FC16" s="486">
        <v>0</v>
      </c>
      <c r="FD16" s="486">
        <v>0</v>
      </c>
      <c r="FE16" s="486">
        <v>0</v>
      </c>
      <c r="FF16" s="486">
        <v>0</v>
      </c>
      <c r="FG16" s="486">
        <v>0</v>
      </c>
      <c r="FH16" s="486">
        <v>0</v>
      </c>
      <c r="FI16" s="486">
        <v>0</v>
      </c>
      <c r="FJ16" s="486">
        <v>0</v>
      </c>
      <c r="FK16" s="486">
        <v>0</v>
      </c>
      <c r="FL16" s="486">
        <v>0</v>
      </c>
      <c r="FM16" s="486">
        <v>0</v>
      </c>
      <c r="FN16" s="486">
        <v>0</v>
      </c>
      <c r="FO16" s="486">
        <v>0</v>
      </c>
      <c r="FP16" s="486">
        <v>0</v>
      </c>
      <c r="FQ16" s="486">
        <v>0</v>
      </c>
      <c r="FR16" s="486">
        <v>0</v>
      </c>
      <c r="FS16" s="486">
        <v>0</v>
      </c>
      <c r="FT16" s="486">
        <v>0</v>
      </c>
      <c r="FU16" s="486">
        <v>0</v>
      </c>
      <c r="FV16" s="486">
        <v>0</v>
      </c>
      <c r="FW16" s="486">
        <v>0</v>
      </c>
      <c r="FX16" s="486">
        <v>0</v>
      </c>
      <c r="FY16" s="486">
        <v>0</v>
      </c>
      <c r="FZ16" s="486">
        <v>0</v>
      </c>
      <c r="GA16" s="486">
        <v>0</v>
      </c>
      <c r="GB16" s="486">
        <v>0</v>
      </c>
      <c r="GC16" s="486">
        <v>0</v>
      </c>
      <c r="GD16" s="486">
        <v>0</v>
      </c>
      <c r="GE16" s="486">
        <v>0</v>
      </c>
      <c r="GF16" s="486">
        <v>0</v>
      </c>
      <c r="GG16" s="486">
        <v>0</v>
      </c>
      <c r="GH16" s="486">
        <v>0</v>
      </c>
      <c r="GI16" s="486">
        <v>0</v>
      </c>
      <c r="GJ16" s="486">
        <v>0</v>
      </c>
      <c r="GK16" s="486">
        <v>0</v>
      </c>
      <c r="GL16" s="486">
        <v>0</v>
      </c>
      <c r="GM16" s="486">
        <v>0</v>
      </c>
      <c r="GN16" s="486">
        <v>0</v>
      </c>
      <c r="GO16" s="486">
        <v>0</v>
      </c>
      <c r="GP16" s="486">
        <v>0</v>
      </c>
      <c r="GQ16" s="486">
        <v>0</v>
      </c>
      <c r="GR16" s="486">
        <v>0</v>
      </c>
      <c r="GS16" s="486">
        <v>0</v>
      </c>
      <c r="GT16" s="486">
        <v>0</v>
      </c>
      <c r="GU16" s="486">
        <v>0</v>
      </c>
      <c r="GV16" s="486">
        <v>0</v>
      </c>
      <c r="GW16" s="486">
        <v>0</v>
      </c>
      <c r="GX16" s="486">
        <v>0</v>
      </c>
      <c r="GY16" s="486">
        <v>0</v>
      </c>
      <c r="GZ16" s="486">
        <v>0</v>
      </c>
      <c r="HA16" s="486">
        <v>0</v>
      </c>
      <c r="HB16" s="486">
        <v>0</v>
      </c>
      <c r="HC16" s="486">
        <v>0</v>
      </c>
      <c r="HD16" s="486">
        <v>0</v>
      </c>
      <c r="HE16" s="486">
        <v>0</v>
      </c>
      <c r="HF16" s="486">
        <v>0</v>
      </c>
      <c r="HG16" s="486">
        <v>0</v>
      </c>
      <c r="HH16" s="486">
        <v>0</v>
      </c>
      <c r="HI16" s="486">
        <v>0</v>
      </c>
      <c r="HJ16" s="486">
        <v>0</v>
      </c>
      <c r="HK16" s="486">
        <v>0</v>
      </c>
      <c r="HL16" s="486">
        <v>0</v>
      </c>
      <c r="HM16" s="486">
        <v>0</v>
      </c>
      <c r="HN16" s="486">
        <v>0</v>
      </c>
      <c r="HO16" s="486">
        <v>0</v>
      </c>
      <c r="HP16" s="486">
        <v>0</v>
      </c>
      <c r="HQ16" s="486">
        <v>0</v>
      </c>
      <c r="HR16" s="486">
        <v>0</v>
      </c>
      <c r="HS16" s="486">
        <v>0</v>
      </c>
      <c r="HT16" s="486">
        <v>0</v>
      </c>
      <c r="HU16" s="486">
        <v>0</v>
      </c>
      <c r="HV16" s="486">
        <v>0</v>
      </c>
      <c r="HW16" s="486">
        <v>0</v>
      </c>
      <c r="HX16" s="486">
        <v>0</v>
      </c>
      <c r="HY16" s="486">
        <v>0</v>
      </c>
      <c r="HZ16" s="486">
        <v>0</v>
      </c>
      <c r="IA16" s="486">
        <v>0</v>
      </c>
      <c r="IB16" s="486">
        <v>0</v>
      </c>
      <c r="IC16" s="486">
        <v>0</v>
      </c>
      <c r="ID16" s="486">
        <v>0</v>
      </c>
      <c r="IE16" s="486">
        <v>0</v>
      </c>
      <c r="IF16" s="486">
        <v>0</v>
      </c>
      <c r="IG16" s="486">
        <v>0</v>
      </c>
      <c r="IH16" s="486">
        <v>0</v>
      </c>
      <c r="II16" s="486">
        <v>0</v>
      </c>
      <c r="IJ16" s="486">
        <v>0</v>
      </c>
    </row>
    <row r="17" spans="1:244" ht="16.5" hidden="1">
      <c r="A17" s="484" t="s">
        <v>720</v>
      </c>
      <c r="B17" s="484" t="s">
        <v>617</v>
      </c>
      <c r="C17" s="484" t="s">
        <v>721</v>
      </c>
      <c r="D17" s="485"/>
      <c r="E17" s="484" t="s">
        <v>721</v>
      </c>
      <c r="F17" s="484" t="s">
        <v>26</v>
      </c>
      <c r="G17" s="485"/>
      <c r="H17" s="486">
        <v>23</v>
      </c>
      <c r="I17" s="471" t="str">
        <f t="shared" si="1"/>
        <v>AIJ100223</v>
      </c>
      <c r="J17" s="486">
        <v>47</v>
      </c>
      <c r="L17" s="484" t="s">
        <v>720</v>
      </c>
      <c r="M17" s="484" t="s">
        <v>617</v>
      </c>
      <c r="N17" s="484" t="s">
        <v>25</v>
      </c>
      <c r="O17" s="486">
        <v>29</v>
      </c>
      <c r="P17" s="471" t="str">
        <f t="shared" si="2"/>
        <v>AIJ100129</v>
      </c>
      <c r="Q17" s="486">
        <v>0</v>
      </c>
      <c r="R17" s="486">
        <v>8</v>
      </c>
      <c r="S17" s="486">
        <v>14</v>
      </c>
      <c r="T17" s="486">
        <v>20</v>
      </c>
      <c r="U17" s="486">
        <v>28</v>
      </c>
      <c r="V17" s="486">
        <v>33</v>
      </c>
      <c r="W17" s="486">
        <v>40</v>
      </c>
      <c r="X17" s="486">
        <v>46</v>
      </c>
      <c r="Y17" s="486">
        <v>49</v>
      </c>
      <c r="Z17" s="486">
        <v>0</v>
      </c>
      <c r="AA17" s="486">
        <v>0</v>
      </c>
      <c r="AB17" s="486">
        <v>0</v>
      </c>
      <c r="AC17" s="486">
        <v>0</v>
      </c>
      <c r="AD17" s="486">
        <v>0</v>
      </c>
      <c r="AE17" s="486">
        <v>0</v>
      </c>
      <c r="AF17" s="486">
        <v>0</v>
      </c>
      <c r="AG17" s="486">
        <v>0</v>
      </c>
      <c r="AH17" s="486">
        <v>0</v>
      </c>
      <c r="AI17" s="486">
        <v>0</v>
      </c>
      <c r="AJ17" s="486">
        <v>0</v>
      </c>
      <c r="AK17" s="486">
        <v>0</v>
      </c>
      <c r="AL17" s="486">
        <v>0</v>
      </c>
      <c r="AM17" s="486">
        <v>0</v>
      </c>
      <c r="AN17" s="486">
        <v>0</v>
      </c>
      <c r="AO17" s="486">
        <v>0</v>
      </c>
      <c r="AP17" s="486">
        <v>0</v>
      </c>
      <c r="AQ17" s="486">
        <v>0</v>
      </c>
      <c r="AR17" s="486">
        <v>0</v>
      </c>
      <c r="AS17" s="486">
        <v>0</v>
      </c>
      <c r="AT17" s="486">
        <v>0</v>
      </c>
      <c r="AU17" s="486">
        <v>0</v>
      </c>
      <c r="AV17" s="486">
        <v>0</v>
      </c>
      <c r="AW17" s="486">
        <v>0</v>
      </c>
      <c r="AX17" s="486">
        <v>0</v>
      </c>
      <c r="AY17" s="486">
        <v>0</v>
      </c>
      <c r="AZ17" s="486">
        <v>0</v>
      </c>
      <c r="BA17" s="486">
        <v>0</v>
      </c>
      <c r="BB17" s="486">
        <v>0</v>
      </c>
      <c r="BC17" s="486">
        <v>0</v>
      </c>
      <c r="BD17" s="486">
        <v>0</v>
      </c>
      <c r="BE17" s="486">
        <v>0</v>
      </c>
      <c r="BF17" s="486">
        <v>0</v>
      </c>
      <c r="BG17" s="486">
        <v>0</v>
      </c>
      <c r="BH17" s="486">
        <v>0</v>
      </c>
      <c r="BI17" s="486">
        <v>0</v>
      </c>
      <c r="BJ17" s="486">
        <v>0</v>
      </c>
      <c r="BK17" s="486">
        <v>0</v>
      </c>
      <c r="BL17" s="486">
        <v>0</v>
      </c>
      <c r="BM17" s="486">
        <v>0</v>
      </c>
      <c r="BN17" s="486">
        <v>0</v>
      </c>
      <c r="BO17" s="486">
        <v>0</v>
      </c>
      <c r="BP17" s="486">
        <v>0</v>
      </c>
      <c r="BQ17" s="486">
        <v>0</v>
      </c>
      <c r="BR17" s="486">
        <v>0</v>
      </c>
      <c r="BS17" s="486">
        <v>0</v>
      </c>
      <c r="BT17" s="486">
        <v>0</v>
      </c>
      <c r="BU17" s="486">
        <v>0</v>
      </c>
      <c r="BV17" s="486">
        <v>0</v>
      </c>
      <c r="BW17" s="486">
        <v>0</v>
      </c>
      <c r="BX17" s="486">
        <v>0</v>
      </c>
      <c r="BY17" s="486">
        <v>0</v>
      </c>
      <c r="BZ17" s="486">
        <v>0</v>
      </c>
      <c r="CA17" s="486">
        <v>0</v>
      </c>
      <c r="CB17" s="486">
        <v>0</v>
      </c>
      <c r="CC17" s="486">
        <v>0</v>
      </c>
      <c r="CD17" s="486">
        <v>0</v>
      </c>
      <c r="CE17" s="486">
        <v>0</v>
      </c>
      <c r="CF17" s="486">
        <v>0</v>
      </c>
      <c r="CG17" s="486">
        <v>0</v>
      </c>
      <c r="CH17" s="486">
        <v>0</v>
      </c>
      <c r="CI17" s="486">
        <v>0</v>
      </c>
      <c r="CJ17" s="486">
        <v>0</v>
      </c>
      <c r="CK17" s="486">
        <v>0</v>
      </c>
      <c r="CL17" s="486">
        <v>0</v>
      </c>
      <c r="CM17" s="486">
        <v>0</v>
      </c>
      <c r="CN17" s="486">
        <v>0</v>
      </c>
      <c r="CO17" s="486">
        <v>0</v>
      </c>
      <c r="CP17" s="486">
        <v>0</v>
      </c>
      <c r="CQ17" s="486">
        <v>0</v>
      </c>
      <c r="CR17" s="486">
        <v>0</v>
      </c>
      <c r="CS17" s="486">
        <v>0</v>
      </c>
      <c r="CT17" s="486">
        <v>0</v>
      </c>
      <c r="CU17" s="486">
        <v>0</v>
      </c>
      <c r="CV17" s="486">
        <v>0</v>
      </c>
      <c r="CW17" s="486">
        <v>0</v>
      </c>
      <c r="CX17" s="486">
        <v>0</v>
      </c>
      <c r="CY17" s="486">
        <v>0</v>
      </c>
      <c r="CZ17" s="486">
        <v>0</v>
      </c>
      <c r="DA17" s="486">
        <v>0</v>
      </c>
      <c r="DB17" s="486">
        <v>0</v>
      </c>
      <c r="DC17" s="486">
        <v>0</v>
      </c>
      <c r="DD17" s="486">
        <v>0</v>
      </c>
      <c r="DE17" s="486">
        <v>0</v>
      </c>
      <c r="DF17" s="486">
        <v>0</v>
      </c>
      <c r="DG17" s="486">
        <v>0</v>
      </c>
      <c r="DH17" s="486">
        <v>0</v>
      </c>
      <c r="DI17" s="486">
        <v>0</v>
      </c>
      <c r="DJ17" s="486">
        <v>0</v>
      </c>
      <c r="DK17" s="486">
        <v>0</v>
      </c>
      <c r="DL17" s="486">
        <v>0</v>
      </c>
      <c r="DM17" s="486">
        <v>0</v>
      </c>
      <c r="DN17" s="486">
        <v>0</v>
      </c>
      <c r="DO17" s="486">
        <v>0</v>
      </c>
      <c r="DP17" s="486">
        <v>0</v>
      </c>
      <c r="DQ17" s="486">
        <v>0</v>
      </c>
      <c r="DR17" s="486">
        <v>0</v>
      </c>
      <c r="DS17" s="486">
        <v>0</v>
      </c>
      <c r="DT17" s="486">
        <v>0</v>
      </c>
      <c r="DU17" s="486">
        <v>0</v>
      </c>
      <c r="DV17" s="486">
        <v>0</v>
      </c>
      <c r="DW17" s="486">
        <v>0</v>
      </c>
      <c r="DX17" s="477"/>
      <c r="DY17" s="484" t="s">
        <v>720</v>
      </c>
      <c r="DZ17" s="484" t="s">
        <v>617</v>
      </c>
      <c r="EA17" s="484" t="s">
        <v>25</v>
      </c>
      <c r="EB17" s="486">
        <v>29</v>
      </c>
      <c r="EC17" s="471" t="str">
        <f t="shared" si="0"/>
        <v>AIJ100129</v>
      </c>
      <c r="ED17" s="486">
        <v>10000</v>
      </c>
      <c r="EE17" s="486">
        <v>10000</v>
      </c>
      <c r="EF17" s="486">
        <v>10000</v>
      </c>
      <c r="EG17" s="486">
        <v>10000</v>
      </c>
      <c r="EH17" s="486">
        <v>10000</v>
      </c>
      <c r="EI17" s="486">
        <v>10000</v>
      </c>
      <c r="EJ17" s="486">
        <v>10000</v>
      </c>
      <c r="EK17" s="486">
        <v>10000</v>
      </c>
      <c r="EL17" s="486">
        <v>10000</v>
      </c>
      <c r="EM17" s="486">
        <v>10000</v>
      </c>
      <c r="EN17" s="486">
        <v>0</v>
      </c>
      <c r="EO17" s="486">
        <v>0</v>
      </c>
      <c r="EP17" s="486">
        <v>0</v>
      </c>
      <c r="EQ17" s="486">
        <v>0</v>
      </c>
      <c r="ER17" s="486">
        <v>0</v>
      </c>
      <c r="ES17" s="486">
        <v>0</v>
      </c>
      <c r="ET17" s="486">
        <v>0</v>
      </c>
      <c r="EU17" s="486">
        <v>0</v>
      </c>
      <c r="EV17" s="486">
        <v>0</v>
      </c>
      <c r="EW17" s="486">
        <v>0</v>
      </c>
      <c r="EX17" s="486">
        <v>0</v>
      </c>
      <c r="EY17" s="486">
        <v>0</v>
      </c>
      <c r="EZ17" s="486">
        <v>0</v>
      </c>
      <c r="FA17" s="486">
        <v>0</v>
      </c>
      <c r="FB17" s="486">
        <v>0</v>
      </c>
      <c r="FC17" s="486">
        <v>0</v>
      </c>
      <c r="FD17" s="486">
        <v>0</v>
      </c>
      <c r="FE17" s="486">
        <v>0</v>
      </c>
      <c r="FF17" s="486">
        <v>0</v>
      </c>
      <c r="FG17" s="486">
        <v>0</v>
      </c>
      <c r="FH17" s="486">
        <v>0</v>
      </c>
      <c r="FI17" s="486">
        <v>0</v>
      </c>
      <c r="FJ17" s="486">
        <v>0</v>
      </c>
      <c r="FK17" s="486">
        <v>0</v>
      </c>
      <c r="FL17" s="486">
        <v>0</v>
      </c>
      <c r="FM17" s="486">
        <v>0</v>
      </c>
      <c r="FN17" s="486">
        <v>0</v>
      </c>
      <c r="FO17" s="486">
        <v>0</v>
      </c>
      <c r="FP17" s="486">
        <v>0</v>
      </c>
      <c r="FQ17" s="486">
        <v>0</v>
      </c>
      <c r="FR17" s="486">
        <v>0</v>
      </c>
      <c r="FS17" s="486">
        <v>0</v>
      </c>
      <c r="FT17" s="486">
        <v>0</v>
      </c>
      <c r="FU17" s="486">
        <v>0</v>
      </c>
      <c r="FV17" s="486">
        <v>0</v>
      </c>
      <c r="FW17" s="486">
        <v>0</v>
      </c>
      <c r="FX17" s="486">
        <v>0</v>
      </c>
      <c r="FY17" s="486">
        <v>0</v>
      </c>
      <c r="FZ17" s="486">
        <v>0</v>
      </c>
      <c r="GA17" s="486">
        <v>0</v>
      </c>
      <c r="GB17" s="486">
        <v>0</v>
      </c>
      <c r="GC17" s="486">
        <v>0</v>
      </c>
      <c r="GD17" s="486">
        <v>0</v>
      </c>
      <c r="GE17" s="486">
        <v>0</v>
      </c>
      <c r="GF17" s="486">
        <v>0</v>
      </c>
      <c r="GG17" s="486">
        <v>0</v>
      </c>
      <c r="GH17" s="486">
        <v>0</v>
      </c>
      <c r="GI17" s="486">
        <v>0</v>
      </c>
      <c r="GJ17" s="486">
        <v>0</v>
      </c>
      <c r="GK17" s="486">
        <v>0</v>
      </c>
      <c r="GL17" s="486">
        <v>0</v>
      </c>
      <c r="GM17" s="486">
        <v>0</v>
      </c>
      <c r="GN17" s="486">
        <v>0</v>
      </c>
      <c r="GO17" s="486">
        <v>0</v>
      </c>
      <c r="GP17" s="486">
        <v>0</v>
      </c>
      <c r="GQ17" s="486">
        <v>0</v>
      </c>
      <c r="GR17" s="486">
        <v>0</v>
      </c>
      <c r="GS17" s="486">
        <v>0</v>
      </c>
      <c r="GT17" s="486">
        <v>0</v>
      </c>
      <c r="GU17" s="486">
        <v>0</v>
      </c>
      <c r="GV17" s="486">
        <v>0</v>
      </c>
      <c r="GW17" s="486">
        <v>0</v>
      </c>
      <c r="GX17" s="486">
        <v>0</v>
      </c>
      <c r="GY17" s="486">
        <v>0</v>
      </c>
      <c r="GZ17" s="486">
        <v>0</v>
      </c>
      <c r="HA17" s="486">
        <v>0</v>
      </c>
      <c r="HB17" s="486">
        <v>0</v>
      </c>
      <c r="HC17" s="486">
        <v>0</v>
      </c>
      <c r="HD17" s="486">
        <v>0</v>
      </c>
      <c r="HE17" s="486">
        <v>0</v>
      </c>
      <c r="HF17" s="486">
        <v>0</v>
      </c>
      <c r="HG17" s="486">
        <v>0</v>
      </c>
      <c r="HH17" s="486">
        <v>0</v>
      </c>
      <c r="HI17" s="486">
        <v>0</v>
      </c>
      <c r="HJ17" s="486">
        <v>0</v>
      </c>
      <c r="HK17" s="486">
        <v>0</v>
      </c>
      <c r="HL17" s="486">
        <v>0</v>
      </c>
      <c r="HM17" s="486">
        <v>0</v>
      </c>
      <c r="HN17" s="486">
        <v>0</v>
      </c>
      <c r="HO17" s="486">
        <v>0</v>
      </c>
      <c r="HP17" s="486">
        <v>0</v>
      </c>
      <c r="HQ17" s="486">
        <v>0</v>
      </c>
      <c r="HR17" s="486">
        <v>0</v>
      </c>
      <c r="HS17" s="486">
        <v>0</v>
      </c>
      <c r="HT17" s="486">
        <v>0</v>
      </c>
      <c r="HU17" s="486">
        <v>0</v>
      </c>
      <c r="HV17" s="486">
        <v>0</v>
      </c>
      <c r="HW17" s="486">
        <v>0</v>
      </c>
      <c r="HX17" s="486">
        <v>0</v>
      </c>
      <c r="HY17" s="486">
        <v>0</v>
      </c>
      <c r="HZ17" s="486">
        <v>0</v>
      </c>
      <c r="IA17" s="486">
        <v>0</v>
      </c>
      <c r="IB17" s="486">
        <v>0</v>
      </c>
      <c r="IC17" s="486">
        <v>0</v>
      </c>
      <c r="ID17" s="486">
        <v>0</v>
      </c>
      <c r="IE17" s="486">
        <v>0</v>
      </c>
      <c r="IF17" s="486">
        <v>0</v>
      </c>
      <c r="IG17" s="486">
        <v>0</v>
      </c>
      <c r="IH17" s="486">
        <v>0</v>
      </c>
      <c r="II17" s="486">
        <v>0</v>
      </c>
      <c r="IJ17" s="486">
        <v>0</v>
      </c>
    </row>
    <row r="18" spans="1:244" ht="16.5" hidden="1">
      <c r="A18" s="484" t="s">
        <v>720</v>
      </c>
      <c r="B18" s="484" t="s">
        <v>617</v>
      </c>
      <c r="C18" s="484" t="s">
        <v>721</v>
      </c>
      <c r="D18" s="485"/>
      <c r="E18" s="484" t="s">
        <v>721</v>
      </c>
      <c r="F18" s="484" t="s">
        <v>26</v>
      </c>
      <c r="G18" s="485"/>
      <c r="H18" s="486">
        <v>24</v>
      </c>
      <c r="I18" s="471" t="str">
        <f t="shared" si="1"/>
        <v>AIJ100224</v>
      </c>
      <c r="J18" s="486">
        <v>48</v>
      </c>
      <c r="L18" s="484" t="s">
        <v>720</v>
      </c>
      <c r="M18" s="484" t="s">
        <v>617</v>
      </c>
      <c r="N18" s="484" t="s">
        <v>25</v>
      </c>
      <c r="O18" s="486">
        <v>30</v>
      </c>
      <c r="P18" s="471" t="str">
        <f t="shared" si="2"/>
        <v>AIJ100130</v>
      </c>
      <c r="Q18" s="486">
        <v>0</v>
      </c>
      <c r="R18" s="486">
        <v>8</v>
      </c>
      <c r="S18" s="486">
        <v>15</v>
      </c>
      <c r="T18" s="486">
        <v>22</v>
      </c>
      <c r="U18" s="486">
        <v>29</v>
      </c>
      <c r="V18" s="486">
        <v>34</v>
      </c>
      <c r="W18" s="486">
        <v>41</v>
      </c>
      <c r="X18" s="486">
        <v>48</v>
      </c>
      <c r="Y18" s="486">
        <v>50</v>
      </c>
      <c r="Z18" s="486">
        <v>0</v>
      </c>
      <c r="AA18" s="486">
        <v>0</v>
      </c>
      <c r="AB18" s="486">
        <v>0</v>
      </c>
      <c r="AC18" s="486">
        <v>0</v>
      </c>
      <c r="AD18" s="486">
        <v>0</v>
      </c>
      <c r="AE18" s="486">
        <v>0</v>
      </c>
      <c r="AF18" s="486">
        <v>0</v>
      </c>
      <c r="AG18" s="486">
        <v>0</v>
      </c>
      <c r="AH18" s="486">
        <v>0</v>
      </c>
      <c r="AI18" s="486">
        <v>0</v>
      </c>
      <c r="AJ18" s="486">
        <v>0</v>
      </c>
      <c r="AK18" s="486">
        <v>0</v>
      </c>
      <c r="AL18" s="486">
        <v>0</v>
      </c>
      <c r="AM18" s="486">
        <v>0</v>
      </c>
      <c r="AN18" s="486">
        <v>0</v>
      </c>
      <c r="AO18" s="486">
        <v>0</v>
      </c>
      <c r="AP18" s="486">
        <v>0</v>
      </c>
      <c r="AQ18" s="486">
        <v>0</v>
      </c>
      <c r="AR18" s="486">
        <v>0</v>
      </c>
      <c r="AS18" s="486">
        <v>0</v>
      </c>
      <c r="AT18" s="486">
        <v>0</v>
      </c>
      <c r="AU18" s="486">
        <v>0</v>
      </c>
      <c r="AV18" s="486">
        <v>0</v>
      </c>
      <c r="AW18" s="486">
        <v>0</v>
      </c>
      <c r="AX18" s="486">
        <v>0</v>
      </c>
      <c r="AY18" s="486">
        <v>0</v>
      </c>
      <c r="AZ18" s="486">
        <v>0</v>
      </c>
      <c r="BA18" s="486">
        <v>0</v>
      </c>
      <c r="BB18" s="486">
        <v>0</v>
      </c>
      <c r="BC18" s="486">
        <v>0</v>
      </c>
      <c r="BD18" s="486">
        <v>0</v>
      </c>
      <c r="BE18" s="486">
        <v>0</v>
      </c>
      <c r="BF18" s="486">
        <v>0</v>
      </c>
      <c r="BG18" s="486">
        <v>0</v>
      </c>
      <c r="BH18" s="486">
        <v>0</v>
      </c>
      <c r="BI18" s="486">
        <v>0</v>
      </c>
      <c r="BJ18" s="486">
        <v>0</v>
      </c>
      <c r="BK18" s="486">
        <v>0</v>
      </c>
      <c r="BL18" s="486">
        <v>0</v>
      </c>
      <c r="BM18" s="486">
        <v>0</v>
      </c>
      <c r="BN18" s="486">
        <v>0</v>
      </c>
      <c r="BO18" s="486">
        <v>0</v>
      </c>
      <c r="BP18" s="486">
        <v>0</v>
      </c>
      <c r="BQ18" s="486">
        <v>0</v>
      </c>
      <c r="BR18" s="486">
        <v>0</v>
      </c>
      <c r="BS18" s="486">
        <v>0</v>
      </c>
      <c r="BT18" s="486">
        <v>0</v>
      </c>
      <c r="BU18" s="486">
        <v>0</v>
      </c>
      <c r="BV18" s="486">
        <v>0</v>
      </c>
      <c r="BW18" s="486">
        <v>0</v>
      </c>
      <c r="BX18" s="486">
        <v>0</v>
      </c>
      <c r="BY18" s="486">
        <v>0</v>
      </c>
      <c r="BZ18" s="486">
        <v>0</v>
      </c>
      <c r="CA18" s="486">
        <v>0</v>
      </c>
      <c r="CB18" s="486">
        <v>0</v>
      </c>
      <c r="CC18" s="486">
        <v>0</v>
      </c>
      <c r="CD18" s="486">
        <v>0</v>
      </c>
      <c r="CE18" s="486">
        <v>0</v>
      </c>
      <c r="CF18" s="486">
        <v>0</v>
      </c>
      <c r="CG18" s="486">
        <v>0</v>
      </c>
      <c r="CH18" s="486">
        <v>0</v>
      </c>
      <c r="CI18" s="486">
        <v>0</v>
      </c>
      <c r="CJ18" s="486">
        <v>0</v>
      </c>
      <c r="CK18" s="486">
        <v>0</v>
      </c>
      <c r="CL18" s="486">
        <v>0</v>
      </c>
      <c r="CM18" s="486">
        <v>0</v>
      </c>
      <c r="CN18" s="486">
        <v>0</v>
      </c>
      <c r="CO18" s="486">
        <v>0</v>
      </c>
      <c r="CP18" s="486">
        <v>0</v>
      </c>
      <c r="CQ18" s="486">
        <v>0</v>
      </c>
      <c r="CR18" s="486">
        <v>0</v>
      </c>
      <c r="CS18" s="486">
        <v>0</v>
      </c>
      <c r="CT18" s="486">
        <v>0</v>
      </c>
      <c r="CU18" s="486">
        <v>0</v>
      </c>
      <c r="CV18" s="486">
        <v>0</v>
      </c>
      <c r="CW18" s="486">
        <v>0</v>
      </c>
      <c r="CX18" s="486">
        <v>0</v>
      </c>
      <c r="CY18" s="486">
        <v>0</v>
      </c>
      <c r="CZ18" s="486">
        <v>0</v>
      </c>
      <c r="DA18" s="486">
        <v>0</v>
      </c>
      <c r="DB18" s="486">
        <v>0</v>
      </c>
      <c r="DC18" s="486">
        <v>0</v>
      </c>
      <c r="DD18" s="486">
        <v>0</v>
      </c>
      <c r="DE18" s="486">
        <v>0</v>
      </c>
      <c r="DF18" s="486">
        <v>0</v>
      </c>
      <c r="DG18" s="486">
        <v>0</v>
      </c>
      <c r="DH18" s="486">
        <v>0</v>
      </c>
      <c r="DI18" s="486">
        <v>0</v>
      </c>
      <c r="DJ18" s="486">
        <v>0</v>
      </c>
      <c r="DK18" s="486">
        <v>0</v>
      </c>
      <c r="DL18" s="486">
        <v>0</v>
      </c>
      <c r="DM18" s="486">
        <v>0</v>
      </c>
      <c r="DN18" s="486">
        <v>0</v>
      </c>
      <c r="DO18" s="486">
        <v>0</v>
      </c>
      <c r="DP18" s="486">
        <v>0</v>
      </c>
      <c r="DQ18" s="486">
        <v>0</v>
      </c>
      <c r="DR18" s="486">
        <v>0</v>
      </c>
      <c r="DS18" s="486">
        <v>0</v>
      </c>
      <c r="DT18" s="486">
        <v>0</v>
      </c>
      <c r="DU18" s="486">
        <v>0</v>
      </c>
      <c r="DV18" s="486">
        <v>0</v>
      </c>
      <c r="DW18" s="486">
        <v>0</v>
      </c>
      <c r="DX18" s="477"/>
      <c r="DY18" s="484" t="s">
        <v>720</v>
      </c>
      <c r="DZ18" s="484" t="s">
        <v>617</v>
      </c>
      <c r="EA18" s="484" t="s">
        <v>25</v>
      </c>
      <c r="EB18" s="486">
        <v>30</v>
      </c>
      <c r="EC18" s="471" t="str">
        <f t="shared" si="0"/>
        <v>AIJ100130</v>
      </c>
      <c r="ED18" s="486">
        <v>10000</v>
      </c>
      <c r="EE18" s="486">
        <v>10000</v>
      </c>
      <c r="EF18" s="486">
        <v>10000</v>
      </c>
      <c r="EG18" s="486">
        <v>10000</v>
      </c>
      <c r="EH18" s="486">
        <v>10000</v>
      </c>
      <c r="EI18" s="486">
        <v>10000</v>
      </c>
      <c r="EJ18" s="486">
        <v>10000</v>
      </c>
      <c r="EK18" s="486">
        <v>10000</v>
      </c>
      <c r="EL18" s="486">
        <v>10000</v>
      </c>
      <c r="EM18" s="486">
        <v>10000</v>
      </c>
      <c r="EN18" s="486">
        <v>0</v>
      </c>
      <c r="EO18" s="486">
        <v>0</v>
      </c>
      <c r="EP18" s="486">
        <v>0</v>
      </c>
      <c r="EQ18" s="486">
        <v>0</v>
      </c>
      <c r="ER18" s="486">
        <v>0</v>
      </c>
      <c r="ES18" s="486">
        <v>0</v>
      </c>
      <c r="ET18" s="486">
        <v>0</v>
      </c>
      <c r="EU18" s="486">
        <v>0</v>
      </c>
      <c r="EV18" s="486">
        <v>0</v>
      </c>
      <c r="EW18" s="486">
        <v>0</v>
      </c>
      <c r="EX18" s="486">
        <v>0</v>
      </c>
      <c r="EY18" s="486">
        <v>0</v>
      </c>
      <c r="EZ18" s="486">
        <v>0</v>
      </c>
      <c r="FA18" s="486">
        <v>0</v>
      </c>
      <c r="FB18" s="486">
        <v>0</v>
      </c>
      <c r="FC18" s="486">
        <v>0</v>
      </c>
      <c r="FD18" s="486">
        <v>0</v>
      </c>
      <c r="FE18" s="486">
        <v>0</v>
      </c>
      <c r="FF18" s="486">
        <v>0</v>
      </c>
      <c r="FG18" s="486">
        <v>0</v>
      </c>
      <c r="FH18" s="486">
        <v>0</v>
      </c>
      <c r="FI18" s="486">
        <v>0</v>
      </c>
      <c r="FJ18" s="486">
        <v>0</v>
      </c>
      <c r="FK18" s="486">
        <v>0</v>
      </c>
      <c r="FL18" s="486">
        <v>0</v>
      </c>
      <c r="FM18" s="486">
        <v>0</v>
      </c>
      <c r="FN18" s="486">
        <v>0</v>
      </c>
      <c r="FO18" s="486">
        <v>0</v>
      </c>
      <c r="FP18" s="486">
        <v>0</v>
      </c>
      <c r="FQ18" s="486">
        <v>0</v>
      </c>
      <c r="FR18" s="486">
        <v>0</v>
      </c>
      <c r="FS18" s="486">
        <v>0</v>
      </c>
      <c r="FT18" s="486">
        <v>0</v>
      </c>
      <c r="FU18" s="486">
        <v>0</v>
      </c>
      <c r="FV18" s="486">
        <v>0</v>
      </c>
      <c r="FW18" s="486">
        <v>0</v>
      </c>
      <c r="FX18" s="486">
        <v>0</v>
      </c>
      <c r="FY18" s="486">
        <v>0</v>
      </c>
      <c r="FZ18" s="486">
        <v>0</v>
      </c>
      <c r="GA18" s="486">
        <v>0</v>
      </c>
      <c r="GB18" s="486">
        <v>0</v>
      </c>
      <c r="GC18" s="486">
        <v>0</v>
      </c>
      <c r="GD18" s="486">
        <v>0</v>
      </c>
      <c r="GE18" s="486">
        <v>0</v>
      </c>
      <c r="GF18" s="486">
        <v>0</v>
      </c>
      <c r="GG18" s="486">
        <v>0</v>
      </c>
      <c r="GH18" s="486">
        <v>0</v>
      </c>
      <c r="GI18" s="486">
        <v>0</v>
      </c>
      <c r="GJ18" s="486">
        <v>0</v>
      </c>
      <c r="GK18" s="486">
        <v>0</v>
      </c>
      <c r="GL18" s="486">
        <v>0</v>
      </c>
      <c r="GM18" s="486">
        <v>0</v>
      </c>
      <c r="GN18" s="486">
        <v>0</v>
      </c>
      <c r="GO18" s="486">
        <v>0</v>
      </c>
      <c r="GP18" s="486">
        <v>0</v>
      </c>
      <c r="GQ18" s="486">
        <v>0</v>
      </c>
      <c r="GR18" s="486">
        <v>0</v>
      </c>
      <c r="GS18" s="486">
        <v>0</v>
      </c>
      <c r="GT18" s="486">
        <v>0</v>
      </c>
      <c r="GU18" s="486">
        <v>0</v>
      </c>
      <c r="GV18" s="486">
        <v>0</v>
      </c>
      <c r="GW18" s="486">
        <v>0</v>
      </c>
      <c r="GX18" s="486">
        <v>0</v>
      </c>
      <c r="GY18" s="486">
        <v>0</v>
      </c>
      <c r="GZ18" s="486">
        <v>0</v>
      </c>
      <c r="HA18" s="486">
        <v>0</v>
      </c>
      <c r="HB18" s="486">
        <v>0</v>
      </c>
      <c r="HC18" s="486">
        <v>0</v>
      </c>
      <c r="HD18" s="486">
        <v>0</v>
      </c>
      <c r="HE18" s="486">
        <v>0</v>
      </c>
      <c r="HF18" s="486">
        <v>0</v>
      </c>
      <c r="HG18" s="486">
        <v>0</v>
      </c>
      <c r="HH18" s="486">
        <v>0</v>
      </c>
      <c r="HI18" s="486">
        <v>0</v>
      </c>
      <c r="HJ18" s="486">
        <v>0</v>
      </c>
      <c r="HK18" s="486">
        <v>0</v>
      </c>
      <c r="HL18" s="486">
        <v>0</v>
      </c>
      <c r="HM18" s="486">
        <v>0</v>
      </c>
      <c r="HN18" s="486">
        <v>0</v>
      </c>
      <c r="HO18" s="486">
        <v>0</v>
      </c>
      <c r="HP18" s="486">
        <v>0</v>
      </c>
      <c r="HQ18" s="486">
        <v>0</v>
      </c>
      <c r="HR18" s="486">
        <v>0</v>
      </c>
      <c r="HS18" s="486">
        <v>0</v>
      </c>
      <c r="HT18" s="486">
        <v>0</v>
      </c>
      <c r="HU18" s="486">
        <v>0</v>
      </c>
      <c r="HV18" s="486">
        <v>0</v>
      </c>
      <c r="HW18" s="486">
        <v>0</v>
      </c>
      <c r="HX18" s="486">
        <v>0</v>
      </c>
      <c r="HY18" s="486">
        <v>0</v>
      </c>
      <c r="HZ18" s="486">
        <v>0</v>
      </c>
      <c r="IA18" s="486">
        <v>0</v>
      </c>
      <c r="IB18" s="486">
        <v>0</v>
      </c>
      <c r="IC18" s="486">
        <v>0</v>
      </c>
      <c r="ID18" s="486">
        <v>0</v>
      </c>
      <c r="IE18" s="486">
        <v>0</v>
      </c>
      <c r="IF18" s="486">
        <v>0</v>
      </c>
      <c r="IG18" s="486">
        <v>0</v>
      </c>
      <c r="IH18" s="486">
        <v>0</v>
      </c>
      <c r="II18" s="486">
        <v>0</v>
      </c>
      <c r="IJ18" s="486">
        <v>0</v>
      </c>
    </row>
    <row r="19" spans="1:244" ht="16.5" hidden="1">
      <c r="A19" s="484" t="s">
        <v>720</v>
      </c>
      <c r="B19" s="484" t="s">
        <v>617</v>
      </c>
      <c r="C19" s="484" t="s">
        <v>721</v>
      </c>
      <c r="D19" s="485"/>
      <c r="E19" s="484" t="s">
        <v>721</v>
      </c>
      <c r="F19" s="484" t="s">
        <v>26</v>
      </c>
      <c r="G19" s="485"/>
      <c r="H19" s="486">
        <v>25</v>
      </c>
      <c r="I19" s="471" t="str">
        <f t="shared" si="1"/>
        <v>AIJ100225</v>
      </c>
      <c r="J19" s="486">
        <v>49</v>
      </c>
      <c r="L19" s="484" t="s">
        <v>720</v>
      </c>
      <c r="M19" s="484" t="s">
        <v>617</v>
      </c>
      <c r="N19" s="484" t="s">
        <v>25</v>
      </c>
      <c r="O19" s="486">
        <v>31</v>
      </c>
      <c r="P19" s="471" t="str">
        <f t="shared" si="2"/>
        <v>AIJ100131</v>
      </c>
      <c r="Q19" s="486">
        <v>0</v>
      </c>
      <c r="R19" s="486">
        <v>8</v>
      </c>
      <c r="S19" s="486">
        <v>16</v>
      </c>
      <c r="T19" s="486">
        <v>23</v>
      </c>
      <c r="U19" s="486">
        <v>30</v>
      </c>
      <c r="V19" s="486">
        <v>36</v>
      </c>
      <c r="W19" s="486">
        <v>43</v>
      </c>
      <c r="X19" s="486">
        <v>49</v>
      </c>
      <c r="Y19" s="486">
        <v>51</v>
      </c>
      <c r="Z19" s="486">
        <v>0</v>
      </c>
      <c r="AA19" s="486">
        <v>0</v>
      </c>
      <c r="AB19" s="486">
        <v>0</v>
      </c>
      <c r="AC19" s="486">
        <v>0</v>
      </c>
      <c r="AD19" s="486">
        <v>0</v>
      </c>
      <c r="AE19" s="486">
        <v>0</v>
      </c>
      <c r="AF19" s="486">
        <v>0</v>
      </c>
      <c r="AG19" s="486">
        <v>0</v>
      </c>
      <c r="AH19" s="486">
        <v>0</v>
      </c>
      <c r="AI19" s="486">
        <v>0</v>
      </c>
      <c r="AJ19" s="486">
        <v>0</v>
      </c>
      <c r="AK19" s="486">
        <v>0</v>
      </c>
      <c r="AL19" s="486">
        <v>0</v>
      </c>
      <c r="AM19" s="486">
        <v>0</v>
      </c>
      <c r="AN19" s="486">
        <v>0</v>
      </c>
      <c r="AO19" s="486">
        <v>0</v>
      </c>
      <c r="AP19" s="486">
        <v>0</v>
      </c>
      <c r="AQ19" s="486">
        <v>0</v>
      </c>
      <c r="AR19" s="486">
        <v>0</v>
      </c>
      <c r="AS19" s="486">
        <v>0</v>
      </c>
      <c r="AT19" s="486">
        <v>0</v>
      </c>
      <c r="AU19" s="486">
        <v>0</v>
      </c>
      <c r="AV19" s="486">
        <v>0</v>
      </c>
      <c r="AW19" s="486">
        <v>0</v>
      </c>
      <c r="AX19" s="486">
        <v>0</v>
      </c>
      <c r="AY19" s="486">
        <v>0</v>
      </c>
      <c r="AZ19" s="486">
        <v>0</v>
      </c>
      <c r="BA19" s="486">
        <v>0</v>
      </c>
      <c r="BB19" s="486">
        <v>0</v>
      </c>
      <c r="BC19" s="486">
        <v>0</v>
      </c>
      <c r="BD19" s="486">
        <v>0</v>
      </c>
      <c r="BE19" s="486">
        <v>0</v>
      </c>
      <c r="BF19" s="486">
        <v>0</v>
      </c>
      <c r="BG19" s="486">
        <v>0</v>
      </c>
      <c r="BH19" s="486">
        <v>0</v>
      </c>
      <c r="BI19" s="486">
        <v>0</v>
      </c>
      <c r="BJ19" s="486">
        <v>0</v>
      </c>
      <c r="BK19" s="486">
        <v>0</v>
      </c>
      <c r="BL19" s="486">
        <v>0</v>
      </c>
      <c r="BM19" s="486">
        <v>0</v>
      </c>
      <c r="BN19" s="486">
        <v>0</v>
      </c>
      <c r="BO19" s="486">
        <v>0</v>
      </c>
      <c r="BP19" s="486">
        <v>0</v>
      </c>
      <c r="BQ19" s="486">
        <v>0</v>
      </c>
      <c r="BR19" s="486">
        <v>0</v>
      </c>
      <c r="BS19" s="486">
        <v>0</v>
      </c>
      <c r="BT19" s="486">
        <v>0</v>
      </c>
      <c r="BU19" s="486">
        <v>0</v>
      </c>
      <c r="BV19" s="486">
        <v>0</v>
      </c>
      <c r="BW19" s="486">
        <v>0</v>
      </c>
      <c r="BX19" s="486">
        <v>0</v>
      </c>
      <c r="BY19" s="486">
        <v>0</v>
      </c>
      <c r="BZ19" s="486">
        <v>0</v>
      </c>
      <c r="CA19" s="486">
        <v>0</v>
      </c>
      <c r="CB19" s="486">
        <v>0</v>
      </c>
      <c r="CC19" s="486">
        <v>0</v>
      </c>
      <c r="CD19" s="486">
        <v>0</v>
      </c>
      <c r="CE19" s="486">
        <v>0</v>
      </c>
      <c r="CF19" s="486">
        <v>0</v>
      </c>
      <c r="CG19" s="486">
        <v>0</v>
      </c>
      <c r="CH19" s="486">
        <v>0</v>
      </c>
      <c r="CI19" s="486">
        <v>0</v>
      </c>
      <c r="CJ19" s="486">
        <v>0</v>
      </c>
      <c r="CK19" s="486">
        <v>0</v>
      </c>
      <c r="CL19" s="486">
        <v>0</v>
      </c>
      <c r="CM19" s="486">
        <v>0</v>
      </c>
      <c r="CN19" s="486">
        <v>0</v>
      </c>
      <c r="CO19" s="486">
        <v>0</v>
      </c>
      <c r="CP19" s="486">
        <v>0</v>
      </c>
      <c r="CQ19" s="486">
        <v>0</v>
      </c>
      <c r="CR19" s="486">
        <v>0</v>
      </c>
      <c r="CS19" s="486">
        <v>0</v>
      </c>
      <c r="CT19" s="486">
        <v>0</v>
      </c>
      <c r="CU19" s="486">
        <v>0</v>
      </c>
      <c r="CV19" s="486">
        <v>0</v>
      </c>
      <c r="CW19" s="486">
        <v>0</v>
      </c>
      <c r="CX19" s="486">
        <v>0</v>
      </c>
      <c r="CY19" s="486">
        <v>0</v>
      </c>
      <c r="CZ19" s="486">
        <v>0</v>
      </c>
      <c r="DA19" s="486">
        <v>0</v>
      </c>
      <c r="DB19" s="486">
        <v>0</v>
      </c>
      <c r="DC19" s="486">
        <v>0</v>
      </c>
      <c r="DD19" s="486">
        <v>0</v>
      </c>
      <c r="DE19" s="486">
        <v>0</v>
      </c>
      <c r="DF19" s="486">
        <v>0</v>
      </c>
      <c r="DG19" s="486">
        <v>0</v>
      </c>
      <c r="DH19" s="486">
        <v>0</v>
      </c>
      <c r="DI19" s="486">
        <v>0</v>
      </c>
      <c r="DJ19" s="486">
        <v>0</v>
      </c>
      <c r="DK19" s="486">
        <v>0</v>
      </c>
      <c r="DL19" s="486">
        <v>0</v>
      </c>
      <c r="DM19" s="486">
        <v>0</v>
      </c>
      <c r="DN19" s="486">
        <v>0</v>
      </c>
      <c r="DO19" s="486">
        <v>0</v>
      </c>
      <c r="DP19" s="486">
        <v>0</v>
      </c>
      <c r="DQ19" s="486">
        <v>0</v>
      </c>
      <c r="DR19" s="486">
        <v>0</v>
      </c>
      <c r="DS19" s="486">
        <v>0</v>
      </c>
      <c r="DT19" s="486">
        <v>0</v>
      </c>
      <c r="DU19" s="486">
        <v>0</v>
      </c>
      <c r="DV19" s="486">
        <v>0</v>
      </c>
      <c r="DW19" s="486">
        <v>0</v>
      </c>
      <c r="DX19" s="477"/>
      <c r="DY19" s="484" t="s">
        <v>720</v>
      </c>
      <c r="DZ19" s="484" t="s">
        <v>617</v>
      </c>
      <c r="EA19" s="484" t="s">
        <v>25</v>
      </c>
      <c r="EB19" s="486">
        <v>31</v>
      </c>
      <c r="EC19" s="471" t="str">
        <f t="shared" si="0"/>
        <v>AIJ100131</v>
      </c>
      <c r="ED19" s="486">
        <v>10000</v>
      </c>
      <c r="EE19" s="486">
        <v>10000</v>
      </c>
      <c r="EF19" s="486">
        <v>10000</v>
      </c>
      <c r="EG19" s="486">
        <v>10000</v>
      </c>
      <c r="EH19" s="486">
        <v>10000</v>
      </c>
      <c r="EI19" s="486">
        <v>10000</v>
      </c>
      <c r="EJ19" s="486">
        <v>10000</v>
      </c>
      <c r="EK19" s="486">
        <v>10000</v>
      </c>
      <c r="EL19" s="486">
        <v>10000</v>
      </c>
      <c r="EM19" s="486">
        <v>10000</v>
      </c>
      <c r="EN19" s="486">
        <v>0</v>
      </c>
      <c r="EO19" s="486">
        <v>0</v>
      </c>
      <c r="EP19" s="486">
        <v>0</v>
      </c>
      <c r="EQ19" s="486">
        <v>0</v>
      </c>
      <c r="ER19" s="486">
        <v>0</v>
      </c>
      <c r="ES19" s="486">
        <v>0</v>
      </c>
      <c r="ET19" s="486">
        <v>0</v>
      </c>
      <c r="EU19" s="486">
        <v>0</v>
      </c>
      <c r="EV19" s="486">
        <v>0</v>
      </c>
      <c r="EW19" s="486">
        <v>0</v>
      </c>
      <c r="EX19" s="486">
        <v>0</v>
      </c>
      <c r="EY19" s="486">
        <v>0</v>
      </c>
      <c r="EZ19" s="486">
        <v>0</v>
      </c>
      <c r="FA19" s="486">
        <v>0</v>
      </c>
      <c r="FB19" s="486">
        <v>0</v>
      </c>
      <c r="FC19" s="486">
        <v>0</v>
      </c>
      <c r="FD19" s="486">
        <v>0</v>
      </c>
      <c r="FE19" s="486">
        <v>0</v>
      </c>
      <c r="FF19" s="486">
        <v>0</v>
      </c>
      <c r="FG19" s="486">
        <v>0</v>
      </c>
      <c r="FH19" s="486">
        <v>0</v>
      </c>
      <c r="FI19" s="486">
        <v>0</v>
      </c>
      <c r="FJ19" s="486">
        <v>0</v>
      </c>
      <c r="FK19" s="486">
        <v>0</v>
      </c>
      <c r="FL19" s="486">
        <v>0</v>
      </c>
      <c r="FM19" s="486">
        <v>0</v>
      </c>
      <c r="FN19" s="486">
        <v>0</v>
      </c>
      <c r="FO19" s="486">
        <v>0</v>
      </c>
      <c r="FP19" s="486">
        <v>0</v>
      </c>
      <c r="FQ19" s="486">
        <v>0</v>
      </c>
      <c r="FR19" s="486">
        <v>0</v>
      </c>
      <c r="FS19" s="486">
        <v>0</v>
      </c>
      <c r="FT19" s="486">
        <v>0</v>
      </c>
      <c r="FU19" s="486">
        <v>0</v>
      </c>
      <c r="FV19" s="486">
        <v>0</v>
      </c>
      <c r="FW19" s="486">
        <v>0</v>
      </c>
      <c r="FX19" s="486">
        <v>0</v>
      </c>
      <c r="FY19" s="486">
        <v>0</v>
      </c>
      <c r="FZ19" s="486">
        <v>0</v>
      </c>
      <c r="GA19" s="486">
        <v>0</v>
      </c>
      <c r="GB19" s="486">
        <v>0</v>
      </c>
      <c r="GC19" s="486">
        <v>0</v>
      </c>
      <c r="GD19" s="486">
        <v>0</v>
      </c>
      <c r="GE19" s="486">
        <v>0</v>
      </c>
      <c r="GF19" s="486">
        <v>0</v>
      </c>
      <c r="GG19" s="486">
        <v>0</v>
      </c>
      <c r="GH19" s="486">
        <v>0</v>
      </c>
      <c r="GI19" s="486">
        <v>0</v>
      </c>
      <c r="GJ19" s="486">
        <v>0</v>
      </c>
      <c r="GK19" s="486">
        <v>0</v>
      </c>
      <c r="GL19" s="486">
        <v>0</v>
      </c>
      <c r="GM19" s="486">
        <v>0</v>
      </c>
      <c r="GN19" s="486">
        <v>0</v>
      </c>
      <c r="GO19" s="486">
        <v>0</v>
      </c>
      <c r="GP19" s="486">
        <v>0</v>
      </c>
      <c r="GQ19" s="486">
        <v>0</v>
      </c>
      <c r="GR19" s="486">
        <v>0</v>
      </c>
      <c r="GS19" s="486">
        <v>0</v>
      </c>
      <c r="GT19" s="486">
        <v>0</v>
      </c>
      <c r="GU19" s="486">
        <v>0</v>
      </c>
      <c r="GV19" s="486">
        <v>0</v>
      </c>
      <c r="GW19" s="486">
        <v>0</v>
      </c>
      <c r="GX19" s="486">
        <v>0</v>
      </c>
      <c r="GY19" s="486">
        <v>0</v>
      </c>
      <c r="GZ19" s="486">
        <v>0</v>
      </c>
      <c r="HA19" s="486">
        <v>0</v>
      </c>
      <c r="HB19" s="486">
        <v>0</v>
      </c>
      <c r="HC19" s="486">
        <v>0</v>
      </c>
      <c r="HD19" s="486">
        <v>0</v>
      </c>
      <c r="HE19" s="486">
        <v>0</v>
      </c>
      <c r="HF19" s="486">
        <v>0</v>
      </c>
      <c r="HG19" s="486">
        <v>0</v>
      </c>
      <c r="HH19" s="486">
        <v>0</v>
      </c>
      <c r="HI19" s="486">
        <v>0</v>
      </c>
      <c r="HJ19" s="486">
        <v>0</v>
      </c>
      <c r="HK19" s="486">
        <v>0</v>
      </c>
      <c r="HL19" s="486">
        <v>0</v>
      </c>
      <c r="HM19" s="486">
        <v>0</v>
      </c>
      <c r="HN19" s="486">
        <v>0</v>
      </c>
      <c r="HO19" s="486">
        <v>0</v>
      </c>
      <c r="HP19" s="486">
        <v>0</v>
      </c>
      <c r="HQ19" s="486">
        <v>0</v>
      </c>
      <c r="HR19" s="486">
        <v>0</v>
      </c>
      <c r="HS19" s="486">
        <v>0</v>
      </c>
      <c r="HT19" s="486">
        <v>0</v>
      </c>
      <c r="HU19" s="486">
        <v>0</v>
      </c>
      <c r="HV19" s="486">
        <v>0</v>
      </c>
      <c r="HW19" s="486">
        <v>0</v>
      </c>
      <c r="HX19" s="486">
        <v>0</v>
      </c>
      <c r="HY19" s="486">
        <v>0</v>
      </c>
      <c r="HZ19" s="486">
        <v>0</v>
      </c>
      <c r="IA19" s="486">
        <v>0</v>
      </c>
      <c r="IB19" s="486">
        <v>0</v>
      </c>
      <c r="IC19" s="486">
        <v>0</v>
      </c>
      <c r="ID19" s="486">
        <v>0</v>
      </c>
      <c r="IE19" s="486">
        <v>0</v>
      </c>
      <c r="IF19" s="486">
        <v>0</v>
      </c>
      <c r="IG19" s="486">
        <v>0</v>
      </c>
      <c r="IH19" s="486">
        <v>0</v>
      </c>
      <c r="II19" s="486">
        <v>0</v>
      </c>
      <c r="IJ19" s="486">
        <v>0</v>
      </c>
    </row>
    <row r="20" spans="1:244" ht="16.5" hidden="1">
      <c r="A20" s="484" t="s">
        <v>720</v>
      </c>
      <c r="B20" s="484" t="s">
        <v>617</v>
      </c>
      <c r="C20" s="484" t="s">
        <v>721</v>
      </c>
      <c r="D20" s="485"/>
      <c r="E20" s="484" t="s">
        <v>721</v>
      </c>
      <c r="F20" s="484" t="s">
        <v>26</v>
      </c>
      <c r="G20" s="485"/>
      <c r="H20" s="486">
        <v>26</v>
      </c>
      <c r="I20" s="471" t="str">
        <f t="shared" si="1"/>
        <v>AIJ100226</v>
      </c>
      <c r="J20" s="486">
        <v>50</v>
      </c>
      <c r="L20" s="484" t="s">
        <v>720</v>
      </c>
      <c r="M20" s="484" t="s">
        <v>617</v>
      </c>
      <c r="N20" s="484" t="s">
        <v>25</v>
      </c>
      <c r="O20" s="486">
        <v>32</v>
      </c>
      <c r="P20" s="471" t="str">
        <f t="shared" si="2"/>
        <v>AIJ100132</v>
      </c>
      <c r="Q20" s="486">
        <v>0</v>
      </c>
      <c r="R20" s="486">
        <v>8</v>
      </c>
      <c r="S20" s="486">
        <v>17</v>
      </c>
      <c r="T20" s="486">
        <v>23</v>
      </c>
      <c r="U20" s="486">
        <v>32</v>
      </c>
      <c r="V20" s="486">
        <v>38</v>
      </c>
      <c r="W20" s="486">
        <v>44</v>
      </c>
      <c r="X20" s="486">
        <v>50</v>
      </c>
      <c r="Y20" s="486">
        <v>53</v>
      </c>
      <c r="Z20" s="486">
        <v>0</v>
      </c>
      <c r="AA20" s="486">
        <v>0</v>
      </c>
      <c r="AB20" s="486">
        <v>0</v>
      </c>
      <c r="AC20" s="486">
        <v>0</v>
      </c>
      <c r="AD20" s="486">
        <v>0</v>
      </c>
      <c r="AE20" s="486">
        <v>0</v>
      </c>
      <c r="AF20" s="486">
        <v>0</v>
      </c>
      <c r="AG20" s="486">
        <v>0</v>
      </c>
      <c r="AH20" s="486">
        <v>0</v>
      </c>
      <c r="AI20" s="486">
        <v>0</v>
      </c>
      <c r="AJ20" s="486">
        <v>0</v>
      </c>
      <c r="AK20" s="486">
        <v>0</v>
      </c>
      <c r="AL20" s="486">
        <v>0</v>
      </c>
      <c r="AM20" s="486">
        <v>0</v>
      </c>
      <c r="AN20" s="486">
        <v>0</v>
      </c>
      <c r="AO20" s="486">
        <v>0</v>
      </c>
      <c r="AP20" s="486">
        <v>0</v>
      </c>
      <c r="AQ20" s="486">
        <v>0</v>
      </c>
      <c r="AR20" s="486">
        <v>0</v>
      </c>
      <c r="AS20" s="486">
        <v>0</v>
      </c>
      <c r="AT20" s="486">
        <v>0</v>
      </c>
      <c r="AU20" s="486">
        <v>0</v>
      </c>
      <c r="AV20" s="486">
        <v>0</v>
      </c>
      <c r="AW20" s="486">
        <v>0</v>
      </c>
      <c r="AX20" s="486">
        <v>0</v>
      </c>
      <c r="AY20" s="486">
        <v>0</v>
      </c>
      <c r="AZ20" s="486">
        <v>0</v>
      </c>
      <c r="BA20" s="486">
        <v>0</v>
      </c>
      <c r="BB20" s="486">
        <v>0</v>
      </c>
      <c r="BC20" s="486">
        <v>0</v>
      </c>
      <c r="BD20" s="486">
        <v>0</v>
      </c>
      <c r="BE20" s="486">
        <v>0</v>
      </c>
      <c r="BF20" s="486">
        <v>0</v>
      </c>
      <c r="BG20" s="486">
        <v>0</v>
      </c>
      <c r="BH20" s="486">
        <v>0</v>
      </c>
      <c r="BI20" s="486">
        <v>0</v>
      </c>
      <c r="BJ20" s="486">
        <v>0</v>
      </c>
      <c r="BK20" s="486">
        <v>0</v>
      </c>
      <c r="BL20" s="486">
        <v>0</v>
      </c>
      <c r="BM20" s="486">
        <v>0</v>
      </c>
      <c r="BN20" s="486">
        <v>0</v>
      </c>
      <c r="BO20" s="486">
        <v>0</v>
      </c>
      <c r="BP20" s="486">
        <v>0</v>
      </c>
      <c r="BQ20" s="486">
        <v>0</v>
      </c>
      <c r="BR20" s="486">
        <v>0</v>
      </c>
      <c r="BS20" s="486">
        <v>0</v>
      </c>
      <c r="BT20" s="486">
        <v>0</v>
      </c>
      <c r="BU20" s="486">
        <v>0</v>
      </c>
      <c r="BV20" s="486">
        <v>0</v>
      </c>
      <c r="BW20" s="486">
        <v>0</v>
      </c>
      <c r="BX20" s="486">
        <v>0</v>
      </c>
      <c r="BY20" s="486">
        <v>0</v>
      </c>
      <c r="BZ20" s="486">
        <v>0</v>
      </c>
      <c r="CA20" s="486">
        <v>0</v>
      </c>
      <c r="CB20" s="486">
        <v>0</v>
      </c>
      <c r="CC20" s="486">
        <v>0</v>
      </c>
      <c r="CD20" s="486">
        <v>0</v>
      </c>
      <c r="CE20" s="486">
        <v>0</v>
      </c>
      <c r="CF20" s="486">
        <v>0</v>
      </c>
      <c r="CG20" s="486">
        <v>0</v>
      </c>
      <c r="CH20" s="486">
        <v>0</v>
      </c>
      <c r="CI20" s="486">
        <v>0</v>
      </c>
      <c r="CJ20" s="486">
        <v>0</v>
      </c>
      <c r="CK20" s="486">
        <v>0</v>
      </c>
      <c r="CL20" s="486">
        <v>0</v>
      </c>
      <c r="CM20" s="486">
        <v>0</v>
      </c>
      <c r="CN20" s="486">
        <v>0</v>
      </c>
      <c r="CO20" s="486">
        <v>0</v>
      </c>
      <c r="CP20" s="486">
        <v>0</v>
      </c>
      <c r="CQ20" s="486">
        <v>0</v>
      </c>
      <c r="CR20" s="486">
        <v>0</v>
      </c>
      <c r="CS20" s="486">
        <v>0</v>
      </c>
      <c r="CT20" s="486">
        <v>0</v>
      </c>
      <c r="CU20" s="486">
        <v>0</v>
      </c>
      <c r="CV20" s="486">
        <v>0</v>
      </c>
      <c r="CW20" s="486">
        <v>0</v>
      </c>
      <c r="CX20" s="486">
        <v>0</v>
      </c>
      <c r="CY20" s="486">
        <v>0</v>
      </c>
      <c r="CZ20" s="486">
        <v>0</v>
      </c>
      <c r="DA20" s="486">
        <v>0</v>
      </c>
      <c r="DB20" s="486">
        <v>0</v>
      </c>
      <c r="DC20" s="486">
        <v>0</v>
      </c>
      <c r="DD20" s="486">
        <v>0</v>
      </c>
      <c r="DE20" s="486">
        <v>0</v>
      </c>
      <c r="DF20" s="486">
        <v>0</v>
      </c>
      <c r="DG20" s="486">
        <v>0</v>
      </c>
      <c r="DH20" s="486">
        <v>0</v>
      </c>
      <c r="DI20" s="486">
        <v>0</v>
      </c>
      <c r="DJ20" s="486">
        <v>0</v>
      </c>
      <c r="DK20" s="486">
        <v>0</v>
      </c>
      <c r="DL20" s="486">
        <v>0</v>
      </c>
      <c r="DM20" s="486">
        <v>0</v>
      </c>
      <c r="DN20" s="486">
        <v>0</v>
      </c>
      <c r="DO20" s="486">
        <v>0</v>
      </c>
      <c r="DP20" s="486">
        <v>0</v>
      </c>
      <c r="DQ20" s="486">
        <v>0</v>
      </c>
      <c r="DR20" s="486">
        <v>0</v>
      </c>
      <c r="DS20" s="486">
        <v>0</v>
      </c>
      <c r="DT20" s="486">
        <v>0</v>
      </c>
      <c r="DU20" s="486">
        <v>0</v>
      </c>
      <c r="DV20" s="486">
        <v>0</v>
      </c>
      <c r="DW20" s="486">
        <v>0</v>
      </c>
      <c r="DX20" s="477"/>
      <c r="DY20" s="484" t="s">
        <v>720</v>
      </c>
      <c r="DZ20" s="484" t="s">
        <v>617</v>
      </c>
      <c r="EA20" s="484" t="s">
        <v>25</v>
      </c>
      <c r="EB20" s="486">
        <v>32</v>
      </c>
      <c r="EC20" s="471" t="str">
        <f t="shared" si="0"/>
        <v>AIJ100132</v>
      </c>
      <c r="ED20" s="486">
        <v>10000</v>
      </c>
      <c r="EE20" s="486">
        <v>10000</v>
      </c>
      <c r="EF20" s="486">
        <v>10000</v>
      </c>
      <c r="EG20" s="486">
        <v>10000</v>
      </c>
      <c r="EH20" s="486">
        <v>10000</v>
      </c>
      <c r="EI20" s="486">
        <v>10000</v>
      </c>
      <c r="EJ20" s="486">
        <v>10000</v>
      </c>
      <c r="EK20" s="486">
        <v>10000</v>
      </c>
      <c r="EL20" s="486">
        <v>10000</v>
      </c>
      <c r="EM20" s="486">
        <v>10000</v>
      </c>
      <c r="EN20" s="486">
        <v>0</v>
      </c>
      <c r="EO20" s="486">
        <v>0</v>
      </c>
      <c r="EP20" s="486">
        <v>0</v>
      </c>
      <c r="EQ20" s="486">
        <v>0</v>
      </c>
      <c r="ER20" s="486">
        <v>0</v>
      </c>
      <c r="ES20" s="486">
        <v>0</v>
      </c>
      <c r="ET20" s="486">
        <v>0</v>
      </c>
      <c r="EU20" s="486">
        <v>0</v>
      </c>
      <c r="EV20" s="486">
        <v>0</v>
      </c>
      <c r="EW20" s="486">
        <v>0</v>
      </c>
      <c r="EX20" s="486">
        <v>0</v>
      </c>
      <c r="EY20" s="486">
        <v>0</v>
      </c>
      <c r="EZ20" s="486">
        <v>0</v>
      </c>
      <c r="FA20" s="486">
        <v>0</v>
      </c>
      <c r="FB20" s="486">
        <v>0</v>
      </c>
      <c r="FC20" s="486">
        <v>0</v>
      </c>
      <c r="FD20" s="486">
        <v>0</v>
      </c>
      <c r="FE20" s="486">
        <v>0</v>
      </c>
      <c r="FF20" s="486">
        <v>0</v>
      </c>
      <c r="FG20" s="486">
        <v>0</v>
      </c>
      <c r="FH20" s="486">
        <v>0</v>
      </c>
      <c r="FI20" s="486">
        <v>0</v>
      </c>
      <c r="FJ20" s="486">
        <v>0</v>
      </c>
      <c r="FK20" s="486">
        <v>0</v>
      </c>
      <c r="FL20" s="486">
        <v>0</v>
      </c>
      <c r="FM20" s="486">
        <v>0</v>
      </c>
      <c r="FN20" s="486">
        <v>0</v>
      </c>
      <c r="FO20" s="486">
        <v>0</v>
      </c>
      <c r="FP20" s="486">
        <v>0</v>
      </c>
      <c r="FQ20" s="486">
        <v>0</v>
      </c>
      <c r="FR20" s="486">
        <v>0</v>
      </c>
      <c r="FS20" s="486">
        <v>0</v>
      </c>
      <c r="FT20" s="486">
        <v>0</v>
      </c>
      <c r="FU20" s="486">
        <v>0</v>
      </c>
      <c r="FV20" s="486">
        <v>0</v>
      </c>
      <c r="FW20" s="486">
        <v>0</v>
      </c>
      <c r="FX20" s="486">
        <v>0</v>
      </c>
      <c r="FY20" s="486">
        <v>0</v>
      </c>
      <c r="FZ20" s="486">
        <v>0</v>
      </c>
      <c r="GA20" s="486">
        <v>0</v>
      </c>
      <c r="GB20" s="486">
        <v>0</v>
      </c>
      <c r="GC20" s="486">
        <v>0</v>
      </c>
      <c r="GD20" s="486">
        <v>0</v>
      </c>
      <c r="GE20" s="486">
        <v>0</v>
      </c>
      <c r="GF20" s="486">
        <v>0</v>
      </c>
      <c r="GG20" s="486">
        <v>0</v>
      </c>
      <c r="GH20" s="486">
        <v>0</v>
      </c>
      <c r="GI20" s="486">
        <v>0</v>
      </c>
      <c r="GJ20" s="486">
        <v>0</v>
      </c>
      <c r="GK20" s="486">
        <v>0</v>
      </c>
      <c r="GL20" s="486">
        <v>0</v>
      </c>
      <c r="GM20" s="486">
        <v>0</v>
      </c>
      <c r="GN20" s="486">
        <v>0</v>
      </c>
      <c r="GO20" s="486">
        <v>0</v>
      </c>
      <c r="GP20" s="486">
        <v>0</v>
      </c>
      <c r="GQ20" s="486">
        <v>0</v>
      </c>
      <c r="GR20" s="486">
        <v>0</v>
      </c>
      <c r="GS20" s="486">
        <v>0</v>
      </c>
      <c r="GT20" s="486">
        <v>0</v>
      </c>
      <c r="GU20" s="486">
        <v>0</v>
      </c>
      <c r="GV20" s="486">
        <v>0</v>
      </c>
      <c r="GW20" s="486">
        <v>0</v>
      </c>
      <c r="GX20" s="486">
        <v>0</v>
      </c>
      <c r="GY20" s="486">
        <v>0</v>
      </c>
      <c r="GZ20" s="486">
        <v>0</v>
      </c>
      <c r="HA20" s="486">
        <v>0</v>
      </c>
      <c r="HB20" s="486">
        <v>0</v>
      </c>
      <c r="HC20" s="486">
        <v>0</v>
      </c>
      <c r="HD20" s="486">
        <v>0</v>
      </c>
      <c r="HE20" s="486">
        <v>0</v>
      </c>
      <c r="HF20" s="486">
        <v>0</v>
      </c>
      <c r="HG20" s="486">
        <v>0</v>
      </c>
      <c r="HH20" s="486">
        <v>0</v>
      </c>
      <c r="HI20" s="486">
        <v>0</v>
      </c>
      <c r="HJ20" s="486">
        <v>0</v>
      </c>
      <c r="HK20" s="486">
        <v>0</v>
      </c>
      <c r="HL20" s="486">
        <v>0</v>
      </c>
      <c r="HM20" s="486">
        <v>0</v>
      </c>
      <c r="HN20" s="486">
        <v>0</v>
      </c>
      <c r="HO20" s="486">
        <v>0</v>
      </c>
      <c r="HP20" s="486">
        <v>0</v>
      </c>
      <c r="HQ20" s="486">
        <v>0</v>
      </c>
      <c r="HR20" s="486">
        <v>0</v>
      </c>
      <c r="HS20" s="486">
        <v>0</v>
      </c>
      <c r="HT20" s="486">
        <v>0</v>
      </c>
      <c r="HU20" s="486">
        <v>0</v>
      </c>
      <c r="HV20" s="486">
        <v>0</v>
      </c>
      <c r="HW20" s="486">
        <v>0</v>
      </c>
      <c r="HX20" s="486">
        <v>0</v>
      </c>
      <c r="HY20" s="486">
        <v>0</v>
      </c>
      <c r="HZ20" s="486">
        <v>0</v>
      </c>
      <c r="IA20" s="486">
        <v>0</v>
      </c>
      <c r="IB20" s="486">
        <v>0</v>
      </c>
      <c r="IC20" s="486">
        <v>0</v>
      </c>
      <c r="ID20" s="486">
        <v>0</v>
      </c>
      <c r="IE20" s="486">
        <v>0</v>
      </c>
      <c r="IF20" s="486">
        <v>0</v>
      </c>
      <c r="IG20" s="486">
        <v>0</v>
      </c>
      <c r="IH20" s="486">
        <v>0</v>
      </c>
      <c r="II20" s="486">
        <v>0</v>
      </c>
      <c r="IJ20" s="486">
        <v>0</v>
      </c>
    </row>
    <row r="21" spans="1:244" ht="16.5" hidden="1">
      <c r="A21" s="484" t="s">
        <v>720</v>
      </c>
      <c r="B21" s="484" t="s">
        <v>617</v>
      </c>
      <c r="C21" s="484" t="s">
        <v>721</v>
      </c>
      <c r="D21" s="485"/>
      <c r="E21" s="484" t="s">
        <v>721</v>
      </c>
      <c r="F21" s="484" t="s">
        <v>26</v>
      </c>
      <c r="G21" s="485"/>
      <c r="H21" s="486">
        <v>27</v>
      </c>
      <c r="I21" s="471" t="str">
        <f t="shared" si="1"/>
        <v>AIJ100227</v>
      </c>
      <c r="J21" s="486">
        <v>51</v>
      </c>
      <c r="L21" s="484" t="s">
        <v>720</v>
      </c>
      <c r="M21" s="484" t="s">
        <v>617</v>
      </c>
      <c r="N21" s="484" t="s">
        <v>25</v>
      </c>
      <c r="O21" s="486">
        <v>33</v>
      </c>
      <c r="P21" s="471" t="str">
        <f t="shared" si="2"/>
        <v>AIJ100133</v>
      </c>
      <c r="Q21" s="486">
        <v>0</v>
      </c>
      <c r="R21" s="486">
        <v>9</v>
      </c>
      <c r="S21" s="486">
        <v>17</v>
      </c>
      <c r="T21" s="486">
        <v>25</v>
      </c>
      <c r="U21" s="486">
        <v>33</v>
      </c>
      <c r="V21" s="486">
        <v>38</v>
      </c>
      <c r="W21" s="486">
        <v>46</v>
      </c>
      <c r="X21" s="486">
        <v>53</v>
      </c>
      <c r="Y21" s="486">
        <v>55</v>
      </c>
      <c r="Z21" s="486">
        <v>0</v>
      </c>
      <c r="AA21" s="486">
        <v>0</v>
      </c>
      <c r="AB21" s="486">
        <v>0</v>
      </c>
      <c r="AC21" s="486">
        <v>0</v>
      </c>
      <c r="AD21" s="486">
        <v>0</v>
      </c>
      <c r="AE21" s="486">
        <v>0</v>
      </c>
      <c r="AF21" s="486">
        <v>0</v>
      </c>
      <c r="AG21" s="486">
        <v>0</v>
      </c>
      <c r="AH21" s="486">
        <v>0</v>
      </c>
      <c r="AI21" s="486">
        <v>0</v>
      </c>
      <c r="AJ21" s="486">
        <v>0</v>
      </c>
      <c r="AK21" s="486">
        <v>0</v>
      </c>
      <c r="AL21" s="486">
        <v>0</v>
      </c>
      <c r="AM21" s="486">
        <v>0</v>
      </c>
      <c r="AN21" s="486">
        <v>0</v>
      </c>
      <c r="AO21" s="486">
        <v>0</v>
      </c>
      <c r="AP21" s="486">
        <v>0</v>
      </c>
      <c r="AQ21" s="486">
        <v>0</v>
      </c>
      <c r="AR21" s="486">
        <v>0</v>
      </c>
      <c r="AS21" s="486">
        <v>0</v>
      </c>
      <c r="AT21" s="486">
        <v>0</v>
      </c>
      <c r="AU21" s="486">
        <v>0</v>
      </c>
      <c r="AV21" s="486">
        <v>0</v>
      </c>
      <c r="AW21" s="486">
        <v>0</v>
      </c>
      <c r="AX21" s="486">
        <v>0</v>
      </c>
      <c r="AY21" s="486">
        <v>0</v>
      </c>
      <c r="AZ21" s="486">
        <v>0</v>
      </c>
      <c r="BA21" s="486">
        <v>0</v>
      </c>
      <c r="BB21" s="486">
        <v>0</v>
      </c>
      <c r="BC21" s="486">
        <v>0</v>
      </c>
      <c r="BD21" s="486">
        <v>0</v>
      </c>
      <c r="BE21" s="486">
        <v>0</v>
      </c>
      <c r="BF21" s="486">
        <v>0</v>
      </c>
      <c r="BG21" s="486">
        <v>0</v>
      </c>
      <c r="BH21" s="486">
        <v>0</v>
      </c>
      <c r="BI21" s="486">
        <v>0</v>
      </c>
      <c r="BJ21" s="486">
        <v>0</v>
      </c>
      <c r="BK21" s="486">
        <v>0</v>
      </c>
      <c r="BL21" s="486">
        <v>0</v>
      </c>
      <c r="BM21" s="486">
        <v>0</v>
      </c>
      <c r="BN21" s="486">
        <v>0</v>
      </c>
      <c r="BO21" s="486">
        <v>0</v>
      </c>
      <c r="BP21" s="486">
        <v>0</v>
      </c>
      <c r="BQ21" s="486">
        <v>0</v>
      </c>
      <c r="BR21" s="486">
        <v>0</v>
      </c>
      <c r="BS21" s="486">
        <v>0</v>
      </c>
      <c r="BT21" s="486">
        <v>0</v>
      </c>
      <c r="BU21" s="486">
        <v>0</v>
      </c>
      <c r="BV21" s="486">
        <v>0</v>
      </c>
      <c r="BW21" s="486">
        <v>0</v>
      </c>
      <c r="BX21" s="486">
        <v>0</v>
      </c>
      <c r="BY21" s="486">
        <v>0</v>
      </c>
      <c r="BZ21" s="486">
        <v>0</v>
      </c>
      <c r="CA21" s="486">
        <v>0</v>
      </c>
      <c r="CB21" s="486">
        <v>0</v>
      </c>
      <c r="CC21" s="486">
        <v>0</v>
      </c>
      <c r="CD21" s="486">
        <v>0</v>
      </c>
      <c r="CE21" s="486">
        <v>0</v>
      </c>
      <c r="CF21" s="486">
        <v>0</v>
      </c>
      <c r="CG21" s="486">
        <v>0</v>
      </c>
      <c r="CH21" s="486">
        <v>0</v>
      </c>
      <c r="CI21" s="486">
        <v>0</v>
      </c>
      <c r="CJ21" s="486">
        <v>0</v>
      </c>
      <c r="CK21" s="486">
        <v>0</v>
      </c>
      <c r="CL21" s="486">
        <v>0</v>
      </c>
      <c r="CM21" s="486">
        <v>0</v>
      </c>
      <c r="CN21" s="486">
        <v>0</v>
      </c>
      <c r="CO21" s="486">
        <v>0</v>
      </c>
      <c r="CP21" s="486">
        <v>0</v>
      </c>
      <c r="CQ21" s="486">
        <v>0</v>
      </c>
      <c r="CR21" s="486">
        <v>0</v>
      </c>
      <c r="CS21" s="486">
        <v>0</v>
      </c>
      <c r="CT21" s="486">
        <v>0</v>
      </c>
      <c r="CU21" s="486">
        <v>0</v>
      </c>
      <c r="CV21" s="486">
        <v>0</v>
      </c>
      <c r="CW21" s="486">
        <v>0</v>
      </c>
      <c r="CX21" s="486">
        <v>0</v>
      </c>
      <c r="CY21" s="486">
        <v>0</v>
      </c>
      <c r="CZ21" s="486">
        <v>0</v>
      </c>
      <c r="DA21" s="486">
        <v>0</v>
      </c>
      <c r="DB21" s="486">
        <v>0</v>
      </c>
      <c r="DC21" s="486">
        <v>0</v>
      </c>
      <c r="DD21" s="486">
        <v>0</v>
      </c>
      <c r="DE21" s="486">
        <v>0</v>
      </c>
      <c r="DF21" s="486">
        <v>0</v>
      </c>
      <c r="DG21" s="486">
        <v>0</v>
      </c>
      <c r="DH21" s="486">
        <v>0</v>
      </c>
      <c r="DI21" s="486">
        <v>0</v>
      </c>
      <c r="DJ21" s="486">
        <v>0</v>
      </c>
      <c r="DK21" s="486">
        <v>0</v>
      </c>
      <c r="DL21" s="486">
        <v>0</v>
      </c>
      <c r="DM21" s="486">
        <v>0</v>
      </c>
      <c r="DN21" s="486">
        <v>0</v>
      </c>
      <c r="DO21" s="486">
        <v>0</v>
      </c>
      <c r="DP21" s="486">
        <v>0</v>
      </c>
      <c r="DQ21" s="486">
        <v>0</v>
      </c>
      <c r="DR21" s="486">
        <v>0</v>
      </c>
      <c r="DS21" s="486">
        <v>0</v>
      </c>
      <c r="DT21" s="486">
        <v>0</v>
      </c>
      <c r="DU21" s="486">
        <v>0</v>
      </c>
      <c r="DV21" s="486">
        <v>0</v>
      </c>
      <c r="DW21" s="486">
        <v>0</v>
      </c>
      <c r="DX21" s="477"/>
      <c r="DY21" s="484" t="s">
        <v>720</v>
      </c>
      <c r="DZ21" s="484" t="s">
        <v>617</v>
      </c>
      <c r="EA21" s="484" t="s">
        <v>25</v>
      </c>
      <c r="EB21" s="486">
        <v>33</v>
      </c>
      <c r="EC21" s="471" t="str">
        <f t="shared" si="0"/>
        <v>AIJ100133</v>
      </c>
      <c r="ED21" s="486">
        <v>10000</v>
      </c>
      <c r="EE21" s="486">
        <v>10000</v>
      </c>
      <c r="EF21" s="486">
        <v>10000</v>
      </c>
      <c r="EG21" s="486">
        <v>10000</v>
      </c>
      <c r="EH21" s="486">
        <v>10000</v>
      </c>
      <c r="EI21" s="486">
        <v>10000</v>
      </c>
      <c r="EJ21" s="486">
        <v>10000</v>
      </c>
      <c r="EK21" s="486">
        <v>10000</v>
      </c>
      <c r="EL21" s="486">
        <v>10000</v>
      </c>
      <c r="EM21" s="486">
        <v>10000</v>
      </c>
      <c r="EN21" s="486">
        <v>0</v>
      </c>
      <c r="EO21" s="486">
        <v>0</v>
      </c>
      <c r="EP21" s="486">
        <v>0</v>
      </c>
      <c r="EQ21" s="486">
        <v>0</v>
      </c>
      <c r="ER21" s="486">
        <v>0</v>
      </c>
      <c r="ES21" s="486">
        <v>0</v>
      </c>
      <c r="ET21" s="486">
        <v>0</v>
      </c>
      <c r="EU21" s="486">
        <v>0</v>
      </c>
      <c r="EV21" s="486">
        <v>0</v>
      </c>
      <c r="EW21" s="486">
        <v>0</v>
      </c>
      <c r="EX21" s="486">
        <v>0</v>
      </c>
      <c r="EY21" s="486">
        <v>0</v>
      </c>
      <c r="EZ21" s="486">
        <v>0</v>
      </c>
      <c r="FA21" s="486">
        <v>0</v>
      </c>
      <c r="FB21" s="486">
        <v>0</v>
      </c>
      <c r="FC21" s="486">
        <v>0</v>
      </c>
      <c r="FD21" s="486">
        <v>0</v>
      </c>
      <c r="FE21" s="486">
        <v>0</v>
      </c>
      <c r="FF21" s="486">
        <v>0</v>
      </c>
      <c r="FG21" s="486">
        <v>0</v>
      </c>
      <c r="FH21" s="486">
        <v>0</v>
      </c>
      <c r="FI21" s="486">
        <v>0</v>
      </c>
      <c r="FJ21" s="486">
        <v>0</v>
      </c>
      <c r="FK21" s="486">
        <v>0</v>
      </c>
      <c r="FL21" s="486">
        <v>0</v>
      </c>
      <c r="FM21" s="486">
        <v>0</v>
      </c>
      <c r="FN21" s="486">
        <v>0</v>
      </c>
      <c r="FO21" s="486">
        <v>0</v>
      </c>
      <c r="FP21" s="486">
        <v>0</v>
      </c>
      <c r="FQ21" s="486">
        <v>0</v>
      </c>
      <c r="FR21" s="486">
        <v>0</v>
      </c>
      <c r="FS21" s="486">
        <v>0</v>
      </c>
      <c r="FT21" s="486">
        <v>0</v>
      </c>
      <c r="FU21" s="486">
        <v>0</v>
      </c>
      <c r="FV21" s="486">
        <v>0</v>
      </c>
      <c r="FW21" s="486">
        <v>0</v>
      </c>
      <c r="FX21" s="486">
        <v>0</v>
      </c>
      <c r="FY21" s="486">
        <v>0</v>
      </c>
      <c r="FZ21" s="486">
        <v>0</v>
      </c>
      <c r="GA21" s="486">
        <v>0</v>
      </c>
      <c r="GB21" s="486">
        <v>0</v>
      </c>
      <c r="GC21" s="486">
        <v>0</v>
      </c>
      <c r="GD21" s="486">
        <v>0</v>
      </c>
      <c r="GE21" s="486">
        <v>0</v>
      </c>
      <c r="GF21" s="486">
        <v>0</v>
      </c>
      <c r="GG21" s="486">
        <v>0</v>
      </c>
      <c r="GH21" s="486">
        <v>0</v>
      </c>
      <c r="GI21" s="486">
        <v>0</v>
      </c>
      <c r="GJ21" s="486">
        <v>0</v>
      </c>
      <c r="GK21" s="486">
        <v>0</v>
      </c>
      <c r="GL21" s="486">
        <v>0</v>
      </c>
      <c r="GM21" s="486">
        <v>0</v>
      </c>
      <c r="GN21" s="486">
        <v>0</v>
      </c>
      <c r="GO21" s="486">
        <v>0</v>
      </c>
      <c r="GP21" s="486">
        <v>0</v>
      </c>
      <c r="GQ21" s="486">
        <v>0</v>
      </c>
      <c r="GR21" s="486">
        <v>0</v>
      </c>
      <c r="GS21" s="486">
        <v>0</v>
      </c>
      <c r="GT21" s="486">
        <v>0</v>
      </c>
      <c r="GU21" s="486">
        <v>0</v>
      </c>
      <c r="GV21" s="486">
        <v>0</v>
      </c>
      <c r="GW21" s="486">
        <v>0</v>
      </c>
      <c r="GX21" s="486">
        <v>0</v>
      </c>
      <c r="GY21" s="486">
        <v>0</v>
      </c>
      <c r="GZ21" s="486">
        <v>0</v>
      </c>
      <c r="HA21" s="486">
        <v>0</v>
      </c>
      <c r="HB21" s="486">
        <v>0</v>
      </c>
      <c r="HC21" s="486">
        <v>0</v>
      </c>
      <c r="HD21" s="486">
        <v>0</v>
      </c>
      <c r="HE21" s="486">
        <v>0</v>
      </c>
      <c r="HF21" s="486">
        <v>0</v>
      </c>
      <c r="HG21" s="486">
        <v>0</v>
      </c>
      <c r="HH21" s="486">
        <v>0</v>
      </c>
      <c r="HI21" s="486">
        <v>0</v>
      </c>
      <c r="HJ21" s="486">
        <v>0</v>
      </c>
      <c r="HK21" s="486">
        <v>0</v>
      </c>
      <c r="HL21" s="486">
        <v>0</v>
      </c>
      <c r="HM21" s="486">
        <v>0</v>
      </c>
      <c r="HN21" s="486">
        <v>0</v>
      </c>
      <c r="HO21" s="486">
        <v>0</v>
      </c>
      <c r="HP21" s="486">
        <v>0</v>
      </c>
      <c r="HQ21" s="486">
        <v>0</v>
      </c>
      <c r="HR21" s="486">
        <v>0</v>
      </c>
      <c r="HS21" s="486">
        <v>0</v>
      </c>
      <c r="HT21" s="486">
        <v>0</v>
      </c>
      <c r="HU21" s="486">
        <v>0</v>
      </c>
      <c r="HV21" s="486">
        <v>0</v>
      </c>
      <c r="HW21" s="486">
        <v>0</v>
      </c>
      <c r="HX21" s="486">
        <v>0</v>
      </c>
      <c r="HY21" s="486">
        <v>0</v>
      </c>
      <c r="HZ21" s="486">
        <v>0</v>
      </c>
      <c r="IA21" s="486">
        <v>0</v>
      </c>
      <c r="IB21" s="486">
        <v>0</v>
      </c>
      <c r="IC21" s="486">
        <v>0</v>
      </c>
      <c r="ID21" s="486">
        <v>0</v>
      </c>
      <c r="IE21" s="486">
        <v>0</v>
      </c>
      <c r="IF21" s="486">
        <v>0</v>
      </c>
      <c r="IG21" s="486">
        <v>0</v>
      </c>
      <c r="IH21" s="486">
        <v>0</v>
      </c>
      <c r="II21" s="486">
        <v>0</v>
      </c>
      <c r="IJ21" s="486">
        <v>0</v>
      </c>
    </row>
    <row r="22" spans="1:244" ht="16.5" hidden="1">
      <c r="A22" s="484" t="s">
        <v>720</v>
      </c>
      <c r="B22" s="484" t="s">
        <v>617</v>
      </c>
      <c r="C22" s="484" t="s">
        <v>721</v>
      </c>
      <c r="D22" s="485"/>
      <c r="E22" s="484" t="s">
        <v>721</v>
      </c>
      <c r="F22" s="484" t="s">
        <v>26</v>
      </c>
      <c r="G22" s="485"/>
      <c r="H22" s="486">
        <v>28</v>
      </c>
      <c r="I22" s="471" t="str">
        <f t="shared" si="1"/>
        <v>AIJ100228</v>
      </c>
      <c r="J22" s="486">
        <v>52</v>
      </c>
      <c r="L22" s="484" t="s">
        <v>720</v>
      </c>
      <c r="M22" s="484" t="s">
        <v>617</v>
      </c>
      <c r="N22" s="484" t="s">
        <v>25</v>
      </c>
      <c r="O22" s="486">
        <v>34</v>
      </c>
      <c r="P22" s="471" t="str">
        <f t="shared" si="2"/>
        <v>AIJ100134</v>
      </c>
      <c r="Q22" s="486">
        <v>0</v>
      </c>
      <c r="R22" s="486">
        <v>10</v>
      </c>
      <c r="S22" s="486">
        <v>18</v>
      </c>
      <c r="T22" s="486">
        <v>26</v>
      </c>
      <c r="U22" s="486">
        <v>34</v>
      </c>
      <c r="V22" s="486">
        <v>41</v>
      </c>
      <c r="W22" s="486">
        <v>48</v>
      </c>
      <c r="X22" s="486">
        <v>55</v>
      </c>
      <c r="Y22" s="486">
        <v>57</v>
      </c>
      <c r="Z22" s="486">
        <v>0</v>
      </c>
      <c r="AA22" s="486">
        <v>0</v>
      </c>
      <c r="AB22" s="486">
        <v>0</v>
      </c>
      <c r="AC22" s="486">
        <v>0</v>
      </c>
      <c r="AD22" s="486">
        <v>0</v>
      </c>
      <c r="AE22" s="486">
        <v>0</v>
      </c>
      <c r="AF22" s="486">
        <v>0</v>
      </c>
      <c r="AG22" s="486">
        <v>0</v>
      </c>
      <c r="AH22" s="486">
        <v>0</v>
      </c>
      <c r="AI22" s="486">
        <v>0</v>
      </c>
      <c r="AJ22" s="486">
        <v>0</v>
      </c>
      <c r="AK22" s="486">
        <v>0</v>
      </c>
      <c r="AL22" s="486">
        <v>0</v>
      </c>
      <c r="AM22" s="486">
        <v>0</v>
      </c>
      <c r="AN22" s="486">
        <v>0</v>
      </c>
      <c r="AO22" s="486">
        <v>0</v>
      </c>
      <c r="AP22" s="486">
        <v>0</v>
      </c>
      <c r="AQ22" s="486">
        <v>0</v>
      </c>
      <c r="AR22" s="486">
        <v>0</v>
      </c>
      <c r="AS22" s="486">
        <v>0</v>
      </c>
      <c r="AT22" s="486">
        <v>0</v>
      </c>
      <c r="AU22" s="486">
        <v>0</v>
      </c>
      <c r="AV22" s="486">
        <v>0</v>
      </c>
      <c r="AW22" s="486">
        <v>0</v>
      </c>
      <c r="AX22" s="486">
        <v>0</v>
      </c>
      <c r="AY22" s="486">
        <v>0</v>
      </c>
      <c r="AZ22" s="486">
        <v>0</v>
      </c>
      <c r="BA22" s="486">
        <v>0</v>
      </c>
      <c r="BB22" s="486">
        <v>0</v>
      </c>
      <c r="BC22" s="486">
        <v>0</v>
      </c>
      <c r="BD22" s="486">
        <v>0</v>
      </c>
      <c r="BE22" s="486">
        <v>0</v>
      </c>
      <c r="BF22" s="486">
        <v>0</v>
      </c>
      <c r="BG22" s="486">
        <v>0</v>
      </c>
      <c r="BH22" s="486">
        <v>0</v>
      </c>
      <c r="BI22" s="486">
        <v>0</v>
      </c>
      <c r="BJ22" s="486">
        <v>0</v>
      </c>
      <c r="BK22" s="486">
        <v>0</v>
      </c>
      <c r="BL22" s="486">
        <v>0</v>
      </c>
      <c r="BM22" s="486">
        <v>0</v>
      </c>
      <c r="BN22" s="486">
        <v>0</v>
      </c>
      <c r="BO22" s="486">
        <v>0</v>
      </c>
      <c r="BP22" s="486">
        <v>0</v>
      </c>
      <c r="BQ22" s="486">
        <v>0</v>
      </c>
      <c r="BR22" s="486">
        <v>0</v>
      </c>
      <c r="BS22" s="486">
        <v>0</v>
      </c>
      <c r="BT22" s="486">
        <v>0</v>
      </c>
      <c r="BU22" s="486">
        <v>0</v>
      </c>
      <c r="BV22" s="486">
        <v>0</v>
      </c>
      <c r="BW22" s="486">
        <v>0</v>
      </c>
      <c r="BX22" s="486">
        <v>0</v>
      </c>
      <c r="BY22" s="486">
        <v>0</v>
      </c>
      <c r="BZ22" s="486">
        <v>0</v>
      </c>
      <c r="CA22" s="486">
        <v>0</v>
      </c>
      <c r="CB22" s="486">
        <v>0</v>
      </c>
      <c r="CC22" s="486">
        <v>0</v>
      </c>
      <c r="CD22" s="486">
        <v>0</v>
      </c>
      <c r="CE22" s="486">
        <v>0</v>
      </c>
      <c r="CF22" s="486">
        <v>0</v>
      </c>
      <c r="CG22" s="486">
        <v>0</v>
      </c>
      <c r="CH22" s="486">
        <v>0</v>
      </c>
      <c r="CI22" s="486">
        <v>0</v>
      </c>
      <c r="CJ22" s="486">
        <v>0</v>
      </c>
      <c r="CK22" s="486">
        <v>0</v>
      </c>
      <c r="CL22" s="486">
        <v>0</v>
      </c>
      <c r="CM22" s="486">
        <v>0</v>
      </c>
      <c r="CN22" s="486">
        <v>0</v>
      </c>
      <c r="CO22" s="486">
        <v>0</v>
      </c>
      <c r="CP22" s="486">
        <v>0</v>
      </c>
      <c r="CQ22" s="486">
        <v>0</v>
      </c>
      <c r="CR22" s="486">
        <v>0</v>
      </c>
      <c r="CS22" s="486">
        <v>0</v>
      </c>
      <c r="CT22" s="486">
        <v>0</v>
      </c>
      <c r="CU22" s="486">
        <v>0</v>
      </c>
      <c r="CV22" s="486">
        <v>0</v>
      </c>
      <c r="CW22" s="486">
        <v>0</v>
      </c>
      <c r="CX22" s="486">
        <v>0</v>
      </c>
      <c r="CY22" s="486">
        <v>0</v>
      </c>
      <c r="CZ22" s="486">
        <v>0</v>
      </c>
      <c r="DA22" s="486">
        <v>0</v>
      </c>
      <c r="DB22" s="486">
        <v>0</v>
      </c>
      <c r="DC22" s="486">
        <v>0</v>
      </c>
      <c r="DD22" s="486">
        <v>0</v>
      </c>
      <c r="DE22" s="486">
        <v>0</v>
      </c>
      <c r="DF22" s="486">
        <v>0</v>
      </c>
      <c r="DG22" s="486">
        <v>0</v>
      </c>
      <c r="DH22" s="486">
        <v>0</v>
      </c>
      <c r="DI22" s="486">
        <v>0</v>
      </c>
      <c r="DJ22" s="486">
        <v>0</v>
      </c>
      <c r="DK22" s="486">
        <v>0</v>
      </c>
      <c r="DL22" s="486">
        <v>0</v>
      </c>
      <c r="DM22" s="486">
        <v>0</v>
      </c>
      <c r="DN22" s="486">
        <v>0</v>
      </c>
      <c r="DO22" s="486">
        <v>0</v>
      </c>
      <c r="DP22" s="486">
        <v>0</v>
      </c>
      <c r="DQ22" s="486">
        <v>0</v>
      </c>
      <c r="DR22" s="486">
        <v>0</v>
      </c>
      <c r="DS22" s="486">
        <v>0</v>
      </c>
      <c r="DT22" s="486">
        <v>0</v>
      </c>
      <c r="DU22" s="486">
        <v>0</v>
      </c>
      <c r="DV22" s="486">
        <v>0</v>
      </c>
      <c r="DW22" s="486">
        <v>0</v>
      </c>
      <c r="DX22" s="477"/>
      <c r="DY22" s="484" t="s">
        <v>720</v>
      </c>
      <c r="DZ22" s="484" t="s">
        <v>617</v>
      </c>
      <c r="EA22" s="484" t="s">
        <v>25</v>
      </c>
      <c r="EB22" s="486">
        <v>34</v>
      </c>
      <c r="EC22" s="471" t="str">
        <f t="shared" si="0"/>
        <v>AIJ100134</v>
      </c>
      <c r="ED22" s="486">
        <v>10000</v>
      </c>
      <c r="EE22" s="486">
        <v>10000</v>
      </c>
      <c r="EF22" s="486">
        <v>10000</v>
      </c>
      <c r="EG22" s="486">
        <v>10000</v>
      </c>
      <c r="EH22" s="486">
        <v>10000</v>
      </c>
      <c r="EI22" s="486">
        <v>10000</v>
      </c>
      <c r="EJ22" s="486">
        <v>10000</v>
      </c>
      <c r="EK22" s="486">
        <v>10000</v>
      </c>
      <c r="EL22" s="486">
        <v>10000</v>
      </c>
      <c r="EM22" s="486">
        <v>10000</v>
      </c>
      <c r="EN22" s="486">
        <v>0</v>
      </c>
      <c r="EO22" s="486">
        <v>0</v>
      </c>
      <c r="EP22" s="486">
        <v>0</v>
      </c>
      <c r="EQ22" s="486">
        <v>0</v>
      </c>
      <c r="ER22" s="486">
        <v>0</v>
      </c>
      <c r="ES22" s="486">
        <v>0</v>
      </c>
      <c r="ET22" s="486">
        <v>0</v>
      </c>
      <c r="EU22" s="486">
        <v>0</v>
      </c>
      <c r="EV22" s="486">
        <v>0</v>
      </c>
      <c r="EW22" s="486">
        <v>0</v>
      </c>
      <c r="EX22" s="486">
        <v>0</v>
      </c>
      <c r="EY22" s="486">
        <v>0</v>
      </c>
      <c r="EZ22" s="486">
        <v>0</v>
      </c>
      <c r="FA22" s="486">
        <v>0</v>
      </c>
      <c r="FB22" s="486">
        <v>0</v>
      </c>
      <c r="FC22" s="486">
        <v>0</v>
      </c>
      <c r="FD22" s="486">
        <v>0</v>
      </c>
      <c r="FE22" s="486">
        <v>0</v>
      </c>
      <c r="FF22" s="486">
        <v>0</v>
      </c>
      <c r="FG22" s="486">
        <v>0</v>
      </c>
      <c r="FH22" s="486">
        <v>0</v>
      </c>
      <c r="FI22" s="486">
        <v>0</v>
      </c>
      <c r="FJ22" s="486">
        <v>0</v>
      </c>
      <c r="FK22" s="486">
        <v>0</v>
      </c>
      <c r="FL22" s="486">
        <v>0</v>
      </c>
      <c r="FM22" s="486">
        <v>0</v>
      </c>
      <c r="FN22" s="486">
        <v>0</v>
      </c>
      <c r="FO22" s="486">
        <v>0</v>
      </c>
      <c r="FP22" s="486">
        <v>0</v>
      </c>
      <c r="FQ22" s="486">
        <v>0</v>
      </c>
      <c r="FR22" s="486">
        <v>0</v>
      </c>
      <c r="FS22" s="486">
        <v>0</v>
      </c>
      <c r="FT22" s="486">
        <v>0</v>
      </c>
      <c r="FU22" s="486">
        <v>0</v>
      </c>
      <c r="FV22" s="486">
        <v>0</v>
      </c>
      <c r="FW22" s="486">
        <v>0</v>
      </c>
      <c r="FX22" s="486">
        <v>0</v>
      </c>
      <c r="FY22" s="486">
        <v>0</v>
      </c>
      <c r="FZ22" s="486">
        <v>0</v>
      </c>
      <c r="GA22" s="486">
        <v>0</v>
      </c>
      <c r="GB22" s="486">
        <v>0</v>
      </c>
      <c r="GC22" s="486">
        <v>0</v>
      </c>
      <c r="GD22" s="486">
        <v>0</v>
      </c>
      <c r="GE22" s="486">
        <v>0</v>
      </c>
      <c r="GF22" s="486">
        <v>0</v>
      </c>
      <c r="GG22" s="486">
        <v>0</v>
      </c>
      <c r="GH22" s="486">
        <v>0</v>
      </c>
      <c r="GI22" s="486">
        <v>0</v>
      </c>
      <c r="GJ22" s="486">
        <v>0</v>
      </c>
      <c r="GK22" s="486">
        <v>0</v>
      </c>
      <c r="GL22" s="486">
        <v>0</v>
      </c>
      <c r="GM22" s="486">
        <v>0</v>
      </c>
      <c r="GN22" s="486">
        <v>0</v>
      </c>
      <c r="GO22" s="486">
        <v>0</v>
      </c>
      <c r="GP22" s="486">
        <v>0</v>
      </c>
      <c r="GQ22" s="486">
        <v>0</v>
      </c>
      <c r="GR22" s="486">
        <v>0</v>
      </c>
      <c r="GS22" s="486">
        <v>0</v>
      </c>
      <c r="GT22" s="486">
        <v>0</v>
      </c>
      <c r="GU22" s="486">
        <v>0</v>
      </c>
      <c r="GV22" s="486">
        <v>0</v>
      </c>
      <c r="GW22" s="486">
        <v>0</v>
      </c>
      <c r="GX22" s="486">
        <v>0</v>
      </c>
      <c r="GY22" s="486">
        <v>0</v>
      </c>
      <c r="GZ22" s="486">
        <v>0</v>
      </c>
      <c r="HA22" s="486">
        <v>0</v>
      </c>
      <c r="HB22" s="486">
        <v>0</v>
      </c>
      <c r="HC22" s="486">
        <v>0</v>
      </c>
      <c r="HD22" s="486">
        <v>0</v>
      </c>
      <c r="HE22" s="486">
        <v>0</v>
      </c>
      <c r="HF22" s="486">
        <v>0</v>
      </c>
      <c r="HG22" s="486">
        <v>0</v>
      </c>
      <c r="HH22" s="486">
        <v>0</v>
      </c>
      <c r="HI22" s="486">
        <v>0</v>
      </c>
      <c r="HJ22" s="486">
        <v>0</v>
      </c>
      <c r="HK22" s="486">
        <v>0</v>
      </c>
      <c r="HL22" s="486">
        <v>0</v>
      </c>
      <c r="HM22" s="486">
        <v>0</v>
      </c>
      <c r="HN22" s="486">
        <v>0</v>
      </c>
      <c r="HO22" s="486">
        <v>0</v>
      </c>
      <c r="HP22" s="486">
        <v>0</v>
      </c>
      <c r="HQ22" s="486">
        <v>0</v>
      </c>
      <c r="HR22" s="486">
        <v>0</v>
      </c>
      <c r="HS22" s="486">
        <v>0</v>
      </c>
      <c r="HT22" s="486">
        <v>0</v>
      </c>
      <c r="HU22" s="486">
        <v>0</v>
      </c>
      <c r="HV22" s="486">
        <v>0</v>
      </c>
      <c r="HW22" s="486">
        <v>0</v>
      </c>
      <c r="HX22" s="486">
        <v>0</v>
      </c>
      <c r="HY22" s="486">
        <v>0</v>
      </c>
      <c r="HZ22" s="486">
        <v>0</v>
      </c>
      <c r="IA22" s="486">
        <v>0</v>
      </c>
      <c r="IB22" s="486">
        <v>0</v>
      </c>
      <c r="IC22" s="486">
        <v>0</v>
      </c>
      <c r="ID22" s="486">
        <v>0</v>
      </c>
      <c r="IE22" s="486">
        <v>0</v>
      </c>
      <c r="IF22" s="486">
        <v>0</v>
      </c>
      <c r="IG22" s="486">
        <v>0</v>
      </c>
      <c r="IH22" s="486">
        <v>0</v>
      </c>
      <c r="II22" s="486">
        <v>0</v>
      </c>
      <c r="IJ22" s="486">
        <v>0</v>
      </c>
    </row>
    <row r="23" spans="1:244" ht="16.5" hidden="1">
      <c r="A23" s="484" t="s">
        <v>720</v>
      </c>
      <c r="B23" s="484" t="s">
        <v>617</v>
      </c>
      <c r="C23" s="484" t="s">
        <v>721</v>
      </c>
      <c r="D23" s="485"/>
      <c r="E23" s="484" t="s">
        <v>721</v>
      </c>
      <c r="F23" s="484" t="s">
        <v>26</v>
      </c>
      <c r="G23" s="485"/>
      <c r="H23" s="486">
        <v>29</v>
      </c>
      <c r="I23" s="471" t="str">
        <f t="shared" si="1"/>
        <v>AIJ100229</v>
      </c>
      <c r="J23" s="486">
        <v>53</v>
      </c>
      <c r="L23" s="484" t="s">
        <v>720</v>
      </c>
      <c r="M23" s="484" t="s">
        <v>617</v>
      </c>
      <c r="N23" s="484" t="s">
        <v>25</v>
      </c>
      <c r="O23" s="486">
        <v>35</v>
      </c>
      <c r="P23" s="471" t="str">
        <f t="shared" si="2"/>
        <v>AIJ100135</v>
      </c>
      <c r="Q23" s="486">
        <v>0</v>
      </c>
      <c r="R23" s="486">
        <v>10</v>
      </c>
      <c r="S23" s="486">
        <v>19</v>
      </c>
      <c r="T23" s="486">
        <v>27</v>
      </c>
      <c r="U23" s="486">
        <v>36</v>
      </c>
      <c r="V23" s="486">
        <v>42</v>
      </c>
      <c r="W23" s="486">
        <v>51</v>
      </c>
      <c r="X23" s="486">
        <v>58</v>
      </c>
      <c r="Y23" s="486">
        <v>59</v>
      </c>
      <c r="Z23" s="486">
        <v>0</v>
      </c>
      <c r="AA23" s="486">
        <v>0</v>
      </c>
      <c r="AB23" s="486">
        <v>0</v>
      </c>
      <c r="AC23" s="486">
        <v>0</v>
      </c>
      <c r="AD23" s="486">
        <v>0</v>
      </c>
      <c r="AE23" s="486">
        <v>0</v>
      </c>
      <c r="AF23" s="486">
        <v>0</v>
      </c>
      <c r="AG23" s="486">
        <v>0</v>
      </c>
      <c r="AH23" s="486">
        <v>0</v>
      </c>
      <c r="AI23" s="486">
        <v>0</v>
      </c>
      <c r="AJ23" s="486">
        <v>0</v>
      </c>
      <c r="AK23" s="486">
        <v>0</v>
      </c>
      <c r="AL23" s="486">
        <v>0</v>
      </c>
      <c r="AM23" s="486">
        <v>0</v>
      </c>
      <c r="AN23" s="486">
        <v>0</v>
      </c>
      <c r="AO23" s="486">
        <v>0</v>
      </c>
      <c r="AP23" s="486">
        <v>0</v>
      </c>
      <c r="AQ23" s="486">
        <v>0</v>
      </c>
      <c r="AR23" s="486">
        <v>0</v>
      </c>
      <c r="AS23" s="486">
        <v>0</v>
      </c>
      <c r="AT23" s="486">
        <v>0</v>
      </c>
      <c r="AU23" s="486">
        <v>0</v>
      </c>
      <c r="AV23" s="486">
        <v>0</v>
      </c>
      <c r="AW23" s="486">
        <v>0</v>
      </c>
      <c r="AX23" s="486">
        <v>0</v>
      </c>
      <c r="AY23" s="486">
        <v>0</v>
      </c>
      <c r="AZ23" s="486">
        <v>0</v>
      </c>
      <c r="BA23" s="486">
        <v>0</v>
      </c>
      <c r="BB23" s="486">
        <v>0</v>
      </c>
      <c r="BC23" s="486">
        <v>0</v>
      </c>
      <c r="BD23" s="486">
        <v>0</v>
      </c>
      <c r="BE23" s="486">
        <v>0</v>
      </c>
      <c r="BF23" s="486">
        <v>0</v>
      </c>
      <c r="BG23" s="486">
        <v>0</v>
      </c>
      <c r="BH23" s="486">
        <v>0</v>
      </c>
      <c r="BI23" s="486">
        <v>0</v>
      </c>
      <c r="BJ23" s="486">
        <v>0</v>
      </c>
      <c r="BK23" s="486">
        <v>0</v>
      </c>
      <c r="BL23" s="486">
        <v>0</v>
      </c>
      <c r="BM23" s="486">
        <v>0</v>
      </c>
      <c r="BN23" s="486">
        <v>0</v>
      </c>
      <c r="BO23" s="486">
        <v>0</v>
      </c>
      <c r="BP23" s="486">
        <v>0</v>
      </c>
      <c r="BQ23" s="486">
        <v>0</v>
      </c>
      <c r="BR23" s="486">
        <v>0</v>
      </c>
      <c r="BS23" s="486">
        <v>0</v>
      </c>
      <c r="BT23" s="486">
        <v>0</v>
      </c>
      <c r="BU23" s="486">
        <v>0</v>
      </c>
      <c r="BV23" s="486">
        <v>0</v>
      </c>
      <c r="BW23" s="486">
        <v>0</v>
      </c>
      <c r="BX23" s="486">
        <v>0</v>
      </c>
      <c r="BY23" s="486">
        <v>0</v>
      </c>
      <c r="BZ23" s="486">
        <v>0</v>
      </c>
      <c r="CA23" s="486">
        <v>0</v>
      </c>
      <c r="CB23" s="486">
        <v>0</v>
      </c>
      <c r="CC23" s="486">
        <v>0</v>
      </c>
      <c r="CD23" s="486">
        <v>0</v>
      </c>
      <c r="CE23" s="486">
        <v>0</v>
      </c>
      <c r="CF23" s="486">
        <v>0</v>
      </c>
      <c r="CG23" s="486">
        <v>0</v>
      </c>
      <c r="CH23" s="486">
        <v>0</v>
      </c>
      <c r="CI23" s="486">
        <v>0</v>
      </c>
      <c r="CJ23" s="486">
        <v>0</v>
      </c>
      <c r="CK23" s="486">
        <v>0</v>
      </c>
      <c r="CL23" s="486">
        <v>0</v>
      </c>
      <c r="CM23" s="486">
        <v>0</v>
      </c>
      <c r="CN23" s="486">
        <v>0</v>
      </c>
      <c r="CO23" s="486">
        <v>0</v>
      </c>
      <c r="CP23" s="486">
        <v>0</v>
      </c>
      <c r="CQ23" s="486">
        <v>0</v>
      </c>
      <c r="CR23" s="486">
        <v>0</v>
      </c>
      <c r="CS23" s="486">
        <v>0</v>
      </c>
      <c r="CT23" s="486">
        <v>0</v>
      </c>
      <c r="CU23" s="486">
        <v>0</v>
      </c>
      <c r="CV23" s="486">
        <v>0</v>
      </c>
      <c r="CW23" s="486">
        <v>0</v>
      </c>
      <c r="CX23" s="486">
        <v>0</v>
      </c>
      <c r="CY23" s="486">
        <v>0</v>
      </c>
      <c r="CZ23" s="486">
        <v>0</v>
      </c>
      <c r="DA23" s="486">
        <v>0</v>
      </c>
      <c r="DB23" s="486">
        <v>0</v>
      </c>
      <c r="DC23" s="486">
        <v>0</v>
      </c>
      <c r="DD23" s="486">
        <v>0</v>
      </c>
      <c r="DE23" s="486">
        <v>0</v>
      </c>
      <c r="DF23" s="486">
        <v>0</v>
      </c>
      <c r="DG23" s="486">
        <v>0</v>
      </c>
      <c r="DH23" s="486">
        <v>0</v>
      </c>
      <c r="DI23" s="486">
        <v>0</v>
      </c>
      <c r="DJ23" s="486">
        <v>0</v>
      </c>
      <c r="DK23" s="486">
        <v>0</v>
      </c>
      <c r="DL23" s="486">
        <v>0</v>
      </c>
      <c r="DM23" s="486">
        <v>0</v>
      </c>
      <c r="DN23" s="486">
        <v>0</v>
      </c>
      <c r="DO23" s="486">
        <v>0</v>
      </c>
      <c r="DP23" s="486">
        <v>0</v>
      </c>
      <c r="DQ23" s="486">
        <v>0</v>
      </c>
      <c r="DR23" s="486">
        <v>0</v>
      </c>
      <c r="DS23" s="486">
        <v>0</v>
      </c>
      <c r="DT23" s="486">
        <v>0</v>
      </c>
      <c r="DU23" s="486">
        <v>0</v>
      </c>
      <c r="DV23" s="486">
        <v>0</v>
      </c>
      <c r="DW23" s="486">
        <v>0</v>
      </c>
      <c r="DX23" s="477"/>
      <c r="DY23" s="484" t="s">
        <v>720</v>
      </c>
      <c r="DZ23" s="484" t="s">
        <v>617</v>
      </c>
      <c r="EA23" s="484" t="s">
        <v>25</v>
      </c>
      <c r="EB23" s="486">
        <v>35</v>
      </c>
      <c r="EC23" s="471" t="str">
        <f t="shared" si="0"/>
        <v>AIJ100135</v>
      </c>
      <c r="ED23" s="486">
        <v>10000</v>
      </c>
      <c r="EE23" s="486">
        <v>10000</v>
      </c>
      <c r="EF23" s="486">
        <v>10000</v>
      </c>
      <c r="EG23" s="486">
        <v>10000</v>
      </c>
      <c r="EH23" s="486">
        <v>10000</v>
      </c>
      <c r="EI23" s="486">
        <v>10000</v>
      </c>
      <c r="EJ23" s="486">
        <v>10000</v>
      </c>
      <c r="EK23" s="486">
        <v>10000</v>
      </c>
      <c r="EL23" s="486">
        <v>10000</v>
      </c>
      <c r="EM23" s="486">
        <v>10000</v>
      </c>
      <c r="EN23" s="486">
        <v>0</v>
      </c>
      <c r="EO23" s="486">
        <v>0</v>
      </c>
      <c r="EP23" s="486">
        <v>0</v>
      </c>
      <c r="EQ23" s="486">
        <v>0</v>
      </c>
      <c r="ER23" s="486">
        <v>0</v>
      </c>
      <c r="ES23" s="486">
        <v>0</v>
      </c>
      <c r="ET23" s="486">
        <v>0</v>
      </c>
      <c r="EU23" s="486">
        <v>0</v>
      </c>
      <c r="EV23" s="486">
        <v>0</v>
      </c>
      <c r="EW23" s="486">
        <v>0</v>
      </c>
      <c r="EX23" s="486">
        <v>0</v>
      </c>
      <c r="EY23" s="486">
        <v>0</v>
      </c>
      <c r="EZ23" s="486">
        <v>0</v>
      </c>
      <c r="FA23" s="486">
        <v>0</v>
      </c>
      <c r="FB23" s="486">
        <v>0</v>
      </c>
      <c r="FC23" s="486">
        <v>0</v>
      </c>
      <c r="FD23" s="486">
        <v>0</v>
      </c>
      <c r="FE23" s="486">
        <v>0</v>
      </c>
      <c r="FF23" s="486">
        <v>0</v>
      </c>
      <c r="FG23" s="486">
        <v>0</v>
      </c>
      <c r="FH23" s="486">
        <v>0</v>
      </c>
      <c r="FI23" s="486">
        <v>0</v>
      </c>
      <c r="FJ23" s="486">
        <v>0</v>
      </c>
      <c r="FK23" s="486">
        <v>0</v>
      </c>
      <c r="FL23" s="486">
        <v>0</v>
      </c>
      <c r="FM23" s="486">
        <v>0</v>
      </c>
      <c r="FN23" s="486">
        <v>0</v>
      </c>
      <c r="FO23" s="486">
        <v>0</v>
      </c>
      <c r="FP23" s="486">
        <v>0</v>
      </c>
      <c r="FQ23" s="486">
        <v>0</v>
      </c>
      <c r="FR23" s="486">
        <v>0</v>
      </c>
      <c r="FS23" s="486">
        <v>0</v>
      </c>
      <c r="FT23" s="486">
        <v>0</v>
      </c>
      <c r="FU23" s="486">
        <v>0</v>
      </c>
      <c r="FV23" s="486">
        <v>0</v>
      </c>
      <c r="FW23" s="486">
        <v>0</v>
      </c>
      <c r="FX23" s="486">
        <v>0</v>
      </c>
      <c r="FY23" s="486">
        <v>0</v>
      </c>
      <c r="FZ23" s="486">
        <v>0</v>
      </c>
      <c r="GA23" s="486">
        <v>0</v>
      </c>
      <c r="GB23" s="486">
        <v>0</v>
      </c>
      <c r="GC23" s="486">
        <v>0</v>
      </c>
      <c r="GD23" s="486">
        <v>0</v>
      </c>
      <c r="GE23" s="486">
        <v>0</v>
      </c>
      <c r="GF23" s="486">
        <v>0</v>
      </c>
      <c r="GG23" s="486">
        <v>0</v>
      </c>
      <c r="GH23" s="486">
        <v>0</v>
      </c>
      <c r="GI23" s="486">
        <v>0</v>
      </c>
      <c r="GJ23" s="486">
        <v>0</v>
      </c>
      <c r="GK23" s="486">
        <v>0</v>
      </c>
      <c r="GL23" s="486">
        <v>0</v>
      </c>
      <c r="GM23" s="486">
        <v>0</v>
      </c>
      <c r="GN23" s="486">
        <v>0</v>
      </c>
      <c r="GO23" s="486">
        <v>0</v>
      </c>
      <c r="GP23" s="486">
        <v>0</v>
      </c>
      <c r="GQ23" s="486">
        <v>0</v>
      </c>
      <c r="GR23" s="486">
        <v>0</v>
      </c>
      <c r="GS23" s="486">
        <v>0</v>
      </c>
      <c r="GT23" s="486">
        <v>0</v>
      </c>
      <c r="GU23" s="486">
        <v>0</v>
      </c>
      <c r="GV23" s="486">
        <v>0</v>
      </c>
      <c r="GW23" s="486">
        <v>0</v>
      </c>
      <c r="GX23" s="486">
        <v>0</v>
      </c>
      <c r="GY23" s="486">
        <v>0</v>
      </c>
      <c r="GZ23" s="486">
        <v>0</v>
      </c>
      <c r="HA23" s="486">
        <v>0</v>
      </c>
      <c r="HB23" s="486">
        <v>0</v>
      </c>
      <c r="HC23" s="486">
        <v>0</v>
      </c>
      <c r="HD23" s="486">
        <v>0</v>
      </c>
      <c r="HE23" s="486">
        <v>0</v>
      </c>
      <c r="HF23" s="486">
        <v>0</v>
      </c>
      <c r="HG23" s="486">
        <v>0</v>
      </c>
      <c r="HH23" s="486">
        <v>0</v>
      </c>
      <c r="HI23" s="486">
        <v>0</v>
      </c>
      <c r="HJ23" s="486">
        <v>0</v>
      </c>
      <c r="HK23" s="486">
        <v>0</v>
      </c>
      <c r="HL23" s="486">
        <v>0</v>
      </c>
      <c r="HM23" s="486">
        <v>0</v>
      </c>
      <c r="HN23" s="486">
        <v>0</v>
      </c>
      <c r="HO23" s="486">
        <v>0</v>
      </c>
      <c r="HP23" s="486">
        <v>0</v>
      </c>
      <c r="HQ23" s="486">
        <v>0</v>
      </c>
      <c r="HR23" s="486">
        <v>0</v>
      </c>
      <c r="HS23" s="486">
        <v>0</v>
      </c>
      <c r="HT23" s="486">
        <v>0</v>
      </c>
      <c r="HU23" s="486">
        <v>0</v>
      </c>
      <c r="HV23" s="486">
        <v>0</v>
      </c>
      <c r="HW23" s="486">
        <v>0</v>
      </c>
      <c r="HX23" s="486">
        <v>0</v>
      </c>
      <c r="HY23" s="486">
        <v>0</v>
      </c>
      <c r="HZ23" s="486">
        <v>0</v>
      </c>
      <c r="IA23" s="486">
        <v>0</v>
      </c>
      <c r="IB23" s="486">
        <v>0</v>
      </c>
      <c r="IC23" s="486">
        <v>0</v>
      </c>
      <c r="ID23" s="486">
        <v>0</v>
      </c>
      <c r="IE23" s="486">
        <v>0</v>
      </c>
      <c r="IF23" s="486">
        <v>0</v>
      </c>
      <c r="IG23" s="486">
        <v>0</v>
      </c>
      <c r="IH23" s="486">
        <v>0</v>
      </c>
      <c r="II23" s="486">
        <v>0</v>
      </c>
      <c r="IJ23" s="486">
        <v>0</v>
      </c>
    </row>
    <row r="24" spans="1:244" ht="16.5" hidden="1">
      <c r="A24" s="484" t="s">
        <v>720</v>
      </c>
      <c r="B24" s="484" t="s">
        <v>617</v>
      </c>
      <c r="C24" s="484" t="s">
        <v>721</v>
      </c>
      <c r="D24" s="485"/>
      <c r="E24" s="484" t="s">
        <v>721</v>
      </c>
      <c r="F24" s="484" t="s">
        <v>26</v>
      </c>
      <c r="G24" s="485"/>
      <c r="H24" s="486">
        <v>30</v>
      </c>
      <c r="I24" s="471" t="str">
        <f t="shared" si="1"/>
        <v>AIJ100230</v>
      </c>
      <c r="J24" s="486">
        <v>54</v>
      </c>
      <c r="L24" s="484" t="s">
        <v>720</v>
      </c>
      <c r="M24" s="484" t="s">
        <v>617</v>
      </c>
      <c r="N24" s="484" t="s">
        <v>25</v>
      </c>
      <c r="O24" s="486">
        <v>36</v>
      </c>
      <c r="P24" s="471" t="str">
        <f t="shared" si="2"/>
        <v>AIJ100136</v>
      </c>
      <c r="Q24" s="486">
        <v>0</v>
      </c>
      <c r="R24" s="486">
        <v>11</v>
      </c>
      <c r="S24" s="486">
        <v>20</v>
      </c>
      <c r="T24" s="486">
        <v>29</v>
      </c>
      <c r="U24" s="486">
        <v>38</v>
      </c>
      <c r="V24" s="486">
        <v>46</v>
      </c>
      <c r="W24" s="486">
        <v>54</v>
      </c>
      <c r="X24" s="486">
        <v>60</v>
      </c>
      <c r="Y24" s="486">
        <v>62</v>
      </c>
      <c r="Z24" s="486">
        <v>0</v>
      </c>
      <c r="AA24" s="486">
        <v>0</v>
      </c>
      <c r="AB24" s="486">
        <v>0</v>
      </c>
      <c r="AC24" s="486">
        <v>0</v>
      </c>
      <c r="AD24" s="486">
        <v>0</v>
      </c>
      <c r="AE24" s="486">
        <v>0</v>
      </c>
      <c r="AF24" s="486">
        <v>0</v>
      </c>
      <c r="AG24" s="486">
        <v>0</v>
      </c>
      <c r="AH24" s="486">
        <v>0</v>
      </c>
      <c r="AI24" s="486">
        <v>0</v>
      </c>
      <c r="AJ24" s="486">
        <v>0</v>
      </c>
      <c r="AK24" s="486">
        <v>0</v>
      </c>
      <c r="AL24" s="486">
        <v>0</v>
      </c>
      <c r="AM24" s="486">
        <v>0</v>
      </c>
      <c r="AN24" s="486">
        <v>0</v>
      </c>
      <c r="AO24" s="486">
        <v>0</v>
      </c>
      <c r="AP24" s="486">
        <v>0</v>
      </c>
      <c r="AQ24" s="486">
        <v>0</v>
      </c>
      <c r="AR24" s="486">
        <v>0</v>
      </c>
      <c r="AS24" s="486">
        <v>0</v>
      </c>
      <c r="AT24" s="486">
        <v>0</v>
      </c>
      <c r="AU24" s="486">
        <v>0</v>
      </c>
      <c r="AV24" s="486">
        <v>0</v>
      </c>
      <c r="AW24" s="486">
        <v>0</v>
      </c>
      <c r="AX24" s="486">
        <v>0</v>
      </c>
      <c r="AY24" s="486">
        <v>0</v>
      </c>
      <c r="AZ24" s="486">
        <v>0</v>
      </c>
      <c r="BA24" s="486">
        <v>0</v>
      </c>
      <c r="BB24" s="486">
        <v>0</v>
      </c>
      <c r="BC24" s="486">
        <v>0</v>
      </c>
      <c r="BD24" s="486">
        <v>0</v>
      </c>
      <c r="BE24" s="486">
        <v>0</v>
      </c>
      <c r="BF24" s="486">
        <v>0</v>
      </c>
      <c r="BG24" s="486">
        <v>0</v>
      </c>
      <c r="BH24" s="486">
        <v>0</v>
      </c>
      <c r="BI24" s="486">
        <v>0</v>
      </c>
      <c r="BJ24" s="486">
        <v>0</v>
      </c>
      <c r="BK24" s="486">
        <v>0</v>
      </c>
      <c r="BL24" s="486">
        <v>0</v>
      </c>
      <c r="BM24" s="486">
        <v>0</v>
      </c>
      <c r="BN24" s="486">
        <v>0</v>
      </c>
      <c r="BO24" s="486">
        <v>0</v>
      </c>
      <c r="BP24" s="486">
        <v>0</v>
      </c>
      <c r="BQ24" s="486">
        <v>0</v>
      </c>
      <c r="BR24" s="486">
        <v>0</v>
      </c>
      <c r="BS24" s="486">
        <v>0</v>
      </c>
      <c r="BT24" s="486">
        <v>0</v>
      </c>
      <c r="BU24" s="486">
        <v>0</v>
      </c>
      <c r="BV24" s="486">
        <v>0</v>
      </c>
      <c r="BW24" s="486">
        <v>0</v>
      </c>
      <c r="BX24" s="486">
        <v>0</v>
      </c>
      <c r="BY24" s="486">
        <v>0</v>
      </c>
      <c r="BZ24" s="486">
        <v>0</v>
      </c>
      <c r="CA24" s="486">
        <v>0</v>
      </c>
      <c r="CB24" s="486">
        <v>0</v>
      </c>
      <c r="CC24" s="486">
        <v>0</v>
      </c>
      <c r="CD24" s="486">
        <v>0</v>
      </c>
      <c r="CE24" s="486">
        <v>0</v>
      </c>
      <c r="CF24" s="486">
        <v>0</v>
      </c>
      <c r="CG24" s="486">
        <v>0</v>
      </c>
      <c r="CH24" s="486">
        <v>0</v>
      </c>
      <c r="CI24" s="486">
        <v>0</v>
      </c>
      <c r="CJ24" s="486">
        <v>0</v>
      </c>
      <c r="CK24" s="486">
        <v>0</v>
      </c>
      <c r="CL24" s="486">
        <v>0</v>
      </c>
      <c r="CM24" s="486">
        <v>0</v>
      </c>
      <c r="CN24" s="486">
        <v>0</v>
      </c>
      <c r="CO24" s="486">
        <v>0</v>
      </c>
      <c r="CP24" s="486">
        <v>0</v>
      </c>
      <c r="CQ24" s="486">
        <v>0</v>
      </c>
      <c r="CR24" s="486">
        <v>0</v>
      </c>
      <c r="CS24" s="486">
        <v>0</v>
      </c>
      <c r="CT24" s="486">
        <v>0</v>
      </c>
      <c r="CU24" s="486">
        <v>0</v>
      </c>
      <c r="CV24" s="486">
        <v>0</v>
      </c>
      <c r="CW24" s="486">
        <v>0</v>
      </c>
      <c r="CX24" s="486">
        <v>0</v>
      </c>
      <c r="CY24" s="486">
        <v>0</v>
      </c>
      <c r="CZ24" s="486">
        <v>0</v>
      </c>
      <c r="DA24" s="486">
        <v>0</v>
      </c>
      <c r="DB24" s="486">
        <v>0</v>
      </c>
      <c r="DC24" s="486">
        <v>0</v>
      </c>
      <c r="DD24" s="486">
        <v>0</v>
      </c>
      <c r="DE24" s="486">
        <v>0</v>
      </c>
      <c r="DF24" s="486">
        <v>0</v>
      </c>
      <c r="DG24" s="486">
        <v>0</v>
      </c>
      <c r="DH24" s="486">
        <v>0</v>
      </c>
      <c r="DI24" s="486">
        <v>0</v>
      </c>
      <c r="DJ24" s="486">
        <v>0</v>
      </c>
      <c r="DK24" s="486">
        <v>0</v>
      </c>
      <c r="DL24" s="486">
        <v>0</v>
      </c>
      <c r="DM24" s="486">
        <v>0</v>
      </c>
      <c r="DN24" s="486">
        <v>0</v>
      </c>
      <c r="DO24" s="486">
        <v>0</v>
      </c>
      <c r="DP24" s="486">
        <v>0</v>
      </c>
      <c r="DQ24" s="486">
        <v>0</v>
      </c>
      <c r="DR24" s="486">
        <v>0</v>
      </c>
      <c r="DS24" s="486">
        <v>0</v>
      </c>
      <c r="DT24" s="486">
        <v>0</v>
      </c>
      <c r="DU24" s="486">
        <v>0</v>
      </c>
      <c r="DV24" s="486">
        <v>0</v>
      </c>
      <c r="DW24" s="486">
        <v>0</v>
      </c>
      <c r="DX24" s="477"/>
      <c r="DY24" s="484" t="s">
        <v>720</v>
      </c>
      <c r="DZ24" s="484" t="s">
        <v>617</v>
      </c>
      <c r="EA24" s="484" t="s">
        <v>25</v>
      </c>
      <c r="EB24" s="486">
        <v>36</v>
      </c>
      <c r="EC24" s="471" t="str">
        <f t="shared" si="0"/>
        <v>AIJ100136</v>
      </c>
      <c r="ED24" s="486">
        <v>10000</v>
      </c>
      <c r="EE24" s="486">
        <v>10000</v>
      </c>
      <c r="EF24" s="486">
        <v>10000</v>
      </c>
      <c r="EG24" s="486">
        <v>10000</v>
      </c>
      <c r="EH24" s="486">
        <v>10000</v>
      </c>
      <c r="EI24" s="486">
        <v>10000</v>
      </c>
      <c r="EJ24" s="486">
        <v>10000</v>
      </c>
      <c r="EK24" s="486">
        <v>10000</v>
      </c>
      <c r="EL24" s="486">
        <v>10000</v>
      </c>
      <c r="EM24" s="486">
        <v>10000</v>
      </c>
      <c r="EN24" s="486">
        <v>0</v>
      </c>
      <c r="EO24" s="486">
        <v>0</v>
      </c>
      <c r="EP24" s="486">
        <v>0</v>
      </c>
      <c r="EQ24" s="486">
        <v>0</v>
      </c>
      <c r="ER24" s="486">
        <v>0</v>
      </c>
      <c r="ES24" s="486">
        <v>0</v>
      </c>
      <c r="ET24" s="486">
        <v>0</v>
      </c>
      <c r="EU24" s="486">
        <v>0</v>
      </c>
      <c r="EV24" s="486">
        <v>0</v>
      </c>
      <c r="EW24" s="486">
        <v>0</v>
      </c>
      <c r="EX24" s="486">
        <v>0</v>
      </c>
      <c r="EY24" s="486">
        <v>0</v>
      </c>
      <c r="EZ24" s="486">
        <v>0</v>
      </c>
      <c r="FA24" s="486">
        <v>0</v>
      </c>
      <c r="FB24" s="486">
        <v>0</v>
      </c>
      <c r="FC24" s="486">
        <v>0</v>
      </c>
      <c r="FD24" s="486">
        <v>0</v>
      </c>
      <c r="FE24" s="486">
        <v>0</v>
      </c>
      <c r="FF24" s="486">
        <v>0</v>
      </c>
      <c r="FG24" s="486">
        <v>0</v>
      </c>
      <c r="FH24" s="486">
        <v>0</v>
      </c>
      <c r="FI24" s="486">
        <v>0</v>
      </c>
      <c r="FJ24" s="486">
        <v>0</v>
      </c>
      <c r="FK24" s="486">
        <v>0</v>
      </c>
      <c r="FL24" s="486">
        <v>0</v>
      </c>
      <c r="FM24" s="486">
        <v>0</v>
      </c>
      <c r="FN24" s="486">
        <v>0</v>
      </c>
      <c r="FO24" s="486">
        <v>0</v>
      </c>
      <c r="FP24" s="486">
        <v>0</v>
      </c>
      <c r="FQ24" s="486">
        <v>0</v>
      </c>
      <c r="FR24" s="486">
        <v>0</v>
      </c>
      <c r="FS24" s="486">
        <v>0</v>
      </c>
      <c r="FT24" s="486">
        <v>0</v>
      </c>
      <c r="FU24" s="486">
        <v>0</v>
      </c>
      <c r="FV24" s="486">
        <v>0</v>
      </c>
      <c r="FW24" s="486">
        <v>0</v>
      </c>
      <c r="FX24" s="486">
        <v>0</v>
      </c>
      <c r="FY24" s="486">
        <v>0</v>
      </c>
      <c r="FZ24" s="486">
        <v>0</v>
      </c>
      <c r="GA24" s="486">
        <v>0</v>
      </c>
      <c r="GB24" s="486">
        <v>0</v>
      </c>
      <c r="GC24" s="486">
        <v>0</v>
      </c>
      <c r="GD24" s="486">
        <v>0</v>
      </c>
      <c r="GE24" s="486">
        <v>0</v>
      </c>
      <c r="GF24" s="486">
        <v>0</v>
      </c>
      <c r="GG24" s="486">
        <v>0</v>
      </c>
      <c r="GH24" s="486">
        <v>0</v>
      </c>
      <c r="GI24" s="486">
        <v>0</v>
      </c>
      <c r="GJ24" s="486">
        <v>0</v>
      </c>
      <c r="GK24" s="486">
        <v>0</v>
      </c>
      <c r="GL24" s="486">
        <v>0</v>
      </c>
      <c r="GM24" s="486">
        <v>0</v>
      </c>
      <c r="GN24" s="486">
        <v>0</v>
      </c>
      <c r="GO24" s="486">
        <v>0</v>
      </c>
      <c r="GP24" s="486">
        <v>0</v>
      </c>
      <c r="GQ24" s="486">
        <v>0</v>
      </c>
      <c r="GR24" s="486">
        <v>0</v>
      </c>
      <c r="GS24" s="486">
        <v>0</v>
      </c>
      <c r="GT24" s="486">
        <v>0</v>
      </c>
      <c r="GU24" s="486">
        <v>0</v>
      </c>
      <c r="GV24" s="486">
        <v>0</v>
      </c>
      <c r="GW24" s="486">
        <v>0</v>
      </c>
      <c r="GX24" s="486">
        <v>0</v>
      </c>
      <c r="GY24" s="486">
        <v>0</v>
      </c>
      <c r="GZ24" s="486">
        <v>0</v>
      </c>
      <c r="HA24" s="486">
        <v>0</v>
      </c>
      <c r="HB24" s="486">
        <v>0</v>
      </c>
      <c r="HC24" s="486">
        <v>0</v>
      </c>
      <c r="HD24" s="486">
        <v>0</v>
      </c>
      <c r="HE24" s="486">
        <v>0</v>
      </c>
      <c r="HF24" s="486">
        <v>0</v>
      </c>
      <c r="HG24" s="486">
        <v>0</v>
      </c>
      <c r="HH24" s="486">
        <v>0</v>
      </c>
      <c r="HI24" s="486">
        <v>0</v>
      </c>
      <c r="HJ24" s="486">
        <v>0</v>
      </c>
      <c r="HK24" s="486">
        <v>0</v>
      </c>
      <c r="HL24" s="486">
        <v>0</v>
      </c>
      <c r="HM24" s="486">
        <v>0</v>
      </c>
      <c r="HN24" s="486">
        <v>0</v>
      </c>
      <c r="HO24" s="486">
        <v>0</v>
      </c>
      <c r="HP24" s="486">
        <v>0</v>
      </c>
      <c r="HQ24" s="486">
        <v>0</v>
      </c>
      <c r="HR24" s="486">
        <v>0</v>
      </c>
      <c r="HS24" s="486">
        <v>0</v>
      </c>
      <c r="HT24" s="486">
        <v>0</v>
      </c>
      <c r="HU24" s="486">
        <v>0</v>
      </c>
      <c r="HV24" s="486">
        <v>0</v>
      </c>
      <c r="HW24" s="486">
        <v>0</v>
      </c>
      <c r="HX24" s="486">
        <v>0</v>
      </c>
      <c r="HY24" s="486">
        <v>0</v>
      </c>
      <c r="HZ24" s="486">
        <v>0</v>
      </c>
      <c r="IA24" s="486">
        <v>0</v>
      </c>
      <c r="IB24" s="486">
        <v>0</v>
      </c>
      <c r="IC24" s="486">
        <v>0</v>
      </c>
      <c r="ID24" s="486">
        <v>0</v>
      </c>
      <c r="IE24" s="486">
        <v>0</v>
      </c>
      <c r="IF24" s="486">
        <v>0</v>
      </c>
      <c r="IG24" s="486">
        <v>0</v>
      </c>
      <c r="IH24" s="486">
        <v>0</v>
      </c>
      <c r="II24" s="486">
        <v>0</v>
      </c>
      <c r="IJ24" s="486">
        <v>0</v>
      </c>
    </row>
    <row r="25" spans="1:244" ht="16.5" hidden="1">
      <c r="A25" s="484" t="s">
        <v>720</v>
      </c>
      <c r="B25" s="484" t="s">
        <v>617</v>
      </c>
      <c r="C25" s="484" t="s">
        <v>721</v>
      </c>
      <c r="D25" s="485"/>
      <c r="E25" s="484" t="s">
        <v>721</v>
      </c>
      <c r="F25" s="484" t="s">
        <v>26</v>
      </c>
      <c r="G25" s="485"/>
      <c r="H25" s="486">
        <v>31</v>
      </c>
      <c r="I25" s="471" t="str">
        <f t="shared" si="1"/>
        <v>AIJ100231</v>
      </c>
      <c r="J25" s="486">
        <v>55</v>
      </c>
      <c r="L25" s="484" t="s">
        <v>720</v>
      </c>
      <c r="M25" s="484" t="s">
        <v>617</v>
      </c>
      <c r="N25" s="484" t="s">
        <v>25</v>
      </c>
      <c r="O25" s="486">
        <v>37</v>
      </c>
      <c r="P25" s="471" t="str">
        <f t="shared" si="2"/>
        <v>AIJ100137</v>
      </c>
      <c r="Q25" s="486">
        <v>0</v>
      </c>
      <c r="R25" s="486">
        <v>11</v>
      </c>
      <c r="S25" s="486">
        <v>22</v>
      </c>
      <c r="T25" s="486">
        <v>31</v>
      </c>
      <c r="U25" s="486">
        <v>42</v>
      </c>
      <c r="V25" s="486">
        <v>48</v>
      </c>
      <c r="W25" s="486">
        <v>57</v>
      </c>
      <c r="X25" s="486">
        <v>64</v>
      </c>
      <c r="Y25" s="486">
        <v>65</v>
      </c>
      <c r="Z25" s="486">
        <v>0</v>
      </c>
      <c r="AA25" s="486">
        <v>0</v>
      </c>
      <c r="AB25" s="486">
        <v>0</v>
      </c>
      <c r="AC25" s="486">
        <v>0</v>
      </c>
      <c r="AD25" s="486">
        <v>0</v>
      </c>
      <c r="AE25" s="486">
        <v>0</v>
      </c>
      <c r="AF25" s="486">
        <v>0</v>
      </c>
      <c r="AG25" s="486">
        <v>0</v>
      </c>
      <c r="AH25" s="486">
        <v>0</v>
      </c>
      <c r="AI25" s="486">
        <v>0</v>
      </c>
      <c r="AJ25" s="486">
        <v>0</v>
      </c>
      <c r="AK25" s="486">
        <v>0</v>
      </c>
      <c r="AL25" s="486">
        <v>0</v>
      </c>
      <c r="AM25" s="486">
        <v>0</v>
      </c>
      <c r="AN25" s="486">
        <v>0</v>
      </c>
      <c r="AO25" s="486">
        <v>0</v>
      </c>
      <c r="AP25" s="486">
        <v>0</v>
      </c>
      <c r="AQ25" s="486">
        <v>0</v>
      </c>
      <c r="AR25" s="486">
        <v>0</v>
      </c>
      <c r="AS25" s="486">
        <v>0</v>
      </c>
      <c r="AT25" s="486">
        <v>0</v>
      </c>
      <c r="AU25" s="486">
        <v>0</v>
      </c>
      <c r="AV25" s="486">
        <v>0</v>
      </c>
      <c r="AW25" s="486">
        <v>0</v>
      </c>
      <c r="AX25" s="486">
        <v>0</v>
      </c>
      <c r="AY25" s="486">
        <v>0</v>
      </c>
      <c r="AZ25" s="486">
        <v>0</v>
      </c>
      <c r="BA25" s="486">
        <v>0</v>
      </c>
      <c r="BB25" s="486">
        <v>0</v>
      </c>
      <c r="BC25" s="486">
        <v>0</v>
      </c>
      <c r="BD25" s="486">
        <v>0</v>
      </c>
      <c r="BE25" s="486">
        <v>0</v>
      </c>
      <c r="BF25" s="486">
        <v>0</v>
      </c>
      <c r="BG25" s="486">
        <v>0</v>
      </c>
      <c r="BH25" s="486">
        <v>0</v>
      </c>
      <c r="BI25" s="486">
        <v>0</v>
      </c>
      <c r="BJ25" s="486">
        <v>0</v>
      </c>
      <c r="BK25" s="486">
        <v>0</v>
      </c>
      <c r="BL25" s="486">
        <v>0</v>
      </c>
      <c r="BM25" s="486">
        <v>0</v>
      </c>
      <c r="BN25" s="486">
        <v>0</v>
      </c>
      <c r="BO25" s="486">
        <v>0</v>
      </c>
      <c r="BP25" s="486">
        <v>0</v>
      </c>
      <c r="BQ25" s="486">
        <v>0</v>
      </c>
      <c r="BR25" s="486">
        <v>0</v>
      </c>
      <c r="BS25" s="486">
        <v>0</v>
      </c>
      <c r="BT25" s="486">
        <v>0</v>
      </c>
      <c r="BU25" s="486">
        <v>0</v>
      </c>
      <c r="BV25" s="486">
        <v>0</v>
      </c>
      <c r="BW25" s="486">
        <v>0</v>
      </c>
      <c r="BX25" s="486">
        <v>0</v>
      </c>
      <c r="BY25" s="486">
        <v>0</v>
      </c>
      <c r="BZ25" s="486">
        <v>0</v>
      </c>
      <c r="CA25" s="486">
        <v>0</v>
      </c>
      <c r="CB25" s="486">
        <v>0</v>
      </c>
      <c r="CC25" s="486">
        <v>0</v>
      </c>
      <c r="CD25" s="486">
        <v>0</v>
      </c>
      <c r="CE25" s="486">
        <v>0</v>
      </c>
      <c r="CF25" s="486">
        <v>0</v>
      </c>
      <c r="CG25" s="486">
        <v>0</v>
      </c>
      <c r="CH25" s="486">
        <v>0</v>
      </c>
      <c r="CI25" s="486">
        <v>0</v>
      </c>
      <c r="CJ25" s="486">
        <v>0</v>
      </c>
      <c r="CK25" s="486">
        <v>0</v>
      </c>
      <c r="CL25" s="486">
        <v>0</v>
      </c>
      <c r="CM25" s="486">
        <v>0</v>
      </c>
      <c r="CN25" s="486">
        <v>0</v>
      </c>
      <c r="CO25" s="486">
        <v>0</v>
      </c>
      <c r="CP25" s="486">
        <v>0</v>
      </c>
      <c r="CQ25" s="486">
        <v>0</v>
      </c>
      <c r="CR25" s="486">
        <v>0</v>
      </c>
      <c r="CS25" s="486">
        <v>0</v>
      </c>
      <c r="CT25" s="486">
        <v>0</v>
      </c>
      <c r="CU25" s="486">
        <v>0</v>
      </c>
      <c r="CV25" s="486">
        <v>0</v>
      </c>
      <c r="CW25" s="486">
        <v>0</v>
      </c>
      <c r="CX25" s="486">
        <v>0</v>
      </c>
      <c r="CY25" s="486">
        <v>0</v>
      </c>
      <c r="CZ25" s="486">
        <v>0</v>
      </c>
      <c r="DA25" s="486">
        <v>0</v>
      </c>
      <c r="DB25" s="486">
        <v>0</v>
      </c>
      <c r="DC25" s="486">
        <v>0</v>
      </c>
      <c r="DD25" s="486">
        <v>0</v>
      </c>
      <c r="DE25" s="486">
        <v>0</v>
      </c>
      <c r="DF25" s="486">
        <v>0</v>
      </c>
      <c r="DG25" s="486">
        <v>0</v>
      </c>
      <c r="DH25" s="486">
        <v>0</v>
      </c>
      <c r="DI25" s="486">
        <v>0</v>
      </c>
      <c r="DJ25" s="486">
        <v>0</v>
      </c>
      <c r="DK25" s="486">
        <v>0</v>
      </c>
      <c r="DL25" s="486">
        <v>0</v>
      </c>
      <c r="DM25" s="486">
        <v>0</v>
      </c>
      <c r="DN25" s="486">
        <v>0</v>
      </c>
      <c r="DO25" s="486">
        <v>0</v>
      </c>
      <c r="DP25" s="486">
        <v>0</v>
      </c>
      <c r="DQ25" s="486">
        <v>0</v>
      </c>
      <c r="DR25" s="486">
        <v>0</v>
      </c>
      <c r="DS25" s="486">
        <v>0</v>
      </c>
      <c r="DT25" s="486">
        <v>0</v>
      </c>
      <c r="DU25" s="486">
        <v>0</v>
      </c>
      <c r="DV25" s="486">
        <v>0</v>
      </c>
      <c r="DW25" s="486">
        <v>0</v>
      </c>
      <c r="DX25" s="477"/>
      <c r="DY25" s="484" t="s">
        <v>720</v>
      </c>
      <c r="DZ25" s="484" t="s">
        <v>617</v>
      </c>
      <c r="EA25" s="484" t="s">
        <v>25</v>
      </c>
      <c r="EB25" s="486">
        <v>37</v>
      </c>
      <c r="EC25" s="471" t="str">
        <f t="shared" si="0"/>
        <v>AIJ100137</v>
      </c>
      <c r="ED25" s="486">
        <v>10000</v>
      </c>
      <c r="EE25" s="486">
        <v>10000</v>
      </c>
      <c r="EF25" s="486">
        <v>10000</v>
      </c>
      <c r="EG25" s="486">
        <v>10000</v>
      </c>
      <c r="EH25" s="486">
        <v>10000</v>
      </c>
      <c r="EI25" s="486">
        <v>10000</v>
      </c>
      <c r="EJ25" s="486">
        <v>10000</v>
      </c>
      <c r="EK25" s="486">
        <v>10000</v>
      </c>
      <c r="EL25" s="486">
        <v>10000</v>
      </c>
      <c r="EM25" s="486">
        <v>10000</v>
      </c>
      <c r="EN25" s="486">
        <v>0</v>
      </c>
      <c r="EO25" s="486">
        <v>0</v>
      </c>
      <c r="EP25" s="486">
        <v>0</v>
      </c>
      <c r="EQ25" s="486">
        <v>0</v>
      </c>
      <c r="ER25" s="486">
        <v>0</v>
      </c>
      <c r="ES25" s="486">
        <v>0</v>
      </c>
      <c r="ET25" s="486">
        <v>0</v>
      </c>
      <c r="EU25" s="486">
        <v>0</v>
      </c>
      <c r="EV25" s="486">
        <v>0</v>
      </c>
      <c r="EW25" s="486">
        <v>0</v>
      </c>
      <c r="EX25" s="486">
        <v>0</v>
      </c>
      <c r="EY25" s="486">
        <v>0</v>
      </c>
      <c r="EZ25" s="486">
        <v>0</v>
      </c>
      <c r="FA25" s="486">
        <v>0</v>
      </c>
      <c r="FB25" s="486">
        <v>0</v>
      </c>
      <c r="FC25" s="486">
        <v>0</v>
      </c>
      <c r="FD25" s="486">
        <v>0</v>
      </c>
      <c r="FE25" s="486">
        <v>0</v>
      </c>
      <c r="FF25" s="486">
        <v>0</v>
      </c>
      <c r="FG25" s="486">
        <v>0</v>
      </c>
      <c r="FH25" s="486">
        <v>0</v>
      </c>
      <c r="FI25" s="486">
        <v>0</v>
      </c>
      <c r="FJ25" s="486">
        <v>0</v>
      </c>
      <c r="FK25" s="486">
        <v>0</v>
      </c>
      <c r="FL25" s="486">
        <v>0</v>
      </c>
      <c r="FM25" s="486">
        <v>0</v>
      </c>
      <c r="FN25" s="486">
        <v>0</v>
      </c>
      <c r="FO25" s="486">
        <v>0</v>
      </c>
      <c r="FP25" s="486">
        <v>0</v>
      </c>
      <c r="FQ25" s="486">
        <v>0</v>
      </c>
      <c r="FR25" s="486">
        <v>0</v>
      </c>
      <c r="FS25" s="486">
        <v>0</v>
      </c>
      <c r="FT25" s="486">
        <v>0</v>
      </c>
      <c r="FU25" s="486">
        <v>0</v>
      </c>
      <c r="FV25" s="486">
        <v>0</v>
      </c>
      <c r="FW25" s="486">
        <v>0</v>
      </c>
      <c r="FX25" s="486">
        <v>0</v>
      </c>
      <c r="FY25" s="486">
        <v>0</v>
      </c>
      <c r="FZ25" s="486">
        <v>0</v>
      </c>
      <c r="GA25" s="486">
        <v>0</v>
      </c>
      <c r="GB25" s="486">
        <v>0</v>
      </c>
      <c r="GC25" s="486">
        <v>0</v>
      </c>
      <c r="GD25" s="486">
        <v>0</v>
      </c>
      <c r="GE25" s="486">
        <v>0</v>
      </c>
      <c r="GF25" s="486">
        <v>0</v>
      </c>
      <c r="GG25" s="486">
        <v>0</v>
      </c>
      <c r="GH25" s="486">
        <v>0</v>
      </c>
      <c r="GI25" s="486">
        <v>0</v>
      </c>
      <c r="GJ25" s="486">
        <v>0</v>
      </c>
      <c r="GK25" s="486">
        <v>0</v>
      </c>
      <c r="GL25" s="486">
        <v>0</v>
      </c>
      <c r="GM25" s="486">
        <v>0</v>
      </c>
      <c r="GN25" s="486">
        <v>0</v>
      </c>
      <c r="GO25" s="486">
        <v>0</v>
      </c>
      <c r="GP25" s="486">
        <v>0</v>
      </c>
      <c r="GQ25" s="486">
        <v>0</v>
      </c>
      <c r="GR25" s="486">
        <v>0</v>
      </c>
      <c r="GS25" s="486">
        <v>0</v>
      </c>
      <c r="GT25" s="486">
        <v>0</v>
      </c>
      <c r="GU25" s="486">
        <v>0</v>
      </c>
      <c r="GV25" s="486">
        <v>0</v>
      </c>
      <c r="GW25" s="486">
        <v>0</v>
      </c>
      <c r="GX25" s="486">
        <v>0</v>
      </c>
      <c r="GY25" s="486">
        <v>0</v>
      </c>
      <c r="GZ25" s="486">
        <v>0</v>
      </c>
      <c r="HA25" s="486">
        <v>0</v>
      </c>
      <c r="HB25" s="486">
        <v>0</v>
      </c>
      <c r="HC25" s="486">
        <v>0</v>
      </c>
      <c r="HD25" s="486">
        <v>0</v>
      </c>
      <c r="HE25" s="486">
        <v>0</v>
      </c>
      <c r="HF25" s="486">
        <v>0</v>
      </c>
      <c r="HG25" s="486">
        <v>0</v>
      </c>
      <c r="HH25" s="486">
        <v>0</v>
      </c>
      <c r="HI25" s="486">
        <v>0</v>
      </c>
      <c r="HJ25" s="486">
        <v>0</v>
      </c>
      <c r="HK25" s="486">
        <v>0</v>
      </c>
      <c r="HL25" s="486">
        <v>0</v>
      </c>
      <c r="HM25" s="486">
        <v>0</v>
      </c>
      <c r="HN25" s="486">
        <v>0</v>
      </c>
      <c r="HO25" s="486">
        <v>0</v>
      </c>
      <c r="HP25" s="486">
        <v>0</v>
      </c>
      <c r="HQ25" s="486">
        <v>0</v>
      </c>
      <c r="HR25" s="486">
        <v>0</v>
      </c>
      <c r="HS25" s="486">
        <v>0</v>
      </c>
      <c r="HT25" s="486">
        <v>0</v>
      </c>
      <c r="HU25" s="486">
        <v>0</v>
      </c>
      <c r="HV25" s="486">
        <v>0</v>
      </c>
      <c r="HW25" s="486">
        <v>0</v>
      </c>
      <c r="HX25" s="486">
        <v>0</v>
      </c>
      <c r="HY25" s="486">
        <v>0</v>
      </c>
      <c r="HZ25" s="486">
        <v>0</v>
      </c>
      <c r="IA25" s="486">
        <v>0</v>
      </c>
      <c r="IB25" s="486">
        <v>0</v>
      </c>
      <c r="IC25" s="486">
        <v>0</v>
      </c>
      <c r="ID25" s="486">
        <v>0</v>
      </c>
      <c r="IE25" s="486">
        <v>0</v>
      </c>
      <c r="IF25" s="486">
        <v>0</v>
      </c>
      <c r="IG25" s="486">
        <v>0</v>
      </c>
      <c r="IH25" s="486">
        <v>0</v>
      </c>
      <c r="II25" s="486">
        <v>0</v>
      </c>
      <c r="IJ25" s="486">
        <v>0</v>
      </c>
    </row>
    <row r="26" spans="1:244" ht="16.5" hidden="1">
      <c r="A26" s="484" t="s">
        <v>720</v>
      </c>
      <c r="B26" s="484" t="s">
        <v>617</v>
      </c>
      <c r="C26" s="484" t="s">
        <v>721</v>
      </c>
      <c r="D26" s="485"/>
      <c r="E26" s="484" t="s">
        <v>721</v>
      </c>
      <c r="F26" s="484" t="s">
        <v>26</v>
      </c>
      <c r="G26" s="485"/>
      <c r="H26" s="486">
        <v>32</v>
      </c>
      <c r="I26" s="471" t="str">
        <f t="shared" si="1"/>
        <v>AIJ100232</v>
      </c>
      <c r="J26" s="486">
        <v>56</v>
      </c>
      <c r="L26" s="484" t="s">
        <v>720</v>
      </c>
      <c r="M26" s="484" t="s">
        <v>617</v>
      </c>
      <c r="N26" s="484" t="s">
        <v>25</v>
      </c>
      <c r="O26" s="486">
        <v>38</v>
      </c>
      <c r="P26" s="471" t="str">
        <f t="shared" si="2"/>
        <v>AIJ100138</v>
      </c>
      <c r="Q26" s="486">
        <v>0</v>
      </c>
      <c r="R26" s="486">
        <v>12</v>
      </c>
      <c r="S26" s="486">
        <v>23</v>
      </c>
      <c r="T26" s="486">
        <v>33</v>
      </c>
      <c r="U26" s="486">
        <v>44</v>
      </c>
      <c r="V26" s="486">
        <v>51</v>
      </c>
      <c r="W26" s="486">
        <v>60</v>
      </c>
      <c r="X26" s="486">
        <v>67</v>
      </c>
      <c r="Y26" s="486">
        <v>68</v>
      </c>
      <c r="Z26" s="486">
        <v>0</v>
      </c>
      <c r="AA26" s="486">
        <v>0</v>
      </c>
      <c r="AB26" s="486">
        <v>0</v>
      </c>
      <c r="AC26" s="486">
        <v>0</v>
      </c>
      <c r="AD26" s="486">
        <v>0</v>
      </c>
      <c r="AE26" s="486">
        <v>0</v>
      </c>
      <c r="AF26" s="486">
        <v>0</v>
      </c>
      <c r="AG26" s="486">
        <v>0</v>
      </c>
      <c r="AH26" s="486">
        <v>0</v>
      </c>
      <c r="AI26" s="486">
        <v>0</v>
      </c>
      <c r="AJ26" s="486">
        <v>0</v>
      </c>
      <c r="AK26" s="486">
        <v>0</v>
      </c>
      <c r="AL26" s="486">
        <v>0</v>
      </c>
      <c r="AM26" s="486">
        <v>0</v>
      </c>
      <c r="AN26" s="486">
        <v>0</v>
      </c>
      <c r="AO26" s="486">
        <v>0</v>
      </c>
      <c r="AP26" s="486">
        <v>0</v>
      </c>
      <c r="AQ26" s="486">
        <v>0</v>
      </c>
      <c r="AR26" s="486">
        <v>0</v>
      </c>
      <c r="AS26" s="486">
        <v>0</v>
      </c>
      <c r="AT26" s="486">
        <v>0</v>
      </c>
      <c r="AU26" s="486">
        <v>0</v>
      </c>
      <c r="AV26" s="486">
        <v>0</v>
      </c>
      <c r="AW26" s="486">
        <v>0</v>
      </c>
      <c r="AX26" s="486">
        <v>0</v>
      </c>
      <c r="AY26" s="486">
        <v>0</v>
      </c>
      <c r="AZ26" s="486">
        <v>0</v>
      </c>
      <c r="BA26" s="486">
        <v>0</v>
      </c>
      <c r="BB26" s="486">
        <v>0</v>
      </c>
      <c r="BC26" s="486">
        <v>0</v>
      </c>
      <c r="BD26" s="486">
        <v>0</v>
      </c>
      <c r="BE26" s="486">
        <v>0</v>
      </c>
      <c r="BF26" s="486">
        <v>0</v>
      </c>
      <c r="BG26" s="486">
        <v>0</v>
      </c>
      <c r="BH26" s="486">
        <v>0</v>
      </c>
      <c r="BI26" s="486">
        <v>0</v>
      </c>
      <c r="BJ26" s="486">
        <v>0</v>
      </c>
      <c r="BK26" s="486">
        <v>0</v>
      </c>
      <c r="BL26" s="486">
        <v>0</v>
      </c>
      <c r="BM26" s="486">
        <v>0</v>
      </c>
      <c r="BN26" s="486">
        <v>0</v>
      </c>
      <c r="BO26" s="486">
        <v>0</v>
      </c>
      <c r="BP26" s="486">
        <v>0</v>
      </c>
      <c r="BQ26" s="486">
        <v>0</v>
      </c>
      <c r="BR26" s="486">
        <v>0</v>
      </c>
      <c r="BS26" s="486">
        <v>0</v>
      </c>
      <c r="BT26" s="486">
        <v>0</v>
      </c>
      <c r="BU26" s="486">
        <v>0</v>
      </c>
      <c r="BV26" s="486">
        <v>0</v>
      </c>
      <c r="BW26" s="486">
        <v>0</v>
      </c>
      <c r="BX26" s="486">
        <v>0</v>
      </c>
      <c r="BY26" s="486">
        <v>0</v>
      </c>
      <c r="BZ26" s="486">
        <v>0</v>
      </c>
      <c r="CA26" s="486">
        <v>0</v>
      </c>
      <c r="CB26" s="486">
        <v>0</v>
      </c>
      <c r="CC26" s="486">
        <v>0</v>
      </c>
      <c r="CD26" s="486">
        <v>0</v>
      </c>
      <c r="CE26" s="486">
        <v>0</v>
      </c>
      <c r="CF26" s="486">
        <v>0</v>
      </c>
      <c r="CG26" s="486">
        <v>0</v>
      </c>
      <c r="CH26" s="486">
        <v>0</v>
      </c>
      <c r="CI26" s="486">
        <v>0</v>
      </c>
      <c r="CJ26" s="486">
        <v>0</v>
      </c>
      <c r="CK26" s="486">
        <v>0</v>
      </c>
      <c r="CL26" s="486">
        <v>0</v>
      </c>
      <c r="CM26" s="486">
        <v>0</v>
      </c>
      <c r="CN26" s="486">
        <v>0</v>
      </c>
      <c r="CO26" s="486">
        <v>0</v>
      </c>
      <c r="CP26" s="486">
        <v>0</v>
      </c>
      <c r="CQ26" s="486">
        <v>0</v>
      </c>
      <c r="CR26" s="486">
        <v>0</v>
      </c>
      <c r="CS26" s="486">
        <v>0</v>
      </c>
      <c r="CT26" s="486">
        <v>0</v>
      </c>
      <c r="CU26" s="486">
        <v>0</v>
      </c>
      <c r="CV26" s="486">
        <v>0</v>
      </c>
      <c r="CW26" s="486">
        <v>0</v>
      </c>
      <c r="CX26" s="486">
        <v>0</v>
      </c>
      <c r="CY26" s="486">
        <v>0</v>
      </c>
      <c r="CZ26" s="486">
        <v>0</v>
      </c>
      <c r="DA26" s="486">
        <v>0</v>
      </c>
      <c r="DB26" s="486">
        <v>0</v>
      </c>
      <c r="DC26" s="486">
        <v>0</v>
      </c>
      <c r="DD26" s="486">
        <v>0</v>
      </c>
      <c r="DE26" s="486">
        <v>0</v>
      </c>
      <c r="DF26" s="486">
        <v>0</v>
      </c>
      <c r="DG26" s="486">
        <v>0</v>
      </c>
      <c r="DH26" s="486">
        <v>0</v>
      </c>
      <c r="DI26" s="486">
        <v>0</v>
      </c>
      <c r="DJ26" s="486">
        <v>0</v>
      </c>
      <c r="DK26" s="486">
        <v>0</v>
      </c>
      <c r="DL26" s="486">
        <v>0</v>
      </c>
      <c r="DM26" s="486">
        <v>0</v>
      </c>
      <c r="DN26" s="486">
        <v>0</v>
      </c>
      <c r="DO26" s="486">
        <v>0</v>
      </c>
      <c r="DP26" s="486">
        <v>0</v>
      </c>
      <c r="DQ26" s="486">
        <v>0</v>
      </c>
      <c r="DR26" s="486">
        <v>0</v>
      </c>
      <c r="DS26" s="486">
        <v>0</v>
      </c>
      <c r="DT26" s="486">
        <v>0</v>
      </c>
      <c r="DU26" s="486">
        <v>0</v>
      </c>
      <c r="DV26" s="486">
        <v>0</v>
      </c>
      <c r="DW26" s="486">
        <v>0</v>
      </c>
      <c r="DX26" s="477"/>
      <c r="DY26" s="484" t="s">
        <v>720</v>
      </c>
      <c r="DZ26" s="484" t="s">
        <v>617</v>
      </c>
      <c r="EA26" s="484" t="s">
        <v>25</v>
      </c>
      <c r="EB26" s="486">
        <v>38</v>
      </c>
      <c r="EC26" s="471" t="str">
        <f t="shared" si="0"/>
        <v>AIJ100138</v>
      </c>
      <c r="ED26" s="486">
        <v>10000</v>
      </c>
      <c r="EE26" s="486">
        <v>10000</v>
      </c>
      <c r="EF26" s="486">
        <v>10000</v>
      </c>
      <c r="EG26" s="486">
        <v>10000</v>
      </c>
      <c r="EH26" s="486">
        <v>10000</v>
      </c>
      <c r="EI26" s="486">
        <v>10000</v>
      </c>
      <c r="EJ26" s="486">
        <v>10000</v>
      </c>
      <c r="EK26" s="486">
        <v>10000</v>
      </c>
      <c r="EL26" s="486">
        <v>10000</v>
      </c>
      <c r="EM26" s="486">
        <v>10000</v>
      </c>
      <c r="EN26" s="486">
        <v>0</v>
      </c>
      <c r="EO26" s="486">
        <v>0</v>
      </c>
      <c r="EP26" s="486">
        <v>0</v>
      </c>
      <c r="EQ26" s="486">
        <v>0</v>
      </c>
      <c r="ER26" s="486">
        <v>0</v>
      </c>
      <c r="ES26" s="486">
        <v>0</v>
      </c>
      <c r="ET26" s="486">
        <v>0</v>
      </c>
      <c r="EU26" s="486">
        <v>0</v>
      </c>
      <c r="EV26" s="486">
        <v>0</v>
      </c>
      <c r="EW26" s="486">
        <v>0</v>
      </c>
      <c r="EX26" s="486">
        <v>0</v>
      </c>
      <c r="EY26" s="486">
        <v>0</v>
      </c>
      <c r="EZ26" s="486">
        <v>0</v>
      </c>
      <c r="FA26" s="486">
        <v>0</v>
      </c>
      <c r="FB26" s="486">
        <v>0</v>
      </c>
      <c r="FC26" s="486">
        <v>0</v>
      </c>
      <c r="FD26" s="486">
        <v>0</v>
      </c>
      <c r="FE26" s="486">
        <v>0</v>
      </c>
      <c r="FF26" s="486">
        <v>0</v>
      </c>
      <c r="FG26" s="486">
        <v>0</v>
      </c>
      <c r="FH26" s="486">
        <v>0</v>
      </c>
      <c r="FI26" s="486">
        <v>0</v>
      </c>
      <c r="FJ26" s="486">
        <v>0</v>
      </c>
      <c r="FK26" s="486">
        <v>0</v>
      </c>
      <c r="FL26" s="486">
        <v>0</v>
      </c>
      <c r="FM26" s="486">
        <v>0</v>
      </c>
      <c r="FN26" s="486">
        <v>0</v>
      </c>
      <c r="FO26" s="486">
        <v>0</v>
      </c>
      <c r="FP26" s="486">
        <v>0</v>
      </c>
      <c r="FQ26" s="486">
        <v>0</v>
      </c>
      <c r="FR26" s="486">
        <v>0</v>
      </c>
      <c r="FS26" s="486">
        <v>0</v>
      </c>
      <c r="FT26" s="486">
        <v>0</v>
      </c>
      <c r="FU26" s="486">
        <v>0</v>
      </c>
      <c r="FV26" s="486">
        <v>0</v>
      </c>
      <c r="FW26" s="486">
        <v>0</v>
      </c>
      <c r="FX26" s="486">
        <v>0</v>
      </c>
      <c r="FY26" s="486">
        <v>0</v>
      </c>
      <c r="FZ26" s="486">
        <v>0</v>
      </c>
      <c r="GA26" s="486">
        <v>0</v>
      </c>
      <c r="GB26" s="486">
        <v>0</v>
      </c>
      <c r="GC26" s="486">
        <v>0</v>
      </c>
      <c r="GD26" s="486">
        <v>0</v>
      </c>
      <c r="GE26" s="486">
        <v>0</v>
      </c>
      <c r="GF26" s="486">
        <v>0</v>
      </c>
      <c r="GG26" s="486">
        <v>0</v>
      </c>
      <c r="GH26" s="486">
        <v>0</v>
      </c>
      <c r="GI26" s="486">
        <v>0</v>
      </c>
      <c r="GJ26" s="486">
        <v>0</v>
      </c>
      <c r="GK26" s="486">
        <v>0</v>
      </c>
      <c r="GL26" s="486">
        <v>0</v>
      </c>
      <c r="GM26" s="486">
        <v>0</v>
      </c>
      <c r="GN26" s="486">
        <v>0</v>
      </c>
      <c r="GO26" s="486">
        <v>0</v>
      </c>
      <c r="GP26" s="486">
        <v>0</v>
      </c>
      <c r="GQ26" s="486">
        <v>0</v>
      </c>
      <c r="GR26" s="486">
        <v>0</v>
      </c>
      <c r="GS26" s="486">
        <v>0</v>
      </c>
      <c r="GT26" s="486">
        <v>0</v>
      </c>
      <c r="GU26" s="486">
        <v>0</v>
      </c>
      <c r="GV26" s="486">
        <v>0</v>
      </c>
      <c r="GW26" s="486">
        <v>0</v>
      </c>
      <c r="GX26" s="486">
        <v>0</v>
      </c>
      <c r="GY26" s="486">
        <v>0</v>
      </c>
      <c r="GZ26" s="486">
        <v>0</v>
      </c>
      <c r="HA26" s="486">
        <v>0</v>
      </c>
      <c r="HB26" s="486">
        <v>0</v>
      </c>
      <c r="HC26" s="486">
        <v>0</v>
      </c>
      <c r="HD26" s="486">
        <v>0</v>
      </c>
      <c r="HE26" s="486">
        <v>0</v>
      </c>
      <c r="HF26" s="486">
        <v>0</v>
      </c>
      <c r="HG26" s="486">
        <v>0</v>
      </c>
      <c r="HH26" s="486">
        <v>0</v>
      </c>
      <c r="HI26" s="486">
        <v>0</v>
      </c>
      <c r="HJ26" s="486">
        <v>0</v>
      </c>
      <c r="HK26" s="486">
        <v>0</v>
      </c>
      <c r="HL26" s="486">
        <v>0</v>
      </c>
      <c r="HM26" s="486">
        <v>0</v>
      </c>
      <c r="HN26" s="486">
        <v>0</v>
      </c>
      <c r="HO26" s="486">
        <v>0</v>
      </c>
      <c r="HP26" s="486">
        <v>0</v>
      </c>
      <c r="HQ26" s="486">
        <v>0</v>
      </c>
      <c r="HR26" s="486">
        <v>0</v>
      </c>
      <c r="HS26" s="486">
        <v>0</v>
      </c>
      <c r="HT26" s="486">
        <v>0</v>
      </c>
      <c r="HU26" s="486">
        <v>0</v>
      </c>
      <c r="HV26" s="486">
        <v>0</v>
      </c>
      <c r="HW26" s="486">
        <v>0</v>
      </c>
      <c r="HX26" s="486">
        <v>0</v>
      </c>
      <c r="HY26" s="486">
        <v>0</v>
      </c>
      <c r="HZ26" s="486">
        <v>0</v>
      </c>
      <c r="IA26" s="486">
        <v>0</v>
      </c>
      <c r="IB26" s="486">
        <v>0</v>
      </c>
      <c r="IC26" s="486">
        <v>0</v>
      </c>
      <c r="ID26" s="486">
        <v>0</v>
      </c>
      <c r="IE26" s="486">
        <v>0</v>
      </c>
      <c r="IF26" s="486">
        <v>0</v>
      </c>
      <c r="IG26" s="486">
        <v>0</v>
      </c>
      <c r="IH26" s="486">
        <v>0</v>
      </c>
      <c r="II26" s="486">
        <v>0</v>
      </c>
      <c r="IJ26" s="486">
        <v>0</v>
      </c>
    </row>
    <row r="27" spans="1:244" ht="16.5" hidden="1">
      <c r="A27" s="484" t="s">
        <v>720</v>
      </c>
      <c r="B27" s="484" t="s">
        <v>617</v>
      </c>
      <c r="C27" s="484" t="s">
        <v>721</v>
      </c>
      <c r="D27" s="485"/>
      <c r="E27" s="484" t="s">
        <v>721</v>
      </c>
      <c r="F27" s="484" t="s">
        <v>26</v>
      </c>
      <c r="G27" s="485"/>
      <c r="H27" s="486">
        <v>33</v>
      </c>
      <c r="I27" s="471" t="str">
        <f t="shared" si="1"/>
        <v>AIJ100233</v>
      </c>
      <c r="J27" s="486">
        <v>57</v>
      </c>
      <c r="L27" s="484" t="s">
        <v>720</v>
      </c>
      <c r="M27" s="484" t="s">
        <v>617</v>
      </c>
      <c r="N27" s="484" t="s">
        <v>25</v>
      </c>
      <c r="O27" s="486">
        <v>39</v>
      </c>
      <c r="P27" s="471" t="str">
        <f t="shared" si="2"/>
        <v>AIJ100139</v>
      </c>
      <c r="Q27" s="486">
        <v>0</v>
      </c>
      <c r="R27" s="486">
        <v>13</v>
      </c>
      <c r="S27" s="486">
        <v>25</v>
      </c>
      <c r="T27" s="486">
        <v>35</v>
      </c>
      <c r="U27" s="486">
        <v>47</v>
      </c>
      <c r="V27" s="486">
        <v>54</v>
      </c>
      <c r="W27" s="486">
        <v>64</v>
      </c>
      <c r="X27" s="486">
        <v>70</v>
      </c>
      <c r="Y27" s="486">
        <v>71</v>
      </c>
      <c r="Z27" s="486">
        <v>0</v>
      </c>
      <c r="AA27" s="486">
        <v>0</v>
      </c>
      <c r="AB27" s="486">
        <v>0</v>
      </c>
      <c r="AC27" s="486">
        <v>0</v>
      </c>
      <c r="AD27" s="486">
        <v>0</v>
      </c>
      <c r="AE27" s="486">
        <v>0</v>
      </c>
      <c r="AF27" s="486">
        <v>0</v>
      </c>
      <c r="AG27" s="486">
        <v>0</v>
      </c>
      <c r="AH27" s="486">
        <v>0</v>
      </c>
      <c r="AI27" s="486">
        <v>0</v>
      </c>
      <c r="AJ27" s="486">
        <v>0</v>
      </c>
      <c r="AK27" s="486">
        <v>0</v>
      </c>
      <c r="AL27" s="486">
        <v>0</v>
      </c>
      <c r="AM27" s="486">
        <v>0</v>
      </c>
      <c r="AN27" s="486">
        <v>0</v>
      </c>
      <c r="AO27" s="486">
        <v>0</v>
      </c>
      <c r="AP27" s="486">
        <v>0</v>
      </c>
      <c r="AQ27" s="486">
        <v>0</v>
      </c>
      <c r="AR27" s="486">
        <v>0</v>
      </c>
      <c r="AS27" s="486">
        <v>0</v>
      </c>
      <c r="AT27" s="486">
        <v>0</v>
      </c>
      <c r="AU27" s="486">
        <v>0</v>
      </c>
      <c r="AV27" s="486">
        <v>0</v>
      </c>
      <c r="AW27" s="486">
        <v>0</v>
      </c>
      <c r="AX27" s="486">
        <v>0</v>
      </c>
      <c r="AY27" s="486">
        <v>0</v>
      </c>
      <c r="AZ27" s="486">
        <v>0</v>
      </c>
      <c r="BA27" s="486">
        <v>0</v>
      </c>
      <c r="BB27" s="486">
        <v>0</v>
      </c>
      <c r="BC27" s="486">
        <v>0</v>
      </c>
      <c r="BD27" s="486">
        <v>0</v>
      </c>
      <c r="BE27" s="486">
        <v>0</v>
      </c>
      <c r="BF27" s="486">
        <v>0</v>
      </c>
      <c r="BG27" s="486">
        <v>0</v>
      </c>
      <c r="BH27" s="486">
        <v>0</v>
      </c>
      <c r="BI27" s="486">
        <v>0</v>
      </c>
      <c r="BJ27" s="486">
        <v>0</v>
      </c>
      <c r="BK27" s="486">
        <v>0</v>
      </c>
      <c r="BL27" s="486">
        <v>0</v>
      </c>
      <c r="BM27" s="486">
        <v>0</v>
      </c>
      <c r="BN27" s="486">
        <v>0</v>
      </c>
      <c r="BO27" s="486">
        <v>0</v>
      </c>
      <c r="BP27" s="486">
        <v>0</v>
      </c>
      <c r="BQ27" s="486">
        <v>0</v>
      </c>
      <c r="BR27" s="486">
        <v>0</v>
      </c>
      <c r="BS27" s="486">
        <v>0</v>
      </c>
      <c r="BT27" s="486">
        <v>0</v>
      </c>
      <c r="BU27" s="486">
        <v>0</v>
      </c>
      <c r="BV27" s="486">
        <v>0</v>
      </c>
      <c r="BW27" s="486">
        <v>0</v>
      </c>
      <c r="BX27" s="486">
        <v>0</v>
      </c>
      <c r="BY27" s="486">
        <v>0</v>
      </c>
      <c r="BZ27" s="486">
        <v>0</v>
      </c>
      <c r="CA27" s="486">
        <v>0</v>
      </c>
      <c r="CB27" s="486">
        <v>0</v>
      </c>
      <c r="CC27" s="486">
        <v>0</v>
      </c>
      <c r="CD27" s="486">
        <v>0</v>
      </c>
      <c r="CE27" s="486">
        <v>0</v>
      </c>
      <c r="CF27" s="486">
        <v>0</v>
      </c>
      <c r="CG27" s="486">
        <v>0</v>
      </c>
      <c r="CH27" s="486">
        <v>0</v>
      </c>
      <c r="CI27" s="486">
        <v>0</v>
      </c>
      <c r="CJ27" s="486">
        <v>0</v>
      </c>
      <c r="CK27" s="486">
        <v>0</v>
      </c>
      <c r="CL27" s="486">
        <v>0</v>
      </c>
      <c r="CM27" s="486">
        <v>0</v>
      </c>
      <c r="CN27" s="486">
        <v>0</v>
      </c>
      <c r="CO27" s="486">
        <v>0</v>
      </c>
      <c r="CP27" s="486">
        <v>0</v>
      </c>
      <c r="CQ27" s="486">
        <v>0</v>
      </c>
      <c r="CR27" s="486">
        <v>0</v>
      </c>
      <c r="CS27" s="486">
        <v>0</v>
      </c>
      <c r="CT27" s="486">
        <v>0</v>
      </c>
      <c r="CU27" s="486">
        <v>0</v>
      </c>
      <c r="CV27" s="486">
        <v>0</v>
      </c>
      <c r="CW27" s="486">
        <v>0</v>
      </c>
      <c r="CX27" s="486">
        <v>0</v>
      </c>
      <c r="CY27" s="486">
        <v>0</v>
      </c>
      <c r="CZ27" s="486">
        <v>0</v>
      </c>
      <c r="DA27" s="486">
        <v>0</v>
      </c>
      <c r="DB27" s="486">
        <v>0</v>
      </c>
      <c r="DC27" s="486">
        <v>0</v>
      </c>
      <c r="DD27" s="486">
        <v>0</v>
      </c>
      <c r="DE27" s="486">
        <v>0</v>
      </c>
      <c r="DF27" s="486">
        <v>0</v>
      </c>
      <c r="DG27" s="486">
        <v>0</v>
      </c>
      <c r="DH27" s="486">
        <v>0</v>
      </c>
      <c r="DI27" s="486">
        <v>0</v>
      </c>
      <c r="DJ27" s="486">
        <v>0</v>
      </c>
      <c r="DK27" s="486">
        <v>0</v>
      </c>
      <c r="DL27" s="486">
        <v>0</v>
      </c>
      <c r="DM27" s="486">
        <v>0</v>
      </c>
      <c r="DN27" s="486">
        <v>0</v>
      </c>
      <c r="DO27" s="486">
        <v>0</v>
      </c>
      <c r="DP27" s="486">
        <v>0</v>
      </c>
      <c r="DQ27" s="486">
        <v>0</v>
      </c>
      <c r="DR27" s="486">
        <v>0</v>
      </c>
      <c r="DS27" s="486">
        <v>0</v>
      </c>
      <c r="DT27" s="486">
        <v>0</v>
      </c>
      <c r="DU27" s="486">
        <v>0</v>
      </c>
      <c r="DV27" s="486">
        <v>0</v>
      </c>
      <c r="DW27" s="486">
        <v>0</v>
      </c>
      <c r="DX27" s="477"/>
      <c r="DY27" s="484" t="s">
        <v>720</v>
      </c>
      <c r="DZ27" s="484" t="s">
        <v>617</v>
      </c>
      <c r="EA27" s="484" t="s">
        <v>25</v>
      </c>
      <c r="EB27" s="486">
        <v>39</v>
      </c>
      <c r="EC27" s="471" t="str">
        <f t="shared" si="0"/>
        <v>AIJ100139</v>
      </c>
      <c r="ED27" s="486">
        <v>10000</v>
      </c>
      <c r="EE27" s="486">
        <v>10000</v>
      </c>
      <c r="EF27" s="486">
        <v>10000</v>
      </c>
      <c r="EG27" s="486">
        <v>10000</v>
      </c>
      <c r="EH27" s="486">
        <v>10000</v>
      </c>
      <c r="EI27" s="486">
        <v>10000</v>
      </c>
      <c r="EJ27" s="486">
        <v>10000</v>
      </c>
      <c r="EK27" s="486">
        <v>10000</v>
      </c>
      <c r="EL27" s="486">
        <v>10000</v>
      </c>
      <c r="EM27" s="486">
        <v>10000</v>
      </c>
      <c r="EN27" s="486">
        <v>0</v>
      </c>
      <c r="EO27" s="486">
        <v>0</v>
      </c>
      <c r="EP27" s="486">
        <v>0</v>
      </c>
      <c r="EQ27" s="486">
        <v>0</v>
      </c>
      <c r="ER27" s="486">
        <v>0</v>
      </c>
      <c r="ES27" s="486">
        <v>0</v>
      </c>
      <c r="ET27" s="486">
        <v>0</v>
      </c>
      <c r="EU27" s="486">
        <v>0</v>
      </c>
      <c r="EV27" s="486">
        <v>0</v>
      </c>
      <c r="EW27" s="486">
        <v>0</v>
      </c>
      <c r="EX27" s="486">
        <v>0</v>
      </c>
      <c r="EY27" s="486">
        <v>0</v>
      </c>
      <c r="EZ27" s="486">
        <v>0</v>
      </c>
      <c r="FA27" s="486">
        <v>0</v>
      </c>
      <c r="FB27" s="486">
        <v>0</v>
      </c>
      <c r="FC27" s="486">
        <v>0</v>
      </c>
      <c r="FD27" s="486">
        <v>0</v>
      </c>
      <c r="FE27" s="486">
        <v>0</v>
      </c>
      <c r="FF27" s="486">
        <v>0</v>
      </c>
      <c r="FG27" s="486">
        <v>0</v>
      </c>
      <c r="FH27" s="486">
        <v>0</v>
      </c>
      <c r="FI27" s="486">
        <v>0</v>
      </c>
      <c r="FJ27" s="486">
        <v>0</v>
      </c>
      <c r="FK27" s="486">
        <v>0</v>
      </c>
      <c r="FL27" s="486">
        <v>0</v>
      </c>
      <c r="FM27" s="486">
        <v>0</v>
      </c>
      <c r="FN27" s="486">
        <v>0</v>
      </c>
      <c r="FO27" s="486">
        <v>0</v>
      </c>
      <c r="FP27" s="486">
        <v>0</v>
      </c>
      <c r="FQ27" s="486">
        <v>0</v>
      </c>
      <c r="FR27" s="486">
        <v>0</v>
      </c>
      <c r="FS27" s="486">
        <v>0</v>
      </c>
      <c r="FT27" s="486">
        <v>0</v>
      </c>
      <c r="FU27" s="486">
        <v>0</v>
      </c>
      <c r="FV27" s="486">
        <v>0</v>
      </c>
      <c r="FW27" s="486">
        <v>0</v>
      </c>
      <c r="FX27" s="486">
        <v>0</v>
      </c>
      <c r="FY27" s="486">
        <v>0</v>
      </c>
      <c r="FZ27" s="486">
        <v>0</v>
      </c>
      <c r="GA27" s="486">
        <v>0</v>
      </c>
      <c r="GB27" s="486">
        <v>0</v>
      </c>
      <c r="GC27" s="486">
        <v>0</v>
      </c>
      <c r="GD27" s="486">
        <v>0</v>
      </c>
      <c r="GE27" s="486">
        <v>0</v>
      </c>
      <c r="GF27" s="486">
        <v>0</v>
      </c>
      <c r="GG27" s="486">
        <v>0</v>
      </c>
      <c r="GH27" s="486">
        <v>0</v>
      </c>
      <c r="GI27" s="486">
        <v>0</v>
      </c>
      <c r="GJ27" s="486">
        <v>0</v>
      </c>
      <c r="GK27" s="486">
        <v>0</v>
      </c>
      <c r="GL27" s="486">
        <v>0</v>
      </c>
      <c r="GM27" s="486">
        <v>0</v>
      </c>
      <c r="GN27" s="486">
        <v>0</v>
      </c>
      <c r="GO27" s="486">
        <v>0</v>
      </c>
      <c r="GP27" s="486">
        <v>0</v>
      </c>
      <c r="GQ27" s="486">
        <v>0</v>
      </c>
      <c r="GR27" s="486">
        <v>0</v>
      </c>
      <c r="GS27" s="486">
        <v>0</v>
      </c>
      <c r="GT27" s="486">
        <v>0</v>
      </c>
      <c r="GU27" s="486">
        <v>0</v>
      </c>
      <c r="GV27" s="486">
        <v>0</v>
      </c>
      <c r="GW27" s="486">
        <v>0</v>
      </c>
      <c r="GX27" s="486">
        <v>0</v>
      </c>
      <c r="GY27" s="486">
        <v>0</v>
      </c>
      <c r="GZ27" s="486">
        <v>0</v>
      </c>
      <c r="HA27" s="486">
        <v>0</v>
      </c>
      <c r="HB27" s="486">
        <v>0</v>
      </c>
      <c r="HC27" s="486">
        <v>0</v>
      </c>
      <c r="HD27" s="486">
        <v>0</v>
      </c>
      <c r="HE27" s="486">
        <v>0</v>
      </c>
      <c r="HF27" s="486">
        <v>0</v>
      </c>
      <c r="HG27" s="486">
        <v>0</v>
      </c>
      <c r="HH27" s="486">
        <v>0</v>
      </c>
      <c r="HI27" s="486">
        <v>0</v>
      </c>
      <c r="HJ27" s="486">
        <v>0</v>
      </c>
      <c r="HK27" s="486">
        <v>0</v>
      </c>
      <c r="HL27" s="486">
        <v>0</v>
      </c>
      <c r="HM27" s="486">
        <v>0</v>
      </c>
      <c r="HN27" s="486">
        <v>0</v>
      </c>
      <c r="HO27" s="486">
        <v>0</v>
      </c>
      <c r="HP27" s="486">
        <v>0</v>
      </c>
      <c r="HQ27" s="486">
        <v>0</v>
      </c>
      <c r="HR27" s="486">
        <v>0</v>
      </c>
      <c r="HS27" s="486">
        <v>0</v>
      </c>
      <c r="HT27" s="486">
        <v>0</v>
      </c>
      <c r="HU27" s="486">
        <v>0</v>
      </c>
      <c r="HV27" s="486">
        <v>0</v>
      </c>
      <c r="HW27" s="486">
        <v>0</v>
      </c>
      <c r="HX27" s="486">
        <v>0</v>
      </c>
      <c r="HY27" s="486">
        <v>0</v>
      </c>
      <c r="HZ27" s="486">
        <v>0</v>
      </c>
      <c r="IA27" s="486">
        <v>0</v>
      </c>
      <c r="IB27" s="486">
        <v>0</v>
      </c>
      <c r="IC27" s="486">
        <v>0</v>
      </c>
      <c r="ID27" s="486">
        <v>0</v>
      </c>
      <c r="IE27" s="486">
        <v>0</v>
      </c>
      <c r="IF27" s="486">
        <v>0</v>
      </c>
      <c r="IG27" s="486">
        <v>0</v>
      </c>
      <c r="IH27" s="486">
        <v>0</v>
      </c>
      <c r="II27" s="486">
        <v>0</v>
      </c>
      <c r="IJ27" s="486">
        <v>0</v>
      </c>
    </row>
    <row r="28" spans="1:244" ht="16.5" hidden="1">
      <c r="A28" s="484" t="s">
        <v>720</v>
      </c>
      <c r="B28" s="484" t="s">
        <v>617</v>
      </c>
      <c r="C28" s="484" t="s">
        <v>721</v>
      </c>
      <c r="D28" s="485"/>
      <c r="E28" s="484" t="s">
        <v>721</v>
      </c>
      <c r="F28" s="484" t="s">
        <v>26</v>
      </c>
      <c r="G28" s="485"/>
      <c r="H28" s="486">
        <v>34</v>
      </c>
      <c r="I28" s="471" t="str">
        <f t="shared" si="1"/>
        <v>AIJ100234</v>
      </c>
      <c r="J28" s="486">
        <v>58</v>
      </c>
      <c r="L28" s="484" t="s">
        <v>720</v>
      </c>
      <c r="M28" s="484" t="s">
        <v>617</v>
      </c>
      <c r="N28" s="484" t="s">
        <v>25</v>
      </c>
      <c r="O28" s="486">
        <v>40</v>
      </c>
      <c r="P28" s="471" t="str">
        <f t="shared" si="2"/>
        <v>AIJ100140</v>
      </c>
      <c r="Q28" s="486">
        <v>0</v>
      </c>
      <c r="R28" s="486">
        <v>14</v>
      </c>
      <c r="S28" s="486">
        <v>27</v>
      </c>
      <c r="T28" s="486">
        <v>38</v>
      </c>
      <c r="U28" s="486">
        <v>50</v>
      </c>
      <c r="V28" s="486">
        <v>58</v>
      </c>
      <c r="W28" s="486">
        <v>68</v>
      </c>
      <c r="X28" s="486">
        <v>75</v>
      </c>
      <c r="Y28" s="486">
        <v>76</v>
      </c>
      <c r="Z28" s="486">
        <v>0</v>
      </c>
      <c r="AA28" s="486">
        <v>0</v>
      </c>
      <c r="AB28" s="486">
        <v>0</v>
      </c>
      <c r="AC28" s="486">
        <v>0</v>
      </c>
      <c r="AD28" s="486">
        <v>0</v>
      </c>
      <c r="AE28" s="486">
        <v>0</v>
      </c>
      <c r="AF28" s="486">
        <v>0</v>
      </c>
      <c r="AG28" s="486">
        <v>0</v>
      </c>
      <c r="AH28" s="486">
        <v>0</v>
      </c>
      <c r="AI28" s="486">
        <v>0</v>
      </c>
      <c r="AJ28" s="486">
        <v>0</v>
      </c>
      <c r="AK28" s="486">
        <v>0</v>
      </c>
      <c r="AL28" s="486">
        <v>0</v>
      </c>
      <c r="AM28" s="486">
        <v>0</v>
      </c>
      <c r="AN28" s="486">
        <v>0</v>
      </c>
      <c r="AO28" s="486">
        <v>0</v>
      </c>
      <c r="AP28" s="486">
        <v>0</v>
      </c>
      <c r="AQ28" s="486">
        <v>0</v>
      </c>
      <c r="AR28" s="486">
        <v>0</v>
      </c>
      <c r="AS28" s="486">
        <v>0</v>
      </c>
      <c r="AT28" s="486">
        <v>0</v>
      </c>
      <c r="AU28" s="486">
        <v>0</v>
      </c>
      <c r="AV28" s="486">
        <v>0</v>
      </c>
      <c r="AW28" s="486">
        <v>0</v>
      </c>
      <c r="AX28" s="486">
        <v>0</v>
      </c>
      <c r="AY28" s="486">
        <v>0</v>
      </c>
      <c r="AZ28" s="486">
        <v>0</v>
      </c>
      <c r="BA28" s="486">
        <v>0</v>
      </c>
      <c r="BB28" s="486">
        <v>0</v>
      </c>
      <c r="BC28" s="486">
        <v>0</v>
      </c>
      <c r="BD28" s="486">
        <v>0</v>
      </c>
      <c r="BE28" s="486">
        <v>0</v>
      </c>
      <c r="BF28" s="486">
        <v>0</v>
      </c>
      <c r="BG28" s="486">
        <v>0</v>
      </c>
      <c r="BH28" s="486">
        <v>0</v>
      </c>
      <c r="BI28" s="486">
        <v>0</v>
      </c>
      <c r="BJ28" s="486">
        <v>0</v>
      </c>
      <c r="BK28" s="486">
        <v>0</v>
      </c>
      <c r="BL28" s="486">
        <v>0</v>
      </c>
      <c r="BM28" s="486">
        <v>0</v>
      </c>
      <c r="BN28" s="486">
        <v>0</v>
      </c>
      <c r="BO28" s="486">
        <v>0</v>
      </c>
      <c r="BP28" s="486">
        <v>0</v>
      </c>
      <c r="BQ28" s="486">
        <v>0</v>
      </c>
      <c r="BR28" s="486">
        <v>0</v>
      </c>
      <c r="BS28" s="486">
        <v>0</v>
      </c>
      <c r="BT28" s="486">
        <v>0</v>
      </c>
      <c r="BU28" s="486">
        <v>0</v>
      </c>
      <c r="BV28" s="486">
        <v>0</v>
      </c>
      <c r="BW28" s="486">
        <v>0</v>
      </c>
      <c r="BX28" s="486">
        <v>0</v>
      </c>
      <c r="BY28" s="486">
        <v>0</v>
      </c>
      <c r="BZ28" s="486">
        <v>0</v>
      </c>
      <c r="CA28" s="486">
        <v>0</v>
      </c>
      <c r="CB28" s="486">
        <v>0</v>
      </c>
      <c r="CC28" s="486">
        <v>0</v>
      </c>
      <c r="CD28" s="486">
        <v>0</v>
      </c>
      <c r="CE28" s="486">
        <v>0</v>
      </c>
      <c r="CF28" s="486">
        <v>0</v>
      </c>
      <c r="CG28" s="486">
        <v>0</v>
      </c>
      <c r="CH28" s="486">
        <v>0</v>
      </c>
      <c r="CI28" s="486">
        <v>0</v>
      </c>
      <c r="CJ28" s="486">
        <v>0</v>
      </c>
      <c r="CK28" s="486">
        <v>0</v>
      </c>
      <c r="CL28" s="486">
        <v>0</v>
      </c>
      <c r="CM28" s="486">
        <v>0</v>
      </c>
      <c r="CN28" s="486">
        <v>0</v>
      </c>
      <c r="CO28" s="486">
        <v>0</v>
      </c>
      <c r="CP28" s="486">
        <v>0</v>
      </c>
      <c r="CQ28" s="486">
        <v>0</v>
      </c>
      <c r="CR28" s="486">
        <v>0</v>
      </c>
      <c r="CS28" s="486">
        <v>0</v>
      </c>
      <c r="CT28" s="486">
        <v>0</v>
      </c>
      <c r="CU28" s="486">
        <v>0</v>
      </c>
      <c r="CV28" s="486">
        <v>0</v>
      </c>
      <c r="CW28" s="486">
        <v>0</v>
      </c>
      <c r="CX28" s="486">
        <v>0</v>
      </c>
      <c r="CY28" s="486">
        <v>0</v>
      </c>
      <c r="CZ28" s="486">
        <v>0</v>
      </c>
      <c r="DA28" s="486">
        <v>0</v>
      </c>
      <c r="DB28" s="486">
        <v>0</v>
      </c>
      <c r="DC28" s="486">
        <v>0</v>
      </c>
      <c r="DD28" s="486">
        <v>0</v>
      </c>
      <c r="DE28" s="486">
        <v>0</v>
      </c>
      <c r="DF28" s="486">
        <v>0</v>
      </c>
      <c r="DG28" s="486">
        <v>0</v>
      </c>
      <c r="DH28" s="486">
        <v>0</v>
      </c>
      <c r="DI28" s="486">
        <v>0</v>
      </c>
      <c r="DJ28" s="486">
        <v>0</v>
      </c>
      <c r="DK28" s="486">
        <v>0</v>
      </c>
      <c r="DL28" s="486">
        <v>0</v>
      </c>
      <c r="DM28" s="486">
        <v>0</v>
      </c>
      <c r="DN28" s="486">
        <v>0</v>
      </c>
      <c r="DO28" s="486">
        <v>0</v>
      </c>
      <c r="DP28" s="486">
        <v>0</v>
      </c>
      <c r="DQ28" s="486">
        <v>0</v>
      </c>
      <c r="DR28" s="486">
        <v>0</v>
      </c>
      <c r="DS28" s="486">
        <v>0</v>
      </c>
      <c r="DT28" s="486">
        <v>0</v>
      </c>
      <c r="DU28" s="486">
        <v>0</v>
      </c>
      <c r="DV28" s="486">
        <v>0</v>
      </c>
      <c r="DW28" s="486">
        <v>0</v>
      </c>
      <c r="DX28" s="477"/>
      <c r="DY28" s="484" t="s">
        <v>720</v>
      </c>
      <c r="DZ28" s="484" t="s">
        <v>617</v>
      </c>
      <c r="EA28" s="484" t="s">
        <v>25</v>
      </c>
      <c r="EB28" s="486">
        <v>40</v>
      </c>
      <c r="EC28" s="471" t="str">
        <f t="shared" si="0"/>
        <v>AIJ100140</v>
      </c>
      <c r="ED28" s="486">
        <v>10000</v>
      </c>
      <c r="EE28" s="486">
        <v>10000</v>
      </c>
      <c r="EF28" s="486">
        <v>10000</v>
      </c>
      <c r="EG28" s="486">
        <v>10000</v>
      </c>
      <c r="EH28" s="486">
        <v>10000</v>
      </c>
      <c r="EI28" s="486">
        <v>10000</v>
      </c>
      <c r="EJ28" s="486">
        <v>10000</v>
      </c>
      <c r="EK28" s="486">
        <v>10000</v>
      </c>
      <c r="EL28" s="486">
        <v>10000</v>
      </c>
      <c r="EM28" s="486">
        <v>10000</v>
      </c>
      <c r="EN28" s="486">
        <v>0</v>
      </c>
      <c r="EO28" s="486">
        <v>0</v>
      </c>
      <c r="EP28" s="486">
        <v>0</v>
      </c>
      <c r="EQ28" s="486">
        <v>0</v>
      </c>
      <c r="ER28" s="486">
        <v>0</v>
      </c>
      <c r="ES28" s="486">
        <v>0</v>
      </c>
      <c r="ET28" s="486">
        <v>0</v>
      </c>
      <c r="EU28" s="486">
        <v>0</v>
      </c>
      <c r="EV28" s="486">
        <v>0</v>
      </c>
      <c r="EW28" s="486">
        <v>0</v>
      </c>
      <c r="EX28" s="486">
        <v>0</v>
      </c>
      <c r="EY28" s="486">
        <v>0</v>
      </c>
      <c r="EZ28" s="486">
        <v>0</v>
      </c>
      <c r="FA28" s="486">
        <v>0</v>
      </c>
      <c r="FB28" s="486">
        <v>0</v>
      </c>
      <c r="FC28" s="486">
        <v>0</v>
      </c>
      <c r="FD28" s="486">
        <v>0</v>
      </c>
      <c r="FE28" s="486">
        <v>0</v>
      </c>
      <c r="FF28" s="486">
        <v>0</v>
      </c>
      <c r="FG28" s="486">
        <v>0</v>
      </c>
      <c r="FH28" s="486">
        <v>0</v>
      </c>
      <c r="FI28" s="486">
        <v>0</v>
      </c>
      <c r="FJ28" s="486">
        <v>0</v>
      </c>
      <c r="FK28" s="486">
        <v>0</v>
      </c>
      <c r="FL28" s="486">
        <v>0</v>
      </c>
      <c r="FM28" s="486">
        <v>0</v>
      </c>
      <c r="FN28" s="486">
        <v>0</v>
      </c>
      <c r="FO28" s="486">
        <v>0</v>
      </c>
      <c r="FP28" s="486">
        <v>0</v>
      </c>
      <c r="FQ28" s="486">
        <v>0</v>
      </c>
      <c r="FR28" s="486">
        <v>0</v>
      </c>
      <c r="FS28" s="486">
        <v>0</v>
      </c>
      <c r="FT28" s="486">
        <v>0</v>
      </c>
      <c r="FU28" s="486">
        <v>0</v>
      </c>
      <c r="FV28" s="486">
        <v>0</v>
      </c>
      <c r="FW28" s="486">
        <v>0</v>
      </c>
      <c r="FX28" s="486">
        <v>0</v>
      </c>
      <c r="FY28" s="486">
        <v>0</v>
      </c>
      <c r="FZ28" s="486">
        <v>0</v>
      </c>
      <c r="GA28" s="486">
        <v>0</v>
      </c>
      <c r="GB28" s="486">
        <v>0</v>
      </c>
      <c r="GC28" s="486">
        <v>0</v>
      </c>
      <c r="GD28" s="486">
        <v>0</v>
      </c>
      <c r="GE28" s="486">
        <v>0</v>
      </c>
      <c r="GF28" s="486">
        <v>0</v>
      </c>
      <c r="GG28" s="486">
        <v>0</v>
      </c>
      <c r="GH28" s="486">
        <v>0</v>
      </c>
      <c r="GI28" s="486">
        <v>0</v>
      </c>
      <c r="GJ28" s="486">
        <v>0</v>
      </c>
      <c r="GK28" s="486">
        <v>0</v>
      </c>
      <c r="GL28" s="486">
        <v>0</v>
      </c>
      <c r="GM28" s="486">
        <v>0</v>
      </c>
      <c r="GN28" s="486">
        <v>0</v>
      </c>
      <c r="GO28" s="486">
        <v>0</v>
      </c>
      <c r="GP28" s="486">
        <v>0</v>
      </c>
      <c r="GQ28" s="486">
        <v>0</v>
      </c>
      <c r="GR28" s="486">
        <v>0</v>
      </c>
      <c r="GS28" s="486">
        <v>0</v>
      </c>
      <c r="GT28" s="486">
        <v>0</v>
      </c>
      <c r="GU28" s="486">
        <v>0</v>
      </c>
      <c r="GV28" s="486">
        <v>0</v>
      </c>
      <c r="GW28" s="486">
        <v>0</v>
      </c>
      <c r="GX28" s="486">
        <v>0</v>
      </c>
      <c r="GY28" s="486">
        <v>0</v>
      </c>
      <c r="GZ28" s="486">
        <v>0</v>
      </c>
      <c r="HA28" s="486">
        <v>0</v>
      </c>
      <c r="HB28" s="486">
        <v>0</v>
      </c>
      <c r="HC28" s="486">
        <v>0</v>
      </c>
      <c r="HD28" s="486">
        <v>0</v>
      </c>
      <c r="HE28" s="486">
        <v>0</v>
      </c>
      <c r="HF28" s="486">
        <v>0</v>
      </c>
      <c r="HG28" s="486">
        <v>0</v>
      </c>
      <c r="HH28" s="486">
        <v>0</v>
      </c>
      <c r="HI28" s="486">
        <v>0</v>
      </c>
      <c r="HJ28" s="486">
        <v>0</v>
      </c>
      <c r="HK28" s="486">
        <v>0</v>
      </c>
      <c r="HL28" s="486">
        <v>0</v>
      </c>
      <c r="HM28" s="486">
        <v>0</v>
      </c>
      <c r="HN28" s="486">
        <v>0</v>
      </c>
      <c r="HO28" s="486">
        <v>0</v>
      </c>
      <c r="HP28" s="486">
        <v>0</v>
      </c>
      <c r="HQ28" s="486">
        <v>0</v>
      </c>
      <c r="HR28" s="486">
        <v>0</v>
      </c>
      <c r="HS28" s="486">
        <v>0</v>
      </c>
      <c r="HT28" s="486">
        <v>0</v>
      </c>
      <c r="HU28" s="486">
        <v>0</v>
      </c>
      <c r="HV28" s="486">
        <v>0</v>
      </c>
      <c r="HW28" s="486">
        <v>0</v>
      </c>
      <c r="HX28" s="486">
        <v>0</v>
      </c>
      <c r="HY28" s="486">
        <v>0</v>
      </c>
      <c r="HZ28" s="486">
        <v>0</v>
      </c>
      <c r="IA28" s="486">
        <v>0</v>
      </c>
      <c r="IB28" s="486">
        <v>0</v>
      </c>
      <c r="IC28" s="486">
        <v>0</v>
      </c>
      <c r="ID28" s="486">
        <v>0</v>
      </c>
      <c r="IE28" s="486">
        <v>0</v>
      </c>
      <c r="IF28" s="486">
        <v>0</v>
      </c>
      <c r="IG28" s="486">
        <v>0</v>
      </c>
      <c r="IH28" s="486">
        <v>0</v>
      </c>
      <c r="II28" s="486">
        <v>0</v>
      </c>
      <c r="IJ28" s="486">
        <v>0</v>
      </c>
    </row>
    <row r="29" spans="1:244" ht="16.5" hidden="1">
      <c r="A29" s="484" t="s">
        <v>720</v>
      </c>
      <c r="B29" s="484" t="s">
        <v>617</v>
      </c>
      <c r="C29" s="484" t="s">
        <v>721</v>
      </c>
      <c r="D29" s="485"/>
      <c r="E29" s="484" t="s">
        <v>721</v>
      </c>
      <c r="F29" s="484" t="s">
        <v>26</v>
      </c>
      <c r="G29" s="485"/>
      <c r="H29" s="486">
        <v>35</v>
      </c>
      <c r="I29" s="471" t="str">
        <f t="shared" si="1"/>
        <v>AIJ100235</v>
      </c>
      <c r="J29" s="486">
        <v>59</v>
      </c>
      <c r="L29" s="484" t="s">
        <v>720</v>
      </c>
      <c r="M29" s="484" t="s">
        <v>617</v>
      </c>
      <c r="N29" s="484" t="s">
        <v>25</v>
      </c>
      <c r="O29" s="486">
        <v>41</v>
      </c>
      <c r="P29" s="471" t="str">
        <f t="shared" si="2"/>
        <v>AIJ100141</v>
      </c>
      <c r="Q29" s="486">
        <v>0</v>
      </c>
      <c r="R29" s="486">
        <v>15</v>
      </c>
      <c r="S29" s="486">
        <v>29</v>
      </c>
      <c r="T29" s="486">
        <v>41</v>
      </c>
      <c r="U29" s="486">
        <v>54</v>
      </c>
      <c r="V29" s="486">
        <v>62</v>
      </c>
      <c r="W29" s="486">
        <v>71</v>
      </c>
      <c r="X29" s="486">
        <v>79</v>
      </c>
      <c r="Y29" s="486">
        <v>79</v>
      </c>
      <c r="Z29" s="486">
        <v>0</v>
      </c>
      <c r="AA29" s="486">
        <v>0</v>
      </c>
      <c r="AB29" s="486">
        <v>0</v>
      </c>
      <c r="AC29" s="486">
        <v>0</v>
      </c>
      <c r="AD29" s="486">
        <v>0</v>
      </c>
      <c r="AE29" s="486">
        <v>0</v>
      </c>
      <c r="AF29" s="486">
        <v>0</v>
      </c>
      <c r="AG29" s="486">
        <v>0</v>
      </c>
      <c r="AH29" s="486">
        <v>0</v>
      </c>
      <c r="AI29" s="486">
        <v>0</v>
      </c>
      <c r="AJ29" s="486">
        <v>0</v>
      </c>
      <c r="AK29" s="486">
        <v>0</v>
      </c>
      <c r="AL29" s="486">
        <v>0</v>
      </c>
      <c r="AM29" s="486">
        <v>0</v>
      </c>
      <c r="AN29" s="486">
        <v>0</v>
      </c>
      <c r="AO29" s="486">
        <v>0</v>
      </c>
      <c r="AP29" s="486">
        <v>0</v>
      </c>
      <c r="AQ29" s="486">
        <v>0</v>
      </c>
      <c r="AR29" s="486">
        <v>0</v>
      </c>
      <c r="AS29" s="486">
        <v>0</v>
      </c>
      <c r="AT29" s="486">
        <v>0</v>
      </c>
      <c r="AU29" s="486">
        <v>0</v>
      </c>
      <c r="AV29" s="486">
        <v>0</v>
      </c>
      <c r="AW29" s="486">
        <v>0</v>
      </c>
      <c r="AX29" s="486">
        <v>0</v>
      </c>
      <c r="AY29" s="486">
        <v>0</v>
      </c>
      <c r="AZ29" s="486">
        <v>0</v>
      </c>
      <c r="BA29" s="486">
        <v>0</v>
      </c>
      <c r="BB29" s="486">
        <v>0</v>
      </c>
      <c r="BC29" s="486">
        <v>0</v>
      </c>
      <c r="BD29" s="486">
        <v>0</v>
      </c>
      <c r="BE29" s="486">
        <v>0</v>
      </c>
      <c r="BF29" s="486">
        <v>0</v>
      </c>
      <c r="BG29" s="486">
        <v>0</v>
      </c>
      <c r="BH29" s="486">
        <v>0</v>
      </c>
      <c r="BI29" s="486">
        <v>0</v>
      </c>
      <c r="BJ29" s="486">
        <v>0</v>
      </c>
      <c r="BK29" s="486">
        <v>0</v>
      </c>
      <c r="BL29" s="486">
        <v>0</v>
      </c>
      <c r="BM29" s="486">
        <v>0</v>
      </c>
      <c r="BN29" s="486">
        <v>0</v>
      </c>
      <c r="BO29" s="486">
        <v>0</v>
      </c>
      <c r="BP29" s="486">
        <v>0</v>
      </c>
      <c r="BQ29" s="486">
        <v>0</v>
      </c>
      <c r="BR29" s="486">
        <v>0</v>
      </c>
      <c r="BS29" s="486">
        <v>0</v>
      </c>
      <c r="BT29" s="486">
        <v>0</v>
      </c>
      <c r="BU29" s="486">
        <v>0</v>
      </c>
      <c r="BV29" s="486">
        <v>0</v>
      </c>
      <c r="BW29" s="486">
        <v>0</v>
      </c>
      <c r="BX29" s="486">
        <v>0</v>
      </c>
      <c r="BY29" s="486">
        <v>0</v>
      </c>
      <c r="BZ29" s="486">
        <v>0</v>
      </c>
      <c r="CA29" s="486">
        <v>0</v>
      </c>
      <c r="CB29" s="486">
        <v>0</v>
      </c>
      <c r="CC29" s="486">
        <v>0</v>
      </c>
      <c r="CD29" s="486">
        <v>0</v>
      </c>
      <c r="CE29" s="486">
        <v>0</v>
      </c>
      <c r="CF29" s="486">
        <v>0</v>
      </c>
      <c r="CG29" s="486">
        <v>0</v>
      </c>
      <c r="CH29" s="486">
        <v>0</v>
      </c>
      <c r="CI29" s="486">
        <v>0</v>
      </c>
      <c r="CJ29" s="486">
        <v>0</v>
      </c>
      <c r="CK29" s="486">
        <v>0</v>
      </c>
      <c r="CL29" s="486">
        <v>0</v>
      </c>
      <c r="CM29" s="486">
        <v>0</v>
      </c>
      <c r="CN29" s="486">
        <v>0</v>
      </c>
      <c r="CO29" s="486">
        <v>0</v>
      </c>
      <c r="CP29" s="486">
        <v>0</v>
      </c>
      <c r="CQ29" s="486">
        <v>0</v>
      </c>
      <c r="CR29" s="486">
        <v>0</v>
      </c>
      <c r="CS29" s="486">
        <v>0</v>
      </c>
      <c r="CT29" s="486">
        <v>0</v>
      </c>
      <c r="CU29" s="486">
        <v>0</v>
      </c>
      <c r="CV29" s="486">
        <v>0</v>
      </c>
      <c r="CW29" s="486">
        <v>0</v>
      </c>
      <c r="CX29" s="486">
        <v>0</v>
      </c>
      <c r="CY29" s="486">
        <v>0</v>
      </c>
      <c r="CZ29" s="486">
        <v>0</v>
      </c>
      <c r="DA29" s="486">
        <v>0</v>
      </c>
      <c r="DB29" s="486">
        <v>0</v>
      </c>
      <c r="DC29" s="486">
        <v>0</v>
      </c>
      <c r="DD29" s="486">
        <v>0</v>
      </c>
      <c r="DE29" s="486">
        <v>0</v>
      </c>
      <c r="DF29" s="486">
        <v>0</v>
      </c>
      <c r="DG29" s="486">
        <v>0</v>
      </c>
      <c r="DH29" s="486">
        <v>0</v>
      </c>
      <c r="DI29" s="486">
        <v>0</v>
      </c>
      <c r="DJ29" s="486">
        <v>0</v>
      </c>
      <c r="DK29" s="486">
        <v>0</v>
      </c>
      <c r="DL29" s="486">
        <v>0</v>
      </c>
      <c r="DM29" s="486">
        <v>0</v>
      </c>
      <c r="DN29" s="486">
        <v>0</v>
      </c>
      <c r="DO29" s="486">
        <v>0</v>
      </c>
      <c r="DP29" s="486">
        <v>0</v>
      </c>
      <c r="DQ29" s="486">
        <v>0</v>
      </c>
      <c r="DR29" s="486">
        <v>0</v>
      </c>
      <c r="DS29" s="486">
        <v>0</v>
      </c>
      <c r="DT29" s="486">
        <v>0</v>
      </c>
      <c r="DU29" s="486">
        <v>0</v>
      </c>
      <c r="DV29" s="486">
        <v>0</v>
      </c>
      <c r="DW29" s="486">
        <v>0</v>
      </c>
      <c r="DX29" s="477"/>
      <c r="DY29" s="484" t="s">
        <v>720</v>
      </c>
      <c r="DZ29" s="484" t="s">
        <v>617</v>
      </c>
      <c r="EA29" s="484" t="s">
        <v>25</v>
      </c>
      <c r="EB29" s="486">
        <v>41</v>
      </c>
      <c r="EC29" s="471" t="str">
        <f t="shared" si="0"/>
        <v>AIJ100141</v>
      </c>
      <c r="ED29" s="486">
        <v>10000</v>
      </c>
      <c r="EE29" s="486">
        <v>10000</v>
      </c>
      <c r="EF29" s="486">
        <v>10000</v>
      </c>
      <c r="EG29" s="486">
        <v>10000</v>
      </c>
      <c r="EH29" s="486">
        <v>10000</v>
      </c>
      <c r="EI29" s="486">
        <v>10000</v>
      </c>
      <c r="EJ29" s="486">
        <v>10000</v>
      </c>
      <c r="EK29" s="486">
        <v>10000</v>
      </c>
      <c r="EL29" s="486">
        <v>10000</v>
      </c>
      <c r="EM29" s="486">
        <v>10000</v>
      </c>
      <c r="EN29" s="486">
        <v>0</v>
      </c>
      <c r="EO29" s="486">
        <v>0</v>
      </c>
      <c r="EP29" s="486">
        <v>0</v>
      </c>
      <c r="EQ29" s="486">
        <v>0</v>
      </c>
      <c r="ER29" s="486">
        <v>0</v>
      </c>
      <c r="ES29" s="486">
        <v>0</v>
      </c>
      <c r="ET29" s="486">
        <v>0</v>
      </c>
      <c r="EU29" s="486">
        <v>0</v>
      </c>
      <c r="EV29" s="486">
        <v>0</v>
      </c>
      <c r="EW29" s="486">
        <v>0</v>
      </c>
      <c r="EX29" s="486">
        <v>0</v>
      </c>
      <c r="EY29" s="486">
        <v>0</v>
      </c>
      <c r="EZ29" s="486">
        <v>0</v>
      </c>
      <c r="FA29" s="486">
        <v>0</v>
      </c>
      <c r="FB29" s="486">
        <v>0</v>
      </c>
      <c r="FC29" s="486">
        <v>0</v>
      </c>
      <c r="FD29" s="486">
        <v>0</v>
      </c>
      <c r="FE29" s="486">
        <v>0</v>
      </c>
      <c r="FF29" s="486">
        <v>0</v>
      </c>
      <c r="FG29" s="486">
        <v>0</v>
      </c>
      <c r="FH29" s="486">
        <v>0</v>
      </c>
      <c r="FI29" s="486">
        <v>0</v>
      </c>
      <c r="FJ29" s="486">
        <v>0</v>
      </c>
      <c r="FK29" s="486">
        <v>0</v>
      </c>
      <c r="FL29" s="486">
        <v>0</v>
      </c>
      <c r="FM29" s="486">
        <v>0</v>
      </c>
      <c r="FN29" s="486">
        <v>0</v>
      </c>
      <c r="FO29" s="486">
        <v>0</v>
      </c>
      <c r="FP29" s="486">
        <v>0</v>
      </c>
      <c r="FQ29" s="486">
        <v>0</v>
      </c>
      <c r="FR29" s="486">
        <v>0</v>
      </c>
      <c r="FS29" s="486">
        <v>0</v>
      </c>
      <c r="FT29" s="486">
        <v>0</v>
      </c>
      <c r="FU29" s="486">
        <v>0</v>
      </c>
      <c r="FV29" s="486">
        <v>0</v>
      </c>
      <c r="FW29" s="486">
        <v>0</v>
      </c>
      <c r="FX29" s="486">
        <v>0</v>
      </c>
      <c r="FY29" s="486">
        <v>0</v>
      </c>
      <c r="FZ29" s="486">
        <v>0</v>
      </c>
      <c r="GA29" s="486">
        <v>0</v>
      </c>
      <c r="GB29" s="486">
        <v>0</v>
      </c>
      <c r="GC29" s="486">
        <v>0</v>
      </c>
      <c r="GD29" s="486">
        <v>0</v>
      </c>
      <c r="GE29" s="486">
        <v>0</v>
      </c>
      <c r="GF29" s="486">
        <v>0</v>
      </c>
      <c r="GG29" s="486">
        <v>0</v>
      </c>
      <c r="GH29" s="486">
        <v>0</v>
      </c>
      <c r="GI29" s="486">
        <v>0</v>
      </c>
      <c r="GJ29" s="486">
        <v>0</v>
      </c>
      <c r="GK29" s="486">
        <v>0</v>
      </c>
      <c r="GL29" s="486">
        <v>0</v>
      </c>
      <c r="GM29" s="486">
        <v>0</v>
      </c>
      <c r="GN29" s="486">
        <v>0</v>
      </c>
      <c r="GO29" s="486">
        <v>0</v>
      </c>
      <c r="GP29" s="486">
        <v>0</v>
      </c>
      <c r="GQ29" s="486">
        <v>0</v>
      </c>
      <c r="GR29" s="486">
        <v>0</v>
      </c>
      <c r="GS29" s="486">
        <v>0</v>
      </c>
      <c r="GT29" s="486">
        <v>0</v>
      </c>
      <c r="GU29" s="486">
        <v>0</v>
      </c>
      <c r="GV29" s="486">
        <v>0</v>
      </c>
      <c r="GW29" s="486">
        <v>0</v>
      </c>
      <c r="GX29" s="486">
        <v>0</v>
      </c>
      <c r="GY29" s="486">
        <v>0</v>
      </c>
      <c r="GZ29" s="486">
        <v>0</v>
      </c>
      <c r="HA29" s="486">
        <v>0</v>
      </c>
      <c r="HB29" s="486">
        <v>0</v>
      </c>
      <c r="HC29" s="486">
        <v>0</v>
      </c>
      <c r="HD29" s="486">
        <v>0</v>
      </c>
      <c r="HE29" s="486">
        <v>0</v>
      </c>
      <c r="HF29" s="486">
        <v>0</v>
      </c>
      <c r="HG29" s="486">
        <v>0</v>
      </c>
      <c r="HH29" s="486">
        <v>0</v>
      </c>
      <c r="HI29" s="486">
        <v>0</v>
      </c>
      <c r="HJ29" s="486">
        <v>0</v>
      </c>
      <c r="HK29" s="486">
        <v>0</v>
      </c>
      <c r="HL29" s="486">
        <v>0</v>
      </c>
      <c r="HM29" s="486">
        <v>0</v>
      </c>
      <c r="HN29" s="486">
        <v>0</v>
      </c>
      <c r="HO29" s="486">
        <v>0</v>
      </c>
      <c r="HP29" s="486">
        <v>0</v>
      </c>
      <c r="HQ29" s="486">
        <v>0</v>
      </c>
      <c r="HR29" s="486">
        <v>0</v>
      </c>
      <c r="HS29" s="486">
        <v>0</v>
      </c>
      <c r="HT29" s="486">
        <v>0</v>
      </c>
      <c r="HU29" s="486">
        <v>0</v>
      </c>
      <c r="HV29" s="486">
        <v>0</v>
      </c>
      <c r="HW29" s="486">
        <v>0</v>
      </c>
      <c r="HX29" s="486">
        <v>0</v>
      </c>
      <c r="HY29" s="486">
        <v>0</v>
      </c>
      <c r="HZ29" s="486">
        <v>0</v>
      </c>
      <c r="IA29" s="486">
        <v>0</v>
      </c>
      <c r="IB29" s="486">
        <v>0</v>
      </c>
      <c r="IC29" s="486">
        <v>0</v>
      </c>
      <c r="ID29" s="486">
        <v>0</v>
      </c>
      <c r="IE29" s="486">
        <v>0</v>
      </c>
      <c r="IF29" s="486">
        <v>0</v>
      </c>
      <c r="IG29" s="486">
        <v>0</v>
      </c>
      <c r="IH29" s="486">
        <v>0</v>
      </c>
      <c r="II29" s="486">
        <v>0</v>
      </c>
      <c r="IJ29" s="486">
        <v>0</v>
      </c>
    </row>
    <row r="30" spans="1:244" ht="16.5" hidden="1">
      <c r="A30" s="484" t="s">
        <v>720</v>
      </c>
      <c r="B30" s="484" t="s">
        <v>617</v>
      </c>
      <c r="C30" s="484" t="s">
        <v>721</v>
      </c>
      <c r="D30" s="485"/>
      <c r="E30" s="484" t="s">
        <v>721</v>
      </c>
      <c r="F30" s="484" t="s">
        <v>26</v>
      </c>
      <c r="G30" s="485"/>
      <c r="H30" s="486">
        <v>36</v>
      </c>
      <c r="I30" s="471" t="str">
        <f t="shared" si="1"/>
        <v>AIJ100236</v>
      </c>
      <c r="J30" s="486">
        <v>60</v>
      </c>
      <c r="L30" s="484" t="s">
        <v>720</v>
      </c>
      <c r="M30" s="484" t="s">
        <v>617</v>
      </c>
      <c r="N30" s="484" t="s">
        <v>25</v>
      </c>
      <c r="O30" s="486">
        <v>42</v>
      </c>
      <c r="P30" s="471" t="str">
        <f t="shared" si="2"/>
        <v>AIJ100142</v>
      </c>
      <c r="Q30" s="486">
        <v>0</v>
      </c>
      <c r="R30" s="486">
        <v>16</v>
      </c>
      <c r="S30" s="486">
        <v>30</v>
      </c>
      <c r="T30" s="486">
        <v>43</v>
      </c>
      <c r="U30" s="486">
        <v>57</v>
      </c>
      <c r="V30" s="486">
        <v>65</v>
      </c>
      <c r="W30" s="486">
        <v>76</v>
      </c>
      <c r="X30" s="486">
        <v>84</v>
      </c>
      <c r="Y30" s="486">
        <v>84</v>
      </c>
      <c r="Z30" s="486">
        <v>0</v>
      </c>
      <c r="AA30" s="486">
        <v>0</v>
      </c>
      <c r="AB30" s="486">
        <v>0</v>
      </c>
      <c r="AC30" s="486">
        <v>0</v>
      </c>
      <c r="AD30" s="486">
        <v>0</v>
      </c>
      <c r="AE30" s="486">
        <v>0</v>
      </c>
      <c r="AF30" s="486">
        <v>0</v>
      </c>
      <c r="AG30" s="486">
        <v>0</v>
      </c>
      <c r="AH30" s="486">
        <v>0</v>
      </c>
      <c r="AI30" s="486">
        <v>0</v>
      </c>
      <c r="AJ30" s="486">
        <v>0</v>
      </c>
      <c r="AK30" s="486">
        <v>0</v>
      </c>
      <c r="AL30" s="486">
        <v>0</v>
      </c>
      <c r="AM30" s="486">
        <v>0</v>
      </c>
      <c r="AN30" s="486">
        <v>0</v>
      </c>
      <c r="AO30" s="486">
        <v>0</v>
      </c>
      <c r="AP30" s="486">
        <v>0</v>
      </c>
      <c r="AQ30" s="486">
        <v>0</v>
      </c>
      <c r="AR30" s="486">
        <v>0</v>
      </c>
      <c r="AS30" s="486">
        <v>0</v>
      </c>
      <c r="AT30" s="486">
        <v>0</v>
      </c>
      <c r="AU30" s="486">
        <v>0</v>
      </c>
      <c r="AV30" s="486">
        <v>0</v>
      </c>
      <c r="AW30" s="486">
        <v>0</v>
      </c>
      <c r="AX30" s="486">
        <v>0</v>
      </c>
      <c r="AY30" s="486">
        <v>0</v>
      </c>
      <c r="AZ30" s="486">
        <v>0</v>
      </c>
      <c r="BA30" s="486">
        <v>0</v>
      </c>
      <c r="BB30" s="486">
        <v>0</v>
      </c>
      <c r="BC30" s="486">
        <v>0</v>
      </c>
      <c r="BD30" s="486">
        <v>0</v>
      </c>
      <c r="BE30" s="486">
        <v>0</v>
      </c>
      <c r="BF30" s="486">
        <v>0</v>
      </c>
      <c r="BG30" s="486">
        <v>0</v>
      </c>
      <c r="BH30" s="486">
        <v>0</v>
      </c>
      <c r="BI30" s="486">
        <v>0</v>
      </c>
      <c r="BJ30" s="486">
        <v>0</v>
      </c>
      <c r="BK30" s="486">
        <v>0</v>
      </c>
      <c r="BL30" s="486">
        <v>0</v>
      </c>
      <c r="BM30" s="486">
        <v>0</v>
      </c>
      <c r="BN30" s="486">
        <v>0</v>
      </c>
      <c r="BO30" s="486">
        <v>0</v>
      </c>
      <c r="BP30" s="486">
        <v>0</v>
      </c>
      <c r="BQ30" s="486">
        <v>0</v>
      </c>
      <c r="BR30" s="486">
        <v>0</v>
      </c>
      <c r="BS30" s="486">
        <v>0</v>
      </c>
      <c r="BT30" s="486">
        <v>0</v>
      </c>
      <c r="BU30" s="486">
        <v>0</v>
      </c>
      <c r="BV30" s="486">
        <v>0</v>
      </c>
      <c r="BW30" s="486">
        <v>0</v>
      </c>
      <c r="BX30" s="486">
        <v>0</v>
      </c>
      <c r="BY30" s="486">
        <v>0</v>
      </c>
      <c r="BZ30" s="486">
        <v>0</v>
      </c>
      <c r="CA30" s="486">
        <v>0</v>
      </c>
      <c r="CB30" s="486">
        <v>0</v>
      </c>
      <c r="CC30" s="486">
        <v>0</v>
      </c>
      <c r="CD30" s="486">
        <v>0</v>
      </c>
      <c r="CE30" s="486">
        <v>0</v>
      </c>
      <c r="CF30" s="486">
        <v>0</v>
      </c>
      <c r="CG30" s="486">
        <v>0</v>
      </c>
      <c r="CH30" s="486">
        <v>0</v>
      </c>
      <c r="CI30" s="486">
        <v>0</v>
      </c>
      <c r="CJ30" s="486">
        <v>0</v>
      </c>
      <c r="CK30" s="486">
        <v>0</v>
      </c>
      <c r="CL30" s="486">
        <v>0</v>
      </c>
      <c r="CM30" s="486">
        <v>0</v>
      </c>
      <c r="CN30" s="486">
        <v>0</v>
      </c>
      <c r="CO30" s="486">
        <v>0</v>
      </c>
      <c r="CP30" s="486">
        <v>0</v>
      </c>
      <c r="CQ30" s="486">
        <v>0</v>
      </c>
      <c r="CR30" s="486">
        <v>0</v>
      </c>
      <c r="CS30" s="486">
        <v>0</v>
      </c>
      <c r="CT30" s="486">
        <v>0</v>
      </c>
      <c r="CU30" s="486">
        <v>0</v>
      </c>
      <c r="CV30" s="486">
        <v>0</v>
      </c>
      <c r="CW30" s="486">
        <v>0</v>
      </c>
      <c r="CX30" s="486">
        <v>0</v>
      </c>
      <c r="CY30" s="486">
        <v>0</v>
      </c>
      <c r="CZ30" s="486">
        <v>0</v>
      </c>
      <c r="DA30" s="486">
        <v>0</v>
      </c>
      <c r="DB30" s="486">
        <v>0</v>
      </c>
      <c r="DC30" s="486">
        <v>0</v>
      </c>
      <c r="DD30" s="486">
        <v>0</v>
      </c>
      <c r="DE30" s="486">
        <v>0</v>
      </c>
      <c r="DF30" s="486">
        <v>0</v>
      </c>
      <c r="DG30" s="486">
        <v>0</v>
      </c>
      <c r="DH30" s="486">
        <v>0</v>
      </c>
      <c r="DI30" s="486">
        <v>0</v>
      </c>
      <c r="DJ30" s="486">
        <v>0</v>
      </c>
      <c r="DK30" s="486">
        <v>0</v>
      </c>
      <c r="DL30" s="486">
        <v>0</v>
      </c>
      <c r="DM30" s="486">
        <v>0</v>
      </c>
      <c r="DN30" s="486">
        <v>0</v>
      </c>
      <c r="DO30" s="486">
        <v>0</v>
      </c>
      <c r="DP30" s="486">
        <v>0</v>
      </c>
      <c r="DQ30" s="486">
        <v>0</v>
      </c>
      <c r="DR30" s="486">
        <v>0</v>
      </c>
      <c r="DS30" s="486">
        <v>0</v>
      </c>
      <c r="DT30" s="486">
        <v>0</v>
      </c>
      <c r="DU30" s="486">
        <v>0</v>
      </c>
      <c r="DV30" s="486">
        <v>0</v>
      </c>
      <c r="DW30" s="486">
        <v>0</v>
      </c>
      <c r="DX30" s="477"/>
      <c r="DY30" s="484" t="s">
        <v>720</v>
      </c>
      <c r="DZ30" s="484" t="s">
        <v>617</v>
      </c>
      <c r="EA30" s="484" t="s">
        <v>25</v>
      </c>
      <c r="EB30" s="486">
        <v>42</v>
      </c>
      <c r="EC30" s="471" t="str">
        <f t="shared" si="0"/>
        <v>AIJ100142</v>
      </c>
      <c r="ED30" s="486">
        <v>10000</v>
      </c>
      <c r="EE30" s="486">
        <v>10000</v>
      </c>
      <c r="EF30" s="486">
        <v>10000</v>
      </c>
      <c r="EG30" s="486">
        <v>10000</v>
      </c>
      <c r="EH30" s="486">
        <v>10000</v>
      </c>
      <c r="EI30" s="486">
        <v>10000</v>
      </c>
      <c r="EJ30" s="486">
        <v>10000</v>
      </c>
      <c r="EK30" s="486">
        <v>10000</v>
      </c>
      <c r="EL30" s="486">
        <v>10000</v>
      </c>
      <c r="EM30" s="486">
        <v>10000</v>
      </c>
      <c r="EN30" s="486">
        <v>0</v>
      </c>
      <c r="EO30" s="486">
        <v>0</v>
      </c>
      <c r="EP30" s="486">
        <v>0</v>
      </c>
      <c r="EQ30" s="486">
        <v>0</v>
      </c>
      <c r="ER30" s="486">
        <v>0</v>
      </c>
      <c r="ES30" s="486">
        <v>0</v>
      </c>
      <c r="ET30" s="486">
        <v>0</v>
      </c>
      <c r="EU30" s="486">
        <v>0</v>
      </c>
      <c r="EV30" s="486">
        <v>0</v>
      </c>
      <c r="EW30" s="486">
        <v>0</v>
      </c>
      <c r="EX30" s="486">
        <v>0</v>
      </c>
      <c r="EY30" s="486">
        <v>0</v>
      </c>
      <c r="EZ30" s="486">
        <v>0</v>
      </c>
      <c r="FA30" s="486">
        <v>0</v>
      </c>
      <c r="FB30" s="486">
        <v>0</v>
      </c>
      <c r="FC30" s="486">
        <v>0</v>
      </c>
      <c r="FD30" s="486">
        <v>0</v>
      </c>
      <c r="FE30" s="486">
        <v>0</v>
      </c>
      <c r="FF30" s="486">
        <v>0</v>
      </c>
      <c r="FG30" s="486">
        <v>0</v>
      </c>
      <c r="FH30" s="486">
        <v>0</v>
      </c>
      <c r="FI30" s="486">
        <v>0</v>
      </c>
      <c r="FJ30" s="486">
        <v>0</v>
      </c>
      <c r="FK30" s="486">
        <v>0</v>
      </c>
      <c r="FL30" s="486">
        <v>0</v>
      </c>
      <c r="FM30" s="486">
        <v>0</v>
      </c>
      <c r="FN30" s="486">
        <v>0</v>
      </c>
      <c r="FO30" s="486">
        <v>0</v>
      </c>
      <c r="FP30" s="486">
        <v>0</v>
      </c>
      <c r="FQ30" s="486">
        <v>0</v>
      </c>
      <c r="FR30" s="486">
        <v>0</v>
      </c>
      <c r="FS30" s="486">
        <v>0</v>
      </c>
      <c r="FT30" s="486">
        <v>0</v>
      </c>
      <c r="FU30" s="486">
        <v>0</v>
      </c>
      <c r="FV30" s="486">
        <v>0</v>
      </c>
      <c r="FW30" s="486">
        <v>0</v>
      </c>
      <c r="FX30" s="486">
        <v>0</v>
      </c>
      <c r="FY30" s="486">
        <v>0</v>
      </c>
      <c r="FZ30" s="486">
        <v>0</v>
      </c>
      <c r="GA30" s="486">
        <v>0</v>
      </c>
      <c r="GB30" s="486">
        <v>0</v>
      </c>
      <c r="GC30" s="486">
        <v>0</v>
      </c>
      <c r="GD30" s="486">
        <v>0</v>
      </c>
      <c r="GE30" s="486">
        <v>0</v>
      </c>
      <c r="GF30" s="486">
        <v>0</v>
      </c>
      <c r="GG30" s="486">
        <v>0</v>
      </c>
      <c r="GH30" s="486">
        <v>0</v>
      </c>
      <c r="GI30" s="486">
        <v>0</v>
      </c>
      <c r="GJ30" s="486">
        <v>0</v>
      </c>
      <c r="GK30" s="486">
        <v>0</v>
      </c>
      <c r="GL30" s="486">
        <v>0</v>
      </c>
      <c r="GM30" s="486">
        <v>0</v>
      </c>
      <c r="GN30" s="486">
        <v>0</v>
      </c>
      <c r="GO30" s="486">
        <v>0</v>
      </c>
      <c r="GP30" s="486">
        <v>0</v>
      </c>
      <c r="GQ30" s="486">
        <v>0</v>
      </c>
      <c r="GR30" s="486">
        <v>0</v>
      </c>
      <c r="GS30" s="486">
        <v>0</v>
      </c>
      <c r="GT30" s="486">
        <v>0</v>
      </c>
      <c r="GU30" s="486">
        <v>0</v>
      </c>
      <c r="GV30" s="486">
        <v>0</v>
      </c>
      <c r="GW30" s="486">
        <v>0</v>
      </c>
      <c r="GX30" s="486">
        <v>0</v>
      </c>
      <c r="GY30" s="486">
        <v>0</v>
      </c>
      <c r="GZ30" s="486">
        <v>0</v>
      </c>
      <c r="HA30" s="486">
        <v>0</v>
      </c>
      <c r="HB30" s="486">
        <v>0</v>
      </c>
      <c r="HC30" s="486">
        <v>0</v>
      </c>
      <c r="HD30" s="486">
        <v>0</v>
      </c>
      <c r="HE30" s="486">
        <v>0</v>
      </c>
      <c r="HF30" s="486">
        <v>0</v>
      </c>
      <c r="HG30" s="486">
        <v>0</v>
      </c>
      <c r="HH30" s="486">
        <v>0</v>
      </c>
      <c r="HI30" s="486">
        <v>0</v>
      </c>
      <c r="HJ30" s="486">
        <v>0</v>
      </c>
      <c r="HK30" s="486">
        <v>0</v>
      </c>
      <c r="HL30" s="486">
        <v>0</v>
      </c>
      <c r="HM30" s="486">
        <v>0</v>
      </c>
      <c r="HN30" s="486">
        <v>0</v>
      </c>
      <c r="HO30" s="486">
        <v>0</v>
      </c>
      <c r="HP30" s="486">
        <v>0</v>
      </c>
      <c r="HQ30" s="486">
        <v>0</v>
      </c>
      <c r="HR30" s="486">
        <v>0</v>
      </c>
      <c r="HS30" s="486">
        <v>0</v>
      </c>
      <c r="HT30" s="486">
        <v>0</v>
      </c>
      <c r="HU30" s="486">
        <v>0</v>
      </c>
      <c r="HV30" s="486">
        <v>0</v>
      </c>
      <c r="HW30" s="486">
        <v>0</v>
      </c>
      <c r="HX30" s="486">
        <v>0</v>
      </c>
      <c r="HY30" s="486">
        <v>0</v>
      </c>
      <c r="HZ30" s="486">
        <v>0</v>
      </c>
      <c r="IA30" s="486">
        <v>0</v>
      </c>
      <c r="IB30" s="486">
        <v>0</v>
      </c>
      <c r="IC30" s="486">
        <v>0</v>
      </c>
      <c r="ID30" s="486">
        <v>0</v>
      </c>
      <c r="IE30" s="486">
        <v>0</v>
      </c>
      <c r="IF30" s="486">
        <v>0</v>
      </c>
      <c r="IG30" s="486">
        <v>0</v>
      </c>
      <c r="IH30" s="486">
        <v>0</v>
      </c>
      <c r="II30" s="486">
        <v>0</v>
      </c>
      <c r="IJ30" s="486">
        <v>0</v>
      </c>
    </row>
    <row r="31" spans="1:244" ht="16.5" hidden="1">
      <c r="A31" s="484" t="s">
        <v>720</v>
      </c>
      <c r="B31" s="484" t="s">
        <v>617</v>
      </c>
      <c r="C31" s="484" t="s">
        <v>721</v>
      </c>
      <c r="D31" s="485"/>
      <c r="E31" s="484" t="s">
        <v>721</v>
      </c>
      <c r="F31" s="484" t="s">
        <v>26</v>
      </c>
      <c r="G31" s="485"/>
      <c r="H31" s="486">
        <v>37</v>
      </c>
      <c r="I31" s="471" t="str">
        <f t="shared" si="1"/>
        <v>AIJ100237</v>
      </c>
      <c r="J31" s="486">
        <v>62</v>
      </c>
      <c r="L31" s="484" t="s">
        <v>720</v>
      </c>
      <c r="M31" s="484" t="s">
        <v>617</v>
      </c>
      <c r="N31" s="484" t="s">
        <v>25</v>
      </c>
      <c r="O31" s="486">
        <v>43</v>
      </c>
      <c r="P31" s="471" t="str">
        <f t="shared" si="2"/>
        <v>AIJ100143</v>
      </c>
      <c r="Q31" s="486">
        <v>0</v>
      </c>
      <c r="R31" s="486">
        <v>17</v>
      </c>
      <c r="S31" s="486">
        <v>32</v>
      </c>
      <c r="T31" s="486">
        <v>45</v>
      </c>
      <c r="U31" s="486">
        <v>59</v>
      </c>
      <c r="V31" s="486">
        <v>69</v>
      </c>
      <c r="W31" s="486">
        <v>79</v>
      </c>
      <c r="X31" s="486">
        <v>87</v>
      </c>
      <c r="Y31" s="486">
        <v>87</v>
      </c>
      <c r="Z31" s="486">
        <v>0</v>
      </c>
      <c r="AA31" s="486">
        <v>0</v>
      </c>
      <c r="AB31" s="486">
        <v>0</v>
      </c>
      <c r="AC31" s="486">
        <v>0</v>
      </c>
      <c r="AD31" s="486">
        <v>0</v>
      </c>
      <c r="AE31" s="486">
        <v>0</v>
      </c>
      <c r="AF31" s="486">
        <v>0</v>
      </c>
      <c r="AG31" s="486">
        <v>0</v>
      </c>
      <c r="AH31" s="486">
        <v>0</v>
      </c>
      <c r="AI31" s="486">
        <v>0</v>
      </c>
      <c r="AJ31" s="486">
        <v>0</v>
      </c>
      <c r="AK31" s="486">
        <v>0</v>
      </c>
      <c r="AL31" s="486">
        <v>0</v>
      </c>
      <c r="AM31" s="486">
        <v>0</v>
      </c>
      <c r="AN31" s="486">
        <v>0</v>
      </c>
      <c r="AO31" s="486">
        <v>0</v>
      </c>
      <c r="AP31" s="486">
        <v>0</v>
      </c>
      <c r="AQ31" s="486">
        <v>0</v>
      </c>
      <c r="AR31" s="486">
        <v>0</v>
      </c>
      <c r="AS31" s="486">
        <v>0</v>
      </c>
      <c r="AT31" s="486">
        <v>0</v>
      </c>
      <c r="AU31" s="486">
        <v>0</v>
      </c>
      <c r="AV31" s="486">
        <v>0</v>
      </c>
      <c r="AW31" s="486">
        <v>0</v>
      </c>
      <c r="AX31" s="486">
        <v>0</v>
      </c>
      <c r="AY31" s="486">
        <v>0</v>
      </c>
      <c r="AZ31" s="486">
        <v>0</v>
      </c>
      <c r="BA31" s="486">
        <v>0</v>
      </c>
      <c r="BB31" s="486">
        <v>0</v>
      </c>
      <c r="BC31" s="486">
        <v>0</v>
      </c>
      <c r="BD31" s="486">
        <v>0</v>
      </c>
      <c r="BE31" s="486">
        <v>0</v>
      </c>
      <c r="BF31" s="486">
        <v>0</v>
      </c>
      <c r="BG31" s="486">
        <v>0</v>
      </c>
      <c r="BH31" s="486">
        <v>0</v>
      </c>
      <c r="BI31" s="486">
        <v>0</v>
      </c>
      <c r="BJ31" s="486">
        <v>0</v>
      </c>
      <c r="BK31" s="486">
        <v>0</v>
      </c>
      <c r="BL31" s="486">
        <v>0</v>
      </c>
      <c r="BM31" s="486">
        <v>0</v>
      </c>
      <c r="BN31" s="486">
        <v>0</v>
      </c>
      <c r="BO31" s="486">
        <v>0</v>
      </c>
      <c r="BP31" s="486">
        <v>0</v>
      </c>
      <c r="BQ31" s="486">
        <v>0</v>
      </c>
      <c r="BR31" s="486">
        <v>0</v>
      </c>
      <c r="BS31" s="486">
        <v>0</v>
      </c>
      <c r="BT31" s="486">
        <v>0</v>
      </c>
      <c r="BU31" s="486">
        <v>0</v>
      </c>
      <c r="BV31" s="486">
        <v>0</v>
      </c>
      <c r="BW31" s="486">
        <v>0</v>
      </c>
      <c r="BX31" s="486">
        <v>0</v>
      </c>
      <c r="BY31" s="486">
        <v>0</v>
      </c>
      <c r="BZ31" s="486">
        <v>0</v>
      </c>
      <c r="CA31" s="486">
        <v>0</v>
      </c>
      <c r="CB31" s="486">
        <v>0</v>
      </c>
      <c r="CC31" s="486">
        <v>0</v>
      </c>
      <c r="CD31" s="486">
        <v>0</v>
      </c>
      <c r="CE31" s="486">
        <v>0</v>
      </c>
      <c r="CF31" s="486">
        <v>0</v>
      </c>
      <c r="CG31" s="486">
        <v>0</v>
      </c>
      <c r="CH31" s="486">
        <v>0</v>
      </c>
      <c r="CI31" s="486">
        <v>0</v>
      </c>
      <c r="CJ31" s="486">
        <v>0</v>
      </c>
      <c r="CK31" s="486">
        <v>0</v>
      </c>
      <c r="CL31" s="486">
        <v>0</v>
      </c>
      <c r="CM31" s="486">
        <v>0</v>
      </c>
      <c r="CN31" s="486">
        <v>0</v>
      </c>
      <c r="CO31" s="486">
        <v>0</v>
      </c>
      <c r="CP31" s="486">
        <v>0</v>
      </c>
      <c r="CQ31" s="486">
        <v>0</v>
      </c>
      <c r="CR31" s="486">
        <v>0</v>
      </c>
      <c r="CS31" s="486">
        <v>0</v>
      </c>
      <c r="CT31" s="486">
        <v>0</v>
      </c>
      <c r="CU31" s="486">
        <v>0</v>
      </c>
      <c r="CV31" s="486">
        <v>0</v>
      </c>
      <c r="CW31" s="486">
        <v>0</v>
      </c>
      <c r="CX31" s="486">
        <v>0</v>
      </c>
      <c r="CY31" s="486">
        <v>0</v>
      </c>
      <c r="CZ31" s="486">
        <v>0</v>
      </c>
      <c r="DA31" s="486">
        <v>0</v>
      </c>
      <c r="DB31" s="486">
        <v>0</v>
      </c>
      <c r="DC31" s="486">
        <v>0</v>
      </c>
      <c r="DD31" s="486">
        <v>0</v>
      </c>
      <c r="DE31" s="486">
        <v>0</v>
      </c>
      <c r="DF31" s="486">
        <v>0</v>
      </c>
      <c r="DG31" s="486">
        <v>0</v>
      </c>
      <c r="DH31" s="486">
        <v>0</v>
      </c>
      <c r="DI31" s="486">
        <v>0</v>
      </c>
      <c r="DJ31" s="486">
        <v>0</v>
      </c>
      <c r="DK31" s="486">
        <v>0</v>
      </c>
      <c r="DL31" s="486">
        <v>0</v>
      </c>
      <c r="DM31" s="486">
        <v>0</v>
      </c>
      <c r="DN31" s="486">
        <v>0</v>
      </c>
      <c r="DO31" s="486">
        <v>0</v>
      </c>
      <c r="DP31" s="486">
        <v>0</v>
      </c>
      <c r="DQ31" s="486">
        <v>0</v>
      </c>
      <c r="DR31" s="486">
        <v>0</v>
      </c>
      <c r="DS31" s="486">
        <v>0</v>
      </c>
      <c r="DT31" s="486">
        <v>0</v>
      </c>
      <c r="DU31" s="486">
        <v>0</v>
      </c>
      <c r="DV31" s="486">
        <v>0</v>
      </c>
      <c r="DW31" s="486">
        <v>0</v>
      </c>
      <c r="DX31" s="477"/>
      <c r="DY31" s="484" t="s">
        <v>720</v>
      </c>
      <c r="DZ31" s="484" t="s">
        <v>617</v>
      </c>
      <c r="EA31" s="484" t="s">
        <v>25</v>
      </c>
      <c r="EB31" s="486">
        <v>43</v>
      </c>
      <c r="EC31" s="471" t="str">
        <f t="shared" si="0"/>
        <v>AIJ100143</v>
      </c>
      <c r="ED31" s="486">
        <v>10000</v>
      </c>
      <c r="EE31" s="486">
        <v>10000</v>
      </c>
      <c r="EF31" s="486">
        <v>10000</v>
      </c>
      <c r="EG31" s="486">
        <v>10000</v>
      </c>
      <c r="EH31" s="486">
        <v>10000</v>
      </c>
      <c r="EI31" s="486">
        <v>10000</v>
      </c>
      <c r="EJ31" s="486">
        <v>10000</v>
      </c>
      <c r="EK31" s="486">
        <v>10000</v>
      </c>
      <c r="EL31" s="486">
        <v>10000</v>
      </c>
      <c r="EM31" s="486">
        <v>10000</v>
      </c>
      <c r="EN31" s="486">
        <v>0</v>
      </c>
      <c r="EO31" s="486">
        <v>0</v>
      </c>
      <c r="EP31" s="486">
        <v>0</v>
      </c>
      <c r="EQ31" s="486">
        <v>0</v>
      </c>
      <c r="ER31" s="486">
        <v>0</v>
      </c>
      <c r="ES31" s="486">
        <v>0</v>
      </c>
      <c r="ET31" s="486">
        <v>0</v>
      </c>
      <c r="EU31" s="486">
        <v>0</v>
      </c>
      <c r="EV31" s="486">
        <v>0</v>
      </c>
      <c r="EW31" s="486">
        <v>0</v>
      </c>
      <c r="EX31" s="486">
        <v>0</v>
      </c>
      <c r="EY31" s="486">
        <v>0</v>
      </c>
      <c r="EZ31" s="486">
        <v>0</v>
      </c>
      <c r="FA31" s="486">
        <v>0</v>
      </c>
      <c r="FB31" s="486">
        <v>0</v>
      </c>
      <c r="FC31" s="486">
        <v>0</v>
      </c>
      <c r="FD31" s="486">
        <v>0</v>
      </c>
      <c r="FE31" s="486">
        <v>0</v>
      </c>
      <c r="FF31" s="486">
        <v>0</v>
      </c>
      <c r="FG31" s="486">
        <v>0</v>
      </c>
      <c r="FH31" s="486">
        <v>0</v>
      </c>
      <c r="FI31" s="486">
        <v>0</v>
      </c>
      <c r="FJ31" s="486">
        <v>0</v>
      </c>
      <c r="FK31" s="486">
        <v>0</v>
      </c>
      <c r="FL31" s="486">
        <v>0</v>
      </c>
      <c r="FM31" s="486">
        <v>0</v>
      </c>
      <c r="FN31" s="486">
        <v>0</v>
      </c>
      <c r="FO31" s="486">
        <v>0</v>
      </c>
      <c r="FP31" s="486">
        <v>0</v>
      </c>
      <c r="FQ31" s="486">
        <v>0</v>
      </c>
      <c r="FR31" s="486">
        <v>0</v>
      </c>
      <c r="FS31" s="486">
        <v>0</v>
      </c>
      <c r="FT31" s="486">
        <v>0</v>
      </c>
      <c r="FU31" s="486">
        <v>0</v>
      </c>
      <c r="FV31" s="486">
        <v>0</v>
      </c>
      <c r="FW31" s="486">
        <v>0</v>
      </c>
      <c r="FX31" s="486">
        <v>0</v>
      </c>
      <c r="FY31" s="486">
        <v>0</v>
      </c>
      <c r="FZ31" s="486">
        <v>0</v>
      </c>
      <c r="GA31" s="486">
        <v>0</v>
      </c>
      <c r="GB31" s="486">
        <v>0</v>
      </c>
      <c r="GC31" s="486">
        <v>0</v>
      </c>
      <c r="GD31" s="486">
        <v>0</v>
      </c>
      <c r="GE31" s="486">
        <v>0</v>
      </c>
      <c r="GF31" s="486">
        <v>0</v>
      </c>
      <c r="GG31" s="486">
        <v>0</v>
      </c>
      <c r="GH31" s="486">
        <v>0</v>
      </c>
      <c r="GI31" s="486">
        <v>0</v>
      </c>
      <c r="GJ31" s="486">
        <v>0</v>
      </c>
      <c r="GK31" s="486">
        <v>0</v>
      </c>
      <c r="GL31" s="486">
        <v>0</v>
      </c>
      <c r="GM31" s="486">
        <v>0</v>
      </c>
      <c r="GN31" s="486">
        <v>0</v>
      </c>
      <c r="GO31" s="486">
        <v>0</v>
      </c>
      <c r="GP31" s="486">
        <v>0</v>
      </c>
      <c r="GQ31" s="486">
        <v>0</v>
      </c>
      <c r="GR31" s="486">
        <v>0</v>
      </c>
      <c r="GS31" s="486">
        <v>0</v>
      </c>
      <c r="GT31" s="486">
        <v>0</v>
      </c>
      <c r="GU31" s="486">
        <v>0</v>
      </c>
      <c r="GV31" s="486">
        <v>0</v>
      </c>
      <c r="GW31" s="486">
        <v>0</v>
      </c>
      <c r="GX31" s="486">
        <v>0</v>
      </c>
      <c r="GY31" s="486">
        <v>0</v>
      </c>
      <c r="GZ31" s="486">
        <v>0</v>
      </c>
      <c r="HA31" s="486">
        <v>0</v>
      </c>
      <c r="HB31" s="486">
        <v>0</v>
      </c>
      <c r="HC31" s="486">
        <v>0</v>
      </c>
      <c r="HD31" s="486">
        <v>0</v>
      </c>
      <c r="HE31" s="486">
        <v>0</v>
      </c>
      <c r="HF31" s="486">
        <v>0</v>
      </c>
      <c r="HG31" s="486">
        <v>0</v>
      </c>
      <c r="HH31" s="486">
        <v>0</v>
      </c>
      <c r="HI31" s="486">
        <v>0</v>
      </c>
      <c r="HJ31" s="486">
        <v>0</v>
      </c>
      <c r="HK31" s="486">
        <v>0</v>
      </c>
      <c r="HL31" s="486">
        <v>0</v>
      </c>
      <c r="HM31" s="486">
        <v>0</v>
      </c>
      <c r="HN31" s="486">
        <v>0</v>
      </c>
      <c r="HO31" s="486">
        <v>0</v>
      </c>
      <c r="HP31" s="486">
        <v>0</v>
      </c>
      <c r="HQ31" s="486">
        <v>0</v>
      </c>
      <c r="HR31" s="486">
        <v>0</v>
      </c>
      <c r="HS31" s="486">
        <v>0</v>
      </c>
      <c r="HT31" s="486">
        <v>0</v>
      </c>
      <c r="HU31" s="486">
        <v>0</v>
      </c>
      <c r="HV31" s="486">
        <v>0</v>
      </c>
      <c r="HW31" s="486">
        <v>0</v>
      </c>
      <c r="HX31" s="486">
        <v>0</v>
      </c>
      <c r="HY31" s="486">
        <v>0</v>
      </c>
      <c r="HZ31" s="486">
        <v>0</v>
      </c>
      <c r="IA31" s="486">
        <v>0</v>
      </c>
      <c r="IB31" s="486">
        <v>0</v>
      </c>
      <c r="IC31" s="486">
        <v>0</v>
      </c>
      <c r="ID31" s="486">
        <v>0</v>
      </c>
      <c r="IE31" s="486">
        <v>0</v>
      </c>
      <c r="IF31" s="486">
        <v>0</v>
      </c>
      <c r="IG31" s="486">
        <v>0</v>
      </c>
      <c r="IH31" s="486">
        <v>0</v>
      </c>
      <c r="II31" s="486">
        <v>0</v>
      </c>
      <c r="IJ31" s="486">
        <v>0</v>
      </c>
    </row>
    <row r="32" spans="1:244" ht="16.5" hidden="1">
      <c r="A32" s="484" t="s">
        <v>720</v>
      </c>
      <c r="B32" s="484" t="s">
        <v>617</v>
      </c>
      <c r="C32" s="484" t="s">
        <v>721</v>
      </c>
      <c r="D32" s="485"/>
      <c r="E32" s="484" t="s">
        <v>721</v>
      </c>
      <c r="F32" s="484" t="s">
        <v>26</v>
      </c>
      <c r="G32" s="485"/>
      <c r="H32" s="486">
        <v>38</v>
      </c>
      <c r="I32" s="471" t="str">
        <f t="shared" si="1"/>
        <v>AIJ100238</v>
      </c>
      <c r="J32" s="486">
        <v>64</v>
      </c>
      <c r="L32" s="484" t="s">
        <v>720</v>
      </c>
      <c r="M32" s="484" t="s">
        <v>617</v>
      </c>
      <c r="N32" s="484" t="s">
        <v>25</v>
      </c>
      <c r="O32" s="486">
        <v>44</v>
      </c>
      <c r="P32" s="471" t="str">
        <f t="shared" si="2"/>
        <v>AIJ100144</v>
      </c>
      <c r="Q32" s="486">
        <v>0</v>
      </c>
      <c r="R32" s="486">
        <v>18</v>
      </c>
      <c r="S32" s="486">
        <v>34</v>
      </c>
      <c r="T32" s="486">
        <v>47</v>
      </c>
      <c r="U32" s="486">
        <v>62</v>
      </c>
      <c r="V32" s="486">
        <v>72</v>
      </c>
      <c r="W32" s="486">
        <v>83</v>
      </c>
      <c r="X32" s="486">
        <v>92</v>
      </c>
      <c r="Y32" s="486">
        <v>92</v>
      </c>
      <c r="Z32" s="486">
        <v>0</v>
      </c>
      <c r="AA32" s="486">
        <v>0</v>
      </c>
      <c r="AB32" s="486">
        <v>0</v>
      </c>
      <c r="AC32" s="486">
        <v>0</v>
      </c>
      <c r="AD32" s="486">
        <v>0</v>
      </c>
      <c r="AE32" s="486">
        <v>0</v>
      </c>
      <c r="AF32" s="486">
        <v>0</v>
      </c>
      <c r="AG32" s="486">
        <v>0</v>
      </c>
      <c r="AH32" s="486">
        <v>0</v>
      </c>
      <c r="AI32" s="486">
        <v>0</v>
      </c>
      <c r="AJ32" s="486">
        <v>0</v>
      </c>
      <c r="AK32" s="486">
        <v>0</v>
      </c>
      <c r="AL32" s="486">
        <v>0</v>
      </c>
      <c r="AM32" s="486">
        <v>0</v>
      </c>
      <c r="AN32" s="486">
        <v>0</v>
      </c>
      <c r="AO32" s="486">
        <v>0</v>
      </c>
      <c r="AP32" s="486">
        <v>0</v>
      </c>
      <c r="AQ32" s="486">
        <v>0</v>
      </c>
      <c r="AR32" s="486">
        <v>0</v>
      </c>
      <c r="AS32" s="486">
        <v>0</v>
      </c>
      <c r="AT32" s="486">
        <v>0</v>
      </c>
      <c r="AU32" s="486">
        <v>0</v>
      </c>
      <c r="AV32" s="486">
        <v>0</v>
      </c>
      <c r="AW32" s="486">
        <v>0</v>
      </c>
      <c r="AX32" s="486">
        <v>0</v>
      </c>
      <c r="AY32" s="486">
        <v>0</v>
      </c>
      <c r="AZ32" s="486">
        <v>0</v>
      </c>
      <c r="BA32" s="486">
        <v>0</v>
      </c>
      <c r="BB32" s="486">
        <v>0</v>
      </c>
      <c r="BC32" s="486">
        <v>0</v>
      </c>
      <c r="BD32" s="486">
        <v>0</v>
      </c>
      <c r="BE32" s="486">
        <v>0</v>
      </c>
      <c r="BF32" s="486">
        <v>0</v>
      </c>
      <c r="BG32" s="486">
        <v>0</v>
      </c>
      <c r="BH32" s="486">
        <v>0</v>
      </c>
      <c r="BI32" s="486">
        <v>0</v>
      </c>
      <c r="BJ32" s="486">
        <v>0</v>
      </c>
      <c r="BK32" s="486">
        <v>0</v>
      </c>
      <c r="BL32" s="486">
        <v>0</v>
      </c>
      <c r="BM32" s="486">
        <v>0</v>
      </c>
      <c r="BN32" s="486">
        <v>0</v>
      </c>
      <c r="BO32" s="486">
        <v>0</v>
      </c>
      <c r="BP32" s="486">
        <v>0</v>
      </c>
      <c r="BQ32" s="486">
        <v>0</v>
      </c>
      <c r="BR32" s="486">
        <v>0</v>
      </c>
      <c r="BS32" s="486">
        <v>0</v>
      </c>
      <c r="BT32" s="486">
        <v>0</v>
      </c>
      <c r="BU32" s="486">
        <v>0</v>
      </c>
      <c r="BV32" s="486">
        <v>0</v>
      </c>
      <c r="BW32" s="486">
        <v>0</v>
      </c>
      <c r="BX32" s="486">
        <v>0</v>
      </c>
      <c r="BY32" s="486">
        <v>0</v>
      </c>
      <c r="BZ32" s="486">
        <v>0</v>
      </c>
      <c r="CA32" s="486">
        <v>0</v>
      </c>
      <c r="CB32" s="486">
        <v>0</v>
      </c>
      <c r="CC32" s="486">
        <v>0</v>
      </c>
      <c r="CD32" s="486">
        <v>0</v>
      </c>
      <c r="CE32" s="486">
        <v>0</v>
      </c>
      <c r="CF32" s="486">
        <v>0</v>
      </c>
      <c r="CG32" s="486">
        <v>0</v>
      </c>
      <c r="CH32" s="486">
        <v>0</v>
      </c>
      <c r="CI32" s="486">
        <v>0</v>
      </c>
      <c r="CJ32" s="486">
        <v>0</v>
      </c>
      <c r="CK32" s="486">
        <v>0</v>
      </c>
      <c r="CL32" s="486">
        <v>0</v>
      </c>
      <c r="CM32" s="486">
        <v>0</v>
      </c>
      <c r="CN32" s="486">
        <v>0</v>
      </c>
      <c r="CO32" s="486">
        <v>0</v>
      </c>
      <c r="CP32" s="486">
        <v>0</v>
      </c>
      <c r="CQ32" s="486">
        <v>0</v>
      </c>
      <c r="CR32" s="486">
        <v>0</v>
      </c>
      <c r="CS32" s="486">
        <v>0</v>
      </c>
      <c r="CT32" s="486">
        <v>0</v>
      </c>
      <c r="CU32" s="486">
        <v>0</v>
      </c>
      <c r="CV32" s="486">
        <v>0</v>
      </c>
      <c r="CW32" s="486">
        <v>0</v>
      </c>
      <c r="CX32" s="486">
        <v>0</v>
      </c>
      <c r="CY32" s="486">
        <v>0</v>
      </c>
      <c r="CZ32" s="486">
        <v>0</v>
      </c>
      <c r="DA32" s="486">
        <v>0</v>
      </c>
      <c r="DB32" s="486">
        <v>0</v>
      </c>
      <c r="DC32" s="486">
        <v>0</v>
      </c>
      <c r="DD32" s="486">
        <v>0</v>
      </c>
      <c r="DE32" s="486">
        <v>0</v>
      </c>
      <c r="DF32" s="486">
        <v>0</v>
      </c>
      <c r="DG32" s="486">
        <v>0</v>
      </c>
      <c r="DH32" s="486">
        <v>0</v>
      </c>
      <c r="DI32" s="486">
        <v>0</v>
      </c>
      <c r="DJ32" s="486">
        <v>0</v>
      </c>
      <c r="DK32" s="486">
        <v>0</v>
      </c>
      <c r="DL32" s="486">
        <v>0</v>
      </c>
      <c r="DM32" s="486">
        <v>0</v>
      </c>
      <c r="DN32" s="486">
        <v>0</v>
      </c>
      <c r="DO32" s="486">
        <v>0</v>
      </c>
      <c r="DP32" s="486">
        <v>0</v>
      </c>
      <c r="DQ32" s="486">
        <v>0</v>
      </c>
      <c r="DR32" s="486">
        <v>0</v>
      </c>
      <c r="DS32" s="486">
        <v>0</v>
      </c>
      <c r="DT32" s="486">
        <v>0</v>
      </c>
      <c r="DU32" s="486">
        <v>0</v>
      </c>
      <c r="DV32" s="486">
        <v>0</v>
      </c>
      <c r="DW32" s="486">
        <v>0</v>
      </c>
      <c r="DX32" s="477"/>
      <c r="DY32" s="484" t="s">
        <v>720</v>
      </c>
      <c r="DZ32" s="484" t="s">
        <v>617</v>
      </c>
      <c r="EA32" s="484" t="s">
        <v>25</v>
      </c>
      <c r="EB32" s="486">
        <v>44</v>
      </c>
      <c r="EC32" s="471" t="str">
        <f t="shared" si="0"/>
        <v>AIJ100144</v>
      </c>
      <c r="ED32" s="486">
        <v>10000</v>
      </c>
      <c r="EE32" s="486">
        <v>10000</v>
      </c>
      <c r="EF32" s="486">
        <v>10000</v>
      </c>
      <c r="EG32" s="486">
        <v>10000</v>
      </c>
      <c r="EH32" s="486">
        <v>10000</v>
      </c>
      <c r="EI32" s="486">
        <v>10000</v>
      </c>
      <c r="EJ32" s="486">
        <v>10000</v>
      </c>
      <c r="EK32" s="486">
        <v>10000</v>
      </c>
      <c r="EL32" s="486">
        <v>10000</v>
      </c>
      <c r="EM32" s="486">
        <v>10000</v>
      </c>
      <c r="EN32" s="486">
        <v>0</v>
      </c>
      <c r="EO32" s="486">
        <v>0</v>
      </c>
      <c r="EP32" s="486">
        <v>0</v>
      </c>
      <c r="EQ32" s="486">
        <v>0</v>
      </c>
      <c r="ER32" s="486">
        <v>0</v>
      </c>
      <c r="ES32" s="486">
        <v>0</v>
      </c>
      <c r="ET32" s="486">
        <v>0</v>
      </c>
      <c r="EU32" s="486">
        <v>0</v>
      </c>
      <c r="EV32" s="486">
        <v>0</v>
      </c>
      <c r="EW32" s="486">
        <v>0</v>
      </c>
      <c r="EX32" s="486">
        <v>0</v>
      </c>
      <c r="EY32" s="486">
        <v>0</v>
      </c>
      <c r="EZ32" s="486">
        <v>0</v>
      </c>
      <c r="FA32" s="486">
        <v>0</v>
      </c>
      <c r="FB32" s="486">
        <v>0</v>
      </c>
      <c r="FC32" s="486">
        <v>0</v>
      </c>
      <c r="FD32" s="486">
        <v>0</v>
      </c>
      <c r="FE32" s="486">
        <v>0</v>
      </c>
      <c r="FF32" s="486">
        <v>0</v>
      </c>
      <c r="FG32" s="486">
        <v>0</v>
      </c>
      <c r="FH32" s="486">
        <v>0</v>
      </c>
      <c r="FI32" s="486">
        <v>0</v>
      </c>
      <c r="FJ32" s="486">
        <v>0</v>
      </c>
      <c r="FK32" s="486">
        <v>0</v>
      </c>
      <c r="FL32" s="486">
        <v>0</v>
      </c>
      <c r="FM32" s="486">
        <v>0</v>
      </c>
      <c r="FN32" s="486">
        <v>0</v>
      </c>
      <c r="FO32" s="486">
        <v>0</v>
      </c>
      <c r="FP32" s="486">
        <v>0</v>
      </c>
      <c r="FQ32" s="486">
        <v>0</v>
      </c>
      <c r="FR32" s="486">
        <v>0</v>
      </c>
      <c r="FS32" s="486">
        <v>0</v>
      </c>
      <c r="FT32" s="486">
        <v>0</v>
      </c>
      <c r="FU32" s="486">
        <v>0</v>
      </c>
      <c r="FV32" s="486">
        <v>0</v>
      </c>
      <c r="FW32" s="486">
        <v>0</v>
      </c>
      <c r="FX32" s="486">
        <v>0</v>
      </c>
      <c r="FY32" s="486">
        <v>0</v>
      </c>
      <c r="FZ32" s="486">
        <v>0</v>
      </c>
      <c r="GA32" s="486">
        <v>0</v>
      </c>
      <c r="GB32" s="486">
        <v>0</v>
      </c>
      <c r="GC32" s="486">
        <v>0</v>
      </c>
      <c r="GD32" s="486">
        <v>0</v>
      </c>
      <c r="GE32" s="486">
        <v>0</v>
      </c>
      <c r="GF32" s="486">
        <v>0</v>
      </c>
      <c r="GG32" s="486">
        <v>0</v>
      </c>
      <c r="GH32" s="486">
        <v>0</v>
      </c>
      <c r="GI32" s="486">
        <v>0</v>
      </c>
      <c r="GJ32" s="486">
        <v>0</v>
      </c>
      <c r="GK32" s="486">
        <v>0</v>
      </c>
      <c r="GL32" s="486">
        <v>0</v>
      </c>
      <c r="GM32" s="486">
        <v>0</v>
      </c>
      <c r="GN32" s="486">
        <v>0</v>
      </c>
      <c r="GO32" s="486">
        <v>0</v>
      </c>
      <c r="GP32" s="486">
        <v>0</v>
      </c>
      <c r="GQ32" s="486">
        <v>0</v>
      </c>
      <c r="GR32" s="486">
        <v>0</v>
      </c>
      <c r="GS32" s="486">
        <v>0</v>
      </c>
      <c r="GT32" s="486">
        <v>0</v>
      </c>
      <c r="GU32" s="486">
        <v>0</v>
      </c>
      <c r="GV32" s="486">
        <v>0</v>
      </c>
      <c r="GW32" s="486">
        <v>0</v>
      </c>
      <c r="GX32" s="486">
        <v>0</v>
      </c>
      <c r="GY32" s="486">
        <v>0</v>
      </c>
      <c r="GZ32" s="486">
        <v>0</v>
      </c>
      <c r="HA32" s="486">
        <v>0</v>
      </c>
      <c r="HB32" s="486">
        <v>0</v>
      </c>
      <c r="HC32" s="486">
        <v>0</v>
      </c>
      <c r="HD32" s="486">
        <v>0</v>
      </c>
      <c r="HE32" s="486">
        <v>0</v>
      </c>
      <c r="HF32" s="486">
        <v>0</v>
      </c>
      <c r="HG32" s="486">
        <v>0</v>
      </c>
      <c r="HH32" s="486">
        <v>0</v>
      </c>
      <c r="HI32" s="486">
        <v>0</v>
      </c>
      <c r="HJ32" s="486">
        <v>0</v>
      </c>
      <c r="HK32" s="486">
        <v>0</v>
      </c>
      <c r="HL32" s="486">
        <v>0</v>
      </c>
      <c r="HM32" s="486">
        <v>0</v>
      </c>
      <c r="HN32" s="486">
        <v>0</v>
      </c>
      <c r="HO32" s="486">
        <v>0</v>
      </c>
      <c r="HP32" s="486">
        <v>0</v>
      </c>
      <c r="HQ32" s="486">
        <v>0</v>
      </c>
      <c r="HR32" s="486">
        <v>0</v>
      </c>
      <c r="HS32" s="486">
        <v>0</v>
      </c>
      <c r="HT32" s="486">
        <v>0</v>
      </c>
      <c r="HU32" s="486">
        <v>0</v>
      </c>
      <c r="HV32" s="486">
        <v>0</v>
      </c>
      <c r="HW32" s="486">
        <v>0</v>
      </c>
      <c r="HX32" s="486">
        <v>0</v>
      </c>
      <c r="HY32" s="486">
        <v>0</v>
      </c>
      <c r="HZ32" s="486">
        <v>0</v>
      </c>
      <c r="IA32" s="486">
        <v>0</v>
      </c>
      <c r="IB32" s="486">
        <v>0</v>
      </c>
      <c r="IC32" s="486">
        <v>0</v>
      </c>
      <c r="ID32" s="486">
        <v>0</v>
      </c>
      <c r="IE32" s="486">
        <v>0</v>
      </c>
      <c r="IF32" s="486">
        <v>0</v>
      </c>
      <c r="IG32" s="486">
        <v>0</v>
      </c>
      <c r="IH32" s="486">
        <v>0</v>
      </c>
      <c r="II32" s="486">
        <v>0</v>
      </c>
      <c r="IJ32" s="486">
        <v>0</v>
      </c>
    </row>
    <row r="33" spans="1:244" ht="16.5" hidden="1">
      <c r="A33" s="484" t="s">
        <v>720</v>
      </c>
      <c r="B33" s="484" t="s">
        <v>617</v>
      </c>
      <c r="C33" s="484" t="s">
        <v>721</v>
      </c>
      <c r="D33" s="485"/>
      <c r="E33" s="484" t="s">
        <v>721</v>
      </c>
      <c r="F33" s="484" t="s">
        <v>26</v>
      </c>
      <c r="G33" s="485"/>
      <c r="H33" s="486">
        <v>39</v>
      </c>
      <c r="I33" s="471" t="str">
        <f t="shared" si="1"/>
        <v>AIJ100239</v>
      </c>
      <c r="J33" s="486">
        <v>66</v>
      </c>
      <c r="L33" s="484" t="s">
        <v>720</v>
      </c>
      <c r="M33" s="484" t="s">
        <v>617</v>
      </c>
      <c r="N33" s="484" t="s">
        <v>25</v>
      </c>
      <c r="O33" s="486">
        <v>45</v>
      </c>
      <c r="P33" s="471" t="str">
        <f t="shared" si="2"/>
        <v>AIJ100145</v>
      </c>
      <c r="Q33" s="486">
        <v>0</v>
      </c>
      <c r="R33" s="486">
        <v>19</v>
      </c>
      <c r="S33" s="486">
        <v>35</v>
      </c>
      <c r="T33" s="486">
        <v>50</v>
      </c>
      <c r="U33" s="486">
        <v>66</v>
      </c>
      <c r="V33" s="486">
        <v>75</v>
      </c>
      <c r="W33" s="486">
        <v>87</v>
      </c>
      <c r="X33" s="486">
        <v>96</v>
      </c>
      <c r="Y33" s="486">
        <v>96</v>
      </c>
      <c r="Z33" s="486">
        <v>0</v>
      </c>
      <c r="AA33" s="486">
        <v>0</v>
      </c>
      <c r="AB33" s="486">
        <v>0</v>
      </c>
      <c r="AC33" s="486">
        <v>0</v>
      </c>
      <c r="AD33" s="486">
        <v>0</v>
      </c>
      <c r="AE33" s="486">
        <v>0</v>
      </c>
      <c r="AF33" s="486">
        <v>0</v>
      </c>
      <c r="AG33" s="486">
        <v>0</v>
      </c>
      <c r="AH33" s="486">
        <v>0</v>
      </c>
      <c r="AI33" s="486">
        <v>0</v>
      </c>
      <c r="AJ33" s="486">
        <v>0</v>
      </c>
      <c r="AK33" s="486">
        <v>0</v>
      </c>
      <c r="AL33" s="486">
        <v>0</v>
      </c>
      <c r="AM33" s="486">
        <v>0</v>
      </c>
      <c r="AN33" s="486">
        <v>0</v>
      </c>
      <c r="AO33" s="486">
        <v>0</v>
      </c>
      <c r="AP33" s="486">
        <v>0</v>
      </c>
      <c r="AQ33" s="486">
        <v>0</v>
      </c>
      <c r="AR33" s="486">
        <v>0</v>
      </c>
      <c r="AS33" s="486">
        <v>0</v>
      </c>
      <c r="AT33" s="486">
        <v>0</v>
      </c>
      <c r="AU33" s="486">
        <v>0</v>
      </c>
      <c r="AV33" s="486">
        <v>0</v>
      </c>
      <c r="AW33" s="486">
        <v>0</v>
      </c>
      <c r="AX33" s="486">
        <v>0</v>
      </c>
      <c r="AY33" s="486">
        <v>0</v>
      </c>
      <c r="AZ33" s="486">
        <v>0</v>
      </c>
      <c r="BA33" s="486">
        <v>0</v>
      </c>
      <c r="BB33" s="486">
        <v>0</v>
      </c>
      <c r="BC33" s="486">
        <v>0</v>
      </c>
      <c r="BD33" s="486">
        <v>0</v>
      </c>
      <c r="BE33" s="486">
        <v>0</v>
      </c>
      <c r="BF33" s="486">
        <v>0</v>
      </c>
      <c r="BG33" s="486">
        <v>0</v>
      </c>
      <c r="BH33" s="486">
        <v>0</v>
      </c>
      <c r="BI33" s="486">
        <v>0</v>
      </c>
      <c r="BJ33" s="486">
        <v>0</v>
      </c>
      <c r="BK33" s="486">
        <v>0</v>
      </c>
      <c r="BL33" s="486">
        <v>0</v>
      </c>
      <c r="BM33" s="486">
        <v>0</v>
      </c>
      <c r="BN33" s="486">
        <v>0</v>
      </c>
      <c r="BO33" s="486">
        <v>0</v>
      </c>
      <c r="BP33" s="486">
        <v>0</v>
      </c>
      <c r="BQ33" s="486">
        <v>0</v>
      </c>
      <c r="BR33" s="486">
        <v>0</v>
      </c>
      <c r="BS33" s="486">
        <v>0</v>
      </c>
      <c r="BT33" s="486">
        <v>0</v>
      </c>
      <c r="BU33" s="486">
        <v>0</v>
      </c>
      <c r="BV33" s="486">
        <v>0</v>
      </c>
      <c r="BW33" s="486">
        <v>0</v>
      </c>
      <c r="BX33" s="486">
        <v>0</v>
      </c>
      <c r="BY33" s="486">
        <v>0</v>
      </c>
      <c r="BZ33" s="486">
        <v>0</v>
      </c>
      <c r="CA33" s="486">
        <v>0</v>
      </c>
      <c r="CB33" s="486">
        <v>0</v>
      </c>
      <c r="CC33" s="486">
        <v>0</v>
      </c>
      <c r="CD33" s="486">
        <v>0</v>
      </c>
      <c r="CE33" s="486">
        <v>0</v>
      </c>
      <c r="CF33" s="486">
        <v>0</v>
      </c>
      <c r="CG33" s="486">
        <v>0</v>
      </c>
      <c r="CH33" s="486">
        <v>0</v>
      </c>
      <c r="CI33" s="486">
        <v>0</v>
      </c>
      <c r="CJ33" s="486">
        <v>0</v>
      </c>
      <c r="CK33" s="486">
        <v>0</v>
      </c>
      <c r="CL33" s="486">
        <v>0</v>
      </c>
      <c r="CM33" s="486">
        <v>0</v>
      </c>
      <c r="CN33" s="486">
        <v>0</v>
      </c>
      <c r="CO33" s="486">
        <v>0</v>
      </c>
      <c r="CP33" s="486">
        <v>0</v>
      </c>
      <c r="CQ33" s="486">
        <v>0</v>
      </c>
      <c r="CR33" s="486">
        <v>0</v>
      </c>
      <c r="CS33" s="486">
        <v>0</v>
      </c>
      <c r="CT33" s="486">
        <v>0</v>
      </c>
      <c r="CU33" s="486">
        <v>0</v>
      </c>
      <c r="CV33" s="486">
        <v>0</v>
      </c>
      <c r="CW33" s="486">
        <v>0</v>
      </c>
      <c r="CX33" s="486">
        <v>0</v>
      </c>
      <c r="CY33" s="486">
        <v>0</v>
      </c>
      <c r="CZ33" s="486">
        <v>0</v>
      </c>
      <c r="DA33" s="486">
        <v>0</v>
      </c>
      <c r="DB33" s="486">
        <v>0</v>
      </c>
      <c r="DC33" s="486">
        <v>0</v>
      </c>
      <c r="DD33" s="486">
        <v>0</v>
      </c>
      <c r="DE33" s="486">
        <v>0</v>
      </c>
      <c r="DF33" s="486">
        <v>0</v>
      </c>
      <c r="DG33" s="486">
        <v>0</v>
      </c>
      <c r="DH33" s="486">
        <v>0</v>
      </c>
      <c r="DI33" s="486">
        <v>0</v>
      </c>
      <c r="DJ33" s="486">
        <v>0</v>
      </c>
      <c r="DK33" s="486">
        <v>0</v>
      </c>
      <c r="DL33" s="486">
        <v>0</v>
      </c>
      <c r="DM33" s="486">
        <v>0</v>
      </c>
      <c r="DN33" s="486">
        <v>0</v>
      </c>
      <c r="DO33" s="486">
        <v>0</v>
      </c>
      <c r="DP33" s="486">
        <v>0</v>
      </c>
      <c r="DQ33" s="486">
        <v>0</v>
      </c>
      <c r="DR33" s="486">
        <v>0</v>
      </c>
      <c r="DS33" s="486">
        <v>0</v>
      </c>
      <c r="DT33" s="486">
        <v>0</v>
      </c>
      <c r="DU33" s="486">
        <v>0</v>
      </c>
      <c r="DV33" s="486">
        <v>0</v>
      </c>
      <c r="DW33" s="486">
        <v>0</v>
      </c>
      <c r="DX33" s="477"/>
      <c r="DY33" s="484" t="s">
        <v>720</v>
      </c>
      <c r="DZ33" s="484" t="s">
        <v>617</v>
      </c>
      <c r="EA33" s="484" t="s">
        <v>25</v>
      </c>
      <c r="EB33" s="486">
        <v>45</v>
      </c>
      <c r="EC33" s="471" t="str">
        <f t="shared" si="0"/>
        <v>AIJ100145</v>
      </c>
      <c r="ED33" s="486">
        <v>10000</v>
      </c>
      <c r="EE33" s="486">
        <v>10000</v>
      </c>
      <c r="EF33" s="486">
        <v>10000</v>
      </c>
      <c r="EG33" s="486">
        <v>10000</v>
      </c>
      <c r="EH33" s="486">
        <v>10000</v>
      </c>
      <c r="EI33" s="486">
        <v>10000</v>
      </c>
      <c r="EJ33" s="486">
        <v>10000</v>
      </c>
      <c r="EK33" s="486">
        <v>10000</v>
      </c>
      <c r="EL33" s="486">
        <v>10000</v>
      </c>
      <c r="EM33" s="486">
        <v>10000</v>
      </c>
      <c r="EN33" s="486">
        <v>0</v>
      </c>
      <c r="EO33" s="486">
        <v>0</v>
      </c>
      <c r="EP33" s="486">
        <v>0</v>
      </c>
      <c r="EQ33" s="486">
        <v>0</v>
      </c>
      <c r="ER33" s="486">
        <v>0</v>
      </c>
      <c r="ES33" s="486">
        <v>0</v>
      </c>
      <c r="ET33" s="486">
        <v>0</v>
      </c>
      <c r="EU33" s="486">
        <v>0</v>
      </c>
      <c r="EV33" s="486">
        <v>0</v>
      </c>
      <c r="EW33" s="486">
        <v>0</v>
      </c>
      <c r="EX33" s="486">
        <v>0</v>
      </c>
      <c r="EY33" s="486">
        <v>0</v>
      </c>
      <c r="EZ33" s="486">
        <v>0</v>
      </c>
      <c r="FA33" s="486">
        <v>0</v>
      </c>
      <c r="FB33" s="486">
        <v>0</v>
      </c>
      <c r="FC33" s="486">
        <v>0</v>
      </c>
      <c r="FD33" s="486">
        <v>0</v>
      </c>
      <c r="FE33" s="486">
        <v>0</v>
      </c>
      <c r="FF33" s="486">
        <v>0</v>
      </c>
      <c r="FG33" s="486">
        <v>0</v>
      </c>
      <c r="FH33" s="486">
        <v>0</v>
      </c>
      <c r="FI33" s="486">
        <v>0</v>
      </c>
      <c r="FJ33" s="486">
        <v>0</v>
      </c>
      <c r="FK33" s="486">
        <v>0</v>
      </c>
      <c r="FL33" s="486">
        <v>0</v>
      </c>
      <c r="FM33" s="486">
        <v>0</v>
      </c>
      <c r="FN33" s="486">
        <v>0</v>
      </c>
      <c r="FO33" s="486">
        <v>0</v>
      </c>
      <c r="FP33" s="486">
        <v>0</v>
      </c>
      <c r="FQ33" s="486">
        <v>0</v>
      </c>
      <c r="FR33" s="486">
        <v>0</v>
      </c>
      <c r="FS33" s="486">
        <v>0</v>
      </c>
      <c r="FT33" s="486">
        <v>0</v>
      </c>
      <c r="FU33" s="486">
        <v>0</v>
      </c>
      <c r="FV33" s="486">
        <v>0</v>
      </c>
      <c r="FW33" s="486">
        <v>0</v>
      </c>
      <c r="FX33" s="486">
        <v>0</v>
      </c>
      <c r="FY33" s="486">
        <v>0</v>
      </c>
      <c r="FZ33" s="486">
        <v>0</v>
      </c>
      <c r="GA33" s="486">
        <v>0</v>
      </c>
      <c r="GB33" s="486">
        <v>0</v>
      </c>
      <c r="GC33" s="486">
        <v>0</v>
      </c>
      <c r="GD33" s="486">
        <v>0</v>
      </c>
      <c r="GE33" s="486">
        <v>0</v>
      </c>
      <c r="GF33" s="486">
        <v>0</v>
      </c>
      <c r="GG33" s="486">
        <v>0</v>
      </c>
      <c r="GH33" s="486">
        <v>0</v>
      </c>
      <c r="GI33" s="486">
        <v>0</v>
      </c>
      <c r="GJ33" s="486">
        <v>0</v>
      </c>
      <c r="GK33" s="486">
        <v>0</v>
      </c>
      <c r="GL33" s="486">
        <v>0</v>
      </c>
      <c r="GM33" s="486">
        <v>0</v>
      </c>
      <c r="GN33" s="486">
        <v>0</v>
      </c>
      <c r="GO33" s="486">
        <v>0</v>
      </c>
      <c r="GP33" s="486">
        <v>0</v>
      </c>
      <c r="GQ33" s="486">
        <v>0</v>
      </c>
      <c r="GR33" s="486">
        <v>0</v>
      </c>
      <c r="GS33" s="486">
        <v>0</v>
      </c>
      <c r="GT33" s="486">
        <v>0</v>
      </c>
      <c r="GU33" s="486">
        <v>0</v>
      </c>
      <c r="GV33" s="486">
        <v>0</v>
      </c>
      <c r="GW33" s="486">
        <v>0</v>
      </c>
      <c r="GX33" s="486">
        <v>0</v>
      </c>
      <c r="GY33" s="486">
        <v>0</v>
      </c>
      <c r="GZ33" s="486">
        <v>0</v>
      </c>
      <c r="HA33" s="486">
        <v>0</v>
      </c>
      <c r="HB33" s="486">
        <v>0</v>
      </c>
      <c r="HC33" s="486">
        <v>0</v>
      </c>
      <c r="HD33" s="486">
        <v>0</v>
      </c>
      <c r="HE33" s="486">
        <v>0</v>
      </c>
      <c r="HF33" s="486">
        <v>0</v>
      </c>
      <c r="HG33" s="486">
        <v>0</v>
      </c>
      <c r="HH33" s="486">
        <v>0</v>
      </c>
      <c r="HI33" s="486">
        <v>0</v>
      </c>
      <c r="HJ33" s="486">
        <v>0</v>
      </c>
      <c r="HK33" s="486">
        <v>0</v>
      </c>
      <c r="HL33" s="486">
        <v>0</v>
      </c>
      <c r="HM33" s="486">
        <v>0</v>
      </c>
      <c r="HN33" s="486">
        <v>0</v>
      </c>
      <c r="HO33" s="486">
        <v>0</v>
      </c>
      <c r="HP33" s="486">
        <v>0</v>
      </c>
      <c r="HQ33" s="486">
        <v>0</v>
      </c>
      <c r="HR33" s="486">
        <v>0</v>
      </c>
      <c r="HS33" s="486">
        <v>0</v>
      </c>
      <c r="HT33" s="486">
        <v>0</v>
      </c>
      <c r="HU33" s="486">
        <v>0</v>
      </c>
      <c r="HV33" s="486">
        <v>0</v>
      </c>
      <c r="HW33" s="486">
        <v>0</v>
      </c>
      <c r="HX33" s="486">
        <v>0</v>
      </c>
      <c r="HY33" s="486">
        <v>0</v>
      </c>
      <c r="HZ33" s="486">
        <v>0</v>
      </c>
      <c r="IA33" s="486">
        <v>0</v>
      </c>
      <c r="IB33" s="486">
        <v>0</v>
      </c>
      <c r="IC33" s="486">
        <v>0</v>
      </c>
      <c r="ID33" s="486">
        <v>0</v>
      </c>
      <c r="IE33" s="486">
        <v>0</v>
      </c>
      <c r="IF33" s="486">
        <v>0</v>
      </c>
      <c r="IG33" s="486">
        <v>0</v>
      </c>
      <c r="IH33" s="486">
        <v>0</v>
      </c>
      <c r="II33" s="486">
        <v>0</v>
      </c>
      <c r="IJ33" s="486">
        <v>0</v>
      </c>
    </row>
    <row r="34" spans="1:244" ht="16.5" hidden="1">
      <c r="A34" s="484" t="s">
        <v>720</v>
      </c>
      <c r="B34" s="484" t="s">
        <v>617</v>
      </c>
      <c r="C34" s="484" t="s">
        <v>721</v>
      </c>
      <c r="D34" s="485"/>
      <c r="E34" s="484" t="s">
        <v>721</v>
      </c>
      <c r="F34" s="484" t="s">
        <v>26</v>
      </c>
      <c r="G34" s="485"/>
      <c r="H34" s="486">
        <v>40</v>
      </c>
      <c r="I34" s="471" t="str">
        <f t="shared" si="1"/>
        <v>AIJ100240</v>
      </c>
      <c r="J34" s="486">
        <v>68</v>
      </c>
      <c r="L34" s="484" t="s">
        <v>720</v>
      </c>
      <c r="M34" s="484" t="s">
        <v>617</v>
      </c>
      <c r="N34" s="484" t="s">
        <v>25</v>
      </c>
      <c r="O34" s="486">
        <v>46</v>
      </c>
      <c r="P34" s="471" t="str">
        <f t="shared" si="2"/>
        <v>AIJ100146</v>
      </c>
      <c r="Q34" s="486">
        <v>0</v>
      </c>
      <c r="R34" s="486">
        <v>20</v>
      </c>
      <c r="S34" s="486">
        <v>37</v>
      </c>
      <c r="T34" s="486">
        <v>52</v>
      </c>
      <c r="U34" s="486">
        <v>68</v>
      </c>
      <c r="V34" s="486">
        <v>78</v>
      </c>
      <c r="W34" s="486">
        <v>91</v>
      </c>
      <c r="X34" s="486">
        <v>101</v>
      </c>
      <c r="Y34" s="486">
        <v>102</v>
      </c>
      <c r="Z34" s="486">
        <v>0</v>
      </c>
      <c r="AA34" s="486">
        <v>0</v>
      </c>
      <c r="AB34" s="486">
        <v>0</v>
      </c>
      <c r="AC34" s="486">
        <v>0</v>
      </c>
      <c r="AD34" s="486">
        <v>0</v>
      </c>
      <c r="AE34" s="486">
        <v>0</v>
      </c>
      <c r="AF34" s="486">
        <v>0</v>
      </c>
      <c r="AG34" s="486">
        <v>0</v>
      </c>
      <c r="AH34" s="486">
        <v>0</v>
      </c>
      <c r="AI34" s="486">
        <v>0</v>
      </c>
      <c r="AJ34" s="486">
        <v>0</v>
      </c>
      <c r="AK34" s="486">
        <v>0</v>
      </c>
      <c r="AL34" s="486">
        <v>0</v>
      </c>
      <c r="AM34" s="486">
        <v>0</v>
      </c>
      <c r="AN34" s="486">
        <v>0</v>
      </c>
      <c r="AO34" s="486">
        <v>0</v>
      </c>
      <c r="AP34" s="486">
        <v>0</v>
      </c>
      <c r="AQ34" s="486">
        <v>0</v>
      </c>
      <c r="AR34" s="486">
        <v>0</v>
      </c>
      <c r="AS34" s="486">
        <v>0</v>
      </c>
      <c r="AT34" s="486">
        <v>0</v>
      </c>
      <c r="AU34" s="486">
        <v>0</v>
      </c>
      <c r="AV34" s="486">
        <v>0</v>
      </c>
      <c r="AW34" s="486">
        <v>0</v>
      </c>
      <c r="AX34" s="486">
        <v>0</v>
      </c>
      <c r="AY34" s="486">
        <v>0</v>
      </c>
      <c r="AZ34" s="486">
        <v>0</v>
      </c>
      <c r="BA34" s="486">
        <v>0</v>
      </c>
      <c r="BB34" s="486">
        <v>0</v>
      </c>
      <c r="BC34" s="486">
        <v>0</v>
      </c>
      <c r="BD34" s="486">
        <v>0</v>
      </c>
      <c r="BE34" s="486">
        <v>0</v>
      </c>
      <c r="BF34" s="486">
        <v>0</v>
      </c>
      <c r="BG34" s="486">
        <v>0</v>
      </c>
      <c r="BH34" s="486">
        <v>0</v>
      </c>
      <c r="BI34" s="486">
        <v>0</v>
      </c>
      <c r="BJ34" s="486">
        <v>0</v>
      </c>
      <c r="BK34" s="486">
        <v>0</v>
      </c>
      <c r="BL34" s="486">
        <v>0</v>
      </c>
      <c r="BM34" s="486">
        <v>0</v>
      </c>
      <c r="BN34" s="486">
        <v>0</v>
      </c>
      <c r="BO34" s="486">
        <v>0</v>
      </c>
      <c r="BP34" s="486">
        <v>0</v>
      </c>
      <c r="BQ34" s="486">
        <v>0</v>
      </c>
      <c r="BR34" s="486">
        <v>0</v>
      </c>
      <c r="BS34" s="486">
        <v>0</v>
      </c>
      <c r="BT34" s="486">
        <v>0</v>
      </c>
      <c r="BU34" s="486">
        <v>0</v>
      </c>
      <c r="BV34" s="486">
        <v>0</v>
      </c>
      <c r="BW34" s="486">
        <v>0</v>
      </c>
      <c r="BX34" s="486">
        <v>0</v>
      </c>
      <c r="BY34" s="486">
        <v>0</v>
      </c>
      <c r="BZ34" s="486">
        <v>0</v>
      </c>
      <c r="CA34" s="486">
        <v>0</v>
      </c>
      <c r="CB34" s="486">
        <v>0</v>
      </c>
      <c r="CC34" s="486">
        <v>0</v>
      </c>
      <c r="CD34" s="486">
        <v>0</v>
      </c>
      <c r="CE34" s="486">
        <v>0</v>
      </c>
      <c r="CF34" s="486">
        <v>0</v>
      </c>
      <c r="CG34" s="486">
        <v>0</v>
      </c>
      <c r="CH34" s="486">
        <v>0</v>
      </c>
      <c r="CI34" s="486">
        <v>0</v>
      </c>
      <c r="CJ34" s="486">
        <v>0</v>
      </c>
      <c r="CK34" s="486">
        <v>0</v>
      </c>
      <c r="CL34" s="486">
        <v>0</v>
      </c>
      <c r="CM34" s="486">
        <v>0</v>
      </c>
      <c r="CN34" s="486">
        <v>0</v>
      </c>
      <c r="CO34" s="486">
        <v>0</v>
      </c>
      <c r="CP34" s="486">
        <v>0</v>
      </c>
      <c r="CQ34" s="486">
        <v>0</v>
      </c>
      <c r="CR34" s="486">
        <v>0</v>
      </c>
      <c r="CS34" s="486">
        <v>0</v>
      </c>
      <c r="CT34" s="486">
        <v>0</v>
      </c>
      <c r="CU34" s="486">
        <v>0</v>
      </c>
      <c r="CV34" s="486">
        <v>0</v>
      </c>
      <c r="CW34" s="486">
        <v>0</v>
      </c>
      <c r="CX34" s="486">
        <v>0</v>
      </c>
      <c r="CY34" s="486">
        <v>0</v>
      </c>
      <c r="CZ34" s="486">
        <v>0</v>
      </c>
      <c r="DA34" s="486">
        <v>0</v>
      </c>
      <c r="DB34" s="486">
        <v>0</v>
      </c>
      <c r="DC34" s="486">
        <v>0</v>
      </c>
      <c r="DD34" s="486">
        <v>0</v>
      </c>
      <c r="DE34" s="486">
        <v>0</v>
      </c>
      <c r="DF34" s="486">
        <v>0</v>
      </c>
      <c r="DG34" s="486">
        <v>0</v>
      </c>
      <c r="DH34" s="486">
        <v>0</v>
      </c>
      <c r="DI34" s="486">
        <v>0</v>
      </c>
      <c r="DJ34" s="486">
        <v>0</v>
      </c>
      <c r="DK34" s="486">
        <v>0</v>
      </c>
      <c r="DL34" s="486">
        <v>0</v>
      </c>
      <c r="DM34" s="486">
        <v>0</v>
      </c>
      <c r="DN34" s="486">
        <v>0</v>
      </c>
      <c r="DO34" s="486">
        <v>0</v>
      </c>
      <c r="DP34" s="486">
        <v>0</v>
      </c>
      <c r="DQ34" s="486">
        <v>0</v>
      </c>
      <c r="DR34" s="486">
        <v>0</v>
      </c>
      <c r="DS34" s="486">
        <v>0</v>
      </c>
      <c r="DT34" s="486">
        <v>0</v>
      </c>
      <c r="DU34" s="486">
        <v>0</v>
      </c>
      <c r="DV34" s="486">
        <v>0</v>
      </c>
      <c r="DW34" s="486">
        <v>0</v>
      </c>
      <c r="DX34" s="477"/>
      <c r="DY34" s="484" t="s">
        <v>720</v>
      </c>
      <c r="DZ34" s="484" t="s">
        <v>617</v>
      </c>
      <c r="EA34" s="484" t="s">
        <v>25</v>
      </c>
      <c r="EB34" s="486">
        <v>46</v>
      </c>
      <c r="EC34" s="471" t="str">
        <f t="shared" si="0"/>
        <v>AIJ100146</v>
      </c>
      <c r="ED34" s="486">
        <v>10000</v>
      </c>
      <c r="EE34" s="486">
        <v>10000</v>
      </c>
      <c r="EF34" s="486">
        <v>10000</v>
      </c>
      <c r="EG34" s="486">
        <v>10000</v>
      </c>
      <c r="EH34" s="486">
        <v>10000</v>
      </c>
      <c r="EI34" s="486">
        <v>10000</v>
      </c>
      <c r="EJ34" s="486">
        <v>10000</v>
      </c>
      <c r="EK34" s="486">
        <v>10000</v>
      </c>
      <c r="EL34" s="486">
        <v>10000</v>
      </c>
      <c r="EM34" s="486">
        <v>10000</v>
      </c>
      <c r="EN34" s="486">
        <v>0</v>
      </c>
      <c r="EO34" s="486">
        <v>0</v>
      </c>
      <c r="EP34" s="486">
        <v>0</v>
      </c>
      <c r="EQ34" s="486">
        <v>0</v>
      </c>
      <c r="ER34" s="486">
        <v>0</v>
      </c>
      <c r="ES34" s="486">
        <v>0</v>
      </c>
      <c r="ET34" s="486">
        <v>0</v>
      </c>
      <c r="EU34" s="486">
        <v>0</v>
      </c>
      <c r="EV34" s="486">
        <v>0</v>
      </c>
      <c r="EW34" s="486">
        <v>0</v>
      </c>
      <c r="EX34" s="486">
        <v>0</v>
      </c>
      <c r="EY34" s="486">
        <v>0</v>
      </c>
      <c r="EZ34" s="486">
        <v>0</v>
      </c>
      <c r="FA34" s="486">
        <v>0</v>
      </c>
      <c r="FB34" s="486">
        <v>0</v>
      </c>
      <c r="FC34" s="486">
        <v>0</v>
      </c>
      <c r="FD34" s="486">
        <v>0</v>
      </c>
      <c r="FE34" s="486">
        <v>0</v>
      </c>
      <c r="FF34" s="486">
        <v>0</v>
      </c>
      <c r="FG34" s="486">
        <v>0</v>
      </c>
      <c r="FH34" s="486">
        <v>0</v>
      </c>
      <c r="FI34" s="486">
        <v>0</v>
      </c>
      <c r="FJ34" s="486">
        <v>0</v>
      </c>
      <c r="FK34" s="486">
        <v>0</v>
      </c>
      <c r="FL34" s="486">
        <v>0</v>
      </c>
      <c r="FM34" s="486">
        <v>0</v>
      </c>
      <c r="FN34" s="486">
        <v>0</v>
      </c>
      <c r="FO34" s="486">
        <v>0</v>
      </c>
      <c r="FP34" s="486">
        <v>0</v>
      </c>
      <c r="FQ34" s="486">
        <v>0</v>
      </c>
      <c r="FR34" s="486">
        <v>0</v>
      </c>
      <c r="FS34" s="486">
        <v>0</v>
      </c>
      <c r="FT34" s="486">
        <v>0</v>
      </c>
      <c r="FU34" s="486">
        <v>0</v>
      </c>
      <c r="FV34" s="486">
        <v>0</v>
      </c>
      <c r="FW34" s="486">
        <v>0</v>
      </c>
      <c r="FX34" s="486">
        <v>0</v>
      </c>
      <c r="FY34" s="486">
        <v>0</v>
      </c>
      <c r="FZ34" s="486">
        <v>0</v>
      </c>
      <c r="GA34" s="486">
        <v>0</v>
      </c>
      <c r="GB34" s="486">
        <v>0</v>
      </c>
      <c r="GC34" s="486">
        <v>0</v>
      </c>
      <c r="GD34" s="486">
        <v>0</v>
      </c>
      <c r="GE34" s="486">
        <v>0</v>
      </c>
      <c r="GF34" s="486">
        <v>0</v>
      </c>
      <c r="GG34" s="486">
        <v>0</v>
      </c>
      <c r="GH34" s="486">
        <v>0</v>
      </c>
      <c r="GI34" s="486">
        <v>0</v>
      </c>
      <c r="GJ34" s="486">
        <v>0</v>
      </c>
      <c r="GK34" s="486">
        <v>0</v>
      </c>
      <c r="GL34" s="486">
        <v>0</v>
      </c>
      <c r="GM34" s="486">
        <v>0</v>
      </c>
      <c r="GN34" s="486">
        <v>0</v>
      </c>
      <c r="GO34" s="486">
        <v>0</v>
      </c>
      <c r="GP34" s="486">
        <v>0</v>
      </c>
      <c r="GQ34" s="486">
        <v>0</v>
      </c>
      <c r="GR34" s="486">
        <v>0</v>
      </c>
      <c r="GS34" s="486">
        <v>0</v>
      </c>
      <c r="GT34" s="486">
        <v>0</v>
      </c>
      <c r="GU34" s="486">
        <v>0</v>
      </c>
      <c r="GV34" s="486">
        <v>0</v>
      </c>
      <c r="GW34" s="486">
        <v>0</v>
      </c>
      <c r="GX34" s="486">
        <v>0</v>
      </c>
      <c r="GY34" s="486">
        <v>0</v>
      </c>
      <c r="GZ34" s="486">
        <v>0</v>
      </c>
      <c r="HA34" s="486">
        <v>0</v>
      </c>
      <c r="HB34" s="486">
        <v>0</v>
      </c>
      <c r="HC34" s="486">
        <v>0</v>
      </c>
      <c r="HD34" s="486">
        <v>0</v>
      </c>
      <c r="HE34" s="486">
        <v>0</v>
      </c>
      <c r="HF34" s="486">
        <v>0</v>
      </c>
      <c r="HG34" s="486">
        <v>0</v>
      </c>
      <c r="HH34" s="486">
        <v>0</v>
      </c>
      <c r="HI34" s="486">
        <v>0</v>
      </c>
      <c r="HJ34" s="486">
        <v>0</v>
      </c>
      <c r="HK34" s="486">
        <v>0</v>
      </c>
      <c r="HL34" s="486">
        <v>0</v>
      </c>
      <c r="HM34" s="486">
        <v>0</v>
      </c>
      <c r="HN34" s="486">
        <v>0</v>
      </c>
      <c r="HO34" s="486">
        <v>0</v>
      </c>
      <c r="HP34" s="486">
        <v>0</v>
      </c>
      <c r="HQ34" s="486">
        <v>0</v>
      </c>
      <c r="HR34" s="486">
        <v>0</v>
      </c>
      <c r="HS34" s="486">
        <v>0</v>
      </c>
      <c r="HT34" s="486">
        <v>0</v>
      </c>
      <c r="HU34" s="486">
        <v>0</v>
      </c>
      <c r="HV34" s="486">
        <v>0</v>
      </c>
      <c r="HW34" s="486">
        <v>0</v>
      </c>
      <c r="HX34" s="486">
        <v>0</v>
      </c>
      <c r="HY34" s="486">
        <v>0</v>
      </c>
      <c r="HZ34" s="486">
        <v>0</v>
      </c>
      <c r="IA34" s="486">
        <v>0</v>
      </c>
      <c r="IB34" s="486">
        <v>0</v>
      </c>
      <c r="IC34" s="486">
        <v>0</v>
      </c>
      <c r="ID34" s="486">
        <v>0</v>
      </c>
      <c r="IE34" s="486">
        <v>0</v>
      </c>
      <c r="IF34" s="486">
        <v>0</v>
      </c>
      <c r="IG34" s="486">
        <v>0</v>
      </c>
      <c r="IH34" s="486">
        <v>0</v>
      </c>
      <c r="II34" s="486">
        <v>0</v>
      </c>
      <c r="IJ34" s="486">
        <v>0</v>
      </c>
    </row>
    <row r="35" spans="1:244" ht="16.5" hidden="1">
      <c r="A35" s="484" t="s">
        <v>720</v>
      </c>
      <c r="B35" s="484" t="s">
        <v>617</v>
      </c>
      <c r="C35" s="484" t="s">
        <v>721</v>
      </c>
      <c r="D35" s="485"/>
      <c r="E35" s="484" t="s">
        <v>721</v>
      </c>
      <c r="F35" s="484" t="s">
        <v>26</v>
      </c>
      <c r="G35" s="485"/>
      <c r="H35" s="486">
        <v>41</v>
      </c>
      <c r="I35" s="471" t="str">
        <f t="shared" si="1"/>
        <v>AIJ100241</v>
      </c>
      <c r="J35" s="486">
        <v>70</v>
      </c>
      <c r="L35" s="484" t="s">
        <v>720</v>
      </c>
      <c r="M35" s="484" t="s">
        <v>617</v>
      </c>
      <c r="N35" s="484" t="s">
        <v>25</v>
      </c>
      <c r="O35" s="486">
        <v>47</v>
      </c>
      <c r="P35" s="471" t="str">
        <f t="shared" si="2"/>
        <v>AIJ100147</v>
      </c>
      <c r="Q35" s="486">
        <v>0</v>
      </c>
      <c r="R35" s="486">
        <v>20</v>
      </c>
      <c r="S35" s="486">
        <v>38</v>
      </c>
      <c r="T35" s="486">
        <v>54</v>
      </c>
      <c r="U35" s="486">
        <v>71</v>
      </c>
      <c r="V35" s="486">
        <v>82</v>
      </c>
      <c r="W35" s="486">
        <v>95</v>
      </c>
      <c r="X35" s="486">
        <v>105</v>
      </c>
      <c r="Y35" s="486">
        <v>107</v>
      </c>
      <c r="Z35" s="486">
        <v>0</v>
      </c>
      <c r="AA35" s="486">
        <v>0</v>
      </c>
      <c r="AB35" s="486">
        <v>0</v>
      </c>
      <c r="AC35" s="486">
        <v>0</v>
      </c>
      <c r="AD35" s="486">
        <v>0</v>
      </c>
      <c r="AE35" s="486">
        <v>0</v>
      </c>
      <c r="AF35" s="486">
        <v>0</v>
      </c>
      <c r="AG35" s="486">
        <v>0</v>
      </c>
      <c r="AH35" s="486">
        <v>0</v>
      </c>
      <c r="AI35" s="486">
        <v>0</v>
      </c>
      <c r="AJ35" s="486">
        <v>0</v>
      </c>
      <c r="AK35" s="486">
        <v>0</v>
      </c>
      <c r="AL35" s="486">
        <v>0</v>
      </c>
      <c r="AM35" s="486">
        <v>0</v>
      </c>
      <c r="AN35" s="486">
        <v>0</v>
      </c>
      <c r="AO35" s="486">
        <v>0</v>
      </c>
      <c r="AP35" s="486">
        <v>0</v>
      </c>
      <c r="AQ35" s="486">
        <v>0</v>
      </c>
      <c r="AR35" s="486">
        <v>0</v>
      </c>
      <c r="AS35" s="486">
        <v>0</v>
      </c>
      <c r="AT35" s="486">
        <v>0</v>
      </c>
      <c r="AU35" s="486">
        <v>0</v>
      </c>
      <c r="AV35" s="486">
        <v>0</v>
      </c>
      <c r="AW35" s="486">
        <v>0</v>
      </c>
      <c r="AX35" s="486">
        <v>0</v>
      </c>
      <c r="AY35" s="486">
        <v>0</v>
      </c>
      <c r="AZ35" s="486">
        <v>0</v>
      </c>
      <c r="BA35" s="486">
        <v>0</v>
      </c>
      <c r="BB35" s="486">
        <v>0</v>
      </c>
      <c r="BC35" s="486">
        <v>0</v>
      </c>
      <c r="BD35" s="486">
        <v>0</v>
      </c>
      <c r="BE35" s="486">
        <v>0</v>
      </c>
      <c r="BF35" s="486">
        <v>0</v>
      </c>
      <c r="BG35" s="486">
        <v>0</v>
      </c>
      <c r="BH35" s="486">
        <v>0</v>
      </c>
      <c r="BI35" s="486">
        <v>0</v>
      </c>
      <c r="BJ35" s="486">
        <v>0</v>
      </c>
      <c r="BK35" s="486">
        <v>0</v>
      </c>
      <c r="BL35" s="486">
        <v>0</v>
      </c>
      <c r="BM35" s="486">
        <v>0</v>
      </c>
      <c r="BN35" s="486">
        <v>0</v>
      </c>
      <c r="BO35" s="486">
        <v>0</v>
      </c>
      <c r="BP35" s="486">
        <v>0</v>
      </c>
      <c r="BQ35" s="486">
        <v>0</v>
      </c>
      <c r="BR35" s="486">
        <v>0</v>
      </c>
      <c r="BS35" s="486">
        <v>0</v>
      </c>
      <c r="BT35" s="486">
        <v>0</v>
      </c>
      <c r="BU35" s="486">
        <v>0</v>
      </c>
      <c r="BV35" s="486">
        <v>0</v>
      </c>
      <c r="BW35" s="486">
        <v>0</v>
      </c>
      <c r="BX35" s="486">
        <v>0</v>
      </c>
      <c r="BY35" s="486">
        <v>0</v>
      </c>
      <c r="BZ35" s="486">
        <v>0</v>
      </c>
      <c r="CA35" s="486">
        <v>0</v>
      </c>
      <c r="CB35" s="486">
        <v>0</v>
      </c>
      <c r="CC35" s="486">
        <v>0</v>
      </c>
      <c r="CD35" s="486">
        <v>0</v>
      </c>
      <c r="CE35" s="486">
        <v>0</v>
      </c>
      <c r="CF35" s="486">
        <v>0</v>
      </c>
      <c r="CG35" s="486">
        <v>0</v>
      </c>
      <c r="CH35" s="486">
        <v>0</v>
      </c>
      <c r="CI35" s="486">
        <v>0</v>
      </c>
      <c r="CJ35" s="486">
        <v>0</v>
      </c>
      <c r="CK35" s="486">
        <v>0</v>
      </c>
      <c r="CL35" s="486">
        <v>0</v>
      </c>
      <c r="CM35" s="486">
        <v>0</v>
      </c>
      <c r="CN35" s="486">
        <v>0</v>
      </c>
      <c r="CO35" s="486">
        <v>0</v>
      </c>
      <c r="CP35" s="486">
        <v>0</v>
      </c>
      <c r="CQ35" s="486">
        <v>0</v>
      </c>
      <c r="CR35" s="486">
        <v>0</v>
      </c>
      <c r="CS35" s="486">
        <v>0</v>
      </c>
      <c r="CT35" s="486">
        <v>0</v>
      </c>
      <c r="CU35" s="486">
        <v>0</v>
      </c>
      <c r="CV35" s="486">
        <v>0</v>
      </c>
      <c r="CW35" s="486">
        <v>0</v>
      </c>
      <c r="CX35" s="486">
        <v>0</v>
      </c>
      <c r="CY35" s="486">
        <v>0</v>
      </c>
      <c r="CZ35" s="486">
        <v>0</v>
      </c>
      <c r="DA35" s="486">
        <v>0</v>
      </c>
      <c r="DB35" s="486">
        <v>0</v>
      </c>
      <c r="DC35" s="486">
        <v>0</v>
      </c>
      <c r="DD35" s="486">
        <v>0</v>
      </c>
      <c r="DE35" s="486">
        <v>0</v>
      </c>
      <c r="DF35" s="486">
        <v>0</v>
      </c>
      <c r="DG35" s="486">
        <v>0</v>
      </c>
      <c r="DH35" s="486">
        <v>0</v>
      </c>
      <c r="DI35" s="486">
        <v>0</v>
      </c>
      <c r="DJ35" s="486">
        <v>0</v>
      </c>
      <c r="DK35" s="486">
        <v>0</v>
      </c>
      <c r="DL35" s="486">
        <v>0</v>
      </c>
      <c r="DM35" s="486">
        <v>0</v>
      </c>
      <c r="DN35" s="486">
        <v>0</v>
      </c>
      <c r="DO35" s="486">
        <v>0</v>
      </c>
      <c r="DP35" s="486">
        <v>0</v>
      </c>
      <c r="DQ35" s="486">
        <v>0</v>
      </c>
      <c r="DR35" s="486">
        <v>0</v>
      </c>
      <c r="DS35" s="486">
        <v>0</v>
      </c>
      <c r="DT35" s="486">
        <v>0</v>
      </c>
      <c r="DU35" s="486">
        <v>0</v>
      </c>
      <c r="DV35" s="486">
        <v>0</v>
      </c>
      <c r="DW35" s="486">
        <v>0</v>
      </c>
      <c r="DX35" s="477"/>
      <c r="DY35" s="484" t="s">
        <v>720</v>
      </c>
      <c r="DZ35" s="484" t="s">
        <v>617</v>
      </c>
      <c r="EA35" s="484" t="s">
        <v>25</v>
      </c>
      <c r="EB35" s="486">
        <v>47</v>
      </c>
      <c r="EC35" s="471" t="str">
        <f t="shared" si="0"/>
        <v>AIJ100147</v>
      </c>
      <c r="ED35" s="486">
        <v>10000</v>
      </c>
      <c r="EE35" s="486">
        <v>10000</v>
      </c>
      <c r="EF35" s="486">
        <v>10000</v>
      </c>
      <c r="EG35" s="486">
        <v>10000</v>
      </c>
      <c r="EH35" s="486">
        <v>10000</v>
      </c>
      <c r="EI35" s="486">
        <v>10000</v>
      </c>
      <c r="EJ35" s="486">
        <v>10000</v>
      </c>
      <c r="EK35" s="486">
        <v>10000</v>
      </c>
      <c r="EL35" s="486">
        <v>10000</v>
      </c>
      <c r="EM35" s="486">
        <v>10000</v>
      </c>
      <c r="EN35" s="486">
        <v>0</v>
      </c>
      <c r="EO35" s="486">
        <v>0</v>
      </c>
      <c r="EP35" s="486">
        <v>0</v>
      </c>
      <c r="EQ35" s="486">
        <v>0</v>
      </c>
      <c r="ER35" s="486">
        <v>0</v>
      </c>
      <c r="ES35" s="486">
        <v>0</v>
      </c>
      <c r="ET35" s="486">
        <v>0</v>
      </c>
      <c r="EU35" s="486">
        <v>0</v>
      </c>
      <c r="EV35" s="486">
        <v>0</v>
      </c>
      <c r="EW35" s="486">
        <v>0</v>
      </c>
      <c r="EX35" s="486">
        <v>0</v>
      </c>
      <c r="EY35" s="486">
        <v>0</v>
      </c>
      <c r="EZ35" s="486">
        <v>0</v>
      </c>
      <c r="FA35" s="486">
        <v>0</v>
      </c>
      <c r="FB35" s="486">
        <v>0</v>
      </c>
      <c r="FC35" s="486">
        <v>0</v>
      </c>
      <c r="FD35" s="486">
        <v>0</v>
      </c>
      <c r="FE35" s="486">
        <v>0</v>
      </c>
      <c r="FF35" s="486">
        <v>0</v>
      </c>
      <c r="FG35" s="486">
        <v>0</v>
      </c>
      <c r="FH35" s="486">
        <v>0</v>
      </c>
      <c r="FI35" s="486">
        <v>0</v>
      </c>
      <c r="FJ35" s="486">
        <v>0</v>
      </c>
      <c r="FK35" s="486">
        <v>0</v>
      </c>
      <c r="FL35" s="486">
        <v>0</v>
      </c>
      <c r="FM35" s="486">
        <v>0</v>
      </c>
      <c r="FN35" s="486">
        <v>0</v>
      </c>
      <c r="FO35" s="486">
        <v>0</v>
      </c>
      <c r="FP35" s="486">
        <v>0</v>
      </c>
      <c r="FQ35" s="486">
        <v>0</v>
      </c>
      <c r="FR35" s="486">
        <v>0</v>
      </c>
      <c r="FS35" s="486">
        <v>0</v>
      </c>
      <c r="FT35" s="486">
        <v>0</v>
      </c>
      <c r="FU35" s="486">
        <v>0</v>
      </c>
      <c r="FV35" s="486">
        <v>0</v>
      </c>
      <c r="FW35" s="486">
        <v>0</v>
      </c>
      <c r="FX35" s="486">
        <v>0</v>
      </c>
      <c r="FY35" s="486">
        <v>0</v>
      </c>
      <c r="FZ35" s="486">
        <v>0</v>
      </c>
      <c r="GA35" s="486">
        <v>0</v>
      </c>
      <c r="GB35" s="486">
        <v>0</v>
      </c>
      <c r="GC35" s="486">
        <v>0</v>
      </c>
      <c r="GD35" s="486">
        <v>0</v>
      </c>
      <c r="GE35" s="486">
        <v>0</v>
      </c>
      <c r="GF35" s="486">
        <v>0</v>
      </c>
      <c r="GG35" s="486">
        <v>0</v>
      </c>
      <c r="GH35" s="486">
        <v>0</v>
      </c>
      <c r="GI35" s="486">
        <v>0</v>
      </c>
      <c r="GJ35" s="486">
        <v>0</v>
      </c>
      <c r="GK35" s="486">
        <v>0</v>
      </c>
      <c r="GL35" s="486">
        <v>0</v>
      </c>
      <c r="GM35" s="486">
        <v>0</v>
      </c>
      <c r="GN35" s="486">
        <v>0</v>
      </c>
      <c r="GO35" s="486">
        <v>0</v>
      </c>
      <c r="GP35" s="486">
        <v>0</v>
      </c>
      <c r="GQ35" s="486">
        <v>0</v>
      </c>
      <c r="GR35" s="486">
        <v>0</v>
      </c>
      <c r="GS35" s="486">
        <v>0</v>
      </c>
      <c r="GT35" s="486">
        <v>0</v>
      </c>
      <c r="GU35" s="486">
        <v>0</v>
      </c>
      <c r="GV35" s="486">
        <v>0</v>
      </c>
      <c r="GW35" s="486">
        <v>0</v>
      </c>
      <c r="GX35" s="486">
        <v>0</v>
      </c>
      <c r="GY35" s="486">
        <v>0</v>
      </c>
      <c r="GZ35" s="486">
        <v>0</v>
      </c>
      <c r="HA35" s="486">
        <v>0</v>
      </c>
      <c r="HB35" s="486">
        <v>0</v>
      </c>
      <c r="HC35" s="486">
        <v>0</v>
      </c>
      <c r="HD35" s="486">
        <v>0</v>
      </c>
      <c r="HE35" s="486">
        <v>0</v>
      </c>
      <c r="HF35" s="486">
        <v>0</v>
      </c>
      <c r="HG35" s="486">
        <v>0</v>
      </c>
      <c r="HH35" s="486">
        <v>0</v>
      </c>
      <c r="HI35" s="486">
        <v>0</v>
      </c>
      <c r="HJ35" s="486">
        <v>0</v>
      </c>
      <c r="HK35" s="486">
        <v>0</v>
      </c>
      <c r="HL35" s="486">
        <v>0</v>
      </c>
      <c r="HM35" s="486">
        <v>0</v>
      </c>
      <c r="HN35" s="486">
        <v>0</v>
      </c>
      <c r="HO35" s="486">
        <v>0</v>
      </c>
      <c r="HP35" s="486">
        <v>0</v>
      </c>
      <c r="HQ35" s="486">
        <v>0</v>
      </c>
      <c r="HR35" s="486">
        <v>0</v>
      </c>
      <c r="HS35" s="486">
        <v>0</v>
      </c>
      <c r="HT35" s="486">
        <v>0</v>
      </c>
      <c r="HU35" s="486">
        <v>0</v>
      </c>
      <c r="HV35" s="486">
        <v>0</v>
      </c>
      <c r="HW35" s="486">
        <v>0</v>
      </c>
      <c r="HX35" s="486">
        <v>0</v>
      </c>
      <c r="HY35" s="486">
        <v>0</v>
      </c>
      <c r="HZ35" s="486">
        <v>0</v>
      </c>
      <c r="IA35" s="486">
        <v>0</v>
      </c>
      <c r="IB35" s="486">
        <v>0</v>
      </c>
      <c r="IC35" s="486">
        <v>0</v>
      </c>
      <c r="ID35" s="486">
        <v>0</v>
      </c>
      <c r="IE35" s="486">
        <v>0</v>
      </c>
      <c r="IF35" s="486">
        <v>0</v>
      </c>
      <c r="IG35" s="486">
        <v>0</v>
      </c>
      <c r="IH35" s="486">
        <v>0</v>
      </c>
      <c r="II35" s="486">
        <v>0</v>
      </c>
      <c r="IJ35" s="486">
        <v>0</v>
      </c>
    </row>
    <row r="36" spans="1:244" ht="16.5" hidden="1">
      <c r="A36" s="484" t="s">
        <v>720</v>
      </c>
      <c r="B36" s="484" t="s">
        <v>617</v>
      </c>
      <c r="C36" s="484" t="s">
        <v>721</v>
      </c>
      <c r="D36" s="485"/>
      <c r="E36" s="484" t="s">
        <v>721</v>
      </c>
      <c r="F36" s="484" t="s">
        <v>26</v>
      </c>
      <c r="G36" s="485"/>
      <c r="H36" s="486">
        <v>42</v>
      </c>
      <c r="I36" s="471" t="str">
        <f t="shared" si="1"/>
        <v>AIJ100242</v>
      </c>
      <c r="J36" s="486">
        <v>73</v>
      </c>
      <c r="L36" s="484" t="s">
        <v>720</v>
      </c>
      <c r="M36" s="484" t="s">
        <v>617</v>
      </c>
      <c r="N36" s="484" t="s">
        <v>25</v>
      </c>
      <c r="O36" s="486">
        <v>48</v>
      </c>
      <c r="P36" s="471" t="str">
        <f t="shared" si="2"/>
        <v>AIJ100148</v>
      </c>
      <c r="Q36" s="486">
        <v>0</v>
      </c>
      <c r="R36" s="486">
        <v>22</v>
      </c>
      <c r="S36" s="486">
        <v>41</v>
      </c>
      <c r="T36" s="486">
        <v>57</v>
      </c>
      <c r="U36" s="486">
        <v>75</v>
      </c>
      <c r="V36" s="486">
        <v>86</v>
      </c>
      <c r="W36" s="486">
        <v>101</v>
      </c>
      <c r="X36" s="486">
        <v>113</v>
      </c>
      <c r="Y36" s="486">
        <v>114</v>
      </c>
      <c r="Z36" s="486">
        <v>0</v>
      </c>
      <c r="AA36" s="486">
        <v>0</v>
      </c>
      <c r="AB36" s="486">
        <v>0</v>
      </c>
      <c r="AC36" s="486">
        <v>0</v>
      </c>
      <c r="AD36" s="486">
        <v>0</v>
      </c>
      <c r="AE36" s="486">
        <v>0</v>
      </c>
      <c r="AF36" s="486">
        <v>0</v>
      </c>
      <c r="AG36" s="486">
        <v>0</v>
      </c>
      <c r="AH36" s="486">
        <v>0</v>
      </c>
      <c r="AI36" s="486">
        <v>0</v>
      </c>
      <c r="AJ36" s="486">
        <v>0</v>
      </c>
      <c r="AK36" s="486">
        <v>0</v>
      </c>
      <c r="AL36" s="486">
        <v>0</v>
      </c>
      <c r="AM36" s="486">
        <v>0</v>
      </c>
      <c r="AN36" s="486">
        <v>0</v>
      </c>
      <c r="AO36" s="486">
        <v>0</v>
      </c>
      <c r="AP36" s="486">
        <v>0</v>
      </c>
      <c r="AQ36" s="486">
        <v>0</v>
      </c>
      <c r="AR36" s="486">
        <v>0</v>
      </c>
      <c r="AS36" s="486">
        <v>0</v>
      </c>
      <c r="AT36" s="486">
        <v>0</v>
      </c>
      <c r="AU36" s="486">
        <v>0</v>
      </c>
      <c r="AV36" s="486">
        <v>0</v>
      </c>
      <c r="AW36" s="486">
        <v>0</v>
      </c>
      <c r="AX36" s="486">
        <v>0</v>
      </c>
      <c r="AY36" s="486">
        <v>0</v>
      </c>
      <c r="AZ36" s="486">
        <v>0</v>
      </c>
      <c r="BA36" s="486">
        <v>0</v>
      </c>
      <c r="BB36" s="486">
        <v>0</v>
      </c>
      <c r="BC36" s="486">
        <v>0</v>
      </c>
      <c r="BD36" s="486">
        <v>0</v>
      </c>
      <c r="BE36" s="486">
        <v>0</v>
      </c>
      <c r="BF36" s="486">
        <v>0</v>
      </c>
      <c r="BG36" s="486">
        <v>0</v>
      </c>
      <c r="BH36" s="486">
        <v>0</v>
      </c>
      <c r="BI36" s="486">
        <v>0</v>
      </c>
      <c r="BJ36" s="486">
        <v>0</v>
      </c>
      <c r="BK36" s="486">
        <v>0</v>
      </c>
      <c r="BL36" s="486">
        <v>0</v>
      </c>
      <c r="BM36" s="486">
        <v>0</v>
      </c>
      <c r="BN36" s="486">
        <v>0</v>
      </c>
      <c r="BO36" s="486">
        <v>0</v>
      </c>
      <c r="BP36" s="486">
        <v>0</v>
      </c>
      <c r="BQ36" s="486">
        <v>0</v>
      </c>
      <c r="BR36" s="486">
        <v>0</v>
      </c>
      <c r="BS36" s="486">
        <v>0</v>
      </c>
      <c r="BT36" s="486">
        <v>0</v>
      </c>
      <c r="BU36" s="486">
        <v>0</v>
      </c>
      <c r="BV36" s="486">
        <v>0</v>
      </c>
      <c r="BW36" s="486">
        <v>0</v>
      </c>
      <c r="BX36" s="486">
        <v>0</v>
      </c>
      <c r="BY36" s="486">
        <v>0</v>
      </c>
      <c r="BZ36" s="486">
        <v>0</v>
      </c>
      <c r="CA36" s="486">
        <v>0</v>
      </c>
      <c r="CB36" s="486">
        <v>0</v>
      </c>
      <c r="CC36" s="486">
        <v>0</v>
      </c>
      <c r="CD36" s="486">
        <v>0</v>
      </c>
      <c r="CE36" s="486">
        <v>0</v>
      </c>
      <c r="CF36" s="486">
        <v>0</v>
      </c>
      <c r="CG36" s="486">
        <v>0</v>
      </c>
      <c r="CH36" s="486">
        <v>0</v>
      </c>
      <c r="CI36" s="486">
        <v>0</v>
      </c>
      <c r="CJ36" s="486">
        <v>0</v>
      </c>
      <c r="CK36" s="486">
        <v>0</v>
      </c>
      <c r="CL36" s="486">
        <v>0</v>
      </c>
      <c r="CM36" s="486">
        <v>0</v>
      </c>
      <c r="CN36" s="486">
        <v>0</v>
      </c>
      <c r="CO36" s="486">
        <v>0</v>
      </c>
      <c r="CP36" s="486">
        <v>0</v>
      </c>
      <c r="CQ36" s="486">
        <v>0</v>
      </c>
      <c r="CR36" s="486">
        <v>0</v>
      </c>
      <c r="CS36" s="486">
        <v>0</v>
      </c>
      <c r="CT36" s="486">
        <v>0</v>
      </c>
      <c r="CU36" s="486">
        <v>0</v>
      </c>
      <c r="CV36" s="486">
        <v>0</v>
      </c>
      <c r="CW36" s="486">
        <v>0</v>
      </c>
      <c r="CX36" s="486">
        <v>0</v>
      </c>
      <c r="CY36" s="486">
        <v>0</v>
      </c>
      <c r="CZ36" s="486">
        <v>0</v>
      </c>
      <c r="DA36" s="486">
        <v>0</v>
      </c>
      <c r="DB36" s="486">
        <v>0</v>
      </c>
      <c r="DC36" s="486">
        <v>0</v>
      </c>
      <c r="DD36" s="486">
        <v>0</v>
      </c>
      <c r="DE36" s="486">
        <v>0</v>
      </c>
      <c r="DF36" s="486">
        <v>0</v>
      </c>
      <c r="DG36" s="486">
        <v>0</v>
      </c>
      <c r="DH36" s="486">
        <v>0</v>
      </c>
      <c r="DI36" s="486">
        <v>0</v>
      </c>
      <c r="DJ36" s="486">
        <v>0</v>
      </c>
      <c r="DK36" s="486">
        <v>0</v>
      </c>
      <c r="DL36" s="486">
        <v>0</v>
      </c>
      <c r="DM36" s="486">
        <v>0</v>
      </c>
      <c r="DN36" s="486">
        <v>0</v>
      </c>
      <c r="DO36" s="486">
        <v>0</v>
      </c>
      <c r="DP36" s="486">
        <v>0</v>
      </c>
      <c r="DQ36" s="486">
        <v>0</v>
      </c>
      <c r="DR36" s="486">
        <v>0</v>
      </c>
      <c r="DS36" s="486">
        <v>0</v>
      </c>
      <c r="DT36" s="486">
        <v>0</v>
      </c>
      <c r="DU36" s="486">
        <v>0</v>
      </c>
      <c r="DV36" s="486">
        <v>0</v>
      </c>
      <c r="DW36" s="486">
        <v>0</v>
      </c>
      <c r="DX36" s="477"/>
      <c r="DY36" s="484" t="s">
        <v>720</v>
      </c>
      <c r="DZ36" s="484" t="s">
        <v>617</v>
      </c>
      <c r="EA36" s="484" t="s">
        <v>25</v>
      </c>
      <c r="EB36" s="486">
        <v>48</v>
      </c>
      <c r="EC36" s="471" t="str">
        <f t="shared" si="0"/>
        <v>AIJ100148</v>
      </c>
      <c r="ED36" s="486">
        <v>10000</v>
      </c>
      <c r="EE36" s="486">
        <v>10000</v>
      </c>
      <c r="EF36" s="486">
        <v>10000</v>
      </c>
      <c r="EG36" s="486">
        <v>10000</v>
      </c>
      <c r="EH36" s="486">
        <v>10000</v>
      </c>
      <c r="EI36" s="486">
        <v>10000</v>
      </c>
      <c r="EJ36" s="486">
        <v>10000</v>
      </c>
      <c r="EK36" s="486">
        <v>10000</v>
      </c>
      <c r="EL36" s="486">
        <v>10000</v>
      </c>
      <c r="EM36" s="486">
        <v>10000</v>
      </c>
      <c r="EN36" s="486">
        <v>0</v>
      </c>
      <c r="EO36" s="486">
        <v>0</v>
      </c>
      <c r="EP36" s="486">
        <v>0</v>
      </c>
      <c r="EQ36" s="486">
        <v>0</v>
      </c>
      <c r="ER36" s="486">
        <v>0</v>
      </c>
      <c r="ES36" s="486">
        <v>0</v>
      </c>
      <c r="ET36" s="486">
        <v>0</v>
      </c>
      <c r="EU36" s="486">
        <v>0</v>
      </c>
      <c r="EV36" s="486">
        <v>0</v>
      </c>
      <c r="EW36" s="486">
        <v>0</v>
      </c>
      <c r="EX36" s="486">
        <v>0</v>
      </c>
      <c r="EY36" s="486">
        <v>0</v>
      </c>
      <c r="EZ36" s="486">
        <v>0</v>
      </c>
      <c r="FA36" s="486">
        <v>0</v>
      </c>
      <c r="FB36" s="486">
        <v>0</v>
      </c>
      <c r="FC36" s="486">
        <v>0</v>
      </c>
      <c r="FD36" s="486">
        <v>0</v>
      </c>
      <c r="FE36" s="486">
        <v>0</v>
      </c>
      <c r="FF36" s="486">
        <v>0</v>
      </c>
      <c r="FG36" s="486">
        <v>0</v>
      </c>
      <c r="FH36" s="486">
        <v>0</v>
      </c>
      <c r="FI36" s="486">
        <v>0</v>
      </c>
      <c r="FJ36" s="486">
        <v>0</v>
      </c>
      <c r="FK36" s="486">
        <v>0</v>
      </c>
      <c r="FL36" s="486">
        <v>0</v>
      </c>
      <c r="FM36" s="486">
        <v>0</v>
      </c>
      <c r="FN36" s="486">
        <v>0</v>
      </c>
      <c r="FO36" s="486">
        <v>0</v>
      </c>
      <c r="FP36" s="486">
        <v>0</v>
      </c>
      <c r="FQ36" s="486">
        <v>0</v>
      </c>
      <c r="FR36" s="486">
        <v>0</v>
      </c>
      <c r="FS36" s="486">
        <v>0</v>
      </c>
      <c r="FT36" s="486">
        <v>0</v>
      </c>
      <c r="FU36" s="486">
        <v>0</v>
      </c>
      <c r="FV36" s="486">
        <v>0</v>
      </c>
      <c r="FW36" s="486">
        <v>0</v>
      </c>
      <c r="FX36" s="486">
        <v>0</v>
      </c>
      <c r="FY36" s="486">
        <v>0</v>
      </c>
      <c r="FZ36" s="486">
        <v>0</v>
      </c>
      <c r="GA36" s="486">
        <v>0</v>
      </c>
      <c r="GB36" s="486">
        <v>0</v>
      </c>
      <c r="GC36" s="486">
        <v>0</v>
      </c>
      <c r="GD36" s="486">
        <v>0</v>
      </c>
      <c r="GE36" s="486">
        <v>0</v>
      </c>
      <c r="GF36" s="486">
        <v>0</v>
      </c>
      <c r="GG36" s="486">
        <v>0</v>
      </c>
      <c r="GH36" s="486">
        <v>0</v>
      </c>
      <c r="GI36" s="486">
        <v>0</v>
      </c>
      <c r="GJ36" s="486">
        <v>0</v>
      </c>
      <c r="GK36" s="486">
        <v>0</v>
      </c>
      <c r="GL36" s="486">
        <v>0</v>
      </c>
      <c r="GM36" s="486">
        <v>0</v>
      </c>
      <c r="GN36" s="486">
        <v>0</v>
      </c>
      <c r="GO36" s="486">
        <v>0</v>
      </c>
      <c r="GP36" s="486">
        <v>0</v>
      </c>
      <c r="GQ36" s="486">
        <v>0</v>
      </c>
      <c r="GR36" s="486">
        <v>0</v>
      </c>
      <c r="GS36" s="486">
        <v>0</v>
      </c>
      <c r="GT36" s="486">
        <v>0</v>
      </c>
      <c r="GU36" s="486">
        <v>0</v>
      </c>
      <c r="GV36" s="486">
        <v>0</v>
      </c>
      <c r="GW36" s="486">
        <v>0</v>
      </c>
      <c r="GX36" s="486">
        <v>0</v>
      </c>
      <c r="GY36" s="486">
        <v>0</v>
      </c>
      <c r="GZ36" s="486">
        <v>0</v>
      </c>
      <c r="HA36" s="486">
        <v>0</v>
      </c>
      <c r="HB36" s="486">
        <v>0</v>
      </c>
      <c r="HC36" s="486">
        <v>0</v>
      </c>
      <c r="HD36" s="486">
        <v>0</v>
      </c>
      <c r="HE36" s="486">
        <v>0</v>
      </c>
      <c r="HF36" s="486">
        <v>0</v>
      </c>
      <c r="HG36" s="486">
        <v>0</v>
      </c>
      <c r="HH36" s="486">
        <v>0</v>
      </c>
      <c r="HI36" s="486">
        <v>0</v>
      </c>
      <c r="HJ36" s="486">
        <v>0</v>
      </c>
      <c r="HK36" s="486">
        <v>0</v>
      </c>
      <c r="HL36" s="486">
        <v>0</v>
      </c>
      <c r="HM36" s="486">
        <v>0</v>
      </c>
      <c r="HN36" s="486">
        <v>0</v>
      </c>
      <c r="HO36" s="486">
        <v>0</v>
      </c>
      <c r="HP36" s="486">
        <v>0</v>
      </c>
      <c r="HQ36" s="486">
        <v>0</v>
      </c>
      <c r="HR36" s="486">
        <v>0</v>
      </c>
      <c r="HS36" s="486">
        <v>0</v>
      </c>
      <c r="HT36" s="486">
        <v>0</v>
      </c>
      <c r="HU36" s="486">
        <v>0</v>
      </c>
      <c r="HV36" s="486">
        <v>0</v>
      </c>
      <c r="HW36" s="486">
        <v>0</v>
      </c>
      <c r="HX36" s="486">
        <v>0</v>
      </c>
      <c r="HY36" s="486">
        <v>0</v>
      </c>
      <c r="HZ36" s="486">
        <v>0</v>
      </c>
      <c r="IA36" s="486">
        <v>0</v>
      </c>
      <c r="IB36" s="486">
        <v>0</v>
      </c>
      <c r="IC36" s="486">
        <v>0</v>
      </c>
      <c r="ID36" s="486">
        <v>0</v>
      </c>
      <c r="IE36" s="486">
        <v>0</v>
      </c>
      <c r="IF36" s="486">
        <v>0</v>
      </c>
      <c r="IG36" s="486">
        <v>0</v>
      </c>
      <c r="IH36" s="486">
        <v>0</v>
      </c>
      <c r="II36" s="486">
        <v>0</v>
      </c>
      <c r="IJ36" s="486">
        <v>0</v>
      </c>
    </row>
    <row r="37" spans="1:244" ht="16.5" hidden="1">
      <c r="A37" s="484" t="s">
        <v>720</v>
      </c>
      <c r="B37" s="484" t="s">
        <v>617</v>
      </c>
      <c r="C37" s="484" t="s">
        <v>721</v>
      </c>
      <c r="D37" s="485"/>
      <c r="E37" s="484" t="s">
        <v>721</v>
      </c>
      <c r="F37" s="484" t="s">
        <v>26</v>
      </c>
      <c r="G37" s="485"/>
      <c r="H37" s="486">
        <v>43</v>
      </c>
      <c r="I37" s="471" t="str">
        <f t="shared" si="1"/>
        <v>AIJ100243</v>
      </c>
      <c r="J37" s="486">
        <v>76</v>
      </c>
      <c r="L37" s="484" t="s">
        <v>720</v>
      </c>
      <c r="M37" s="484" t="s">
        <v>617</v>
      </c>
      <c r="N37" s="484" t="s">
        <v>25</v>
      </c>
      <c r="O37" s="486">
        <v>49</v>
      </c>
      <c r="P37" s="471" t="str">
        <f t="shared" si="2"/>
        <v>AIJ100149</v>
      </c>
      <c r="Q37" s="486">
        <v>0</v>
      </c>
      <c r="R37" s="486">
        <v>23</v>
      </c>
      <c r="S37" s="486">
        <v>43</v>
      </c>
      <c r="T37" s="486">
        <v>61</v>
      </c>
      <c r="U37" s="486">
        <v>80</v>
      </c>
      <c r="V37" s="486">
        <v>93</v>
      </c>
      <c r="W37" s="486">
        <v>109</v>
      </c>
      <c r="X37" s="486">
        <v>122</v>
      </c>
      <c r="Y37" s="486">
        <v>122</v>
      </c>
      <c r="Z37" s="486">
        <v>0</v>
      </c>
      <c r="AA37" s="486">
        <v>0</v>
      </c>
      <c r="AB37" s="486">
        <v>0</v>
      </c>
      <c r="AC37" s="486">
        <v>0</v>
      </c>
      <c r="AD37" s="486">
        <v>0</v>
      </c>
      <c r="AE37" s="486">
        <v>0</v>
      </c>
      <c r="AF37" s="486">
        <v>0</v>
      </c>
      <c r="AG37" s="486">
        <v>0</v>
      </c>
      <c r="AH37" s="486">
        <v>0</v>
      </c>
      <c r="AI37" s="486">
        <v>0</v>
      </c>
      <c r="AJ37" s="486">
        <v>0</v>
      </c>
      <c r="AK37" s="486">
        <v>0</v>
      </c>
      <c r="AL37" s="486">
        <v>0</v>
      </c>
      <c r="AM37" s="486">
        <v>0</v>
      </c>
      <c r="AN37" s="486">
        <v>0</v>
      </c>
      <c r="AO37" s="486">
        <v>0</v>
      </c>
      <c r="AP37" s="486">
        <v>0</v>
      </c>
      <c r="AQ37" s="486">
        <v>0</v>
      </c>
      <c r="AR37" s="486">
        <v>0</v>
      </c>
      <c r="AS37" s="486">
        <v>0</v>
      </c>
      <c r="AT37" s="486">
        <v>0</v>
      </c>
      <c r="AU37" s="486">
        <v>0</v>
      </c>
      <c r="AV37" s="486">
        <v>0</v>
      </c>
      <c r="AW37" s="486">
        <v>0</v>
      </c>
      <c r="AX37" s="486">
        <v>0</v>
      </c>
      <c r="AY37" s="486">
        <v>0</v>
      </c>
      <c r="AZ37" s="486">
        <v>0</v>
      </c>
      <c r="BA37" s="486">
        <v>0</v>
      </c>
      <c r="BB37" s="486">
        <v>0</v>
      </c>
      <c r="BC37" s="486">
        <v>0</v>
      </c>
      <c r="BD37" s="486">
        <v>0</v>
      </c>
      <c r="BE37" s="486">
        <v>0</v>
      </c>
      <c r="BF37" s="486">
        <v>0</v>
      </c>
      <c r="BG37" s="486">
        <v>0</v>
      </c>
      <c r="BH37" s="486">
        <v>0</v>
      </c>
      <c r="BI37" s="486">
        <v>0</v>
      </c>
      <c r="BJ37" s="486">
        <v>0</v>
      </c>
      <c r="BK37" s="486">
        <v>0</v>
      </c>
      <c r="BL37" s="486">
        <v>0</v>
      </c>
      <c r="BM37" s="486">
        <v>0</v>
      </c>
      <c r="BN37" s="486">
        <v>0</v>
      </c>
      <c r="BO37" s="486">
        <v>0</v>
      </c>
      <c r="BP37" s="486">
        <v>0</v>
      </c>
      <c r="BQ37" s="486">
        <v>0</v>
      </c>
      <c r="BR37" s="486">
        <v>0</v>
      </c>
      <c r="BS37" s="486">
        <v>0</v>
      </c>
      <c r="BT37" s="486">
        <v>0</v>
      </c>
      <c r="BU37" s="486">
        <v>0</v>
      </c>
      <c r="BV37" s="486">
        <v>0</v>
      </c>
      <c r="BW37" s="486">
        <v>0</v>
      </c>
      <c r="BX37" s="486">
        <v>0</v>
      </c>
      <c r="BY37" s="486">
        <v>0</v>
      </c>
      <c r="BZ37" s="486">
        <v>0</v>
      </c>
      <c r="CA37" s="486">
        <v>0</v>
      </c>
      <c r="CB37" s="486">
        <v>0</v>
      </c>
      <c r="CC37" s="486">
        <v>0</v>
      </c>
      <c r="CD37" s="486">
        <v>0</v>
      </c>
      <c r="CE37" s="486">
        <v>0</v>
      </c>
      <c r="CF37" s="486">
        <v>0</v>
      </c>
      <c r="CG37" s="486">
        <v>0</v>
      </c>
      <c r="CH37" s="486">
        <v>0</v>
      </c>
      <c r="CI37" s="486">
        <v>0</v>
      </c>
      <c r="CJ37" s="486">
        <v>0</v>
      </c>
      <c r="CK37" s="486">
        <v>0</v>
      </c>
      <c r="CL37" s="486">
        <v>0</v>
      </c>
      <c r="CM37" s="486">
        <v>0</v>
      </c>
      <c r="CN37" s="486">
        <v>0</v>
      </c>
      <c r="CO37" s="486">
        <v>0</v>
      </c>
      <c r="CP37" s="486">
        <v>0</v>
      </c>
      <c r="CQ37" s="486">
        <v>0</v>
      </c>
      <c r="CR37" s="486">
        <v>0</v>
      </c>
      <c r="CS37" s="486">
        <v>0</v>
      </c>
      <c r="CT37" s="486">
        <v>0</v>
      </c>
      <c r="CU37" s="486">
        <v>0</v>
      </c>
      <c r="CV37" s="486">
        <v>0</v>
      </c>
      <c r="CW37" s="486">
        <v>0</v>
      </c>
      <c r="CX37" s="486">
        <v>0</v>
      </c>
      <c r="CY37" s="486">
        <v>0</v>
      </c>
      <c r="CZ37" s="486">
        <v>0</v>
      </c>
      <c r="DA37" s="486">
        <v>0</v>
      </c>
      <c r="DB37" s="486">
        <v>0</v>
      </c>
      <c r="DC37" s="486">
        <v>0</v>
      </c>
      <c r="DD37" s="486">
        <v>0</v>
      </c>
      <c r="DE37" s="486">
        <v>0</v>
      </c>
      <c r="DF37" s="486">
        <v>0</v>
      </c>
      <c r="DG37" s="486">
        <v>0</v>
      </c>
      <c r="DH37" s="486">
        <v>0</v>
      </c>
      <c r="DI37" s="486">
        <v>0</v>
      </c>
      <c r="DJ37" s="486">
        <v>0</v>
      </c>
      <c r="DK37" s="486">
        <v>0</v>
      </c>
      <c r="DL37" s="486">
        <v>0</v>
      </c>
      <c r="DM37" s="486">
        <v>0</v>
      </c>
      <c r="DN37" s="486">
        <v>0</v>
      </c>
      <c r="DO37" s="486">
        <v>0</v>
      </c>
      <c r="DP37" s="486">
        <v>0</v>
      </c>
      <c r="DQ37" s="486">
        <v>0</v>
      </c>
      <c r="DR37" s="486">
        <v>0</v>
      </c>
      <c r="DS37" s="486">
        <v>0</v>
      </c>
      <c r="DT37" s="486">
        <v>0</v>
      </c>
      <c r="DU37" s="486">
        <v>0</v>
      </c>
      <c r="DV37" s="486">
        <v>0</v>
      </c>
      <c r="DW37" s="486">
        <v>0</v>
      </c>
      <c r="DX37" s="477"/>
      <c r="DY37" s="484" t="s">
        <v>720</v>
      </c>
      <c r="DZ37" s="484" t="s">
        <v>617</v>
      </c>
      <c r="EA37" s="484" t="s">
        <v>25</v>
      </c>
      <c r="EB37" s="486">
        <v>49</v>
      </c>
      <c r="EC37" s="471" t="str">
        <f t="shared" si="0"/>
        <v>AIJ100149</v>
      </c>
      <c r="ED37" s="486">
        <v>10000</v>
      </c>
      <c r="EE37" s="486">
        <v>10000</v>
      </c>
      <c r="EF37" s="486">
        <v>10000</v>
      </c>
      <c r="EG37" s="486">
        <v>10000</v>
      </c>
      <c r="EH37" s="486">
        <v>10000</v>
      </c>
      <c r="EI37" s="486">
        <v>10000</v>
      </c>
      <c r="EJ37" s="486">
        <v>10000</v>
      </c>
      <c r="EK37" s="486">
        <v>10000</v>
      </c>
      <c r="EL37" s="486">
        <v>10000</v>
      </c>
      <c r="EM37" s="486">
        <v>10000</v>
      </c>
      <c r="EN37" s="486">
        <v>0</v>
      </c>
      <c r="EO37" s="486">
        <v>0</v>
      </c>
      <c r="EP37" s="486">
        <v>0</v>
      </c>
      <c r="EQ37" s="486">
        <v>0</v>
      </c>
      <c r="ER37" s="486">
        <v>0</v>
      </c>
      <c r="ES37" s="486">
        <v>0</v>
      </c>
      <c r="ET37" s="486">
        <v>0</v>
      </c>
      <c r="EU37" s="486">
        <v>0</v>
      </c>
      <c r="EV37" s="486">
        <v>0</v>
      </c>
      <c r="EW37" s="486">
        <v>0</v>
      </c>
      <c r="EX37" s="486">
        <v>0</v>
      </c>
      <c r="EY37" s="486">
        <v>0</v>
      </c>
      <c r="EZ37" s="486">
        <v>0</v>
      </c>
      <c r="FA37" s="486">
        <v>0</v>
      </c>
      <c r="FB37" s="486">
        <v>0</v>
      </c>
      <c r="FC37" s="486">
        <v>0</v>
      </c>
      <c r="FD37" s="486">
        <v>0</v>
      </c>
      <c r="FE37" s="486">
        <v>0</v>
      </c>
      <c r="FF37" s="486">
        <v>0</v>
      </c>
      <c r="FG37" s="486">
        <v>0</v>
      </c>
      <c r="FH37" s="486">
        <v>0</v>
      </c>
      <c r="FI37" s="486">
        <v>0</v>
      </c>
      <c r="FJ37" s="486">
        <v>0</v>
      </c>
      <c r="FK37" s="486">
        <v>0</v>
      </c>
      <c r="FL37" s="486">
        <v>0</v>
      </c>
      <c r="FM37" s="486">
        <v>0</v>
      </c>
      <c r="FN37" s="486">
        <v>0</v>
      </c>
      <c r="FO37" s="486">
        <v>0</v>
      </c>
      <c r="FP37" s="486">
        <v>0</v>
      </c>
      <c r="FQ37" s="486">
        <v>0</v>
      </c>
      <c r="FR37" s="486">
        <v>0</v>
      </c>
      <c r="FS37" s="486">
        <v>0</v>
      </c>
      <c r="FT37" s="486">
        <v>0</v>
      </c>
      <c r="FU37" s="486">
        <v>0</v>
      </c>
      <c r="FV37" s="486">
        <v>0</v>
      </c>
      <c r="FW37" s="486">
        <v>0</v>
      </c>
      <c r="FX37" s="486">
        <v>0</v>
      </c>
      <c r="FY37" s="486">
        <v>0</v>
      </c>
      <c r="FZ37" s="486">
        <v>0</v>
      </c>
      <c r="GA37" s="486">
        <v>0</v>
      </c>
      <c r="GB37" s="486">
        <v>0</v>
      </c>
      <c r="GC37" s="486">
        <v>0</v>
      </c>
      <c r="GD37" s="486">
        <v>0</v>
      </c>
      <c r="GE37" s="486">
        <v>0</v>
      </c>
      <c r="GF37" s="486">
        <v>0</v>
      </c>
      <c r="GG37" s="486">
        <v>0</v>
      </c>
      <c r="GH37" s="486">
        <v>0</v>
      </c>
      <c r="GI37" s="486">
        <v>0</v>
      </c>
      <c r="GJ37" s="486">
        <v>0</v>
      </c>
      <c r="GK37" s="486">
        <v>0</v>
      </c>
      <c r="GL37" s="486">
        <v>0</v>
      </c>
      <c r="GM37" s="486">
        <v>0</v>
      </c>
      <c r="GN37" s="486">
        <v>0</v>
      </c>
      <c r="GO37" s="486">
        <v>0</v>
      </c>
      <c r="GP37" s="486">
        <v>0</v>
      </c>
      <c r="GQ37" s="486">
        <v>0</v>
      </c>
      <c r="GR37" s="486">
        <v>0</v>
      </c>
      <c r="GS37" s="486">
        <v>0</v>
      </c>
      <c r="GT37" s="486">
        <v>0</v>
      </c>
      <c r="GU37" s="486">
        <v>0</v>
      </c>
      <c r="GV37" s="486">
        <v>0</v>
      </c>
      <c r="GW37" s="486">
        <v>0</v>
      </c>
      <c r="GX37" s="486">
        <v>0</v>
      </c>
      <c r="GY37" s="486">
        <v>0</v>
      </c>
      <c r="GZ37" s="486">
        <v>0</v>
      </c>
      <c r="HA37" s="486">
        <v>0</v>
      </c>
      <c r="HB37" s="486">
        <v>0</v>
      </c>
      <c r="HC37" s="486">
        <v>0</v>
      </c>
      <c r="HD37" s="486">
        <v>0</v>
      </c>
      <c r="HE37" s="486">
        <v>0</v>
      </c>
      <c r="HF37" s="486">
        <v>0</v>
      </c>
      <c r="HG37" s="486">
        <v>0</v>
      </c>
      <c r="HH37" s="486">
        <v>0</v>
      </c>
      <c r="HI37" s="486">
        <v>0</v>
      </c>
      <c r="HJ37" s="486">
        <v>0</v>
      </c>
      <c r="HK37" s="486">
        <v>0</v>
      </c>
      <c r="HL37" s="486">
        <v>0</v>
      </c>
      <c r="HM37" s="486">
        <v>0</v>
      </c>
      <c r="HN37" s="486">
        <v>0</v>
      </c>
      <c r="HO37" s="486">
        <v>0</v>
      </c>
      <c r="HP37" s="486">
        <v>0</v>
      </c>
      <c r="HQ37" s="486">
        <v>0</v>
      </c>
      <c r="HR37" s="486">
        <v>0</v>
      </c>
      <c r="HS37" s="486">
        <v>0</v>
      </c>
      <c r="HT37" s="486">
        <v>0</v>
      </c>
      <c r="HU37" s="486">
        <v>0</v>
      </c>
      <c r="HV37" s="486">
        <v>0</v>
      </c>
      <c r="HW37" s="486">
        <v>0</v>
      </c>
      <c r="HX37" s="486">
        <v>0</v>
      </c>
      <c r="HY37" s="486">
        <v>0</v>
      </c>
      <c r="HZ37" s="486">
        <v>0</v>
      </c>
      <c r="IA37" s="486">
        <v>0</v>
      </c>
      <c r="IB37" s="486">
        <v>0</v>
      </c>
      <c r="IC37" s="486">
        <v>0</v>
      </c>
      <c r="ID37" s="486">
        <v>0</v>
      </c>
      <c r="IE37" s="486">
        <v>0</v>
      </c>
      <c r="IF37" s="486">
        <v>0</v>
      </c>
      <c r="IG37" s="486">
        <v>0</v>
      </c>
      <c r="IH37" s="486">
        <v>0</v>
      </c>
      <c r="II37" s="486">
        <v>0</v>
      </c>
      <c r="IJ37" s="486">
        <v>0</v>
      </c>
    </row>
    <row r="38" spans="1:244" ht="16.5" hidden="1">
      <c r="A38" s="484" t="s">
        <v>720</v>
      </c>
      <c r="B38" s="484" t="s">
        <v>617</v>
      </c>
      <c r="C38" s="484" t="s">
        <v>721</v>
      </c>
      <c r="D38" s="485"/>
      <c r="E38" s="484" t="s">
        <v>721</v>
      </c>
      <c r="F38" s="484" t="s">
        <v>26</v>
      </c>
      <c r="G38" s="485"/>
      <c r="H38" s="486">
        <v>44</v>
      </c>
      <c r="I38" s="471" t="str">
        <f t="shared" si="1"/>
        <v>AIJ100244</v>
      </c>
      <c r="J38" s="486">
        <v>79</v>
      </c>
      <c r="L38" s="484" t="s">
        <v>720</v>
      </c>
      <c r="M38" s="484" t="s">
        <v>617</v>
      </c>
      <c r="N38" s="484" t="s">
        <v>25</v>
      </c>
      <c r="O38" s="486">
        <v>50</v>
      </c>
      <c r="P38" s="471" t="str">
        <f t="shared" si="2"/>
        <v>AIJ100150</v>
      </c>
      <c r="Q38" s="486">
        <v>0</v>
      </c>
      <c r="R38" s="486">
        <v>25</v>
      </c>
      <c r="S38" s="486">
        <v>47</v>
      </c>
      <c r="T38" s="486">
        <v>65</v>
      </c>
      <c r="U38" s="486">
        <v>87</v>
      </c>
      <c r="V38" s="486">
        <v>102</v>
      </c>
      <c r="W38" s="486">
        <v>119</v>
      </c>
      <c r="X38" s="486">
        <v>132</v>
      </c>
      <c r="Y38" s="486">
        <v>132</v>
      </c>
      <c r="Z38" s="486">
        <v>0</v>
      </c>
      <c r="AA38" s="486">
        <v>0</v>
      </c>
      <c r="AB38" s="486">
        <v>0</v>
      </c>
      <c r="AC38" s="486">
        <v>0</v>
      </c>
      <c r="AD38" s="486">
        <v>0</v>
      </c>
      <c r="AE38" s="486">
        <v>0</v>
      </c>
      <c r="AF38" s="486">
        <v>0</v>
      </c>
      <c r="AG38" s="486">
        <v>0</v>
      </c>
      <c r="AH38" s="486">
        <v>0</v>
      </c>
      <c r="AI38" s="486">
        <v>0</v>
      </c>
      <c r="AJ38" s="486">
        <v>0</v>
      </c>
      <c r="AK38" s="486">
        <v>0</v>
      </c>
      <c r="AL38" s="486">
        <v>0</v>
      </c>
      <c r="AM38" s="486">
        <v>0</v>
      </c>
      <c r="AN38" s="486">
        <v>0</v>
      </c>
      <c r="AO38" s="486">
        <v>0</v>
      </c>
      <c r="AP38" s="486">
        <v>0</v>
      </c>
      <c r="AQ38" s="486">
        <v>0</v>
      </c>
      <c r="AR38" s="486">
        <v>0</v>
      </c>
      <c r="AS38" s="486">
        <v>0</v>
      </c>
      <c r="AT38" s="486">
        <v>0</v>
      </c>
      <c r="AU38" s="486">
        <v>0</v>
      </c>
      <c r="AV38" s="486">
        <v>0</v>
      </c>
      <c r="AW38" s="486">
        <v>0</v>
      </c>
      <c r="AX38" s="486">
        <v>0</v>
      </c>
      <c r="AY38" s="486">
        <v>0</v>
      </c>
      <c r="AZ38" s="486">
        <v>0</v>
      </c>
      <c r="BA38" s="486">
        <v>0</v>
      </c>
      <c r="BB38" s="486">
        <v>0</v>
      </c>
      <c r="BC38" s="486">
        <v>0</v>
      </c>
      <c r="BD38" s="486">
        <v>0</v>
      </c>
      <c r="BE38" s="486">
        <v>0</v>
      </c>
      <c r="BF38" s="486">
        <v>0</v>
      </c>
      <c r="BG38" s="486">
        <v>0</v>
      </c>
      <c r="BH38" s="486">
        <v>0</v>
      </c>
      <c r="BI38" s="486">
        <v>0</v>
      </c>
      <c r="BJ38" s="486">
        <v>0</v>
      </c>
      <c r="BK38" s="486">
        <v>0</v>
      </c>
      <c r="BL38" s="486">
        <v>0</v>
      </c>
      <c r="BM38" s="486">
        <v>0</v>
      </c>
      <c r="BN38" s="486">
        <v>0</v>
      </c>
      <c r="BO38" s="486">
        <v>0</v>
      </c>
      <c r="BP38" s="486">
        <v>0</v>
      </c>
      <c r="BQ38" s="486">
        <v>0</v>
      </c>
      <c r="BR38" s="486">
        <v>0</v>
      </c>
      <c r="BS38" s="486">
        <v>0</v>
      </c>
      <c r="BT38" s="486">
        <v>0</v>
      </c>
      <c r="BU38" s="486">
        <v>0</v>
      </c>
      <c r="BV38" s="486">
        <v>0</v>
      </c>
      <c r="BW38" s="486">
        <v>0</v>
      </c>
      <c r="BX38" s="486">
        <v>0</v>
      </c>
      <c r="BY38" s="486">
        <v>0</v>
      </c>
      <c r="BZ38" s="486">
        <v>0</v>
      </c>
      <c r="CA38" s="486">
        <v>0</v>
      </c>
      <c r="CB38" s="486">
        <v>0</v>
      </c>
      <c r="CC38" s="486">
        <v>0</v>
      </c>
      <c r="CD38" s="486">
        <v>0</v>
      </c>
      <c r="CE38" s="486">
        <v>0</v>
      </c>
      <c r="CF38" s="486">
        <v>0</v>
      </c>
      <c r="CG38" s="486">
        <v>0</v>
      </c>
      <c r="CH38" s="486">
        <v>0</v>
      </c>
      <c r="CI38" s="486">
        <v>0</v>
      </c>
      <c r="CJ38" s="486">
        <v>0</v>
      </c>
      <c r="CK38" s="486">
        <v>0</v>
      </c>
      <c r="CL38" s="486">
        <v>0</v>
      </c>
      <c r="CM38" s="486">
        <v>0</v>
      </c>
      <c r="CN38" s="486">
        <v>0</v>
      </c>
      <c r="CO38" s="486">
        <v>0</v>
      </c>
      <c r="CP38" s="486">
        <v>0</v>
      </c>
      <c r="CQ38" s="486">
        <v>0</v>
      </c>
      <c r="CR38" s="486">
        <v>0</v>
      </c>
      <c r="CS38" s="486">
        <v>0</v>
      </c>
      <c r="CT38" s="486">
        <v>0</v>
      </c>
      <c r="CU38" s="486">
        <v>0</v>
      </c>
      <c r="CV38" s="486">
        <v>0</v>
      </c>
      <c r="CW38" s="486">
        <v>0</v>
      </c>
      <c r="CX38" s="486">
        <v>0</v>
      </c>
      <c r="CY38" s="486">
        <v>0</v>
      </c>
      <c r="CZ38" s="486">
        <v>0</v>
      </c>
      <c r="DA38" s="486">
        <v>0</v>
      </c>
      <c r="DB38" s="486">
        <v>0</v>
      </c>
      <c r="DC38" s="486">
        <v>0</v>
      </c>
      <c r="DD38" s="486">
        <v>0</v>
      </c>
      <c r="DE38" s="486">
        <v>0</v>
      </c>
      <c r="DF38" s="486">
        <v>0</v>
      </c>
      <c r="DG38" s="486">
        <v>0</v>
      </c>
      <c r="DH38" s="486">
        <v>0</v>
      </c>
      <c r="DI38" s="486">
        <v>0</v>
      </c>
      <c r="DJ38" s="486">
        <v>0</v>
      </c>
      <c r="DK38" s="486">
        <v>0</v>
      </c>
      <c r="DL38" s="486">
        <v>0</v>
      </c>
      <c r="DM38" s="486">
        <v>0</v>
      </c>
      <c r="DN38" s="486">
        <v>0</v>
      </c>
      <c r="DO38" s="486">
        <v>0</v>
      </c>
      <c r="DP38" s="486">
        <v>0</v>
      </c>
      <c r="DQ38" s="486">
        <v>0</v>
      </c>
      <c r="DR38" s="486">
        <v>0</v>
      </c>
      <c r="DS38" s="486">
        <v>0</v>
      </c>
      <c r="DT38" s="486">
        <v>0</v>
      </c>
      <c r="DU38" s="486">
        <v>0</v>
      </c>
      <c r="DV38" s="486">
        <v>0</v>
      </c>
      <c r="DW38" s="486">
        <v>0</v>
      </c>
      <c r="DX38" s="477"/>
      <c r="DY38" s="484" t="s">
        <v>720</v>
      </c>
      <c r="DZ38" s="484" t="s">
        <v>617</v>
      </c>
      <c r="EA38" s="484" t="s">
        <v>25</v>
      </c>
      <c r="EB38" s="486">
        <v>50</v>
      </c>
      <c r="EC38" s="471" t="str">
        <f t="shared" si="0"/>
        <v>AIJ100150</v>
      </c>
      <c r="ED38" s="486">
        <v>10000</v>
      </c>
      <c r="EE38" s="486">
        <v>10000</v>
      </c>
      <c r="EF38" s="486">
        <v>10000</v>
      </c>
      <c r="EG38" s="486">
        <v>10000</v>
      </c>
      <c r="EH38" s="486">
        <v>10000</v>
      </c>
      <c r="EI38" s="486">
        <v>10000</v>
      </c>
      <c r="EJ38" s="486">
        <v>10000</v>
      </c>
      <c r="EK38" s="486">
        <v>10000</v>
      </c>
      <c r="EL38" s="486">
        <v>10000</v>
      </c>
      <c r="EM38" s="486">
        <v>10000</v>
      </c>
      <c r="EN38" s="486">
        <v>0</v>
      </c>
      <c r="EO38" s="486">
        <v>0</v>
      </c>
      <c r="EP38" s="486">
        <v>0</v>
      </c>
      <c r="EQ38" s="486">
        <v>0</v>
      </c>
      <c r="ER38" s="486">
        <v>0</v>
      </c>
      <c r="ES38" s="486">
        <v>0</v>
      </c>
      <c r="ET38" s="486">
        <v>0</v>
      </c>
      <c r="EU38" s="486">
        <v>0</v>
      </c>
      <c r="EV38" s="486">
        <v>0</v>
      </c>
      <c r="EW38" s="486">
        <v>0</v>
      </c>
      <c r="EX38" s="486">
        <v>0</v>
      </c>
      <c r="EY38" s="486">
        <v>0</v>
      </c>
      <c r="EZ38" s="486">
        <v>0</v>
      </c>
      <c r="FA38" s="486">
        <v>0</v>
      </c>
      <c r="FB38" s="486">
        <v>0</v>
      </c>
      <c r="FC38" s="486">
        <v>0</v>
      </c>
      <c r="FD38" s="486">
        <v>0</v>
      </c>
      <c r="FE38" s="486">
        <v>0</v>
      </c>
      <c r="FF38" s="486">
        <v>0</v>
      </c>
      <c r="FG38" s="486">
        <v>0</v>
      </c>
      <c r="FH38" s="486">
        <v>0</v>
      </c>
      <c r="FI38" s="486">
        <v>0</v>
      </c>
      <c r="FJ38" s="486">
        <v>0</v>
      </c>
      <c r="FK38" s="486">
        <v>0</v>
      </c>
      <c r="FL38" s="486">
        <v>0</v>
      </c>
      <c r="FM38" s="486">
        <v>0</v>
      </c>
      <c r="FN38" s="486">
        <v>0</v>
      </c>
      <c r="FO38" s="486">
        <v>0</v>
      </c>
      <c r="FP38" s="486">
        <v>0</v>
      </c>
      <c r="FQ38" s="486">
        <v>0</v>
      </c>
      <c r="FR38" s="486">
        <v>0</v>
      </c>
      <c r="FS38" s="486">
        <v>0</v>
      </c>
      <c r="FT38" s="486">
        <v>0</v>
      </c>
      <c r="FU38" s="486">
        <v>0</v>
      </c>
      <c r="FV38" s="486">
        <v>0</v>
      </c>
      <c r="FW38" s="486">
        <v>0</v>
      </c>
      <c r="FX38" s="486">
        <v>0</v>
      </c>
      <c r="FY38" s="486">
        <v>0</v>
      </c>
      <c r="FZ38" s="486">
        <v>0</v>
      </c>
      <c r="GA38" s="486">
        <v>0</v>
      </c>
      <c r="GB38" s="486">
        <v>0</v>
      </c>
      <c r="GC38" s="486">
        <v>0</v>
      </c>
      <c r="GD38" s="486">
        <v>0</v>
      </c>
      <c r="GE38" s="486">
        <v>0</v>
      </c>
      <c r="GF38" s="486">
        <v>0</v>
      </c>
      <c r="GG38" s="486">
        <v>0</v>
      </c>
      <c r="GH38" s="486">
        <v>0</v>
      </c>
      <c r="GI38" s="486">
        <v>0</v>
      </c>
      <c r="GJ38" s="486">
        <v>0</v>
      </c>
      <c r="GK38" s="486">
        <v>0</v>
      </c>
      <c r="GL38" s="486">
        <v>0</v>
      </c>
      <c r="GM38" s="486">
        <v>0</v>
      </c>
      <c r="GN38" s="486">
        <v>0</v>
      </c>
      <c r="GO38" s="486">
        <v>0</v>
      </c>
      <c r="GP38" s="486">
        <v>0</v>
      </c>
      <c r="GQ38" s="486">
        <v>0</v>
      </c>
      <c r="GR38" s="486">
        <v>0</v>
      </c>
      <c r="GS38" s="486">
        <v>0</v>
      </c>
      <c r="GT38" s="486">
        <v>0</v>
      </c>
      <c r="GU38" s="486">
        <v>0</v>
      </c>
      <c r="GV38" s="486">
        <v>0</v>
      </c>
      <c r="GW38" s="486">
        <v>0</v>
      </c>
      <c r="GX38" s="486">
        <v>0</v>
      </c>
      <c r="GY38" s="486">
        <v>0</v>
      </c>
      <c r="GZ38" s="486">
        <v>0</v>
      </c>
      <c r="HA38" s="486">
        <v>0</v>
      </c>
      <c r="HB38" s="486">
        <v>0</v>
      </c>
      <c r="HC38" s="486">
        <v>0</v>
      </c>
      <c r="HD38" s="486">
        <v>0</v>
      </c>
      <c r="HE38" s="486">
        <v>0</v>
      </c>
      <c r="HF38" s="486">
        <v>0</v>
      </c>
      <c r="HG38" s="486">
        <v>0</v>
      </c>
      <c r="HH38" s="486">
        <v>0</v>
      </c>
      <c r="HI38" s="486">
        <v>0</v>
      </c>
      <c r="HJ38" s="486">
        <v>0</v>
      </c>
      <c r="HK38" s="486">
        <v>0</v>
      </c>
      <c r="HL38" s="486">
        <v>0</v>
      </c>
      <c r="HM38" s="486">
        <v>0</v>
      </c>
      <c r="HN38" s="486">
        <v>0</v>
      </c>
      <c r="HO38" s="486">
        <v>0</v>
      </c>
      <c r="HP38" s="486">
        <v>0</v>
      </c>
      <c r="HQ38" s="486">
        <v>0</v>
      </c>
      <c r="HR38" s="486">
        <v>0</v>
      </c>
      <c r="HS38" s="486">
        <v>0</v>
      </c>
      <c r="HT38" s="486">
        <v>0</v>
      </c>
      <c r="HU38" s="486">
        <v>0</v>
      </c>
      <c r="HV38" s="486">
        <v>0</v>
      </c>
      <c r="HW38" s="486">
        <v>0</v>
      </c>
      <c r="HX38" s="486">
        <v>0</v>
      </c>
      <c r="HY38" s="486">
        <v>0</v>
      </c>
      <c r="HZ38" s="486">
        <v>0</v>
      </c>
      <c r="IA38" s="486">
        <v>0</v>
      </c>
      <c r="IB38" s="486">
        <v>0</v>
      </c>
      <c r="IC38" s="486">
        <v>0</v>
      </c>
      <c r="ID38" s="486">
        <v>0</v>
      </c>
      <c r="IE38" s="486">
        <v>0</v>
      </c>
      <c r="IF38" s="486">
        <v>0</v>
      </c>
      <c r="IG38" s="486">
        <v>0</v>
      </c>
      <c r="IH38" s="486">
        <v>0</v>
      </c>
      <c r="II38" s="486">
        <v>0</v>
      </c>
      <c r="IJ38" s="486">
        <v>0</v>
      </c>
    </row>
    <row r="39" spans="1:244" ht="16.5" hidden="1">
      <c r="A39" s="484" t="s">
        <v>720</v>
      </c>
      <c r="B39" s="484" t="s">
        <v>617</v>
      </c>
      <c r="C39" s="484" t="s">
        <v>721</v>
      </c>
      <c r="D39" s="485"/>
      <c r="E39" s="484" t="s">
        <v>721</v>
      </c>
      <c r="F39" s="484" t="s">
        <v>26</v>
      </c>
      <c r="G39" s="485"/>
      <c r="H39" s="486">
        <v>45</v>
      </c>
      <c r="I39" s="471" t="str">
        <f t="shared" si="1"/>
        <v>AIJ100245</v>
      </c>
      <c r="J39" s="486">
        <v>82</v>
      </c>
      <c r="L39" s="484" t="s">
        <v>720</v>
      </c>
      <c r="M39" s="484" t="s">
        <v>617</v>
      </c>
      <c r="N39" s="484" t="s">
        <v>25</v>
      </c>
      <c r="O39" s="486">
        <v>51</v>
      </c>
      <c r="P39" s="471" t="str">
        <f t="shared" si="2"/>
        <v>AIJ100151</v>
      </c>
      <c r="Q39" s="486">
        <v>0</v>
      </c>
      <c r="R39" s="486">
        <v>26</v>
      </c>
      <c r="S39" s="486">
        <v>50</v>
      </c>
      <c r="T39" s="486">
        <v>71</v>
      </c>
      <c r="U39" s="486">
        <v>96</v>
      </c>
      <c r="V39" s="486">
        <v>111</v>
      </c>
      <c r="W39" s="486">
        <v>130</v>
      </c>
      <c r="X39" s="486">
        <v>144</v>
      </c>
      <c r="Y39" s="486">
        <v>141</v>
      </c>
      <c r="Z39" s="486">
        <v>0</v>
      </c>
      <c r="AA39" s="486">
        <v>0</v>
      </c>
      <c r="AB39" s="486">
        <v>0</v>
      </c>
      <c r="AC39" s="486">
        <v>0</v>
      </c>
      <c r="AD39" s="486">
        <v>0</v>
      </c>
      <c r="AE39" s="486">
        <v>0</v>
      </c>
      <c r="AF39" s="486">
        <v>0</v>
      </c>
      <c r="AG39" s="486">
        <v>0</v>
      </c>
      <c r="AH39" s="486">
        <v>0</v>
      </c>
      <c r="AI39" s="486">
        <v>0</v>
      </c>
      <c r="AJ39" s="486">
        <v>0</v>
      </c>
      <c r="AK39" s="486">
        <v>0</v>
      </c>
      <c r="AL39" s="486">
        <v>0</v>
      </c>
      <c r="AM39" s="486">
        <v>0</v>
      </c>
      <c r="AN39" s="486">
        <v>0</v>
      </c>
      <c r="AO39" s="486">
        <v>0</v>
      </c>
      <c r="AP39" s="486">
        <v>0</v>
      </c>
      <c r="AQ39" s="486">
        <v>0</v>
      </c>
      <c r="AR39" s="486">
        <v>0</v>
      </c>
      <c r="AS39" s="486">
        <v>0</v>
      </c>
      <c r="AT39" s="486">
        <v>0</v>
      </c>
      <c r="AU39" s="486">
        <v>0</v>
      </c>
      <c r="AV39" s="486">
        <v>0</v>
      </c>
      <c r="AW39" s="486">
        <v>0</v>
      </c>
      <c r="AX39" s="486">
        <v>0</v>
      </c>
      <c r="AY39" s="486">
        <v>0</v>
      </c>
      <c r="AZ39" s="486">
        <v>0</v>
      </c>
      <c r="BA39" s="486">
        <v>0</v>
      </c>
      <c r="BB39" s="486">
        <v>0</v>
      </c>
      <c r="BC39" s="486">
        <v>0</v>
      </c>
      <c r="BD39" s="486">
        <v>0</v>
      </c>
      <c r="BE39" s="486">
        <v>0</v>
      </c>
      <c r="BF39" s="486">
        <v>0</v>
      </c>
      <c r="BG39" s="486">
        <v>0</v>
      </c>
      <c r="BH39" s="486">
        <v>0</v>
      </c>
      <c r="BI39" s="486">
        <v>0</v>
      </c>
      <c r="BJ39" s="486">
        <v>0</v>
      </c>
      <c r="BK39" s="486">
        <v>0</v>
      </c>
      <c r="BL39" s="486">
        <v>0</v>
      </c>
      <c r="BM39" s="486">
        <v>0</v>
      </c>
      <c r="BN39" s="486">
        <v>0</v>
      </c>
      <c r="BO39" s="486">
        <v>0</v>
      </c>
      <c r="BP39" s="486">
        <v>0</v>
      </c>
      <c r="BQ39" s="486">
        <v>0</v>
      </c>
      <c r="BR39" s="486">
        <v>0</v>
      </c>
      <c r="BS39" s="486">
        <v>0</v>
      </c>
      <c r="BT39" s="486">
        <v>0</v>
      </c>
      <c r="BU39" s="486">
        <v>0</v>
      </c>
      <c r="BV39" s="486">
        <v>0</v>
      </c>
      <c r="BW39" s="486">
        <v>0</v>
      </c>
      <c r="BX39" s="486">
        <v>0</v>
      </c>
      <c r="BY39" s="486">
        <v>0</v>
      </c>
      <c r="BZ39" s="486">
        <v>0</v>
      </c>
      <c r="CA39" s="486">
        <v>0</v>
      </c>
      <c r="CB39" s="486">
        <v>0</v>
      </c>
      <c r="CC39" s="486">
        <v>0</v>
      </c>
      <c r="CD39" s="486">
        <v>0</v>
      </c>
      <c r="CE39" s="486">
        <v>0</v>
      </c>
      <c r="CF39" s="486">
        <v>0</v>
      </c>
      <c r="CG39" s="486">
        <v>0</v>
      </c>
      <c r="CH39" s="486">
        <v>0</v>
      </c>
      <c r="CI39" s="486">
        <v>0</v>
      </c>
      <c r="CJ39" s="486">
        <v>0</v>
      </c>
      <c r="CK39" s="486">
        <v>0</v>
      </c>
      <c r="CL39" s="486">
        <v>0</v>
      </c>
      <c r="CM39" s="486">
        <v>0</v>
      </c>
      <c r="CN39" s="486">
        <v>0</v>
      </c>
      <c r="CO39" s="486">
        <v>0</v>
      </c>
      <c r="CP39" s="486">
        <v>0</v>
      </c>
      <c r="CQ39" s="486">
        <v>0</v>
      </c>
      <c r="CR39" s="486">
        <v>0</v>
      </c>
      <c r="CS39" s="486">
        <v>0</v>
      </c>
      <c r="CT39" s="486">
        <v>0</v>
      </c>
      <c r="CU39" s="486">
        <v>0</v>
      </c>
      <c r="CV39" s="486">
        <v>0</v>
      </c>
      <c r="CW39" s="486">
        <v>0</v>
      </c>
      <c r="CX39" s="486">
        <v>0</v>
      </c>
      <c r="CY39" s="486">
        <v>0</v>
      </c>
      <c r="CZ39" s="486">
        <v>0</v>
      </c>
      <c r="DA39" s="486">
        <v>0</v>
      </c>
      <c r="DB39" s="486">
        <v>0</v>
      </c>
      <c r="DC39" s="486">
        <v>0</v>
      </c>
      <c r="DD39" s="486">
        <v>0</v>
      </c>
      <c r="DE39" s="486">
        <v>0</v>
      </c>
      <c r="DF39" s="486">
        <v>0</v>
      </c>
      <c r="DG39" s="486">
        <v>0</v>
      </c>
      <c r="DH39" s="486">
        <v>0</v>
      </c>
      <c r="DI39" s="486">
        <v>0</v>
      </c>
      <c r="DJ39" s="486">
        <v>0</v>
      </c>
      <c r="DK39" s="486">
        <v>0</v>
      </c>
      <c r="DL39" s="486">
        <v>0</v>
      </c>
      <c r="DM39" s="486">
        <v>0</v>
      </c>
      <c r="DN39" s="486">
        <v>0</v>
      </c>
      <c r="DO39" s="486">
        <v>0</v>
      </c>
      <c r="DP39" s="486">
        <v>0</v>
      </c>
      <c r="DQ39" s="486">
        <v>0</v>
      </c>
      <c r="DR39" s="486">
        <v>0</v>
      </c>
      <c r="DS39" s="486">
        <v>0</v>
      </c>
      <c r="DT39" s="486">
        <v>0</v>
      </c>
      <c r="DU39" s="486">
        <v>0</v>
      </c>
      <c r="DV39" s="486">
        <v>0</v>
      </c>
      <c r="DW39" s="486">
        <v>0</v>
      </c>
      <c r="DX39" s="477"/>
      <c r="DY39" s="484" t="s">
        <v>720</v>
      </c>
      <c r="DZ39" s="484" t="s">
        <v>617</v>
      </c>
      <c r="EA39" s="484" t="s">
        <v>25</v>
      </c>
      <c r="EB39" s="486">
        <v>51</v>
      </c>
      <c r="EC39" s="471" t="str">
        <f t="shared" si="0"/>
        <v>AIJ100151</v>
      </c>
      <c r="ED39" s="486">
        <v>10000</v>
      </c>
      <c r="EE39" s="486">
        <v>10000</v>
      </c>
      <c r="EF39" s="486">
        <v>10000</v>
      </c>
      <c r="EG39" s="486">
        <v>10000</v>
      </c>
      <c r="EH39" s="486">
        <v>10000</v>
      </c>
      <c r="EI39" s="486">
        <v>10000</v>
      </c>
      <c r="EJ39" s="486">
        <v>10000</v>
      </c>
      <c r="EK39" s="486">
        <v>10000</v>
      </c>
      <c r="EL39" s="486">
        <v>10000</v>
      </c>
      <c r="EM39" s="486">
        <v>10000</v>
      </c>
      <c r="EN39" s="486">
        <v>0</v>
      </c>
      <c r="EO39" s="486">
        <v>0</v>
      </c>
      <c r="EP39" s="486">
        <v>0</v>
      </c>
      <c r="EQ39" s="486">
        <v>0</v>
      </c>
      <c r="ER39" s="486">
        <v>0</v>
      </c>
      <c r="ES39" s="486">
        <v>0</v>
      </c>
      <c r="ET39" s="486">
        <v>0</v>
      </c>
      <c r="EU39" s="486">
        <v>0</v>
      </c>
      <c r="EV39" s="486">
        <v>0</v>
      </c>
      <c r="EW39" s="486">
        <v>0</v>
      </c>
      <c r="EX39" s="486">
        <v>0</v>
      </c>
      <c r="EY39" s="486">
        <v>0</v>
      </c>
      <c r="EZ39" s="486">
        <v>0</v>
      </c>
      <c r="FA39" s="486">
        <v>0</v>
      </c>
      <c r="FB39" s="486">
        <v>0</v>
      </c>
      <c r="FC39" s="486">
        <v>0</v>
      </c>
      <c r="FD39" s="486">
        <v>0</v>
      </c>
      <c r="FE39" s="486">
        <v>0</v>
      </c>
      <c r="FF39" s="486">
        <v>0</v>
      </c>
      <c r="FG39" s="486">
        <v>0</v>
      </c>
      <c r="FH39" s="486">
        <v>0</v>
      </c>
      <c r="FI39" s="486">
        <v>0</v>
      </c>
      <c r="FJ39" s="486">
        <v>0</v>
      </c>
      <c r="FK39" s="486">
        <v>0</v>
      </c>
      <c r="FL39" s="486">
        <v>0</v>
      </c>
      <c r="FM39" s="486">
        <v>0</v>
      </c>
      <c r="FN39" s="486">
        <v>0</v>
      </c>
      <c r="FO39" s="486">
        <v>0</v>
      </c>
      <c r="FP39" s="486">
        <v>0</v>
      </c>
      <c r="FQ39" s="486">
        <v>0</v>
      </c>
      <c r="FR39" s="486">
        <v>0</v>
      </c>
      <c r="FS39" s="486">
        <v>0</v>
      </c>
      <c r="FT39" s="486">
        <v>0</v>
      </c>
      <c r="FU39" s="486">
        <v>0</v>
      </c>
      <c r="FV39" s="486">
        <v>0</v>
      </c>
      <c r="FW39" s="486">
        <v>0</v>
      </c>
      <c r="FX39" s="486">
        <v>0</v>
      </c>
      <c r="FY39" s="486">
        <v>0</v>
      </c>
      <c r="FZ39" s="486">
        <v>0</v>
      </c>
      <c r="GA39" s="486">
        <v>0</v>
      </c>
      <c r="GB39" s="486">
        <v>0</v>
      </c>
      <c r="GC39" s="486">
        <v>0</v>
      </c>
      <c r="GD39" s="486">
        <v>0</v>
      </c>
      <c r="GE39" s="486">
        <v>0</v>
      </c>
      <c r="GF39" s="486">
        <v>0</v>
      </c>
      <c r="GG39" s="486">
        <v>0</v>
      </c>
      <c r="GH39" s="486">
        <v>0</v>
      </c>
      <c r="GI39" s="486">
        <v>0</v>
      </c>
      <c r="GJ39" s="486">
        <v>0</v>
      </c>
      <c r="GK39" s="486">
        <v>0</v>
      </c>
      <c r="GL39" s="486">
        <v>0</v>
      </c>
      <c r="GM39" s="486">
        <v>0</v>
      </c>
      <c r="GN39" s="486">
        <v>0</v>
      </c>
      <c r="GO39" s="486">
        <v>0</v>
      </c>
      <c r="GP39" s="486">
        <v>0</v>
      </c>
      <c r="GQ39" s="486">
        <v>0</v>
      </c>
      <c r="GR39" s="486">
        <v>0</v>
      </c>
      <c r="GS39" s="486">
        <v>0</v>
      </c>
      <c r="GT39" s="486">
        <v>0</v>
      </c>
      <c r="GU39" s="486">
        <v>0</v>
      </c>
      <c r="GV39" s="486">
        <v>0</v>
      </c>
      <c r="GW39" s="486">
        <v>0</v>
      </c>
      <c r="GX39" s="486">
        <v>0</v>
      </c>
      <c r="GY39" s="486">
        <v>0</v>
      </c>
      <c r="GZ39" s="486">
        <v>0</v>
      </c>
      <c r="HA39" s="486">
        <v>0</v>
      </c>
      <c r="HB39" s="486">
        <v>0</v>
      </c>
      <c r="HC39" s="486">
        <v>0</v>
      </c>
      <c r="HD39" s="486">
        <v>0</v>
      </c>
      <c r="HE39" s="486">
        <v>0</v>
      </c>
      <c r="HF39" s="486">
        <v>0</v>
      </c>
      <c r="HG39" s="486">
        <v>0</v>
      </c>
      <c r="HH39" s="486">
        <v>0</v>
      </c>
      <c r="HI39" s="486">
        <v>0</v>
      </c>
      <c r="HJ39" s="486">
        <v>0</v>
      </c>
      <c r="HK39" s="486">
        <v>0</v>
      </c>
      <c r="HL39" s="486">
        <v>0</v>
      </c>
      <c r="HM39" s="486">
        <v>0</v>
      </c>
      <c r="HN39" s="486">
        <v>0</v>
      </c>
      <c r="HO39" s="486">
        <v>0</v>
      </c>
      <c r="HP39" s="486">
        <v>0</v>
      </c>
      <c r="HQ39" s="486">
        <v>0</v>
      </c>
      <c r="HR39" s="486">
        <v>0</v>
      </c>
      <c r="HS39" s="486">
        <v>0</v>
      </c>
      <c r="HT39" s="486">
        <v>0</v>
      </c>
      <c r="HU39" s="486">
        <v>0</v>
      </c>
      <c r="HV39" s="486">
        <v>0</v>
      </c>
      <c r="HW39" s="486">
        <v>0</v>
      </c>
      <c r="HX39" s="486">
        <v>0</v>
      </c>
      <c r="HY39" s="486">
        <v>0</v>
      </c>
      <c r="HZ39" s="486">
        <v>0</v>
      </c>
      <c r="IA39" s="486">
        <v>0</v>
      </c>
      <c r="IB39" s="486">
        <v>0</v>
      </c>
      <c r="IC39" s="486">
        <v>0</v>
      </c>
      <c r="ID39" s="486">
        <v>0</v>
      </c>
      <c r="IE39" s="486">
        <v>0</v>
      </c>
      <c r="IF39" s="486">
        <v>0</v>
      </c>
      <c r="IG39" s="486">
        <v>0</v>
      </c>
      <c r="IH39" s="486">
        <v>0</v>
      </c>
      <c r="II39" s="486">
        <v>0</v>
      </c>
      <c r="IJ39" s="486">
        <v>0</v>
      </c>
    </row>
    <row r="40" spans="1:244" ht="16.5" hidden="1">
      <c r="A40" s="484" t="s">
        <v>720</v>
      </c>
      <c r="B40" s="484" t="s">
        <v>617</v>
      </c>
      <c r="C40" s="484" t="s">
        <v>721</v>
      </c>
      <c r="D40" s="485"/>
      <c r="E40" s="484" t="s">
        <v>721</v>
      </c>
      <c r="F40" s="484" t="s">
        <v>26</v>
      </c>
      <c r="G40" s="485"/>
      <c r="H40" s="486">
        <v>46</v>
      </c>
      <c r="I40" s="471" t="str">
        <f t="shared" si="1"/>
        <v>AIJ100246</v>
      </c>
      <c r="J40" s="486">
        <v>87</v>
      </c>
      <c r="L40" s="484" t="s">
        <v>720</v>
      </c>
      <c r="M40" s="484" t="s">
        <v>617</v>
      </c>
      <c r="N40" s="484" t="s">
        <v>25</v>
      </c>
      <c r="O40" s="486">
        <v>52</v>
      </c>
      <c r="P40" s="471" t="str">
        <f t="shared" si="2"/>
        <v>AIJ100152</v>
      </c>
      <c r="Q40" s="486">
        <v>0</v>
      </c>
      <c r="R40" s="486">
        <v>29</v>
      </c>
      <c r="S40" s="486">
        <v>55</v>
      </c>
      <c r="T40" s="486">
        <v>79</v>
      </c>
      <c r="U40" s="486">
        <v>106</v>
      </c>
      <c r="V40" s="486">
        <v>122</v>
      </c>
      <c r="W40" s="486">
        <v>142</v>
      </c>
      <c r="X40" s="486">
        <v>155</v>
      </c>
      <c r="Y40" s="486">
        <v>150</v>
      </c>
      <c r="Z40" s="486">
        <v>0</v>
      </c>
      <c r="AA40" s="486">
        <v>0</v>
      </c>
      <c r="AB40" s="486">
        <v>0</v>
      </c>
      <c r="AC40" s="486">
        <v>0</v>
      </c>
      <c r="AD40" s="486">
        <v>0</v>
      </c>
      <c r="AE40" s="486">
        <v>0</v>
      </c>
      <c r="AF40" s="486">
        <v>0</v>
      </c>
      <c r="AG40" s="486">
        <v>0</v>
      </c>
      <c r="AH40" s="486">
        <v>0</v>
      </c>
      <c r="AI40" s="486">
        <v>0</v>
      </c>
      <c r="AJ40" s="486">
        <v>0</v>
      </c>
      <c r="AK40" s="486">
        <v>0</v>
      </c>
      <c r="AL40" s="486">
        <v>0</v>
      </c>
      <c r="AM40" s="486">
        <v>0</v>
      </c>
      <c r="AN40" s="486">
        <v>0</v>
      </c>
      <c r="AO40" s="486">
        <v>0</v>
      </c>
      <c r="AP40" s="486">
        <v>0</v>
      </c>
      <c r="AQ40" s="486">
        <v>0</v>
      </c>
      <c r="AR40" s="486">
        <v>0</v>
      </c>
      <c r="AS40" s="486">
        <v>0</v>
      </c>
      <c r="AT40" s="486">
        <v>0</v>
      </c>
      <c r="AU40" s="486">
        <v>0</v>
      </c>
      <c r="AV40" s="486">
        <v>0</v>
      </c>
      <c r="AW40" s="486">
        <v>0</v>
      </c>
      <c r="AX40" s="486">
        <v>0</v>
      </c>
      <c r="AY40" s="486">
        <v>0</v>
      </c>
      <c r="AZ40" s="486">
        <v>0</v>
      </c>
      <c r="BA40" s="486">
        <v>0</v>
      </c>
      <c r="BB40" s="486">
        <v>0</v>
      </c>
      <c r="BC40" s="486">
        <v>0</v>
      </c>
      <c r="BD40" s="486">
        <v>0</v>
      </c>
      <c r="BE40" s="486">
        <v>0</v>
      </c>
      <c r="BF40" s="486">
        <v>0</v>
      </c>
      <c r="BG40" s="486">
        <v>0</v>
      </c>
      <c r="BH40" s="486">
        <v>0</v>
      </c>
      <c r="BI40" s="486">
        <v>0</v>
      </c>
      <c r="BJ40" s="486">
        <v>0</v>
      </c>
      <c r="BK40" s="486">
        <v>0</v>
      </c>
      <c r="BL40" s="486">
        <v>0</v>
      </c>
      <c r="BM40" s="486">
        <v>0</v>
      </c>
      <c r="BN40" s="486">
        <v>0</v>
      </c>
      <c r="BO40" s="486">
        <v>0</v>
      </c>
      <c r="BP40" s="486">
        <v>0</v>
      </c>
      <c r="BQ40" s="486">
        <v>0</v>
      </c>
      <c r="BR40" s="486">
        <v>0</v>
      </c>
      <c r="BS40" s="486">
        <v>0</v>
      </c>
      <c r="BT40" s="486">
        <v>0</v>
      </c>
      <c r="BU40" s="486">
        <v>0</v>
      </c>
      <c r="BV40" s="486">
        <v>0</v>
      </c>
      <c r="BW40" s="486">
        <v>0</v>
      </c>
      <c r="BX40" s="486">
        <v>0</v>
      </c>
      <c r="BY40" s="486">
        <v>0</v>
      </c>
      <c r="BZ40" s="486">
        <v>0</v>
      </c>
      <c r="CA40" s="486">
        <v>0</v>
      </c>
      <c r="CB40" s="486">
        <v>0</v>
      </c>
      <c r="CC40" s="486">
        <v>0</v>
      </c>
      <c r="CD40" s="486">
        <v>0</v>
      </c>
      <c r="CE40" s="486">
        <v>0</v>
      </c>
      <c r="CF40" s="486">
        <v>0</v>
      </c>
      <c r="CG40" s="486">
        <v>0</v>
      </c>
      <c r="CH40" s="486">
        <v>0</v>
      </c>
      <c r="CI40" s="486">
        <v>0</v>
      </c>
      <c r="CJ40" s="486">
        <v>0</v>
      </c>
      <c r="CK40" s="486">
        <v>0</v>
      </c>
      <c r="CL40" s="486">
        <v>0</v>
      </c>
      <c r="CM40" s="486">
        <v>0</v>
      </c>
      <c r="CN40" s="486">
        <v>0</v>
      </c>
      <c r="CO40" s="486">
        <v>0</v>
      </c>
      <c r="CP40" s="486">
        <v>0</v>
      </c>
      <c r="CQ40" s="486">
        <v>0</v>
      </c>
      <c r="CR40" s="486">
        <v>0</v>
      </c>
      <c r="CS40" s="486">
        <v>0</v>
      </c>
      <c r="CT40" s="486">
        <v>0</v>
      </c>
      <c r="CU40" s="486">
        <v>0</v>
      </c>
      <c r="CV40" s="486">
        <v>0</v>
      </c>
      <c r="CW40" s="486">
        <v>0</v>
      </c>
      <c r="CX40" s="486">
        <v>0</v>
      </c>
      <c r="CY40" s="486">
        <v>0</v>
      </c>
      <c r="CZ40" s="486">
        <v>0</v>
      </c>
      <c r="DA40" s="486">
        <v>0</v>
      </c>
      <c r="DB40" s="486">
        <v>0</v>
      </c>
      <c r="DC40" s="486">
        <v>0</v>
      </c>
      <c r="DD40" s="486">
        <v>0</v>
      </c>
      <c r="DE40" s="486">
        <v>0</v>
      </c>
      <c r="DF40" s="486">
        <v>0</v>
      </c>
      <c r="DG40" s="486">
        <v>0</v>
      </c>
      <c r="DH40" s="486">
        <v>0</v>
      </c>
      <c r="DI40" s="486">
        <v>0</v>
      </c>
      <c r="DJ40" s="486">
        <v>0</v>
      </c>
      <c r="DK40" s="486">
        <v>0</v>
      </c>
      <c r="DL40" s="486">
        <v>0</v>
      </c>
      <c r="DM40" s="486">
        <v>0</v>
      </c>
      <c r="DN40" s="486">
        <v>0</v>
      </c>
      <c r="DO40" s="486">
        <v>0</v>
      </c>
      <c r="DP40" s="486">
        <v>0</v>
      </c>
      <c r="DQ40" s="486">
        <v>0</v>
      </c>
      <c r="DR40" s="486">
        <v>0</v>
      </c>
      <c r="DS40" s="486">
        <v>0</v>
      </c>
      <c r="DT40" s="486">
        <v>0</v>
      </c>
      <c r="DU40" s="486">
        <v>0</v>
      </c>
      <c r="DV40" s="486">
        <v>0</v>
      </c>
      <c r="DW40" s="486">
        <v>0</v>
      </c>
      <c r="DX40" s="477"/>
      <c r="DY40" s="484" t="s">
        <v>720</v>
      </c>
      <c r="DZ40" s="484" t="s">
        <v>617</v>
      </c>
      <c r="EA40" s="484" t="s">
        <v>25</v>
      </c>
      <c r="EB40" s="486">
        <v>52</v>
      </c>
      <c r="EC40" s="471" t="str">
        <f t="shared" si="0"/>
        <v>AIJ100152</v>
      </c>
      <c r="ED40" s="486">
        <v>10000</v>
      </c>
      <c r="EE40" s="486">
        <v>10000</v>
      </c>
      <c r="EF40" s="486">
        <v>10000</v>
      </c>
      <c r="EG40" s="486">
        <v>10000</v>
      </c>
      <c r="EH40" s="486">
        <v>10000</v>
      </c>
      <c r="EI40" s="486">
        <v>10000</v>
      </c>
      <c r="EJ40" s="486">
        <v>10000</v>
      </c>
      <c r="EK40" s="486">
        <v>10000</v>
      </c>
      <c r="EL40" s="486">
        <v>10000</v>
      </c>
      <c r="EM40" s="486">
        <v>10000</v>
      </c>
      <c r="EN40" s="486">
        <v>0</v>
      </c>
      <c r="EO40" s="486">
        <v>0</v>
      </c>
      <c r="EP40" s="486">
        <v>0</v>
      </c>
      <c r="EQ40" s="486">
        <v>0</v>
      </c>
      <c r="ER40" s="486">
        <v>0</v>
      </c>
      <c r="ES40" s="486">
        <v>0</v>
      </c>
      <c r="ET40" s="486">
        <v>0</v>
      </c>
      <c r="EU40" s="486">
        <v>0</v>
      </c>
      <c r="EV40" s="486">
        <v>0</v>
      </c>
      <c r="EW40" s="486">
        <v>0</v>
      </c>
      <c r="EX40" s="486">
        <v>0</v>
      </c>
      <c r="EY40" s="486">
        <v>0</v>
      </c>
      <c r="EZ40" s="486">
        <v>0</v>
      </c>
      <c r="FA40" s="486">
        <v>0</v>
      </c>
      <c r="FB40" s="486">
        <v>0</v>
      </c>
      <c r="FC40" s="486">
        <v>0</v>
      </c>
      <c r="FD40" s="486">
        <v>0</v>
      </c>
      <c r="FE40" s="486">
        <v>0</v>
      </c>
      <c r="FF40" s="486">
        <v>0</v>
      </c>
      <c r="FG40" s="486">
        <v>0</v>
      </c>
      <c r="FH40" s="486">
        <v>0</v>
      </c>
      <c r="FI40" s="486">
        <v>0</v>
      </c>
      <c r="FJ40" s="486">
        <v>0</v>
      </c>
      <c r="FK40" s="486">
        <v>0</v>
      </c>
      <c r="FL40" s="486">
        <v>0</v>
      </c>
      <c r="FM40" s="486">
        <v>0</v>
      </c>
      <c r="FN40" s="486">
        <v>0</v>
      </c>
      <c r="FO40" s="486">
        <v>0</v>
      </c>
      <c r="FP40" s="486">
        <v>0</v>
      </c>
      <c r="FQ40" s="486">
        <v>0</v>
      </c>
      <c r="FR40" s="486">
        <v>0</v>
      </c>
      <c r="FS40" s="486">
        <v>0</v>
      </c>
      <c r="FT40" s="486">
        <v>0</v>
      </c>
      <c r="FU40" s="486">
        <v>0</v>
      </c>
      <c r="FV40" s="486">
        <v>0</v>
      </c>
      <c r="FW40" s="486">
        <v>0</v>
      </c>
      <c r="FX40" s="486">
        <v>0</v>
      </c>
      <c r="FY40" s="486">
        <v>0</v>
      </c>
      <c r="FZ40" s="486">
        <v>0</v>
      </c>
      <c r="GA40" s="486">
        <v>0</v>
      </c>
      <c r="GB40" s="486">
        <v>0</v>
      </c>
      <c r="GC40" s="486">
        <v>0</v>
      </c>
      <c r="GD40" s="486">
        <v>0</v>
      </c>
      <c r="GE40" s="486">
        <v>0</v>
      </c>
      <c r="GF40" s="486">
        <v>0</v>
      </c>
      <c r="GG40" s="486">
        <v>0</v>
      </c>
      <c r="GH40" s="486">
        <v>0</v>
      </c>
      <c r="GI40" s="486">
        <v>0</v>
      </c>
      <c r="GJ40" s="486">
        <v>0</v>
      </c>
      <c r="GK40" s="486">
        <v>0</v>
      </c>
      <c r="GL40" s="486">
        <v>0</v>
      </c>
      <c r="GM40" s="486">
        <v>0</v>
      </c>
      <c r="GN40" s="486">
        <v>0</v>
      </c>
      <c r="GO40" s="486">
        <v>0</v>
      </c>
      <c r="GP40" s="486">
        <v>0</v>
      </c>
      <c r="GQ40" s="486">
        <v>0</v>
      </c>
      <c r="GR40" s="486">
        <v>0</v>
      </c>
      <c r="GS40" s="486">
        <v>0</v>
      </c>
      <c r="GT40" s="486">
        <v>0</v>
      </c>
      <c r="GU40" s="486">
        <v>0</v>
      </c>
      <c r="GV40" s="486">
        <v>0</v>
      </c>
      <c r="GW40" s="486">
        <v>0</v>
      </c>
      <c r="GX40" s="486">
        <v>0</v>
      </c>
      <c r="GY40" s="486">
        <v>0</v>
      </c>
      <c r="GZ40" s="486">
        <v>0</v>
      </c>
      <c r="HA40" s="486">
        <v>0</v>
      </c>
      <c r="HB40" s="486">
        <v>0</v>
      </c>
      <c r="HC40" s="486">
        <v>0</v>
      </c>
      <c r="HD40" s="486">
        <v>0</v>
      </c>
      <c r="HE40" s="486">
        <v>0</v>
      </c>
      <c r="HF40" s="486">
        <v>0</v>
      </c>
      <c r="HG40" s="486">
        <v>0</v>
      </c>
      <c r="HH40" s="486">
        <v>0</v>
      </c>
      <c r="HI40" s="486">
        <v>0</v>
      </c>
      <c r="HJ40" s="486">
        <v>0</v>
      </c>
      <c r="HK40" s="486">
        <v>0</v>
      </c>
      <c r="HL40" s="486">
        <v>0</v>
      </c>
      <c r="HM40" s="486">
        <v>0</v>
      </c>
      <c r="HN40" s="486">
        <v>0</v>
      </c>
      <c r="HO40" s="486">
        <v>0</v>
      </c>
      <c r="HP40" s="486">
        <v>0</v>
      </c>
      <c r="HQ40" s="486">
        <v>0</v>
      </c>
      <c r="HR40" s="486">
        <v>0</v>
      </c>
      <c r="HS40" s="486">
        <v>0</v>
      </c>
      <c r="HT40" s="486">
        <v>0</v>
      </c>
      <c r="HU40" s="486">
        <v>0</v>
      </c>
      <c r="HV40" s="486">
        <v>0</v>
      </c>
      <c r="HW40" s="486">
        <v>0</v>
      </c>
      <c r="HX40" s="486">
        <v>0</v>
      </c>
      <c r="HY40" s="486">
        <v>0</v>
      </c>
      <c r="HZ40" s="486">
        <v>0</v>
      </c>
      <c r="IA40" s="486">
        <v>0</v>
      </c>
      <c r="IB40" s="486">
        <v>0</v>
      </c>
      <c r="IC40" s="486">
        <v>0</v>
      </c>
      <c r="ID40" s="486">
        <v>0</v>
      </c>
      <c r="IE40" s="486">
        <v>0</v>
      </c>
      <c r="IF40" s="486">
        <v>0</v>
      </c>
      <c r="IG40" s="486">
        <v>0</v>
      </c>
      <c r="IH40" s="486">
        <v>0</v>
      </c>
      <c r="II40" s="486">
        <v>0</v>
      </c>
      <c r="IJ40" s="486">
        <v>0</v>
      </c>
    </row>
    <row r="41" spans="1:244" ht="16.5" hidden="1">
      <c r="A41" s="484" t="s">
        <v>720</v>
      </c>
      <c r="B41" s="484" t="s">
        <v>617</v>
      </c>
      <c r="C41" s="484" t="s">
        <v>721</v>
      </c>
      <c r="D41" s="485"/>
      <c r="E41" s="484" t="s">
        <v>721</v>
      </c>
      <c r="F41" s="484" t="s">
        <v>26</v>
      </c>
      <c r="G41" s="485"/>
      <c r="H41" s="486">
        <v>47</v>
      </c>
      <c r="I41" s="471" t="str">
        <f t="shared" si="1"/>
        <v>AIJ100247</v>
      </c>
      <c r="J41" s="486">
        <v>93</v>
      </c>
      <c r="L41" s="484" t="s">
        <v>720</v>
      </c>
      <c r="M41" s="484" t="s">
        <v>617</v>
      </c>
      <c r="N41" s="484" t="s">
        <v>25</v>
      </c>
      <c r="O41" s="486">
        <v>53</v>
      </c>
      <c r="P41" s="471" t="str">
        <f t="shared" si="2"/>
        <v>AIJ100153</v>
      </c>
      <c r="Q41" s="486">
        <v>0</v>
      </c>
      <c r="R41" s="486">
        <v>32</v>
      </c>
      <c r="S41" s="486">
        <v>61</v>
      </c>
      <c r="T41" s="486">
        <v>86</v>
      </c>
      <c r="U41" s="486">
        <v>115</v>
      </c>
      <c r="V41" s="486">
        <v>132</v>
      </c>
      <c r="W41" s="486">
        <v>151</v>
      </c>
      <c r="X41" s="486">
        <v>164</v>
      </c>
      <c r="Y41" s="486">
        <v>161</v>
      </c>
      <c r="Z41" s="486">
        <v>0</v>
      </c>
      <c r="AA41" s="486">
        <v>0</v>
      </c>
      <c r="AB41" s="486">
        <v>0</v>
      </c>
      <c r="AC41" s="486">
        <v>0</v>
      </c>
      <c r="AD41" s="486">
        <v>0</v>
      </c>
      <c r="AE41" s="486">
        <v>0</v>
      </c>
      <c r="AF41" s="486">
        <v>0</v>
      </c>
      <c r="AG41" s="486">
        <v>0</v>
      </c>
      <c r="AH41" s="486">
        <v>0</v>
      </c>
      <c r="AI41" s="486">
        <v>0</v>
      </c>
      <c r="AJ41" s="486">
        <v>0</v>
      </c>
      <c r="AK41" s="486">
        <v>0</v>
      </c>
      <c r="AL41" s="486">
        <v>0</v>
      </c>
      <c r="AM41" s="486">
        <v>0</v>
      </c>
      <c r="AN41" s="486">
        <v>0</v>
      </c>
      <c r="AO41" s="486">
        <v>0</v>
      </c>
      <c r="AP41" s="486">
        <v>0</v>
      </c>
      <c r="AQ41" s="486">
        <v>0</v>
      </c>
      <c r="AR41" s="486">
        <v>0</v>
      </c>
      <c r="AS41" s="486">
        <v>0</v>
      </c>
      <c r="AT41" s="486">
        <v>0</v>
      </c>
      <c r="AU41" s="486">
        <v>0</v>
      </c>
      <c r="AV41" s="486">
        <v>0</v>
      </c>
      <c r="AW41" s="486">
        <v>0</v>
      </c>
      <c r="AX41" s="486">
        <v>0</v>
      </c>
      <c r="AY41" s="486">
        <v>0</v>
      </c>
      <c r="AZ41" s="486">
        <v>0</v>
      </c>
      <c r="BA41" s="486">
        <v>0</v>
      </c>
      <c r="BB41" s="486">
        <v>0</v>
      </c>
      <c r="BC41" s="486">
        <v>0</v>
      </c>
      <c r="BD41" s="486">
        <v>0</v>
      </c>
      <c r="BE41" s="486">
        <v>0</v>
      </c>
      <c r="BF41" s="486">
        <v>0</v>
      </c>
      <c r="BG41" s="486">
        <v>0</v>
      </c>
      <c r="BH41" s="486">
        <v>0</v>
      </c>
      <c r="BI41" s="486">
        <v>0</v>
      </c>
      <c r="BJ41" s="486">
        <v>0</v>
      </c>
      <c r="BK41" s="486">
        <v>0</v>
      </c>
      <c r="BL41" s="486">
        <v>0</v>
      </c>
      <c r="BM41" s="486">
        <v>0</v>
      </c>
      <c r="BN41" s="486">
        <v>0</v>
      </c>
      <c r="BO41" s="486">
        <v>0</v>
      </c>
      <c r="BP41" s="486">
        <v>0</v>
      </c>
      <c r="BQ41" s="486">
        <v>0</v>
      </c>
      <c r="BR41" s="486">
        <v>0</v>
      </c>
      <c r="BS41" s="486">
        <v>0</v>
      </c>
      <c r="BT41" s="486">
        <v>0</v>
      </c>
      <c r="BU41" s="486">
        <v>0</v>
      </c>
      <c r="BV41" s="486">
        <v>0</v>
      </c>
      <c r="BW41" s="486">
        <v>0</v>
      </c>
      <c r="BX41" s="486">
        <v>0</v>
      </c>
      <c r="BY41" s="486">
        <v>0</v>
      </c>
      <c r="BZ41" s="486">
        <v>0</v>
      </c>
      <c r="CA41" s="486">
        <v>0</v>
      </c>
      <c r="CB41" s="486">
        <v>0</v>
      </c>
      <c r="CC41" s="486">
        <v>0</v>
      </c>
      <c r="CD41" s="486">
        <v>0</v>
      </c>
      <c r="CE41" s="486">
        <v>0</v>
      </c>
      <c r="CF41" s="486">
        <v>0</v>
      </c>
      <c r="CG41" s="486">
        <v>0</v>
      </c>
      <c r="CH41" s="486">
        <v>0</v>
      </c>
      <c r="CI41" s="486">
        <v>0</v>
      </c>
      <c r="CJ41" s="486">
        <v>0</v>
      </c>
      <c r="CK41" s="486">
        <v>0</v>
      </c>
      <c r="CL41" s="486">
        <v>0</v>
      </c>
      <c r="CM41" s="486">
        <v>0</v>
      </c>
      <c r="CN41" s="486">
        <v>0</v>
      </c>
      <c r="CO41" s="486">
        <v>0</v>
      </c>
      <c r="CP41" s="486">
        <v>0</v>
      </c>
      <c r="CQ41" s="486">
        <v>0</v>
      </c>
      <c r="CR41" s="486">
        <v>0</v>
      </c>
      <c r="CS41" s="486">
        <v>0</v>
      </c>
      <c r="CT41" s="486">
        <v>0</v>
      </c>
      <c r="CU41" s="486">
        <v>0</v>
      </c>
      <c r="CV41" s="486">
        <v>0</v>
      </c>
      <c r="CW41" s="486">
        <v>0</v>
      </c>
      <c r="CX41" s="486">
        <v>0</v>
      </c>
      <c r="CY41" s="486">
        <v>0</v>
      </c>
      <c r="CZ41" s="486">
        <v>0</v>
      </c>
      <c r="DA41" s="486">
        <v>0</v>
      </c>
      <c r="DB41" s="486">
        <v>0</v>
      </c>
      <c r="DC41" s="486">
        <v>0</v>
      </c>
      <c r="DD41" s="486">
        <v>0</v>
      </c>
      <c r="DE41" s="486">
        <v>0</v>
      </c>
      <c r="DF41" s="486">
        <v>0</v>
      </c>
      <c r="DG41" s="486">
        <v>0</v>
      </c>
      <c r="DH41" s="486">
        <v>0</v>
      </c>
      <c r="DI41" s="486">
        <v>0</v>
      </c>
      <c r="DJ41" s="486">
        <v>0</v>
      </c>
      <c r="DK41" s="486">
        <v>0</v>
      </c>
      <c r="DL41" s="486">
        <v>0</v>
      </c>
      <c r="DM41" s="486">
        <v>0</v>
      </c>
      <c r="DN41" s="486">
        <v>0</v>
      </c>
      <c r="DO41" s="486">
        <v>0</v>
      </c>
      <c r="DP41" s="486">
        <v>0</v>
      </c>
      <c r="DQ41" s="486">
        <v>0</v>
      </c>
      <c r="DR41" s="486">
        <v>0</v>
      </c>
      <c r="DS41" s="486">
        <v>0</v>
      </c>
      <c r="DT41" s="486">
        <v>0</v>
      </c>
      <c r="DU41" s="486">
        <v>0</v>
      </c>
      <c r="DV41" s="486">
        <v>0</v>
      </c>
      <c r="DW41" s="486">
        <v>0</v>
      </c>
      <c r="DX41" s="477"/>
      <c r="DY41" s="484" t="s">
        <v>720</v>
      </c>
      <c r="DZ41" s="484" t="s">
        <v>617</v>
      </c>
      <c r="EA41" s="484" t="s">
        <v>25</v>
      </c>
      <c r="EB41" s="486">
        <v>53</v>
      </c>
      <c r="EC41" s="471" t="str">
        <f t="shared" si="0"/>
        <v>AIJ100153</v>
      </c>
      <c r="ED41" s="486">
        <v>10000</v>
      </c>
      <c r="EE41" s="486">
        <v>10000</v>
      </c>
      <c r="EF41" s="486">
        <v>10000</v>
      </c>
      <c r="EG41" s="486">
        <v>10000</v>
      </c>
      <c r="EH41" s="486">
        <v>10000</v>
      </c>
      <c r="EI41" s="486">
        <v>10000</v>
      </c>
      <c r="EJ41" s="486">
        <v>10000</v>
      </c>
      <c r="EK41" s="486">
        <v>10000</v>
      </c>
      <c r="EL41" s="486">
        <v>10000</v>
      </c>
      <c r="EM41" s="486">
        <v>10000</v>
      </c>
      <c r="EN41" s="486">
        <v>0</v>
      </c>
      <c r="EO41" s="486">
        <v>0</v>
      </c>
      <c r="EP41" s="486">
        <v>0</v>
      </c>
      <c r="EQ41" s="486">
        <v>0</v>
      </c>
      <c r="ER41" s="486">
        <v>0</v>
      </c>
      <c r="ES41" s="486">
        <v>0</v>
      </c>
      <c r="ET41" s="486">
        <v>0</v>
      </c>
      <c r="EU41" s="486">
        <v>0</v>
      </c>
      <c r="EV41" s="486">
        <v>0</v>
      </c>
      <c r="EW41" s="486">
        <v>0</v>
      </c>
      <c r="EX41" s="486">
        <v>0</v>
      </c>
      <c r="EY41" s="486">
        <v>0</v>
      </c>
      <c r="EZ41" s="486">
        <v>0</v>
      </c>
      <c r="FA41" s="486">
        <v>0</v>
      </c>
      <c r="FB41" s="486">
        <v>0</v>
      </c>
      <c r="FC41" s="486">
        <v>0</v>
      </c>
      <c r="FD41" s="486">
        <v>0</v>
      </c>
      <c r="FE41" s="486">
        <v>0</v>
      </c>
      <c r="FF41" s="486">
        <v>0</v>
      </c>
      <c r="FG41" s="486">
        <v>0</v>
      </c>
      <c r="FH41" s="486">
        <v>0</v>
      </c>
      <c r="FI41" s="486">
        <v>0</v>
      </c>
      <c r="FJ41" s="486">
        <v>0</v>
      </c>
      <c r="FK41" s="486">
        <v>0</v>
      </c>
      <c r="FL41" s="486">
        <v>0</v>
      </c>
      <c r="FM41" s="486">
        <v>0</v>
      </c>
      <c r="FN41" s="486">
        <v>0</v>
      </c>
      <c r="FO41" s="486">
        <v>0</v>
      </c>
      <c r="FP41" s="486">
        <v>0</v>
      </c>
      <c r="FQ41" s="486">
        <v>0</v>
      </c>
      <c r="FR41" s="486">
        <v>0</v>
      </c>
      <c r="FS41" s="486">
        <v>0</v>
      </c>
      <c r="FT41" s="486">
        <v>0</v>
      </c>
      <c r="FU41" s="486">
        <v>0</v>
      </c>
      <c r="FV41" s="486">
        <v>0</v>
      </c>
      <c r="FW41" s="486">
        <v>0</v>
      </c>
      <c r="FX41" s="486">
        <v>0</v>
      </c>
      <c r="FY41" s="486">
        <v>0</v>
      </c>
      <c r="FZ41" s="486">
        <v>0</v>
      </c>
      <c r="GA41" s="486">
        <v>0</v>
      </c>
      <c r="GB41" s="486">
        <v>0</v>
      </c>
      <c r="GC41" s="486">
        <v>0</v>
      </c>
      <c r="GD41" s="486">
        <v>0</v>
      </c>
      <c r="GE41" s="486">
        <v>0</v>
      </c>
      <c r="GF41" s="486">
        <v>0</v>
      </c>
      <c r="GG41" s="486">
        <v>0</v>
      </c>
      <c r="GH41" s="486">
        <v>0</v>
      </c>
      <c r="GI41" s="486">
        <v>0</v>
      </c>
      <c r="GJ41" s="486">
        <v>0</v>
      </c>
      <c r="GK41" s="486">
        <v>0</v>
      </c>
      <c r="GL41" s="486">
        <v>0</v>
      </c>
      <c r="GM41" s="486">
        <v>0</v>
      </c>
      <c r="GN41" s="486">
        <v>0</v>
      </c>
      <c r="GO41" s="486">
        <v>0</v>
      </c>
      <c r="GP41" s="486">
        <v>0</v>
      </c>
      <c r="GQ41" s="486">
        <v>0</v>
      </c>
      <c r="GR41" s="486">
        <v>0</v>
      </c>
      <c r="GS41" s="486">
        <v>0</v>
      </c>
      <c r="GT41" s="486">
        <v>0</v>
      </c>
      <c r="GU41" s="486">
        <v>0</v>
      </c>
      <c r="GV41" s="486">
        <v>0</v>
      </c>
      <c r="GW41" s="486">
        <v>0</v>
      </c>
      <c r="GX41" s="486">
        <v>0</v>
      </c>
      <c r="GY41" s="486">
        <v>0</v>
      </c>
      <c r="GZ41" s="486">
        <v>0</v>
      </c>
      <c r="HA41" s="486">
        <v>0</v>
      </c>
      <c r="HB41" s="486">
        <v>0</v>
      </c>
      <c r="HC41" s="486">
        <v>0</v>
      </c>
      <c r="HD41" s="486">
        <v>0</v>
      </c>
      <c r="HE41" s="486">
        <v>0</v>
      </c>
      <c r="HF41" s="486">
        <v>0</v>
      </c>
      <c r="HG41" s="486">
        <v>0</v>
      </c>
      <c r="HH41" s="486">
        <v>0</v>
      </c>
      <c r="HI41" s="486">
        <v>0</v>
      </c>
      <c r="HJ41" s="486">
        <v>0</v>
      </c>
      <c r="HK41" s="486">
        <v>0</v>
      </c>
      <c r="HL41" s="486">
        <v>0</v>
      </c>
      <c r="HM41" s="486">
        <v>0</v>
      </c>
      <c r="HN41" s="486">
        <v>0</v>
      </c>
      <c r="HO41" s="486">
        <v>0</v>
      </c>
      <c r="HP41" s="486">
        <v>0</v>
      </c>
      <c r="HQ41" s="486">
        <v>0</v>
      </c>
      <c r="HR41" s="486">
        <v>0</v>
      </c>
      <c r="HS41" s="486">
        <v>0</v>
      </c>
      <c r="HT41" s="486">
        <v>0</v>
      </c>
      <c r="HU41" s="486">
        <v>0</v>
      </c>
      <c r="HV41" s="486">
        <v>0</v>
      </c>
      <c r="HW41" s="486">
        <v>0</v>
      </c>
      <c r="HX41" s="486">
        <v>0</v>
      </c>
      <c r="HY41" s="486">
        <v>0</v>
      </c>
      <c r="HZ41" s="486">
        <v>0</v>
      </c>
      <c r="IA41" s="486">
        <v>0</v>
      </c>
      <c r="IB41" s="486">
        <v>0</v>
      </c>
      <c r="IC41" s="486">
        <v>0</v>
      </c>
      <c r="ID41" s="486">
        <v>0</v>
      </c>
      <c r="IE41" s="486">
        <v>0</v>
      </c>
      <c r="IF41" s="486">
        <v>0</v>
      </c>
      <c r="IG41" s="486">
        <v>0</v>
      </c>
      <c r="IH41" s="486">
        <v>0</v>
      </c>
      <c r="II41" s="486">
        <v>0</v>
      </c>
      <c r="IJ41" s="486">
        <v>0</v>
      </c>
    </row>
    <row r="42" spans="1:244" ht="16.5" hidden="1">
      <c r="A42" s="484" t="s">
        <v>720</v>
      </c>
      <c r="B42" s="484" t="s">
        <v>617</v>
      </c>
      <c r="C42" s="484" t="s">
        <v>721</v>
      </c>
      <c r="D42" s="485"/>
      <c r="E42" s="484" t="s">
        <v>721</v>
      </c>
      <c r="F42" s="484" t="s">
        <v>26</v>
      </c>
      <c r="G42" s="485"/>
      <c r="H42" s="486">
        <v>48</v>
      </c>
      <c r="I42" s="471" t="str">
        <f t="shared" si="1"/>
        <v>AIJ100248</v>
      </c>
      <c r="J42" s="486">
        <v>99</v>
      </c>
      <c r="L42" s="484" t="s">
        <v>720</v>
      </c>
      <c r="M42" s="484" t="s">
        <v>617</v>
      </c>
      <c r="N42" s="484" t="s">
        <v>25</v>
      </c>
      <c r="O42" s="486">
        <v>54</v>
      </c>
      <c r="P42" s="471" t="str">
        <f t="shared" si="2"/>
        <v>AIJ100154</v>
      </c>
      <c r="Q42" s="486">
        <v>0</v>
      </c>
      <c r="R42" s="486">
        <v>35</v>
      </c>
      <c r="S42" s="486">
        <v>67</v>
      </c>
      <c r="T42" s="486">
        <v>94</v>
      </c>
      <c r="U42" s="486">
        <v>124</v>
      </c>
      <c r="V42" s="486">
        <v>141</v>
      </c>
      <c r="W42" s="486">
        <v>161</v>
      </c>
      <c r="X42" s="486">
        <v>175</v>
      </c>
      <c r="Y42" s="486">
        <v>172</v>
      </c>
      <c r="Z42" s="486">
        <v>0</v>
      </c>
      <c r="AA42" s="486">
        <v>0</v>
      </c>
      <c r="AB42" s="486">
        <v>0</v>
      </c>
      <c r="AC42" s="486">
        <v>0</v>
      </c>
      <c r="AD42" s="486">
        <v>0</v>
      </c>
      <c r="AE42" s="486">
        <v>0</v>
      </c>
      <c r="AF42" s="486">
        <v>0</v>
      </c>
      <c r="AG42" s="486">
        <v>0</v>
      </c>
      <c r="AH42" s="486">
        <v>0</v>
      </c>
      <c r="AI42" s="486">
        <v>0</v>
      </c>
      <c r="AJ42" s="486">
        <v>0</v>
      </c>
      <c r="AK42" s="486">
        <v>0</v>
      </c>
      <c r="AL42" s="486">
        <v>0</v>
      </c>
      <c r="AM42" s="486">
        <v>0</v>
      </c>
      <c r="AN42" s="486">
        <v>0</v>
      </c>
      <c r="AO42" s="486">
        <v>0</v>
      </c>
      <c r="AP42" s="486">
        <v>0</v>
      </c>
      <c r="AQ42" s="486">
        <v>0</v>
      </c>
      <c r="AR42" s="486">
        <v>0</v>
      </c>
      <c r="AS42" s="486">
        <v>0</v>
      </c>
      <c r="AT42" s="486">
        <v>0</v>
      </c>
      <c r="AU42" s="486">
        <v>0</v>
      </c>
      <c r="AV42" s="486">
        <v>0</v>
      </c>
      <c r="AW42" s="486">
        <v>0</v>
      </c>
      <c r="AX42" s="486">
        <v>0</v>
      </c>
      <c r="AY42" s="486">
        <v>0</v>
      </c>
      <c r="AZ42" s="486">
        <v>0</v>
      </c>
      <c r="BA42" s="486">
        <v>0</v>
      </c>
      <c r="BB42" s="486">
        <v>0</v>
      </c>
      <c r="BC42" s="486">
        <v>0</v>
      </c>
      <c r="BD42" s="486">
        <v>0</v>
      </c>
      <c r="BE42" s="486">
        <v>0</v>
      </c>
      <c r="BF42" s="486">
        <v>0</v>
      </c>
      <c r="BG42" s="486">
        <v>0</v>
      </c>
      <c r="BH42" s="486">
        <v>0</v>
      </c>
      <c r="BI42" s="486">
        <v>0</v>
      </c>
      <c r="BJ42" s="486">
        <v>0</v>
      </c>
      <c r="BK42" s="486">
        <v>0</v>
      </c>
      <c r="BL42" s="486">
        <v>0</v>
      </c>
      <c r="BM42" s="486">
        <v>0</v>
      </c>
      <c r="BN42" s="486">
        <v>0</v>
      </c>
      <c r="BO42" s="486">
        <v>0</v>
      </c>
      <c r="BP42" s="486">
        <v>0</v>
      </c>
      <c r="BQ42" s="486">
        <v>0</v>
      </c>
      <c r="BR42" s="486">
        <v>0</v>
      </c>
      <c r="BS42" s="486">
        <v>0</v>
      </c>
      <c r="BT42" s="486">
        <v>0</v>
      </c>
      <c r="BU42" s="486">
        <v>0</v>
      </c>
      <c r="BV42" s="486">
        <v>0</v>
      </c>
      <c r="BW42" s="486">
        <v>0</v>
      </c>
      <c r="BX42" s="486">
        <v>0</v>
      </c>
      <c r="BY42" s="486">
        <v>0</v>
      </c>
      <c r="BZ42" s="486">
        <v>0</v>
      </c>
      <c r="CA42" s="486">
        <v>0</v>
      </c>
      <c r="CB42" s="486">
        <v>0</v>
      </c>
      <c r="CC42" s="486">
        <v>0</v>
      </c>
      <c r="CD42" s="486">
        <v>0</v>
      </c>
      <c r="CE42" s="486">
        <v>0</v>
      </c>
      <c r="CF42" s="486">
        <v>0</v>
      </c>
      <c r="CG42" s="486">
        <v>0</v>
      </c>
      <c r="CH42" s="486">
        <v>0</v>
      </c>
      <c r="CI42" s="486">
        <v>0</v>
      </c>
      <c r="CJ42" s="486">
        <v>0</v>
      </c>
      <c r="CK42" s="486">
        <v>0</v>
      </c>
      <c r="CL42" s="486">
        <v>0</v>
      </c>
      <c r="CM42" s="486">
        <v>0</v>
      </c>
      <c r="CN42" s="486">
        <v>0</v>
      </c>
      <c r="CO42" s="486">
        <v>0</v>
      </c>
      <c r="CP42" s="486">
        <v>0</v>
      </c>
      <c r="CQ42" s="486">
        <v>0</v>
      </c>
      <c r="CR42" s="486">
        <v>0</v>
      </c>
      <c r="CS42" s="486">
        <v>0</v>
      </c>
      <c r="CT42" s="486">
        <v>0</v>
      </c>
      <c r="CU42" s="486">
        <v>0</v>
      </c>
      <c r="CV42" s="486">
        <v>0</v>
      </c>
      <c r="CW42" s="486">
        <v>0</v>
      </c>
      <c r="CX42" s="486">
        <v>0</v>
      </c>
      <c r="CY42" s="486">
        <v>0</v>
      </c>
      <c r="CZ42" s="486">
        <v>0</v>
      </c>
      <c r="DA42" s="486">
        <v>0</v>
      </c>
      <c r="DB42" s="486">
        <v>0</v>
      </c>
      <c r="DC42" s="486">
        <v>0</v>
      </c>
      <c r="DD42" s="486">
        <v>0</v>
      </c>
      <c r="DE42" s="486">
        <v>0</v>
      </c>
      <c r="DF42" s="486">
        <v>0</v>
      </c>
      <c r="DG42" s="486">
        <v>0</v>
      </c>
      <c r="DH42" s="486">
        <v>0</v>
      </c>
      <c r="DI42" s="486">
        <v>0</v>
      </c>
      <c r="DJ42" s="486">
        <v>0</v>
      </c>
      <c r="DK42" s="486">
        <v>0</v>
      </c>
      <c r="DL42" s="486">
        <v>0</v>
      </c>
      <c r="DM42" s="486">
        <v>0</v>
      </c>
      <c r="DN42" s="486">
        <v>0</v>
      </c>
      <c r="DO42" s="486">
        <v>0</v>
      </c>
      <c r="DP42" s="486">
        <v>0</v>
      </c>
      <c r="DQ42" s="486">
        <v>0</v>
      </c>
      <c r="DR42" s="486">
        <v>0</v>
      </c>
      <c r="DS42" s="486">
        <v>0</v>
      </c>
      <c r="DT42" s="486">
        <v>0</v>
      </c>
      <c r="DU42" s="486">
        <v>0</v>
      </c>
      <c r="DV42" s="486">
        <v>0</v>
      </c>
      <c r="DW42" s="486">
        <v>0</v>
      </c>
      <c r="DX42" s="477"/>
      <c r="DY42" s="484" t="s">
        <v>720</v>
      </c>
      <c r="DZ42" s="484" t="s">
        <v>617</v>
      </c>
      <c r="EA42" s="484" t="s">
        <v>25</v>
      </c>
      <c r="EB42" s="486">
        <v>54</v>
      </c>
      <c r="EC42" s="471" t="str">
        <f t="shared" si="0"/>
        <v>AIJ100154</v>
      </c>
      <c r="ED42" s="486">
        <v>10000</v>
      </c>
      <c r="EE42" s="486">
        <v>10000</v>
      </c>
      <c r="EF42" s="486">
        <v>10000</v>
      </c>
      <c r="EG42" s="486">
        <v>10000</v>
      </c>
      <c r="EH42" s="486">
        <v>10000</v>
      </c>
      <c r="EI42" s="486">
        <v>10000</v>
      </c>
      <c r="EJ42" s="486">
        <v>10000</v>
      </c>
      <c r="EK42" s="486">
        <v>10000</v>
      </c>
      <c r="EL42" s="486">
        <v>10000</v>
      </c>
      <c r="EM42" s="486">
        <v>10000</v>
      </c>
      <c r="EN42" s="486">
        <v>0</v>
      </c>
      <c r="EO42" s="486">
        <v>0</v>
      </c>
      <c r="EP42" s="486">
        <v>0</v>
      </c>
      <c r="EQ42" s="486">
        <v>0</v>
      </c>
      <c r="ER42" s="486">
        <v>0</v>
      </c>
      <c r="ES42" s="486">
        <v>0</v>
      </c>
      <c r="ET42" s="486">
        <v>0</v>
      </c>
      <c r="EU42" s="486">
        <v>0</v>
      </c>
      <c r="EV42" s="486">
        <v>0</v>
      </c>
      <c r="EW42" s="486">
        <v>0</v>
      </c>
      <c r="EX42" s="486">
        <v>0</v>
      </c>
      <c r="EY42" s="486">
        <v>0</v>
      </c>
      <c r="EZ42" s="486">
        <v>0</v>
      </c>
      <c r="FA42" s="486">
        <v>0</v>
      </c>
      <c r="FB42" s="486">
        <v>0</v>
      </c>
      <c r="FC42" s="486">
        <v>0</v>
      </c>
      <c r="FD42" s="486">
        <v>0</v>
      </c>
      <c r="FE42" s="486">
        <v>0</v>
      </c>
      <c r="FF42" s="486">
        <v>0</v>
      </c>
      <c r="FG42" s="486">
        <v>0</v>
      </c>
      <c r="FH42" s="486">
        <v>0</v>
      </c>
      <c r="FI42" s="486">
        <v>0</v>
      </c>
      <c r="FJ42" s="486">
        <v>0</v>
      </c>
      <c r="FK42" s="486">
        <v>0</v>
      </c>
      <c r="FL42" s="486">
        <v>0</v>
      </c>
      <c r="FM42" s="486">
        <v>0</v>
      </c>
      <c r="FN42" s="486">
        <v>0</v>
      </c>
      <c r="FO42" s="486">
        <v>0</v>
      </c>
      <c r="FP42" s="486">
        <v>0</v>
      </c>
      <c r="FQ42" s="486">
        <v>0</v>
      </c>
      <c r="FR42" s="486">
        <v>0</v>
      </c>
      <c r="FS42" s="486">
        <v>0</v>
      </c>
      <c r="FT42" s="486">
        <v>0</v>
      </c>
      <c r="FU42" s="486">
        <v>0</v>
      </c>
      <c r="FV42" s="486">
        <v>0</v>
      </c>
      <c r="FW42" s="486">
        <v>0</v>
      </c>
      <c r="FX42" s="486">
        <v>0</v>
      </c>
      <c r="FY42" s="486">
        <v>0</v>
      </c>
      <c r="FZ42" s="486">
        <v>0</v>
      </c>
      <c r="GA42" s="486">
        <v>0</v>
      </c>
      <c r="GB42" s="486">
        <v>0</v>
      </c>
      <c r="GC42" s="486">
        <v>0</v>
      </c>
      <c r="GD42" s="486">
        <v>0</v>
      </c>
      <c r="GE42" s="486">
        <v>0</v>
      </c>
      <c r="GF42" s="486">
        <v>0</v>
      </c>
      <c r="GG42" s="486">
        <v>0</v>
      </c>
      <c r="GH42" s="486">
        <v>0</v>
      </c>
      <c r="GI42" s="486">
        <v>0</v>
      </c>
      <c r="GJ42" s="486">
        <v>0</v>
      </c>
      <c r="GK42" s="486">
        <v>0</v>
      </c>
      <c r="GL42" s="486">
        <v>0</v>
      </c>
      <c r="GM42" s="486">
        <v>0</v>
      </c>
      <c r="GN42" s="486">
        <v>0</v>
      </c>
      <c r="GO42" s="486">
        <v>0</v>
      </c>
      <c r="GP42" s="486">
        <v>0</v>
      </c>
      <c r="GQ42" s="486">
        <v>0</v>
      </c>
      <c r="GR42" s="486">
        <v>0</v>
      </c>
      <c r="GS42" s="486">
        <v>0</v>
      </c>
      <c r="GT42" s="486">
        <v>0</v>
      </c>
      <c r="GU42" s="486">
        <v>0</v>
      </c>
      <c r="GV42" s="486">
        <v>0</v>
      </c>
      <c r="GW42" s="486">
        <v>0</v>
      </c>
      <c r="GX42" s="486">
        <v>0</v>
      </c>
      <c r="GY42" s="486">
        <v>0</v>
      </c>
      <c r="GZ42" s="486">
        <v>0</v>
      </c>
      <c r="HA42" s="486">
        <v>0</v>
      </c>
      <c r="HB42" s="486">
        <v>0</v>
      </c>
      <c r="HC42" s="486">
        <v>0</v>
      </c>
      <c r="HD42" s="486">
        <v>0</v>
      </c>
      <c r="HE42" s="486">
        <v>0</v>
      </c>
      <c r="HF42" s="486">
        <v>0</v>
      </c>
      <c r="HG42" s="486">
        <v>0</v>
      </c>
      <c r="HH42" s="486">
        <v>0</v>
      </c>
      <c r="HI42" s="486">
        <v>0</v>
      </c>
      <c r="HJ42" s="486">
        <v>0</v>
      </c>
      <c r="HK42" s="486">
        <v>0</v>
      </c>
      <c r="HL42" s="486">
        <v>0</v>
      </c>
      <c r="HM42" s="486">
        <v>0</v>
      </c>
      <c r="HN42" s="486">
        <v>0</v>
      </c>
      <c r="HO42" s="486">
        <v>0</v>
      </c>
      <c r="HP42" s="486">
        <v>0</v>
      </c>
      <c r="HQ42" s="486">
        <v>0</v>
      </c>
      <c r="HR42" s="486">
        <v>0</v>
      </c>
      <c r="HS42" s="486">
        <v>0</v>
      </c>
      <c r="HT42" s="486">
        <v>0</v>
      </c>
      <c r="HU42" s="486">
        <v>0</v>
      </c>
      <c r="HV42" s="486">
        <v>0</v>
      </c>
      <c r="HW42" s="486">
        <v>0</v>
      </c>
      <c r="HX42" s="486">
        <v>0</v>
      </c>
      <c r="HY42" s="486">
        <v>0</v>
      </c>
      <c r="HZ42" s="486">
        <v>0</v>
      </c>
      <c r="IA42" s="486">
        <v>0</v>
      </c>
      <c r="IB42" s="486">
        <v>0</v>
      </c>
      <c r="IC42" s="486">
        <v>0</v>
      </c>
      <c r="ID42" s="486">
        <v>0</v>
      </c>
      <c r="IE42" s="486">
        <v>0</v>
      </c>
      <c r="IF42" s="486">
        <v>0</v>
      </c>
      <c r="IG42" s="486">
        <v>0</v>
      </c>
      <c r="IH42" s="486">
        <v>0</v>
      </c>
      <c r="II42" s="486">
        <v>0</v>
      </c>
      <c r="IJ42" s="486">
        <v>0</v>
      </c>
    </row>
    <row r="43" spans="1:244" ht="16.5" hidden="1">
      <c r="A43" s="484" t="s">
        <v>720</v>
      </c>
      <c r="B43" s="484" t="s">
        <v>617</v>
      </c>
      <c r="C43" s="484" t="s">
        <v>721</v>
      </c>
      <c r="D43" s="485"/>
      <c r="E43" s="484" t="s">
        <v>721</v>
      </c>
      <c r="F43" s="484" t="s">
        <v>26</v>
      </c>
      <c r="G43" s="485"/>
      <c r="H43" s="486">
        <v>49</v>
      </c>
      <c r="I43" s="471" t="str">
        <f t="shared" si="1"/>
        <v>AIJ100249</v>
      </c>
      <c r="J43" s="486">
        <v>105</v>
      </c>
      <c r="L43" s="484" t="s">
        <v>720</v>
      </c>
      <c r="M43" s="484" t="s">
        <v>617</v>
      </c>
      <c r="N43" s="484" t="s">
        <v>25</v>
      </c>
      <c r="O43" s="486">
        <v>55</v>
      </c>
      <c r="P43" s="471" t="str">
        <f t="shared" si="2"/>
        <v>AIJ100155</v>
      </c>
      <c r="Q43" s="486">
        <v>0</v>
      </c>
      <c r="R43" s="486">
        <v>38</v>
      </c>
      <c r="S43" s="486">
        <v>73</v>
      </c>
      <c r="T43" s="486">
        <v>101</v>
      </c>
      <c r="U43" s="486">
        <v>133</v>
      </c>
      <c r="V43" s="486">
        <v>150</v>
      </c>
      <c r="W43" s="486">
        <v>173</v>
      </c>
      <c r="X43" s="486">
        <v>188</v>
      </c>
      <c r="Y43" s="486">
        <v>185</v>
      </c>
      <c r="Z43" s="486">
        <v>0</v>
      </c>
      <c r="AA43" s="486">
        <v>0</v>
      </c>
      <c r="AB43" s="486">
        <v>0</v>
      </c>
      <c r="AC43" s="486">
        <v>0</v>
      </c>
      <c r="AD43" s="486">
        <v>0</v>
      </c>
      <c r="AE43" s="486">
        <v>0</v>
      </c>
      <c r="AF43" s="486">
        <v>0</v>
      </c>
      <c r="AG43" s="486">
        <v>0</v>
      </c>
      <c r="AH43" s="486">
        <v>0</v>
      </c>
      <c r="AI43" s="486">
        <v>0</v>
      </c>
      <c r="AJ43" s="486">
        <v>0</v>
      </c>
      <c r="AK43" s="486">
        <v>0</v>
      </c>
      <c r="AL43" s="486">
        <v>0</v>
      </c>
      <c r="AM43" s="486">
        <v>0</v>
      </c>
      <c r="AN43" s="486">
        <v>0</v>
      </c>
      <c r="AO43" s="486">
        <v>0</v>
      </c>
      <c r="AP43" s="486">
        <v>0</v>
      </c>
      <c r="AQ43" s="486">
        <v>0</v>
      </c>
      <c r="AR43" s="486">
        <v>0</v>
      </c>
      <c r="AS43" s="486">
        <v>0</v>
      </c>
      <c r="AT43" s="486">
        <v>0</v>
      </c>
      <c r="AU43" s="486">
        <v>0</v>
      </c>
      <c r="AV43" s="486">
        <v>0</v>
      </c>
      <c r="AW43" s="486">
        <v>0</v>
      </c>
      <c r="AX43" s="486">
        <v>0</v>
      </c>
      <c r="AY43" s="486">
        <v>0</v>
      </c>
      <c r="AZ43" s="486">
        <v>0</v>
      </c>
      <c r="BA43" s="486">
        <v>0</v>
      </c>
      <c r="BB43" s="486">
        <v>0</v>
      </c>
      <c r="BC43" s="486">
        <v>0</v>
      </c>
      <c r="BD43" s="486">
        <v>0</v>
      </c>
      <c r="BE43" s="486">
        <v>0</v>
      </c>
      <c r="BF43" s="486">
        <v>0</v>
      </c>
      <c r="BG43" s="486">
        <v>0</v>
      </c>
      <c r="BH43" s="486">
        <v>0</v>
      </c>
      <c r="BI43" s="486">
        <v>0</v>
      </c>
      <c r="BJ43" s="486">
        <v>0</v>
      </c>
      <c r="BK43" s="486">
        <v>0</v>
      </c>
      <c r="BL43" s="486">
        <v>0</v>
      </c>
      <c r="BM43" s="486">
        <v>0</v>
      </c>
      <c r="BN43" s="486">
        <v>0</v>
      </c>
      <c r="BO43" s="486">
        <v>0</v>
      </c>
      <c r="BP43" s="486">
        <v>0</v>
      </c>
      <c r="BQ43" s="486">
        <v>0</v>
      </c>
      <c r="BR43" s="486">
        <v>0</v>
      </c>
      <c r="BS43" s="486">
        <v>0</v>
      </c>
      <c r="BT43" s="486">
        <v>0</v>
      </c>
      <c r="BU43" s="486">
        <v>0</v>
      </c>
      <c r="BV43" s="486">
        <v>0</v>
      </c>
      <c r="BW43" s="486">
        <v>0</v>
      </c>
      <c r="BX43" s="486">
        <v>0</v>
      </c>
      <c r="BY43" s="486">
        <v>0</v>
      </c>
      <c r="BZ43" s="486">
        <v>0</v>
      </c>
      <c r="CA43" s="486">
        <v>0</v>
      </c>
      <c r="CB43" s="486">
        <v>0</v>
      </c>
      <c r="CC43" s="486">
        <v>0</v>
      </c>
      <c r="CD43" s="486">
        <v>0</v>
      </c>
      <c r="CE43" s="486">
        <v>0</v>
      </c>
      <c r="CF43" s="486">
        <v>0</v>
      </c>
      <c r="CG43" s="486">
        <v>0</v>
      </c>
      <c r="CH43" s="486">
        <v>0</v>
      </c>
      <c r="CI43" s="486">
        <v>0</v>
      </c>
      <c r="CJ43" s="486">
        <v>0</v>
      </c>
      <c r="CK43" s="486">
        <v>0</v>
      </c>
      <c r="CL43" s="486">
        <v>0</v>
      </c>
      <c r="CM43" s="486">
        <v>0</v>
      </c>
      <c r="CN43" s="486">
        <v>0</v>
      </c>
      <c r="CO43" s="486">
        <v>0</v>
      </c>
      <c r="CP43" s="486">
        <v>0</v>
      </c>
      <c r="CQ43" s="486">
        <v>0</v>
      </c>
      <c r="CR43" s="486">
        <v>0</v>
      </c>
      <c r="CS43" s="486">
        <v>0</v>
      </c>
      <c r="CT43" s="486">
        <v>0</v>
      </c>
      <c r="CU43" s="486">
        <v>0</v>
      </c>
      <c r="CV43" s="486">
        <v>0</v>
      </c>
      <c r="CW43" s="486">
        <v>0</v>
      </c>
      <c r="CX43" s="486">
        <v>0</v>
      </c>
      <c r="CY43" s="486">
        <v>0</v>
      </c>
      <c r="CZ43" s="486">
        <v>0</v>
      </c>
      <c r="DA43" s="486">
        <v>0</v>
      </c>
      <c r="DB43" s="486">
        <v>0</v>
      </c>
      <c r="DC43" s="486">
        <v>0</v>
      </c>
      <c r="DD43" s="486">
        <v>0</v>
      </c>
      <c r="DE43" s="486">
        <v>0</v>
      </c>
      <c r="DF43" s="486">
        <v>0</v>
      </c>
      <c r="DG43" s="486">
        <v>0</v>
      </c>
      <c r="DH43" s="486">
        <v>0</v>
      </c>
      <c r="DI43" s="486">
        <v>0</v>
      </c>
      <c r="DJ43" s="486">
        <v>0</v>
      </c>
      <c r="DK43" s="486">
        <v>0</v>
      </c>
      <c r="DL43" s="486">
        <v>0</v>
      </c>
      <c r="DM43" s="486">
        <v>0</v>
      </c>
      <c r="DN43" s="486">
        <v>0</v>
      </c>
      <c r="DO43" s="486">
        <v>0</v>
      </c>
      <c r="DP43" s="486">
        <v>0</v>
      </c>
      <c r="DQ43" s="486">
        <v>0</v>
      </c>
      <c r="DR43" s="486">
        <v>0</v>
      </c>
      <c r="DS43" s="486">
        <v>0</v>
      </c>
      <c r="DT43" s="486">
        <v>0</v>
      </c>
      <c r="DU43" s="486">
        <v>0</v>
      </c>
      <c r="DV43" s="486">
        <v>0</v>
      </c>
      <c r="DW43" s="486">
        <v>0</v>
      </c>
      <c r="DX43" s="477"/>
      <c r="DY43" s="484" t="s">
        <v>720</v>
      </c>
      <c r="DZ43" s="484" t="s">
        <v>617</v>
      </c>
      <c r="EA43" s="484" t="s">
        <v>25</v>
      </c>
      <c r="EB43" s="486">
        <v>55</v>
      </c>
      <c r="EC43" s="471" t="str">
        <f t="shared" si="0"/>
        <v>AIJ100155</v>
      </c>
      <c r="ED43" s="486">
        <v>10000</v>
      </c>
      <c r="EE43" s="486">
        <v>10000</v>
      </c>
      <c r="EF43" s="486">
        <v>10000</v>
      </c>
      <c r="EG43" s="486">
        <v>10000</v>
      </c>
      <c r="EH43" s="486">
        <v>10000</v>
      </c>
      <c r="EI43" s="486">
        <v>10000</v>
      </c>
      <c r="EJ43" s="486">
        <v>10000</v>
      </c>
      <c r="EK43" s="486">
        <v>10000</v>
      </c>
      <c r="EL43" s="486">
        <v>10000</v>
      </c>
      <c r="EM43" s="486">
        <v>10000</v>
      </c>
      <c r="EN43" s="486">
        <v>0</v>
      </c>
      <c r="EO43" s="486">
        <v>0</v>
      </c>
      <c r="EP43" s="486">
        <v>0</v>
      </c>
      <c r="EQ43" s="486">
        <v>0</v>
      </c>
      <c r="ER43" s="486">
        <v>0</v>
      </c>
      <c r="ES43" s="486">
        <v>0</v>
      </c>
      <c r="ET43" s="486">
        <v>0</v>
      </c>
      <c r="EU43" s="486">
        <v>0</v>
      </c>
      <c r="EV43" s="486">
        <v>0</v>
      </c>
      <c r="EW43" s="486">
        <v>0</v>
      </c>
      <c r="EX43" s="486">
        <v>0</v>
      </c>
      <c r="EY43" s="486">
        <v>0</v>
      </c>
      <c r="EZ43" s="486">
        <v>0</v>
      </c>
      <c r="FA43" s="486">
        <v>0</v>
      </c>
      <c r="FB43" s="486">
        <v>0</v>
      </c>
      <c r="FC43" s="486">
        <v>0</v>
      </c>
      <c r="FD43" s="486">
        <v>0</v>
      </c>
      <c r="FE43" s="486">
        <v>0</v>
      </c>
      <c r="FF43" s="486">
        <v>0</v>
      </c>
      <c r="FG43" s="486">
        <v>0</v>
      </c>
      <c r="FH43" s="486">
        <v>0</v>
      </c>
      <c r="FI43" s="486">
        <v>0</v>
      </c>
      <c r="FJ43" s="486">
        <v>0</v>
      </c>
      <c r="FK43" s="486">
        <v>0</v>
      </c>
      <c r="FL43" s="486">
        <v>0</v>
      </c>
      <c r="FM43" s="486">
        <v>0</v>
      </c>
      <c r="FN43" s="486">
        <v>0</v>
      </c>
      <c r="FO43" s="486">
        <v>0</v>
      </c>
      <c r="FP43" s="486">
        <v>0</v>
      </c>
      <c r="FQ43" s="486">
        <v>0</v>
      </c>
      <c r="FR43" s="486">
        <v>0</v>
      </c>
      <c r="FS43" s="486">
        <v>0</v>
      </c>
      <c r="FT43" s="486">
        <v>0</v>
      </c>
      <c r="FU43" s="486">
        <v>0</v>
      </c>
      <c r="FV43" s="486">
        <v>0</v>
      </c>
      <c r="FW43" s="486">
        <v>0</v>
      </c>
      <c r="FX43" s="486">
        <v>0</v>
      </c>
      <c r="FY43" s="486">
        <v>0</v>
      </c>
      <c r="FZ43" s="486">
        <v>0</v>
      </c>
      <c r="GA43" s="486">
        <v>0</v>
      </c>
      <c r="GB43" s="486">
        <v>0</v>
      </c>
      <c r="GC43" s="486">
        <v>0</v>
      </c>
      <c r="GD43" s="486">
        <v>0</v>
      </c>
      <c r="GE43" s="486">
        <v>0</v>
      </c>
      <c r="GF43" s="486">
        <v>0</v>
      </c>
      <c r="GG43" s="486">
        <v>0</v>
      </c>
      <c r="GH43" s="486">
        <v>0</v>
      </c>
      <c r="GI43" s="486">
        <v>0</v>
      </c>
      <c r="GJ43" s="486">
        <v>0</v>
      </c>
      <c r="GK43" s="486">
        <v>0</v>
      </c>
      <c r="GL43" s="486">
        <v>0</v>
      </c>
      <c r="GM43" s="486">
        <v>0</v>
      </c>
      <c r="GN43" s="486">
        <v>0</v>
      </c>
      <c r="GO43" s="486">
        <v>0</v>
      </c>
      <c r="GP43" s="486">
        <v>0</v>
      </c>
      <c r="GQ43" s="486">
        <v>0</v>
      </c>
      <c r="GR43" s="486">
        <v>0</v>
      </c>
      <c r="GS43" s="486">
        <v>0</v>
      </c>
      <c r="GT43" s="486">
        <v>0</v>
      </c>
      <c r="GU43" s="486">
        <v>0</v>
      </c>
      <c r="GV43" s="486">
        <v>0</v>
      </c>
      <c r="GW43" s="486">
        <v>0</v>
      </c>
      <c r="GX43" s="486">
        <v>0</v>
      </c>
      <c r="GY43" s="486">
        <v>0</v>
      </c>
      <c r="GZ43" s="486">
        <v>0</v>
      </c>
      <c r="HA43" s="486">
        <v>0</v>
      </c>
      <c r="HB43" s="486">
        <v>0</v>
      </c>
      <c r="HC43" s="486">
        <v>0</v>
      </c>
      <c r="HD43" s="486">
        <v>0</v>
      </c>
      <c r="HE43" s="486">
        <v>0</v>
      </c>
      <c r="HF43" s="486">
        <v>0</v>
      </c>
      <c r="HG43" s="486">
        <v>0</v>
      </c>
      <c r="HH43" s="486">
        <v>0</v>
      </c>
      <c r="HI43" s="486">
        <v>0</v>
      </c>
      <c r="HJ43" s="486">
        <v>0</v>
      </c>
      <c r="HK43" s="486">
        <v>0</v>
      </c>
      <c r="HL43" s="486">
        <v>0</v>
      </c>
      <c r="HM43" s="486">
        <v>0</v>
      </c>
      <c r="HN43" s="486">
        <v>0</v>
      </c>
      <c r="HO43" s="486">
        <v>0</v>
      </c>
      <c r="HP43" s="486">
        <v>0</v>
      </c>
      <c r="HQ43" s="486">
        <v>0</v>
      </c>
      <c r="HR43" s="486">
        <v>0</v>
      </c>
      <c r="HS43" s="486">
        <v>0</v>
      </c>
      <c r="HT43" s="486">
        <v>0</v>
      </c>
      <c r="HU43" s="486">
        <v>0</v>
      </c>
      <c r="HV43" s="486">
        <v>0</v>
      </c>
      <c r="HW43" s="486">
        <v>0</v>
      </c>
      <c r="HX43" s="486">
        <v>0</v>
      </c>
      <c r="HY43" s="486">
        <v>0</v>
      </c>
      <c r="HZ43" s="486">
        <v>0</v>
      </c>
      <c r="IA43" s="486">
        <v>0</v>
      </c>
      <c r="IB43" s="486">
        <v>0</v>
      </c>
      <c r="IC43" s="486">
        <v>0</v>
      </c>
      <c r="ID43" s="486">
        <v>0</v>
      </c>
      <c r="IE43" s="486">
        <v>0</v>
      </c>
      <c r="IF43" s="486">
        <v>0</v>
      </c>
      <c r="IG43" s="486">
        <v>0</v>
      </c>
      <c r="IH43" s="486">
        <v>0</v>
      </c>
      <c r="II43" s="486">
        <v>0</v>
      </c>
      <c r="IJ43" s="486">
        <v>0</v>
      </c>
    </row>
    <row r="44" spans="1:244" ht="16.5" hidden="1">
      <c r="A44" s="484" t="s">
        <v>720</v>
      </c>
      <c r="B44" s="484" t="s">
        <v>617</v>
      </c>
      <c r="C44" s="484" t="s">
        <v>721</v>
      </c>
      <c r="D44" s="485"/>
      <c r="E44" s="484" t="s">
        <v>721</v>
      </c>
      <c r="F44" s="484" t="s">
        <v>26</v>
      </c>
      <c r="G44" s="485"/>
      <c r="H44" s="486">
        <v>50</v>
      </c>
      <c r="I44" s="471" t="str">
        <f t="shared" si="1"/>
        <v>AIJ100250</v>
      </c>
      <c r="J44" s="486">
        <v>111</v>
      </c>
      <c r="L44" s="484" t="s">
        <v>720</v>
      </c>
      <c r="M44" s="484" t="s">
        <v>617</v>
      </c>
      <c r="N44" s="484" t="s">
        <v>25</v>
      </c>
      <c r="O44" s="486">
        <v>56</v>
      </c>
      <c r="P44" s="471" t="str">
        <f t="shared" si="2"/>
        <v>AIJ100156</v>
      </c>
      <c r="Q44" s="486">
        <v>0</v>
      </c>
      <c r="R44" s="486">
        <v>42</v>
      </c>
      <c r="S44" s="486">
        <v>79</v>
      </c>
      <c r="T44" s="486">
        <v>110</v>
      </c>
      <c r="U44" s="486">
        <v>142</v>
      </c>
      <c r="V44" s="486">
        <v>163</v>
      </c>
      <c r="W44" s="486">
        <v>189</v>
      </c>
      <c r="X44" s="486">
        <v>206</v>
      </c>
      <c r="Y44" s="486">
        <v>201</v>
      </c>
      <c r="Z44" s="486">
        <v>0</v>
      </c>
      <c r="AA44" s="486">
        <v>0</v>
      </c>
      <c r="AB44" s="486">
        <v>0</v>
      </c>
      <c r="AC44" s="486">
        <v>0</v>
      </c>
      <c r="AD44" s="486">
        <v>0</v>
      </c>
      <c r="AE44" s="486">
        <v>0</v>
      </c>
      <c r="AF44" s="486">
        <v>0</v>
      </c>
      <c r="AG44" s="486">
        <v>0</v>
      </c>
      <c r="AH44" s="486">
        <v>0</v>
      </c>
      <c r="AI44" s="486">
        <v>0</v>
      </c>
      <c r="AJ44" s="486">
        <v>0</v>
      </c>
      <c r="AK44" s="486">
        <v>0</v>
      </c>
      <c r="AL44" s="486">
        <v>0</v>
      </c>
      <c r="AM44" s="486">
        <v>0</v>
      </c>
      <c r="AN44" s="486">
        <v>0</v>
      </c>
      <c r="AO44" s="486">
        <v>0</v>
      </c>
      <c r="AP44" s="486">
        <v>0</v>
      </c>
      <c r="AQ44" s="486">
        <v>0</v>
      </c>
      <c r="AR44" s="486">
        <v>0</v>
      </c>
      <c r="AS44" s="486">
        <v>0</v>
      </c>
      <c r="AT44" s="486">
        <v>0</v>
      </c>
      <c r="AU44" s="486">
        <v>0</v>
      </c>
      <c r="AV44" s="486">
        <v>0</v>
      </c>
      <c r="AW44" s="486">
        <v>0</v>
      </c>
      <c r="AX44" s="486">
        <v>0</v>
      </c>
      <c r="AY44" s="486">
        <v>0</v>
      </c>
      <c r="AZ44" s="486">
        <v>0</v>
      </c>
      <c r="BA44" s="486">
        <v>0</v>
      </c>
      <c r="BB44" s="486">
        <v>0</v>
      </c>
      <c r="BC44" s="486">
        <v>0</v>
      </c>
      <c r="BD44" s="486">
        <v>0</v>
      </c>
      <c r="BE44" s="486">
        <v>0</v>
      </c>
      <c r="BF44" s="486">
        <v>0</v>
      </c>
      <c r="BG44" s="486">
        <v>0</v>
      </c>
      <c r="BH44" s="486">
        <v>0</v>
      </c>
      <c r="BI44" s="486">
        <v>0</v>
      </c>
      <c r="BJ44" s="486">
        <v>0</v>
      </c>
      <c r="BK44" s="486">
        <v>0</v>
      </c>
      <c r="BL44" s="486">
        <v>0</v>
      </c>
      <c r="BM44" s="486">
        <v>0</v>
      </c>
      <c r="BN44" s="486">
        <v>0</v>
      </c>
      <c r="BO44" s="486">
        <v>0</v>
      </c>
      <c r="BP44" s="486">
        <v>0</v>
      </c>
      <c r="BQ44" s="486">
        <v>0</v>
      </c>
      <c r="BR44" s="486">
        <v>0</v>
      </c>
      <c r="BS44" s="486">
        <v>0</v>
      </c>
      <c r="BT44" s="486">
        <v>0</v>
      </c>
      <c r="BU44" s="486">
        <v>0</v>
      </c>
      <c r="BV44" s="486">
        <v>0</v>
      </c>
      <c r="BW44" s="486">
        <v>0</v>
      </c>
      <c r="BX44" s="486">
        <v>0</v>
      </c>
      <c r="BY44" s="486">
        <v>0</v>
      </c>
      <c r="BZ44" s="486">
        <v>0</v>
      </c>
      <c r="CA44" s="486">
        <v>0</v>
      </c>
      <c r="CB44" s="486">
        <v>0</v>
      </c>
      <c r="CC44" s="486">
        <v>0</v>
      </c>
      <c r="CD44" s="486">
        <v>0</v>
      </c>
      <c r="CE44" s="486">
        <v>0</v>
      </c>
      <c r="CF44" s="486">
        <v>0</v>
      </c>
      <c r="CG44" s="486">
        <v>0</v>
      </c>
      <c r="CH44" s="486">
        <v>0</v>
      </c>
      <c r="CI44" s="486">
        <v>0</v>
      </c>
      <c r="CJ44" s="486">
        <v>0</v>
      </c>
      <c r="CK44" s="486">
        <v>0</v>
      </c>
      <c r="CL44" s="486">
        <v>0</v>
      </c>
      <c r="CM44" s="486">
        <v>0</v>
      </c>
      <c r="CN44" s="486">
        <v>0</v>
      </c>
      <c r="CO44" s="486">
        <v>0</v>
      </c>
      <c r="CP44" s="486">
        <v>0</v>
      </c>
      <c r="CQ44" s="486">
        <v>0</v>
      </c>
      <c r="CR44" s="486">
        <v>0</v>
      </c>
      <c r="CS44" s="486">
        <v>0</v>
      </c>
      <c r="CT44" s="486">
        <v>0</v>
      </c>
      <c r="CU44" s="486">
        <v>0</v>
      </c>
      <c r="CV44" s="486">
        <v>0</v>
      </c>
      <c r="CW44" s="486">
        <v>0</v>
      </c>
      <c r="CX44" s="486">
        <v>0</v>
      </c>
      <c r="CY44" s="486">
        <v>0</v>
      </c>
      <c r="CZ44" s="486">
        <v>0</v>
      </c>
      <c r="DA44" s="486">
        <v>0</v>
      </c>
      <c r="DB44" s="486">
        <v>0</v>
      </c>
      <c r="DC44" s="486">
        <v>0</v>
      </c>
      <c r="DD44" s="486">
        <v>0</v>
      </c>
      <c r="DE44" s="486">
        <v>0</v>
      </c>
      <c r="DF44" s="486">
        <v>0</v>
      </c>
      <c r="DG44" s="486">
        <v>0</v>
      </c>
      <c r="DH44" s="486">
        <v>0</v>
      </c>
      <c r="DI44" s="486">
        <v>0</v>
      </c>
      <c r="DJ44" s="486">
        <v>0</v>
      </c>
      <c r="DK44" s="486">
        <v>0</v>
      </c>
      <c r="DL44" s="486">
        <v>0</v>
      </c>
      <c r="DM44" s="486">
        <v>0</v>
      </c>
      <c r="DN44" s="486">
        <v>0</v>
      </c>
      <c r="DO44" s="486">
        <v>0</v>
      </c>
      <c r="DP44" s="486">
        <v>0</v>
      </c>
      <c r="DQ44" s="486">
        <v>0</v>
      </c>
      <c r="DR44" s="486">
        <v>0</v>
      </c>
      <c r="DS44" s="486">
        <v>0</v>
      </c>
      <c r="DT44" s="486">
        <v>0</v>
      </c>
      <c r="DU44" s="486">
        <v>0</v>
      </c>
      <c r="DV44" s="486">
        <v>0</v>
      </c>
      <c r="DW44" s="486">
        <v>0</v>
      </c>
      <c r="DX44" s="477"/>
      <c r="DY44" s="484" t="s">
        <v>720</v>
      </c>
      <c r="DZ44" s="484" t="s">
        <v>617</v>
      </c>
      <c r="EA44" s="484" t="s">
        <v>25</v>
      </c>
      <c r="EB44" s="486">
        <v>56</v>
      </c>
      <c r="EC44" s="471" t="str">
        <f t="shared" si="0"/>
        <v>AIJ100156</v>
      </c>
      <c r="ED44" s="486">
        <v>10000</v>
      </c>
      <c r="EE44" s="486">
        <v>10000</v>
      </c>
      <c r="EF44" s="486">
        <v>10000</v>
      </c>
      <c r="EG44" s="486">
        <v>10000</v>
      </c>
      <c r="EH44" s="486">
        <v>10000</v>
      </c>
      <c r="EI44" s="486">
        <v>10000</v>
      </c>
      <c r="EJ44" s="486">
        <v>10000</v>
      </c>
      <c r="EK44" s="486">
        <v>10000</v>
      </c>
      <c r="EL44" s="486">
        <v>10000</v>
      </c>
      <c r="EM44" s="486">
        <v>10000</v>
      </c>
      <c r="EN44" s="486">
        <v>0</v>
      </c>
      <c r="EO44" s="486">
        <v>0</v>
      </c>
      <c r="EP44" s="486">
        <v>0</v>
      </c>
      <c r="EQ44" s="486">
        <v>0</v>
      </c>
      <c r="ER44" s="486">
        <v>0</v>
      </c>
      <c r="ES44" s="486">
        <v>0</v>
      </c>
      <c r="ET44" s="486">
        <v>0</v>
      </c>
      <c r="EU44" s="486">
        <v>0</v>
      </c>
      <c r="EV44" s="486">
        <v>0</v>
      </c>
      <c r="EW44" s="486">
        <v>0</v>
      </c>
      <c r="EX44" s="486">
        <v>0</v>
      </c>
      <c r="EY44" s="486">
        <v>0</v>
      </c>
      <c r="EZ44" s="486">
        <v>0</v>
      </c>
      <c r="FA44" s="486">
        <v>0</v>
      </c>
      <c r="FB44" s="486">
        <v>0</v>
      </c>
      <c r="FC44" s="486">
        <v>0</v>
      </c>
      <c r="FD44" s="486">
        <v>0</v>
      </c>
      <c r="FE44" s="486">
        <v>0</v>
      </c>
      <c r="FF44" s="486">
        <v>0</v>
      </c>
      <c r="FG44" s="486">
        <v>0</v>
      </c>
      <c r="FH44" s="486">
        <v>0</v>
      </c>
      <c r="FI44" s="486">
        <v>0</v>
      </c>
      <c r="FJ44" s="486">
        <v>0</v>
      </c>
      <c r="FK44" s="486">
        <v>0</v>
      </c>
      <c r="FL44" s="486">
        <v>0</v>
      </c>
      <c r="FM44" s="486">
        <v>0</v>
      </c>
      <c r="FN44" s="486">
        <v>0</v>
      </c>
      <c r="FO44" s="486">
        <v>0</v>
      </c>
      <c r="FP44" s="486">
        <v>0</v>
      </c>
      <c r="FQ44" s="486">
        <v>0</v>
      </c>
      <c r="FR44" s="486">
        <v>0</v>
      </c>
      <c r="FS44" s="486">
        <v>0</v>
      </c>
      <c r="FT44" s="486">
        <v>0</v>
      </c>
      <c r="FU44" s="486">
        <v>0</v>
      </c>
      <c r="FV44" s="486">
        <v>0</v>
      </c>
      <c r="FW44" s="486">
        <v>0</v>
      </c>
      <c r="FX44" s="486">
        <v>0</v>
      </c>
      <c r="FY44" s="486">
        <v>0</v>
      </c>
      <c r="FZ44" s="486">
        <v>0</v>
      </c>
      <c r="GA44" s="486">
        <v>0</v>
      </c>
      <c r="GB44" s="486">
        <v>0</v>
      </c>
      <c r="GC44" s="486">
        <v>0</v>
      </c>
      <c r="GD44" s="486">
        <v>0</v>
      </c>
      <c r="GE44" s="486">
        <v>0</v>
      </c>
      <c r="GF44" s="486">
        <v>0</v>
      </c>
      <c r="GG44" s="486">
        <v>0</v>
      </c>
      <c r="GH44" s="486">
        <v>0</v>
      </c>
      <c r="GI44" s="486">
        <v>0</v>
      </c>
      <c r="GJ44" s="486">
        <v>0</v>
      </c>
      <c r="GK44" s="486">
        <v>0</v>
      </c>
      <c r="GL44" s="486">
        <v>0</v>
      </c>
      <c r="GM44" s="486">
        <v>0</v>
      </c>
      <c r="GN44" s="486">
        <v>0</v>
      </c>
      <c r="GO44" s="486">
        <v>0</v>
      </c>
      <c r="GP44" s="486">
        <v>0</v>
      </c>
      <c r="GQ44" s="486">
        <v>0</v>
      </c>
      <c r="GR44" s="486">
        <v>0</v>
      </c>
      <c r="GS44" s="486">
        <v>0</v>
      </c>
      <c r="GT44" s="486">
        <v>0</v>
      </c>
      <c r="GU44" s="486">
        <v>0</v>
      </c>
      <c r="GV44" s="486">
        <v>0</v>
      </c>
      <c r="GW44" s="486">
        <v>0</v>
      </c>
      <c r="GX44" s="486">
        <v>0</v>
      </c>
      <c r="GY44" s="486">
        <v>0</v>
      </c>
      <c r="GZ44" s="486">
        <v>0</v>
      </c>
      <c r="HA44" s="486">
        <v>0</v>
      </c>
      <c r="HB44" s="486">
        <v>0</v>
      </c>
      <c r="HC44" s="486">
        <v>0</v>
      </c>
      <c r="HD44" s="486">
        <v>0</v>
      </c>
      <c r="HE44" s="486">
        <v>0</v>
      </c>
      <c r="HF44" s="486">
        <v>0</v>
      </c>
      <c r="HG44" s="486">
        <v>0</v>
      </c>
      <c r="HH44" s="486">
        <v>0</v>
      </c>
      <c r="HI44" s="486">
        <v>0</v>
      </c>
      <c r="HJ44" s="486">
        <v>0</v>
      </c>
      <c r="HK44" s="486">
        <v>0</v>
      </c>
      <c r="HL44" s="486">
        <v>0</v>
      </c>
      <c r="HM44" s="486">
        <v>0</v>
      </c>
      <c r="HN44" s="486">
        <v>0</v>
      </c>
      <c r="HO44" s="486">
        <v>0</v>
      </c>
      <c r="HP44" s="486">
        <v>0</v>
      </c>
      <c r="HQ44" s="486">
        <v>0</v>
      </c>
      <c r="HR44" s="486">
        <v>0</v>
      </c>
      <c r="HS44" s="486">
        <v>0</v>
      </c>
      <c r="HT44" s="486">
        <v>0</v>
      </c>
      <c r="HU44" s="486">
        <v>0</v>
      </c>
      <c r="HV44" s="486">
        <v>0</v>
      </c>
      <c r="HW44" s="486">
        <v>0</v>
      </c>
      <c r="HX44" s="486">
        <v>0</v>
      </c>
      <c r="HY44" s="486">
        <v>0</v>
      </c>
      <c r="HZ44" s="486">
        <v>0</v>
      </c>
      <c r="IA44" s="486">
        <v>0</v>
      </c>
      <c r="IB44" s="486">
        <v>0</v>
      </c>
      <c r="IC44" s="486">
        <v>0</v>
      </c>
      <c r="ID44" s="486">
        <v>0</v>
      </c>
      <c r="IE44" s="486">
        <v>0</v>
      </c>
      <c r="IF44" s="486">
        <v>0</v>
      </c>
      <c r="IG44" s="486">
        <v>0</v>
      </c>
      <c r="IH44" s="486">
        <v>0</v>
      </c>
      <c r="II44" s="486">
        <v>0</v>
      </c>
      <c r="IJ44" s="486">
        <v>0</v>
      </c>
    </row>
    <row r="45" spans="1:244" ht="16.5" hidden="1">
      <c r="A45" s="484" t="s">
        <v>720</v>
      </c>
      <c r="B45" s="484" t="s">
        <v>617</v>
      </c>
      <c r="C45" s="484" t="s">
        <v>721</v>
      </c>
      <c r="D45" s="485"/>
      <c r="E45" s="484" t="s">
        <v>721</v>
      </c>
      <c r="F45" s="484" t="s">
        <v>26</v>
      </c>
      <c r="G45" s="485"/>
      <c r="H45" s="486">
        <v>51</v>
      </c>
      <c r="I45" s="471" t="str">
        <f t="shared" si="1"/>
        <v>AIJ100251</v>
      </c>
      <c r="J45" s="486">
        <v>117</v>
      </c>
      <c r="L45" s="484" t="s">
        <v>720</v>
      </c>
      <c r="M45" s="484" t="s">
        <v>617</v>
      </c>
      <c r="N45" s="484" t="s">
        <v>25</v>
      </c>
      <c r="O45" s="486">
        <v>57</v>
      </c>
      <c r="P45" s="471" t="str">
        <f t="shared" si="2"/>
        <v>AIJ100157</v>
      </c>
      <c r="Q45" s="486">
        <v>0</v>
      </c>
      <c r="R45" s="486">
        <v>45</v>
      </c>
      <c r="S45" s="486">
        <v>84</v>
      </c>
      <c r="T45" s="486">
        <v>117</v>
      </c>
      <c r="U45" s="486">
        <v>155</v>
      </c>
      <c r="V45" s="486">
        <v>178</v>
      </c>
      <c r="W45" s="486">
        <v>206</v>
      </c>
      <c r="X45" s="486">
        <v>224</v>
      </c>
      <c r="Y45" s="486">
        <v>218</v>
      </c>
      <c r="Z45" s="486">
        <v>0</v>
      </c>
      <c r="AA45" s="486">
        <v>0</v>
      </c>
      <c r="AB45" s="486">
        <v>0</v>
      </c>
      <c r="AC45" s="486">
        <v>0</v>
      </c>
      <c r="AD45" s="486">
        <v>0</v>
      </c>
      <c r="AE45" s="486">
        <v>0</v>
      </c>
      <c r="AF45" s="486">
        <v>0</v>
      </c>
      <c r="AG45" s="486">
        <v>0</v>
      </c>
      <c r="AH45" s="486">
        <v>0</v>
      </c>
      <c r="AI45" s="486">
        <v>0</v>
      </c>
      <c r="AJ45" s="486">
        <v>0</v>
      </c>
      <c r="AK45" s="486">
        <v>0</v>
      </c>
      <c r="AL45" s="486">
        <v>0</v>
      </c>
      <c r="AM45" s="486">
        <v>0</v>
      </c>
      <c r="AN45" s="486">
        <v>0</v>
      </c>
      <c r="AO45" s="486">
        <v>0</v>
      </c>
      <c r="AP45" s="486">
        <v>0</v>
      </c>
      <c r="AQ45" s="486">
        <v>0</v>
      </c>
      <c r="AR45" s="486">
        <v>0</v>
      </c>
      <c r="AS45" s="486">
        <v>0</v>
      </c>
      <c r="AT45" s="486">
        <v>0</v>
      </c>
      <c r="AU45" s="486">
        <v>0</v>
      </c>
      <c r="AV45" s="486">
        <v>0</v>
      </c>
      <c r="AW45" s="486">
        <v>0</v>
      </c>
      <c r="AX45" s="486">
        <v>0</v>
      </c>
      <c r="AY45" s="486">
        <v>0</v>
      </c>
      <c r="AZ45" s="486">
        <v>0</v>
      </c>
      <c r="BA45" s="486">
        <v>0</v>
      </c>
      <c r="BB45" s="486">
        <v>0</v>
      </c>
      <c r="BC45" s="486">
        <v>0</v>
      </c>
      <c r="BD45" s="486">
        <v>0</v>
      </c>
      <c r="BE45" s="486">
        <v>0</v>
      </c>
      <c r="BF45" s="486">
        <v>0</v>
      </c>
      <c r="BG45" s="486">
        <v>0</v>
      </c>
      <c r="BH45" s="486">
        <v>0</v>
      </c>
      <c r="BI45" s="486">
        <v>0</v>
      </c>
      <c r="BJ45" s="486">
        <v>0</v>
      </c>
      <c r="BK45" s="486">
        <v>0</v>
      </c>
      <c r="BL45" s="486">
        <v>0</v>
      </c>
      <c r="BM45" s="486">
        <v>0</v>
      </c>
      <c r="BN45" s="486">
        <v>0</v>
      </c>
      <c r="BO45" s="486">
        <v>0</v>
      </c>
      <c r="BP45" s="486">
        <v>0</v>
      </c>
      <c r="BQ45" s="486">
        <v>0</v>
      </c>
      <c r="BR45" s="486">
        <v>0</v>
      </c>
      <c r="BS45" s="486">
        <v>0</v>
      </c>
      <c r="BT45" s="486">
        <v>0</v>
      </c>
      <c r="BU45" s="486">
        <v>0</v>
      </c>
      <c r="BV45" s="486">
        <v>0</v>
      </c>
      <c r="BW45" s="486">
        <v>0</v>
      </c>
      <c r="BX45" s="486">
        <v>0</v>
      </c>
      <c r="BY45" s="486">
        <v>0</v>
      </c>
      <c r="BZ45" s="486">
        <v>0</v>
      </c>
      <c r="CA45" s="486">
        <v>0</v>
      </c>
      <c r="CB45" s="486">
        <v>0</v>
      </c>
      <c r="CC45" s="486">
        <v>0</v>
      </c>
      <c r="CD45" s="486">
        <v>0</v>
      </c>
      <c r="CE45" s="486">
        <v>0</v>
      </c>
      <c r="CF45" s="486">
        <v>0</v>
      </c>
      <c r="CG45" s="486">
        <v>0</v>
      </c>
      <c r="CH45" s="486">
        <v>0</v>
      </c>
      <c r="CI45" s="486">
        <v>0</v>
      </c>
      <c r="CJ45" s="486">
        <v>0</v>
      </c>
      <c r="CK45" s="486">
        <v>0</v>
      </c>
      <c r="CL45" s="486">
        <v>0</v>
      </c>
      <c r="CM45" s="486">
        <v>0</v>
      </c>
      <c r="CN45" s="486">
        <v>0</v>
      </c>
      <c r="CO45" s="486">
        <v>0</v>
      </c>
      <c r="CP45" s="486">
        <v>0</v>
      </c>
      <c r="CQ45" s="486">
        <v>0</v>
      </c>
      <c r="CR45" s="486">
        <v>0</v>
      </c>
      <c r="CS45" s="486">
        <v>0</v>
      </c>
      <c r="CT45" s="486">
        <v>0</v>
      </c>
      <c r="CU45" s="486">
        <v>0</v>
      </c>
      <c r="CV45" s="486">
        <v>0</v>
      </c>
      <c r="CW45" s="486">
        <v>0</v>
      </c>
      <c r="CX45" s="486">
        <v>0</v>
      </c>
      <c r="CY45" s="486">
        <v>0</v>
      </c>
      <c r="CZ45" s="486">
        <v>0</v>
      </c>
      <c r="DA45" s="486">
        <v>0</v>
      </c>
      <c r="DB45" s="486">
        <v>0</v>
      </c>
      <c r="DC45" s="486">
        <v>0</v>
      </c>
      <c r="DD45" s="486">
        <v>0</v>
      </c>
      <c r="DE45" s="486">
        <v>0</v>
      </c>
      <c r="DF45" s="486">
        <v>0</v>
      </c>
      <c r="DG45" s="486">
        <v>0</v>
      </c>
      <c r="DH45" s="486">
        <v>0</v>
      </c>
      <c r="DI45" s="486">
        <v>0</v>
      </c>
      <c r="DJ45" s="486">
        <v>0</v>
      </c>
      <c r="DK45" s="486">
        <v>0</v>
      </c>
      <c r="DL45" s="486">
        <v>0</v>
      </c>
      <c r="DM45" s="486">
        <v>0</v>
      </c>
      <c r="DN45" s="486">
        <v>0</v>
      </c>
      <c r="DO45" s="486">
        <v>0</v>
      </c>
      <c r="DP45" s="486">
        <v>0</v>
      </c>
      <c r="DQ45" s="486">
        <v>0</v>
      </c>
      <c r="DR45" s="486">
        <v>0</v>
      </c>
      <c r="DS45" s="486">
        <v>0</v>
      </c>
      <c r="DT45" s="486">
        <v>0</v>
      </c>
      <c r="DU45" s="486">
        <v>0</v>
      </c>
      <c r="DV45" s="486">
        <v>0</v>
      </c>
      <c r="DW45" s="486">
        <v>0</v>
      </c>
      <c r="DX45" s="477"/>
      <c r="DY45" s="484" t="s">
        <v>720</v>
      </c>
      <c r="DZ45" s="484" t="s">
        <v>617</v>
      </c>
      <c r="EA45" s="484" t="s">
        <v>25</v>
      </c>
      <c r="EB45" s="486">
        <v>57</v>
      </c>
      <c r="EC45" s="471" t="str">
        <f t="shared" si="0"/>
        <v>AIJ100157</v>
      </c>
      <c r="ED45" s="486">
        <v>10000</v>
      </c>
      <c r="EE45" s="486">
        <v>10000</v>
      </c>
      <c r="EF45" s="486">
        <v>10000</v>
      </c>
      <c r="EG45" s="486">
        <v>10000</v>
      </c>
      <c r="EH45" s="486">
        <v>10000</v>
      </c>
      <c r="EI45" s="486">
        <v>10000</v>
      </c>
      <c r="EJ45" s="486">
        <v>10000</v>
      </c>
      <c r="EK45" s="486">
        <v>10000</v>
      </c>
      <c r="EL45" s="486">
        <v>10000</v>
      </c>
      <c r="EM45" s="486">
        <v>10000</v>
      </c>
      <c r="EN45" s="486">
        <v>0</v>
      </c>
      <c r="EO45" s="486">
        <v>0</v>
      </c>
      <c r="EP45" s="486">
        <v>0</v>
      </c>
      <c r="EQ45" s="486">
        <v>0</v>
      </c>
      <c r="ER45" s="486">
        <v>0</v>
      </c>
      <c r="ES45" s="486">
        <v>0</v>
      </c>
      <c r="ET45" s="486">
        <v>0</v>
      </c>
      <c r="EU45" s="486">
        <v>0</v>
      </c>
      <c r="EV45" s="486">
        <v>0</v>
      </c>
      <c r="EW45" s="486">
        <v>0</v>
      </c>
      <c r="EX45" s="486">
        <v>0</v>
      </c>
      <c r="EY45" s="486">
        <v>0</v>
      </c>
      <c r="EZ45" s="486">
        <v>0</v>
      </c>
      <c r="FA45" s="486">
        <v>0</v>
      </c>
      <c r="FB45" s="486">
        <v>0</v>
      </c>
      <c r="FC45" s="486">
        <v>0</v>
      </c>
      <c r="FD45" s="486">
        <v>0</v>
      </c>
      <c r="FE45" s="486">
        <v>0</v>
      </c>
      <c r="FF45" s="486">
        <v>0</v>
      </c>
      <c r="FG45" s="486">
        <v>0</v>
      </c>
      <c r="FH45" s="486">
        <v>0</v>
      </c>
      <c r="FI45" s="486">
        <v>0</v>
      </c>
      <c r="FJ45" s="486">
        <v>0</v>
      </c>
      <c r="FK45" s="486">
        <v>0</v>
      </c>
      <c r="FL45" s="486">
        <v>0</v>
      </c>
      <c r="FM45" s="486">
        <v>0</v>
      </c>
      <c r="FN45" s="486">
        <v>0</v>
      </c>
      <c r="FO45" s="486">
        <v>0</v>
      </c>
      <c r="FP45" s="486">
        <v>0</v>
      </c>
      <c r="FQ45" s="486">
        <v>0</v>
      </c>
      <c r="FR45" s="486">
        <v>0</v>
      </c>
      <c r="FS45" s="486">
        <v>0</v>
      </c>
      <c r="FT45" s="486">
        <v>0</v>
      </c>
      <c r="FU45" s="486">
        <v>0</v>
      </c>
      <c r="FV45" s="486">
        <v>0</v>
      </c>
      <c r="FW45" s="486">
        <v>0</v>
      </c>
      <c r="FX45" s="486">
        <v>0</v>
      </c>
      <c r="FY45" s="486">
        <v>0</v>
      </c>
      <c r="FZ45" s="486">
        <v>0</v>
      </c>
      <c r="GA45" s="486">
        <v>0</v>
      </c>
      <c r="GB45" s="486">
        <v>0</v>
      </c>
      <c r="GC45" s="486">
        <v>0</v>
      </c>
      <c r="GD45" s="486">
        <v>0</v>
      </c>
      <c r="GE45" s="486">
        <v>0</v>
      </c>
      <c r="GF45" s="486">
        <v>0</v>
      </c>
      <c r="GG45" s="486">
        <v>0</v>
      </c>
      <c r="GH45" s="486">
        <v>0</v>
      </c>
      <c r="GI45" s="486">
        <v>0</v>
      </c>
      <c r="GJ45" s="486">
        <v>0</v>
      </c>
      <c r="GK45" s="486">
        <v>0</v>
      </c>
      <c r="GL45" s="486">
        <v>0</v>
      </c>
      <c r="GM45" s="486">
        <v>0</v>
      </c>
      <c r="GN45" s="486">
        <v>0</v>
      </c>
      <c r="GO45" s="486">
        <v>0</v>
      </c>
      <c r="GP45" s="486">
        <v>0</v>
      </c>
      <c r="GQ45" s="486">
        <v>0</v>
      </c>
      <c r="GR45" s="486">
        <v>0</v>
      </c>
      <c r="GS45" s="486">
        <v>0</v>
      </c>
      <c r="GT45" s="486">
        <v>0</v>
      </c>
      <c r="GU45" s="486">
        <v>0</v>
      </c>
      <c r="GV45" s="486">
        <v>0</v>
      </c>
      <c r="GW45" s="486">
        <v>0</v>
      </c>
      <c r="GX45" s="486">
        <v>0</v>
      </c>
      <c r="GY45" s="486">
        <v>0</v>
      </c>
      <c r="GZ45" s="486">
        <v>0</v>
      </c>
      <c r="HA45" s="486">
        <v>0</v>
      </c>
      <c r="HB45" s="486">
        <v>0</v>
      </c>
      <c r="HC45" s="486">
        <v>0</v>
      </c>
      <c r="HD45" s="486">
        <v>0</v>
      </c>
      <c r="HE45" s="486">
        <v>0</v>
      </c>
      <c r="HF45" s="486">
        <v>0</v>
      </c>
      <c r="HG45" s="486">
        <v>0</v>
      </c>
      <c r="HH45" s="486">
        <v>0</v>
      </c>
      <c r="HI45" s="486">
        <v>0</v>
      </c>
      <c r="HJ45" s="486">
        <v>0</v>
      </c>
      <c r="HK45" s="486">
        <v>0</v>
      </c>
      <c r="HL45" s="486">
        <v>0</v>
      </c>
      <c r="HM45" s="486">
        <v>0</v>
      </c>
      <c r="HN45" s="486">
        <v>0</v>
      </c>
      <c r="HO45" s="486">
        <v>0</v>
      </c>
      <c r="HP45" s="486">
        <v>0</v>
      </c>
      <c r="HQ45" s="486">
        <v>0</v>
      </c>
      <c r="HR45" s="486">
        <v>0</v>
      </c>
      <c r="HS45" s="486">
        <v>0</v>
      </c>
      <c r="HT45" s="486">
        <v>0</v>
      </c>
      <c r="HU45" s="486">
        <v>0</v>
      </c>
      <c r="HV45" s="486">
        <v>0</v>
      </c>
      <c r="HW45" s="486">
        <v>0</v>
      </c>
      <c r="HX45" s="486">
        <v>0</v>
      </c>
      <c r="HY45" s="486">
        <v>0</v>
      </c>
      <c r="HZ45" s="486">
        <v>0</v>
      </c>
      <c r="IA45" s="486">
        <v>0</v>
      </c>
      <c r="IB45" s="486">
        <v>0</v>
      </c>
      <c r="IC45" s="486">
        <v>0</v>
      </c>
      <c r="ID45" s="486">
        <v>0</v>
      </c>
      <c r="IE45" s="486">
        <v>0</v>
      </c>
      <c r="IF45" s="486">
        <v>0</v>
      </c>
      <c r="IG45" s="486">
        <v>0</v>
      </c>
      <c r="IH45" s="486">
        <v>0</v>
      </c>
      <c r="II45" s="486">
        <v>0</v>
      </c>
      <c r="IJ45" s="486">
        <v>0</v>
      </c>
    </row>
    <row r="46" spans="1:244" ht="16.5" hidden="1">
      <c r="A46" s="484" t="s">
        <v>720</v>
      </c>
      <c r="B46" s="484" t="s">
        <v>617</v>
      </c>
      <c r="C46" s="484" t="s">
        <v>721</v>
      </c>
      <c r="D46" s="485"/>
      <c r="E46" s="484" t="s">
        <v>721</v>
      </c>
      <c r="F46" s="484" t="s">
        <v>26</v>
      </c>
      <c r="G46" s="485"/>
      <c r="H46" s="486">
        <v>52</v>
      </c>
      <c r="I46" s="471" t="str">
        <f t="shared" si="1"/>
        <v>AIJ100252</v>
      </c>
      <c r="J46" s="486">
        <v>123</v>
      </c>
      <c r="L46" s="484" t="s">
        <v>720</v>
      </c>
      <c r="M46" s="484" t="s">
        <v>617</v>
      </c>
      <c r="N46" s="484" t="s">
        <v>25</v>
      </c>
      <c r="O46" s="486">
        <v>58</v>
      </c>
      <c r="P46" s="471" t="str">
        <f t="shared" si="2"/>
        <v>AIJ100158</v>
      </c>
      <c r="Q46" s="486">
        <v>0</v>
      </c>
      <c r="R46" s="486">
        <v>47</v>
      </c>
      <c r="S46" s="486">
        <v>89</v>
      </c>
      <c r="T46" s="486">
        <v>127</v>
      </c>
      <c r="U46" s="486">
        <v>169</v>
      </c>
      <c r="V46" s="486">
        <v>194</v>
      </c>
      <c r="W46" s="486">
        <v>224</v>
      </c>
      <c r="X46" s="486">
        <v>243</v>
      </c>
      <c r="Y46" s="486">
        <v>236</v>
      </c>
      <c r="Z46" s="486">
        <v>0</v>
      </c>
      <c r="AA46" s="486">
        <v>0</v>
      </c>
      <c r="AB46" s="486">
        <v>0</v>
      </c>
      <c r="AC46" s="486">
        <v>0</v>
      </c>
      <c r="AD46" s="486">
        <v>0</v>
      </c>
      <c r="AE46" s="486">
        <v>0</v>
      </c>
      <c r="AF46" s="486">
        <v>0</v>
      </c>
      <c r="AG46" s="486">
        <v>0</v>
      </c>
      <c r="AH46" s="486">
        <v>0</v>
      </c>
      <c r="AI46" s="486">
        <v>0</v>
      </c>
      <c r="AJ46" s="486">
        <v>0</v>
      </c>
      <c r="AK46" s="486">
        <v>0</v>
      </c>
      <c r="AL46" s="486">
        <v>0</v>
      </c>
      <c r="AM46" s="486">
        <v>0</v>
      </c>
      <c r="AN46" s="486">
        <v>0</v>
      </c>
      <c r="AO46" s="486">
        <v>0</v>
      </c>
      <c r="AP46" s="486">
        <v>0</v>
      </c>
      <c r="AQ46" s="486">
        <v>0</v>
      </c>
      <c r="AR46" s="486">
        <v>0</v>
      </c>
      <c r="AS46" s="486">
        <v>0</v>
      </c>
      <c r="AT46" s="486">
        <v>0</v>
      </c>
      <c r="AU46" s="486">
        <v>0</v>
      </c>
      <c r="AV46" s="486">
        <v>0</v>
      </c>
      <c r="AW46" s="486">
        <v>0</v>
      </c>
      <c r="AX46" s="486">
        <v>0</v>
      </c>
      <c r="AY46" s="486">
        <v>0</v>
      </c>
      <c r="AZ46" s="486">
        <v>0</v>
      </c>
      <c r="BA46" s="486">
        <v>0</v>
      </c>
      <c r="BB46" s="486">
        <v>0</v>
      </c>
      <c r="BC46" s="486">
        <v>0</v>
      </c>
      <c r="BD46" s="486">
        <v>0</v>
      </c>
      <c r="BE46" s="486">
        <v>0</v>
      </c>
      <c r="BF46" s="486">
        <v>0</v>
      </c>
      <c r="BG46" s="486">
        <v>0</v>
      </c>
      <c r="BH46" s="486">
        <v>0</v>
      </c>
      <c r="BI46" s="486">
        <v>0</v>
      </c>
      <c r="BJ46" s="486">
        <v>0</v>
      </c>
      <c r="BK46" s="486">
        <v>0</v>
      </c>
      <c r="BL46" s="486">
        <v>0</v>
      </c>
      <c r="BM46" s="486">
        <v>0</v>
      </c>
      <c r="BN46" s="486">
        <v>0</v>
      </c>
      <c r="BO46" s="486">
        <v>0</v>
      </c>
      <c r="BP46" s="486">
        <v>0</v>
      </c>
      <c r="BQ46" s="486">
        <v>0</v>
      </c>
      <c r="BR46" s="486">
        <v>0</v>
      </c>
      <c r="BS46" s="486">
        <v>0</v>
      </c>
      <c r="BT46" s="486">
        <v>0</v>
      </c>
      <c r="BU46" s="486">
        <v>0</v>
      </c>
      <c r="BV46" s="486">
        <v>0</v>
      </c>
      <c r="BW46" s="486">
        <v>0</v>
      </c>
      <c r="BX46" s="486">
        <v>0</v>
      </c>
      <c r="BY46" s="486">
        <v>0</v>
      </c>
      <c r="BZ46" s="486">
        <v>0</v>
      </c>
      <c r="CA46" s="486">
        <v>0</v>
      </c>
      <c r="CB46" s="486">
        <v>0</v>
      </c>
      <c r="CC46" s="486">
        <v>0</v>
      </c>
      <c r="CD46" s="486">
        <v>0</v>
      </c>
      <c r="CE46" s="486">
        <v>0</v>
      </c>
      <c r="CF46" s="486">
        <v>0</v>
      </c>
      <c r="CG46" s="486">
        <v>0</v>
      </c>
      <c r="CH46" s="486">
        <v>0</v>
      </c>
      <c r="CI46" s="486">
        <v>0</v>
      </c>
      <c r="CJ46" s="486">
        <v>0</v>
      </c>
      <c r="CK46" s="486">
        <v>0</v>
      </c>
      <c r="CL46" s="486">
        <v>0</v>
      </c>
      <c r="CM46" s="486">
        <v>0</v>
      </c>
      <c r="CN46" s="486">
        <v>0</v>
      </c>
      <c r="CO46" s="486">
        <v>0</v>
      </c>
      <c r="CP46" s="486">
        <v>0</v>
      </c>
      <c r="CQ46" s="486">
        <v>0</v>
      </c>
      <c r="CR46" s="486">
        <v>0</v>
      </c>
      <c r="CS46" s="486">
        <v>0</v>
      </c>
      <c r="CT46" s="486">
        <v>0</v>
      </c>
      <c r="CU46" s="486">
        <v>0</v>
      </c>
      <c r="CV46" s="486">
        <v>0</v>
      </c>
      <c r="CW46" s="486">
        <v>0</v>
      </c>
      <c r="CX46" s="486">
        <v>0</v>
      </c>
      <c r="CY46" s="486">
        <v>0</v>
      </c>
      <c r="CZ46" s="486">
        <v>0</v>
      </c>
      <c r="DA46" s="486">
        <v>0</v>
      </c>
      <c r="DB46" s="486">
        <v>0</v>
      </c>
      <c r="DC46" s="486">
        <v>0</v>
      </c>
      <c r="DD46" s="486">
        <v>0</v>
      </c>
      <c r="DE46" s="486">
        <v>0</v>
      </c>
      <c r="DF46" s="486">
        <v>0</v>
      </c>
      <c r="DG46" s="486">
        <v>0</v>
      </c>
      <c r="DH46" s="486">
        <v>0</v>
      </c>
      <c r="DI46" s="486">
        <v>0</v>
      </c>
      <c r="DJ46" s="486">
        <v>0</v>
      </c>
      <c r="DK46" s="486">
        <v>0</v>
      </c>
      <c r="DL46" s="486">
        <v>0</v>
      </c>
      <c r="DM46" s="486">
        <v>0</v>
      </c>
      <c r="DN46" s="486">
        <v>0</v>
      </c>
      <c r="DO46" s="486">
        <v>0</v>
      </c>
      <c r="DP46" s="486">
        <v>0</v>
      </c>
      <c r="DQ46" s="486">
        <v>0</v>
      </c>
      <c r="DR46" s="486">
        <v>0</v>
      </c>
      <c r="DS46" s="486">
        <v>0</v>
      </c>
      <c r="DT46" s="486">
        <v>0</v>
      </c>
      <c r="DU46" s="486">
        <v>0</v>
      </c>
      <c r="DV46" s="486">
        <v>0</v>
      </c>
      <c r="DW46" s="486">
        <v>0</v>
      </c>
      <c r="DX46" s="477"/>
      <c r="DY46" s="484" t="s">
        <v>720</v>
      </c>
      <c r="DZ46" s="484" t="s">
        <v>617</v>
      </c>
      <c r="EA46" s="484" t="s">
        <v>25</v>
      </c>
      <c r="EB46" s="486">
        <v>58</v>
      </c>
      <c r="EC46" s="471" t="str">
        <f t="shared" si="0"/>
        <v>AIJ100158</v>
      </c>
      <c r="ED46" s="486">
        <v>10000</v>
      </c>
      <c r="EE46" s="486">
        <v>10000</v>
      </c>
      <c r="EF46" s="486">
        <v>10000</v>
      </c>
      <c r="EG46" s="486">
        <v>10000</v>
      </c>
      <c r="EH46" s="486">
        <v>10000</v>
      </c>
      <c r="EI46" s="486">
        <v>10000</v>
      </c>
      <c r="EJ46" s="486">
        <v>10000</v>
      </c>
      <c r="EK46" s="486">
        <v>10000</v>
      </c>
      <c r="EL46" s="486">
        <v>10000</v>
      </c>
      <c r="EM46" s="486">
        <v>10000</v>
      </c>
      <c r="EN46" s="486">
        <v>0</v>
      </c>
      <c r="EO46" s="486">
        <v>0</v>
      </c>
      <c r="EP46" s="486">
        <v>0</v>
      </c>
      <c r="EQ46" s="486">
        <v>0</v>
      </c>
      <c r="ER46" s="486">
        <v>0</v>
      </c>
      <c r="ES46" s="486">
        <v>0</v>
      </c>
      <c r="ET46" s="486">
        <v>0</v>
      </c>
      <c r="EU46" s="486">
        <v>0</v>
      </c>
      <c r="EV46" s="486">
        <v>0</v>
      </c>
      <c r="EW46" s="486">
        <v>0</v>
      </c>
      <c r="EX46" s="486">
        <v>0</v>
      </c>
      <c r="EY46" s="486">
        <v>0</v>
      </c>
      <c r="EZ46" s="486">
        <v>0</v>
      </c>
      <c r="FA46" s="486">
        <v>0</v>
      </c>
      <c r="FB46" s="486">
        <v>0</v>
      </c>
      <c r="FC46" s="486">
        <v>0</v>
      </c>
      <c r="FD46" s="486">
        <v>0</v>
      </c>
      <c r="FE46" s="486">
        <v>0</v>
      </c>
      <c r="FF46" s="486">
        <v>0</v>
      </c>
      <c r="FG46" s="486">
        <v>0</v>
      </c>
      <c r="FH46" s="486">
        <v>0</v>
      </c>
      <c r="FI46" s="486">
        <v>0</v>
      </c>
      <c r="FJ46" s="486">
        <v>0</v>
      </c>
      <c r="FK46" s="486">
        <v>0</v>
      </c>
      <c r="FL46" s="486">
        <v>0</v>
      </c>
      <c r="FM46" s="486">
        <v>0</v>
      </c>
      <c r="FN46" s="486">
        <v>0</v>
      </c>
      <c r="FO46" s="486">
        <v>0</v>
      </c>
      <c r="FP46" s="486">
        <v>0</v>
      </c>
      <c r="FQ46" s="486">
        <v>0</v>
      </c>
      <c r="FR46" s="486">
        <v>0</v>
      </c>
      <c r="FS46" s="486">
        <v>0</v>
      </c>
      <c r="FT46" s="486">
        <v>0</v>
      </c>
      <c r="FU46" s="486">
        <v>0</v>
      </c>
      <c r="FV46" s="486">
        <v>0</v>
      </c>
      <c r="FW46" s="486">
        <v>0</v>
      </c>
      <c r="FX46" s="486">
        <v>0</v>
      </c>
      <c r="FY46" s="486">
        <v>0</v>
      </c>
      <c r="FZ46" s="486">
        <v>0</v>
      </c>
      <c r="GA46" s="486">
        <v>0</v>
      </c>
      <c r="GB46" s="486">
        <v>0</v>
      </c>
      <c r="GC46" s="486">
        <v>0</v>
      </c>
      <c r="GD46" s="486">
        <v>0</v>
      </c>
      <c r="GE46" s="486">
        <v>0</v>
      </c>
      <c r="GF46" s="486">
        <v>0</v>
      </c>
      <c r="GG46" s="486">
        <v>0</v>
      </c>
      <c r="GH46" s="486">
        <v>0</v>
      </c>
      <c r="GI46" s="486">
        <v>0</v>
      </c>
      <c r="GJ46" s="486">
        <v>0</v>
      </c>
      <c r="GK46" s="486">
        <v>0</v>
      </c>
      <c r="GL46" s="486">
        <v>0</v>
      </c>
      <c r="GM46" s="486">
        <v>0</v>
      </c>
      <c r="GN46" s="486">
        <v>0</v>
      </c>
      <c r="GO46" s="486">
        <v>0</v>
      </c>
      <c r="GP46" s="486">
        <v>0</v>
      </c>
      <c r="GQ46" s="486">
        <v>0</v>
      </c>
      <c r="GR46" s="486">
        <v>0</v>
      </c>
      <c r="GS46" s="486">
        <v>0</v>
      </c>
      <c r="GT46" s="486">
        <v>0</v>
      </c>
      <c r="GU46" s="486">
        <v>0</v>
      </c>
      <c r="GV46" s="486">
        <v>0</v>
      </c>
      <c r="GW46" s="486">
        <v>0</v>
      </c>
      <c r="GX46" s="486">
        <v>0</v>
      </c>
      <c r="GY46" s="486">
        <v>0</v>
      </c>
      <c r="GZ46" s="486">
        <v>0</v>
      </c>
      <c r="HA46" s="486">
        <v>0</v>
      </c>
      <c r="HB46" s="486">
        <v>0</v>
      </c>
      <c r="HC46" s="486">
        <v>0</v>
      </c>
      <c r="HD46" s="486">
        <v>0</v>
      </c>
      <c r="HE46" s="486">
        <v>0</v>
      </c>
      <c r="HF46" s="486">
        <v>0</v>
      </c>
      <c r="HG46" s="486">
        <v>0</v>
      </c>
      <c r="HH46" s="486">
        <v>0</v>
      </c>
      <c r="HI46" s="486">
        <v>0</v>
      </c>
      <c r="HJ46" s="486">
        <v>0</v>
      </c>
      <c r="HK46" s="486">
        <v>0</v>
      </c>
      <c r="HL46" s="486">
        <v>0</v>
      </c>
      <c r="HM46" s="486">
        <v>0</v>
      </c>
      <c r="HN46" s="486">
        <v>0</v>
      </c>
      <c r="HO46" s="486">
        <v>0</v>
      </c>
      <c r="HP46" s="486">
        <v>0</v>
      </c>
      <c r="HQ46" s="486">
        <v>0</v>
      </c>
      <c r="HR46" s="486">
        <v>0</v>
      </c>
      <c r="HS46" s="486">
        <v>0</v>
      </c>
      <c r="HT46" s="486">
        <v>0</v>
      </c>
      <c r="HU46" s="486">
        <v>0</v>
      </c>
      <c r="HV46" s="486">
        <v>0</v>
      </c>
      <c r="HW46" s="486">
        <v>0</v>
      </c>
      <c r="HX46" s="486">
        <v>0</v>
      </c>
      <c r="HY46" s="486">
        <v>0</v>
      </c>
      <c r="HZ46" s="486">
        <v>0</v>
      </c>
      <c r="IA46" s="486">
        <v>0</v>
      </c>
      <c r="IB46" s="486">
        <v>0</v>
      </c>
      <c r="IC46" s="486">
        <v>0</v>
      </c>
      <c r="ID46" s="486">
        <v>0</v>
      </c>
      <c r="IE46" s="486">
        <v>0</v>
      </c>
      <c r="IF46" s="486">
        <v>0</v>
      </c>
      <c r="IG46" s="486">
        <v>0</v>
      </c>
      <c r="IH46" s="486">
        <v>0</v>
      </c>
      <c r="II46" s="486">
        <v>0</v>
      </c>
      <c r="IJ46" s="486">
        <v>0</v>
      </c>
    </row>
    <row r="47" spans="1:244" ht="16.5" hidden="1">
      <c r="A47" s="484" t="s">
        <v>720</v>
      </c>
      <c r="B47" s="484" t="s">
        <v>617</v>
      </c>
      <c r="C47" s="484" t="s">
        <v>721</v>
      </c>
      <c r="D47" s="485"/>
      <c r="E47" s="484" t="s">
        <v>721</v>
      </c>
      <c r="F47" s="484" t="s">
        <v>26</v>
      </c>
      <c r="G47" s="485"/>
      <c r="H47" s="486">
        <v>53</v>
      </c>
      <c r="I47" s="471" t="str">
        <f t="shared" si="1"/>
        <v>AIJ100253</v>
      </c>
      <c r="J47" s="486">
        <v>130</v>
      </c>
      <c r="L47" s="484" t="s">
        <v>720</v>
      </c>
      <c r="M47" s="484" t="s">
        <v>617</v>
      </c>
      <c r="N47" s="484" t="s">
        <v>25</v>
      </c>
      <c r="O47" s="486">
        <v>59</v>
      </c>
      <c r="P47" s="471" t="str">
        <f t="shared" si="2"/>
        <v>AIJ100159</v>
      </c>
      <c r="Q47" s="486">
        <v>0</v>
      </c>
      <c r="R47" s="486">
        <v>51</v>
      </c>
      <c r="S47" s="486">
        <v>98</v>
      </c>
      <c r="T47" s="486">
        <v>140</v>
      </c>
      <c r="U47" s="486">
        <v>185</v>
      </c>
      <c r="V47" s="486">
        <v>212</v>
      </c>
      <c r="W47" s="486">
        <v>242</v>
      </c>
      <c r="X47" s="486">
        <v>262</v>
      </c>
      <c r="Y47" s="486">
        <v>254</v>
      </c>
      <c r="Z47" s="486">
        <v>0</v>
      </c>
      <c r="AA47" s="486">
        <v>0</v>
      </c>
      <c r="AB47" s="486">
        <v>0</v>
      </c>
      <c r="AC47" s="486">
        <v>0</v>
      </c>
      <c r="AD47" s="486">
        <v>0</v>
      </c>
      <c r="AE47" s="486">
        <v>0</v>
      </c>
      <c r="AF47" s="486">
        <v>0</v>
      </c>
      <c r="AG47" s="486">
        <v>0</v>
      </c>
      <c r="AH47" s="486">
        <v>0</v>
      </c>
      <c r="AI47" s="486">
        <v>0</v>
      </c>
      <c r="AJ47" s="486">
        <v>0</v>
      </c>
      <c r="AK47" s="486">
        <v>0</v>
      </c>
      <c r="AL47" s="486">
        <v>0</v>
      </c>
      <c r="AM47" s="486">
        <v>0</v>
      </c>
      <c r="AN47" s="486">
        <v>0</v>
      </c>
      <c r="AO47" s="486">
        <v>0</v>
      </c>
      <c r="AP47" s="486">
        <v>0</v>
      </c>
      <c r="AQ47" s="486">
        <v>0</v>
      </c>
      <c r="AR47" s="486">
        <v>0</v>
      </c>
      <c r="AS47" s="486">
        <v>0</v>
      </c>
      <c r="AT47" s="486">
        <v>0</v>
      </c>
      <c r="AU47" s="486">
        <v>0</v>
      </c>
      <c r="AV47" s="486">
        <v>0</v>
      </c>
      <c r="AW47" s="486">
        <v>0</v>
      </c>
      <c r="AX47" s="486">
        <v>0</v>
      </c>
      <c r="AY47" s="486">
        <v>0</v>
      </c>
      <c r="AZ47" s="486">
        <v>0</v>
      </c>
      <c r="BA47" s="486">
        <v>0</v>
      </c>
      <c r="BB47" s="486">
        <v>0</v>
      </c>
      <c r="BC47" s="486">
        <v>0</v>
      </c>
      <c r="BD47" s="486">
        <v>0</v>
      </c>
      <c r="BE47" s="486">
        <v>0</v>
      </c>
      <c r="BF47" s="486">
        <v>0</v>
      </c>
      <c r="BG47" s="486">
        <v>0</v>
      </c>
      <c r="BH47" s="486">
        <v>0</v>
      </c>
      <c r="BI47" s="486">
        <v>0</v>
      </c>
      <c r="BJ47" s="486">
        <v>0</v>
      </c>
      <c r="BK47" s="486">
        <v>0</v>
      </c>
      <c r="BL47" s="486">
        <v>0</v>
      </c>
      <c r="BM47" s="486">
        <v>0</v>
      </c>
      <c r="BN47" s="486">
        <v>0</v>
      </c>
      <c r="BO47" s="486">
        <v>0</v>
      </c>
      <c r="BP47" s="486">
        <v>0</v>
      </c>
      <c r="BQ47" s="486">
        <v>0</v>
      </c>
      <c r="BR47" s="486">
        <v>0</v>
      </c>
      <c r="BS47" s="486">
        <v>0</v>
      </c>
      <c r="BT47" s="486">
        <v>0</v>
      </c>
      <c r="BU47" s="486">
        <v>0</v>
      </c>
      <c r="BV47" s="486">
        <v>0</v>
      </c>
      <c r="BW47" s="486">
        <v>0</v>
      </c>
      <c r="BX47" s="486">
        <v>0</v>
      </c>
      <c r="BY47" s="486">
        <v>0</v>
      </c>
      <c r="BZ47" s="486">
        <v>0</v>
      </c>
      <c r="CA47" s="486">
        <v>0</v>
      </c>
      <c r="CB47" s="486">
        <v>0</v>
      </c>
      <c r="CC47" s="486">
        <v>0</v>
      </c>
      <c r="CD47" s="486">
        <v>0</v>
      </c>
      <c r="CE47" s="486">
        <v>0</v>
      </c>
      <c r="CF47" s="486">
        <v>0</v>
      </c>
      <c r="CG47" s="486">
        <v>0</v>
      </c>
      <c r="CH47" s="486">
        <v>0</v>
      </c>
      <c r="CI47" s="486">
        <v>0</v>
      </c>
      <c r="CJ47" s="486">
        <v>0</v>
      </c>
      <c r="CK47" s="486">
        <v>0</v>
      </c>
      <c r="CL47" s="486">
        <v>0</v>
      </c>
      <c r="CM47" s="486">
        <v>0</v>
      </c>
      <c r="CN47" s="486">
        <v>0</v>
      </c>
      <c r="CO47" s="486">
        <v>0</v>
      </c>
      <c r="CP47" s="486">
        <v>0</v>
      </c>
      <c r="CQ47" s="486">
        <v>0</v>
      </c>
      <c r="CR47" s="486">
        <v>0</v>
      </c>
      <c r="CS47" s="486">
        <v>0</v>
      </c>
      <c r="CT47" s="486">
        <v>0</v>
      </c>
      <c r="CU47" s="486">
        <v>0</v>
      </c>
      <c r="CV47" s="486">
        <v>0</v>
      </c>
      <c r="CW47" s="486">
        <v>0</v>
      </c>
      <c r="CX47" s="486">
        <v>0</v>
      </c>
      <c r="CY47" s="486">
        <v>0</v>
      </c>
      <c r="CZ47" s="486">
        <v>0</v>
      </c>
      <c r="DA47" s="486">
        <v>0</v>
      </c>
      <c r="DB47" s="486">
        <v>0</v>
      </c>
      <c r="DC47" s="486">
        <v>0</v>
      </c>
      <c r="DD47" s="486">
        <v>0</v>
      </c>
      <c r="DE47" s="486">
        <v>0</v>
      </c>
      <c r="DF47" s="486">
        <v>0</v>
      </c>
      <c r="DG47" s="486">
        <v>0</v>
      </c>
      <c r="DH47" s="486">
        <v>0</v>
      </c>
      <c r="DI47" s="486">
        <v>0</v>
      </c>
      <c r="DJ47" s="486">
        <v>0</v>
      </c>
      <c r="DK47" s="486">
        <v>0</v>
      </c>
      <c r="DL47" s="486">
        <v>0</v>
      </c>
      <c r="DM47" s="486">
        <v>0</v>
      </c>
      <c r="DN47" s="486">
        <v>0</v>
      </c>
      <c r="DO47" s="486">
        <v>0</v>
      </c>
      <c r="DP47" s="486">
        <v>0</v>
      </c>
      <c r="DQ47" s="486">
        <v>0</v>
      </c>
      <c r="DR47" s="486">
        <v>0</v>
      </c>
      <c r="DS47" s="486">
        <v>0</v>
      </c>
      <c r="DT47" s="486">
        <v>0</v>
      </c>
      <c r="DU47" s="486">
        <v>0</v>
      </c>
      <c r="DV47" s="486">
        <v>0</v>
      </c>
      <c r="DW47" s="486">
        <v>0</v>
      </c>
      <c r="DX47" s="477"/>
      <c r="DY47" s="484" t="s">
        <v>720</v>
      </c>
      <c r="DZ47" s="484" t="s">
        <v>617</v>
      </c>
      <c r="EA47" s="484" t="s">
        <v>25</v>
      </c>
      <c r="EB47" s="486">
        <v>59</v>
      </c>
      <c r="EC47" s="471" t="str">
        <f t="shared" si="0"/>
        <v>AIJ100159</v>
      </c>
      <c r="ED47" s="486">
        <v>10000</v>
      </c>
      <c r="EE47" s="486">
        <v>10000</v>
      </c>
      <c r="EF47" s="486">
        <v>10000</v>
      </c>
      <c r="EG47" s="486">
        <v>10000</v>
      </c>
      <c r="EH47" s="486">
        <v>10000</v>
      </c>
      <c r="EI47" s="486">
        <v>10000</v>
      </c>
      <c r="EJ47" s="486">
        <v>10000</v>
      </c>
      <c r="EK47" s="486">
        <v>10000</v>
      </c>
      <c r="EL47" s="486">
        <v>10000</v>
      </c>
      <c r="EM47" s="486">
        <v>10000</v>
      </c>
      <c r="EN47" s="486">
        <v>0</v>
      </c>
      <c r="EO47" s="486">
        <v>0</v>
      </c>
      <c r="EP47" s="486">
        <v>0</v>
      </c>
      <c r="EQ47" s="486">
        <v>0</v>
      </c>
      <c r="ER47" s="486">
        <v>0</v>
      </c>
      <c r="ES47" s="486">
        <v>0</v>
      </c>
      <c r="ET47" s="486">
        <v>0</v>
      </c>
      <c r="EU47" s="486">
        <v>0</v>
      </c>
      <c r="EV47" s="486">
        <v>0</v>
      </c>
      <c r="EW47" s="486">
        <v>0</v>
      </c>
      <c r="EX47" s="486">
        <v>0</v>
      </c>
      <c r="EY47" s="486">
        <v>0</v>
      </c>
      <c r="EZ47" s="486">
        <v>0</v>
      </c>
      <c r="FA47" s="486">
        <v>0</v>
      </c>
      <c r="FB47" s="486">
        <v>0</v>
      </c>
      <c r="FC47" s="486">
        <v>0</v>
      </c>
      <c r="FD47" s="486">
        <v>0</v>
      </c>
      <c r="FE47" s="486">
        <v>0</v>
      </c>
      <c r="FF47" s="486">
        <v>0</v>
      </c>
      <c r="FG47" s="486">
        <v>0</v>
      </c>
      <c r="FH47" s="486">
        <v>0</v>
      </c>
      <c r="FI47" s="486">
        <v>0</v>
      </c>
      <c r="FJ47" s="486">
        <v>0</v>
      </c>
      <c r="FK47" s="486">
        <v>0</v>
      </c>
      <c r="FL47" s="486">
        <v>0</v>
      </c>
      <c r="FM47" s="486">
        <v>0</v>
      </c>
      <c r="FN47" s="486">
        <v>0</v>
      </c>
      <c r="FO47" s="486">
        <v>0</v>
      </c>
      <c r="FP47" s="486">
        <v>0</v>
      </c>
      <c r="FQ47" s="486">
        <v>0</v>
      </c>
      <c r="FR47" s="486">
        <v>0</v>
      </c>
      <c r="FS47" s="486">
        <v>0</v>
      </c>
      <c r="FT47" s="486">
        <v>0</v>
      </c>
      <c r="FU47" s="486">
        <v>0</v>
      </c>
      <c r="FV47" s="486">
        <v>0</v>
      </c>
      <c r="FW47" s="486">
        <v>0</v>
      </c>
      <c r="FX47" s="486">
        <v>0</v>
      </c>
      <c r="FY47" s="486">
        <v>0</v>
      </c>
      <c r="FZ47" s="486">
        <v>0</v>
      </c>
      <c r="GA47" s="486">
        <v>0</v>
      </c>
      <c r="GB47" s="486">
        <v>0</v>
      </c>
      <c r="GC47" s="486">
        <v>0</v>
      </c>
      <c r="GD47" s="486">
        <v>0</v>
      </c>
      <c r="GE47" s="486">
        <v>0</v>
      </c>
      <c r="GF47" s="486">
        <v>0</v>
      </c>
      <c r="GG47" s="486">
        <v>0</v>
      </c>
      <c r="GH47" s="486">
        <v>0</v>
      </c>
      <c r="GI47" s="486">
        <v>0</v>
      </c>
      <c r="GJ47" s="486">
        <v>0</v>
      </c>
      <c r="GK47" s="486">
        <v>0</v>
      </c>
      <c r="GL47" s="486">
        <v>0</v>
      </c>
      <c r="GM47" s="486">
        <v>0</v>
      </c>
      <c r="GN47" s="486">
        <v>0</v>
      </c>
      <c r="GO47" s="486">
        <v>0</v>
      </c>
      <c r="GP47" s="486">
        <v>0</v>
      </c>
      <c r="GQ47" s="486">
        <v>0</v>
      </c>
      <c r="GR47" s="486">
        <v>0</v>
      </c>
      <c r="GS47" s="486">
        <v>0</v>
      </c>
      <c r="GT47" s="486">
        <v>0</v>
      </c>
      <c r="GU47" s="486">
        <v>0</v>
      </c>
      <c r="GV47" s="486">
        <v>0</v>
      </c>
      <c r="GW47" s="486">
        <v>0</v>
      </c>
      <c r="GX47" s="486">
        <v>0</v>
      </c>
      <c r="GY47" s="486">
        <v>0</v>
      </c>
      <c r="GZ47" s="486">
        <v>0</v>
      </c>
      <c r="HA47" s="486">
        <v>0</v>
      </c>
      <c r="HB47" s="486">
        <v>0</v>
      </c>
      <c r="HC47" s="486">
        <v>0</v>
      </c>
      <c r="HD47" s="486">
        <v>0</v>
      </c>
      <c r="HE47" s="486">
        <v>0</v>
      </c>
      <c r="HF47" s="486">
        <v>0</v>
      </c>
      <c r="HG47" s="486">
        <v>0</v>
      </c>
      <c r="HH47" s="486">
        <v>0</v>
      </c>
      <c r="HI47" s="486">
        <v>0</v>
      </c>
      <c r="HJ47" s="486">
        <v>0</v>
      </c>
      <c r="HK47" s="486">
        <v>0</v>
      </c>
      <c r="HL47" s="486">
        <v>0</v>
      </c>
      <c r="HM47" s="486">
        <v>0</v>
      </c>
      <c r="HN47" s="486">
        <v>0</v>
      </c>
      <c r="HO47" s="486">
        <v>0</v>
      </c>
      <c r="HP47" s="486">
        <v>0</v>
      </c>
      <c r="HQ47" s="486">
        <v>0</v>
      </c>
      <c r="HR47" s="486">
        <v>0</v>
      </c>
      <c r="HS47" s="486">
        <v>0</v>
      </c>
      <c r="HT47" s="486">
        <v>0</v>
      </c>
      <c r="HU47" s="486">
        <v>0</v>
      </c>
      <c r="HV47" s="486">
        <v>0</v>
      </c>
      <c r="HW47" s="486">
        <v>0</v>
      </c>
      <c r="HX47" s="486">
        <v>0</v>
      </c>
      <c r="HY47" s="486">
        <v>0</v>
      </c>
      <c r="HZ47" s="486">
        <v>0</v>
      </c>
      <c r="IA47" s="486">
        <v>0</v>
      </c>
      <c r="IB47" s="486">
        <v>0</v>
      </c>
      <c r="IC47" s="486">
        <v>0</v>
      </c>
      <c r="ID47" s="486">
        <v>0</v>
      </c>
      <c r="IE47" s="486">
        <v>0</v>
      </c>
      <c r="IF47" s="486">
        <v>0</v>
      </c>
      <c r="IG47" s="486">
        <v>0</v>
      </c>
      <c r="IH47" s="486">
        <v>0</v>
      </c>
      <c r="II47" s="486">
        <v>0</v>
      </c>
      <c r="IJ47" s="486">
        <v>0</v>
      </c>
    </row>
    <row r="48" spans="1:244" ht="16.5" hidden="1">
      <c r="A48" s="484" t="s">
        <v>720</v>
      </c>
      <c r="B48" s="484" t="s">
        <v>617</v>
      </c>
      <c r="C48" s="484" t="s">
        <v>721</v>
      </c>
      <c r="D48" s="485"/>
      <c r="E48" s="484" t="s">
        <v>721</v>
      </c>
      <c r="F48" s="484" t="s">
        <v>26</v>
      </c>
      <c r="G48" s="485"/>
      <c r="H48" s="486">
        <v>54</v>
      </c>
      <c r="I48" s="471" t="str">
        <f t="shared" si="1"/>
        <v>AIJ100254</v>
      </c>
      <c r="J48" s="486">
        <v>139</v>
      </c>
      <c r="L48" s="484" t="s">
        <v>720</v>
      </c>
      <c r="M48" s="484" t="s">
        <v>617</v>
      </c>
      <c r="N48" s="484" t="s">
        <v>25</v>
      </c>
      <c r="O48" s="486">
        <v>60</v>
      </c>
      <c r="P48" s="471" t="str">
        <f t="shared" si="2"/>
        <v>AIJ100160</v>
      </c>
      <c r="Q48" s="486">
        <v>0</v>
      </c>
      <c r="R48" s="486">
        <v>57</v>
      </c>
      <c r="S48" s="486">
        <v>109</v>
      </c>
      <c r="T48" s="486">
        <v>153</v>
      </c>
      <c r="U48" s="486">
        <v>202</v>
      </c>
      <c r="V48" s="486">
        <v>230</v>
      </c>
      <c r="W48" s="486">
        <v>264</v>
      </c>
      <c r="X48" s="486">
        <v>284</v>
      </c>
      <c r="Y48" s="486">
        <v>275</v>
      </c>
      <c r="Z48" s="486">
        <v>0</v>
      </c>
      <c r="AA48" s="486">
        <v>0</v>
      </c>
      <c r="AB48" s="486">
        <v>0</v>
      </c>
      <c r="AC48" s="486">
        <v>0</v>
      </c>
      <c r="AD48" s="486">
        <v>0</v>
      </c>
      <c r="AE48" s="486">
        <v>0</v>
      </c>
      <c r="AF48" s="486">
        <v>0</v>
      </c>
      <c r="AG48" s="486">
        <v>0</v>
      </c>
      <c r="AH48" s="486">
        <v>0</v>
      </c>
      <c r="AI48" s="486">
        <v>0</v>
      </c>
      <c r="AJ48" s="486">
        <v>0</v>
      </c>
      <c r="AK48" s="486">
        <v>0</v>
      </c>
      <c r="AL48" s="486">
        <v>0</v>
      </c>
      <c r="AM48" s="486">
        <v>0</v>
      </c>
      <c r="AN48" s="486">
        <v>0</v>
      </c>
      <c r="AO48" s="486">
        <v>0</v>
      </c>
      <c r="AP48" s="486">
        <v>0</v>
      </c>
      <c r="AQ48" s="486">
        <v>0</v>
      </c>
      <c r="AR48" s="486">
        <v>0</v>
      </c>
      <c r="AS48" s="486">
        <v>0</v>
      </c>
      <c r="AT48" s="486">
        <v>0</v>
      </c>
      <c r="AU48" s="486">
        <v>0</v>
      </c>
      <c r="AV48" s="486">
        <v>0</v>
      </c>
      <c r="AW48" s="486">
        <v>0</v>
      </c>
      <c r="AX48" s="486">
        <v>0</v>
      </c>
      <c r="AY48" s="486">
        <v>0</v>
      </c>
      <c r="AZ48" s="486">
        <v>0</v>
      </c>
      <c r="BA48" s="486">
        <v>0</v>
      </c>
      <c r="BB48" s="486">
        <v>0</v>
      </c>
      <c r="BC48" s="486">
        <v>0</v>
      </c>
      <c r="BD48" s="486">
        <v>0</v>
      </c>
      <c r="BE48" s="486">
        <v>0</v>
      </c>
      <c r="BF48" s="486">
        <v>0</v>
      </c>
      <c r="BG48" s="486">
        <v>0</v>
      </c>
      <c r="BH48" s="486">
        <v>0</v>
      </c>
      <c r="BI48" s="486">
        <v>0</v>
      </c>
      <c r="BJ48" s="486">
        <v>0</v>
      </c>
      <c r="BK48" s="486">
        <v>0</v>
      </c>
      <c r="BL48" s="486">
        <v>0</v>
      </c>
      <c r="BM48" s="486">
        <v>0</v>
      </c>
      <c r="BN48" s="486">
        <v>0</v>
      </c>
      <c r="BO48" s="486">
        <v>0</v>
      </c>
      <c r="BP48" s="486">
        <v>0</v>
      </c>
      <c r="BQ48" s="486">
        <v>0</v>
      </c>
      <c r="BR48" s="486">
        <v>0</v>
      </c>
      <c r="BS48" s="486">
        <v>0</v>
      </c>
      <c r="BT48" s="486">
        <v>0</v>
      </c>
      <c r="BU48" s="486">
        <v>0</v>
      </c>
      <c r="BV48" s="486">
        <v>0</v>
      </c>
      <c r="BW48" s="486">
        <v>0</v>
      </c>
      <c r="BX48" s="486">
        <v>0</v>
      </c>
      <c r="BY48" s="486">
        <v>0</v>
      </c>
      <c r="BZ48" s="486">
        <v>0</v>
      </c>
      <c r="CA48" s="486">
        <v>0</v>
      </c>
      <c r="CB48" s="486">
        <v>0</v>
      </c>
      <c r="CC48" s="486">
        <v>0</v>
      </c>
      <c r="CD48" s="486">
        <v>0</v>
      </c>
      <c r="CE48" s="486">
        <v>0</v>
      </c>
      <c r="CF48" s="486">
        <v>0</v>
      </c>
      <c r="CG48" s="486">
        <v>0</v>
      </c>
      <c r="CH48" s="486">
        <v>0</v>
      </c>
      <c r="CI48" s="486">
        <v>0</v>
      </c>
      <c r="CJ48" s="486">
        <v>0</v>
      </c>
      <c r="CK48" s="486">
        <v>0</v>
      </c>
      <c r="CL48" s="486">
        <v>0</v>
      </c>
      <c r="CM48" s="486">
        <v>0</v>
      </c>
      <c r="CN48" s="486">
        <v>0</v>
      </c>
      <c r="CO48" s="486">
        <v>0</v>
      </c>
      <c r="CP48" s="486">
        <v>0</v>
      </c>
      <c r="CQ48" s="486">
        <v>0</v>
      </c>
      <c r="CR48" s="486">
        <v>0</v>
      </c>
      <c r="CS48" s="486">
        <v>0</v>
      </c>
      <c r="CT48" s="486">
        <v>0</v>
      </c>
      <c r="CU48" s="486">
        <v>0</v>
      </c>
      <c r="CV48" s="486">
        <v>0</v>
      </c>
      <c r="CW48" s="486">
        <v>0</v>
      </c>
      <c r="CX48" s="486">
        <v>0</v>
      </c>
      <c r="CY48" s="486">
        <v>0</v>
      </c>
      <c r="CZ48" s="486">
        <v>0</v>
      </c>
      <c r="DA48" s="486">
        <v>0</v>
      </c>
      <c r="DB48" s="486">
        <v>0</v>
      </c>
      <c r="DC48" s="486">
        <v>0</v>
      </c>
      <c r="DD48" s="486">
        <v>0</v>
      </c>
      <c r="DE48" s="486">
        <v>0</v>
      </c>
      <c r="DF48" s="486">
        <v>0</v>
      </c>
      <c r="DG48" s="486">
        <v>0</v>
      </c>
      <c r="DH48" s="486">
        <v>0</v>
      </c>
      <c r="DI48" s="486">
        <v>0</v>
      </c>
      <c r="DJ48" s="486">
        <v>0</v>
      </c>
      <c r="DK48" s="486">
        <v>0</v>
      </c>
      <c r="DL48" s="486">
        <v>0</v>
      </c>
      <c r="DM48" s="486">
        <v>0</v>
      </c>
      <c r="DN48" s="486">
        <v>0</v>
      </c>
      <c r="DO48" s="486">
        <v>0</v>
      </c>
      <c r="DP48" s="486">
        <v>0</v>
      </c>
      <c r="DQ48" s="486">
        <v>0</v>
      </c>
      <c r="DR48" s="486">
        <v>0</v>
      </c>
      <c r="DS48" s="486">
        <v>0</v>
      </c>
      <c r="DT48" s="486">
        <v>0</v>
      </c>
      <c r="DU48" s="486">
        <v>0</v>
      </c>
      <c r="DV48" s="486">
        <v>0</v>
      </c>
      <c r="DW48" s="486">
        <v>0</v>
      </c>
      <c r="DX48" s="477"/>
      <c r="DY48" s="484" t="s">
        <v>720</v>
      </c>
      <c r="DZ48" s="484" t="s">
        <v>617</v>
      </c>
      <c r="EA48" s="484" t="s">
        <v>25</v>
      </c>
      <c r="EB48" s="486">
        <v>60</v>
      </c>
      <c r="EC48" s="471" t="str">
        <f t="shared" si="0"/>
        <v>AIJ100160</v>
      </c>
      <c r="ED48" s="486">
        <v>10000</v>
      </c>
      <c r="EE48" s="486">
        <v>10000</v>
      </c>
      <c r="EF48" s="486">
        <v>10000</v>
      </c>
      <c r="EG48" s="486">
        <v>10000</v>
      </c>
      <c r="EH48" s="486">
        <v>10000</v>
      </c>
      <c r="EI48" s="486">
        <v>10000</v>
      </c>
      <c r="EJ48" s="486">
        <v>10000</v>
      </c>
      <c r="EK48" s="486">
        <v>10000</v>
      </c>
      <c r="EL48" s="486">
        <v>10000</v>
      </c>
      <c r="EM48" s="486">
        <v>10000</v>
      </c>
      <c r="EN48" s="486">
        <v>0</v>
      </c>
      <c r="EO48" s="486">
        <v>0</v>
      </c>
      <c r="EP48" s="486">
        <v>0</v>
      </c>
      <c r="EQ48" s="486">
        <v>0</v>
      </c>
      <c r="ER48" s="486">
        <v>0</v>
      </c>
      <c r="ES48" s="486">
        <v>0</v>
      </c>
      <c r="ET48" s="486">
        <v>0</v>
      </c>
      <c r="EU48" s="486">
        <v>0</v>
      </c>
      <c r="EV48" s="486">
        <v>0</v>
      </c>
      <c r="EW48" s="486">
        <v>0</v>
      </c>
      <c r="EX48" s="486">
        <v>0</v>
      </c>
      <c r="EY48" s="486">
        <v>0</v>
      </c>
      <c r="EZ48" s="486">
        <v>0</v>
      </c>
      <c r="FA48" s="486">
        <v>0</v>
      </c>
      <c r="FB48" s="486">
        <v>0</v>
      </c>
      <c r="FC48" s="486">
        <v>0</v>
      </c>
      <c r="FD48" s="486">
        <v>0</v>
      </c>
      <c r="FE48" s="486">
        <v>0</v>
      </c>
      <c r="FF48" s="486">
        <v>0</v>
      </c>
      <c r="FG48" s="486">
        <v>0</v>
      </c>
      <c r="FH48" s="486">
        <v>0</v>
      </c>
      <c r="FI48" s="486">
        <v>0</v>
      </c>
      <c r="FJ48" s="486">
        <v>0</v>
      </c>
      <c r="FK48" s="486">
        <v>0</v>
      </c>
      <c r="FL48" s="486">
        <v>0</v>
      </c>
      <c r="FM48" s="486">
        <v>0</v>
      </c>
      <c r="FN48" s="486">
        <v>0</v>
      </c>
      <c r="FO48" s="486">
        <v>0</v>
      </c>
      <c r="FP48" s="486">
        <v>0</v>
      </c>
      <c r="FQ48" s="486">
        <v>0</v>
      </c>
      <c r="FR48" s="486">
        <v>0</v>
      </c>
      <c r="FS48" s="486">
        <v>0</v>
      </c>
      <c r="FT48" s="486">
        <v>0</v>
      </c>
      <c r="FU48" s="486">
        <v>0</v>
      </c>
      <c r="FV48" s="486">
        <v>0</v>
      </c>
      <c r="FW48" s="486">
        <v>0</v>
      </c>
      <c r="FX48" s="486">
        <v>0</v>
      </c>
      <c r="FY48" s="486">
        <v>0</v>
      </c>
      <c r="FZ48" s="486">
        <v>0</v>
      </c>
      <c r="GA48" s="486">
        <v>0</v>
      </c>
      <c r="GB48" s="486">
        <v>0</v>
      </c>
      <c r="GC48" s="486">
        <v>0</v>
      </c>
      <c r="GD48" s="486">
        <v>0</v>
      </c>
      <c r="GE48" s="486">
        <v>0</v>
      </c>
      <c r="GF48" s="486">
        <v>0</v>
      </c>
      <c r="GG48" s="486">
        <v>0</v>
      </c>
      <c r="GH48" s="486">
        <v>0</v>
      </c>
      <c r="GI48" s="486">
        <v>0</v>
      </c>
      <c r="GJ48" s="486">
        <v>0</v>
      </c>
      <c r="GK48" s="486">
        <v>0</v>
      </c>
      <c r="GL48" s="486">
        <v>0</v>
      </c>
      <c r="GM48" s="486">
        <v>0</v>
      </c>
      <c r="GN48" s="486">
        <v>0</v>
      </c>
      <c r="GO48" s="486">
        <v>0</v>
      </c>
      <c r="GP48" s="486">
        <v>0</v>
      </c>
      <c r="GQ48" s="486">
        <v>0</v>
      </c>
      <c r="GR48" s="486">
        <v>0</v>
      </c>
      <c r="GS48" s="486">
        <v>0</v>
      </c>
      <c r="GT48" s="486">
        <v>0</v>
      </c>
      <c r="GU48" s="486">
        <v>0</v>
      </c>
      <c r="GV48" s="486">
        <v>0</v>
      </c>
      <c r="GW48" s="486">
        <v>0</v>
      </c>
      <c r="GX48" s="486">
        <v>0</v>
      </c>
      <c r="GY48" s="486">
        <v>0</v>
      </c>
      <c r="GZ48" s="486">
        <v>0</v>
      </c>
      <c r="HA48" s="486">
        <v>0</v>
      </c>
      <c r="HB48" s="486">
        <v>0</v>
      </c>
      <c r="HC48" s="486">
        <v>0</v>
      </c>
      <c r="HD48" s="486">
        <v>0</v>
      </c>
      <c r="HE48" s="486">
        <v>0</v>
      </c>
      <c r="HF48" s="486">
        <v>0</v>
      </c>
      <c r="HG48" s="486">
        <v>0</v>
      </c>
      <c r="HH48" s="486">
        <v>0</v>
      </c>
      <c r="HI48" s="486">
        <v>0</v>
      </c>
      <c r="HJ48" s="486">
        <v>0</v>
      </c>
      <c r="HK48" s="486">
        <v>0</v>
      </c>
      <c r="HL48" s="486">
        <v>0</v>
      </c>
      <c r="HM48" s="486">
        <v>0</v>
      </c>
      <c r="HN48" s="486">
        <v>0</v>
      </c>
      <c r="HO48" s="486">
        <v>0</v>
      </c>
      <c r="HP48" s="486">
        <v>0</v>
      </c>
      <c r="HQ48" s="486">
        <v>0</v>
      </c>
      <c r="HR48" s="486">
        <v>0</v>
      </c>
      <c r="HS48" s="486">
        <v>0</v>
      </c>
      <c r="HT48" s="486">
        <v>0</v>
      </c>
      <c r="HU48" s="486">
        <v>0</v>
      </c>
      <c r="HV48" s="486">
        <v>0</v>
      </c>
      <c r="HW48" s="486">
        <v>0</v>
      </c>
      <c r="HX48" s="486">
        <v>0</v>
      </c>
      <c r="HY48" s="486">
        <v>0</v>
      </c>
      <c r="HZ48" s="486">
        <v>0</v>
      </c>
      <c r="IA48" s="486">
        <v>0</v>
      </c>
      <c r="IB48" s="486">
        <v>0</v>
      </c>
      <c r="IC48" s="486">
        <v>0</v>
      </c>
      <c r="ID48" s="486">
        <v>0</v>
      </c>
      <c r="IE48" s="486">
        <v>0</v>
      </c>
      <c r="IF48" s="486">
        <v>0</v>
      </c>
      <c r="IG48" s="486">
        <v>0</v>
      </c>
      <c r="IH48" s="486">
        <v>0</v>
      </c>
      <c r="II48" s="486">
        <v>0</v>
      </c>
      <c r="IJ48" s="486">
        <v>0</v>
      </c>
    </row>
    <row r="49" spans="1:245" ht="16.5" hidden="1">
      <c r="A49" s="484" t="s">
        <v>720</v>
      </c>
      <c r="B49" s="484" t="s">
        <v>617</v>
      </c>
      <c r="C49" s="484" t="s">
        <v>721</v>
      </c>
      <c r="D49" s="485"/>
      <c r="E49" s="484" t="s">
        <v>721</v>
      </c>
      <c r="F49" s="484" t="s">
        <v>26</v>
      </c>
      <c r="G49" s="485"/>
      <c r="H49" s="486">
        <v>55</v>
      </c>
      <c r="I49" s="471" t="str">
        <f t="shared" si="1"/>
        <v>AIJ100255</v>
      </c>
      <c r="J49" s="486">
        <v>149</v>
      </c>
      <c r="L49" s="484" t="s">
        <v>720</v>
      </c>
      <c r="M49" s="484" t="s">
        <v>617</v>
      </c>
      <c r="N49" s="484" t="s">
        <v>25</v>
      </c>
      <c r="O49" s="486">
        <v>61</v>
      </c>
      <c r="P49" s="471" t="str">
        <f t="shared" si="2"/>
        <v>AIJ100161</v>
      </c>
      <c r="Q49" s="486">
        <v>0</v>
      </c>
      <c r="R49" s="486">
        <v>63</v>
      </c>
      <c r="S49" s="486">
        <v>119</v>
      </c>
      <c r="T49" s="486">
        <v>167</v>
      </c>
      <c r="U49" s="486">
        <v>220</v>
      </c>
      <c r="V49" s="486">
        <v>251</v>
      </c>
      <c r="W49" s="486">
        <v>286</v>
      </c>
      <c r="X49" s="486">
        <v>310</v>
      </c>
      <c r="Y49" s="486">
        <v>298</v>
      </c>
      <c r="Z49" s="486">
        <v>0</v>
      </c>
      <c r="AA49" s="486">
        <v>0</v>
      </c>
      <c r="AB49" s="486">
        <v>0</v>
      </c>
      <c r="AC49" s="486">
        <v>0</v>
      </c>
      <c r="AD49" s="486">
        <v>0</v>
      </c>
      <c r="AE49" s="486">
        <v>0</v>
      </c>
      <c r="AF49" s="486">
        <v>0</v>
      </c>
      <c r="AG49" s="486">
        <v>0</v>
      </c>
      <c r="AH49" s="486">
        <v>0</v>
      </c>
      <c r="AI49" s="486">
        <v>0</v>
      </c>
      <c r="AJ49" s="486">
        <v>0</v>
      </c>
      <c r="AK49" s="486">
        <v>0</v>
      </c>
      <c r="AL49" s="486">
        <v>0</v>
      </c>
      <c r="AM49" s="486">
        <v>0</v>
      </c>
      <c r="AN49" s="486">
        <v>0</v>
      </c>
      <c r="AO49" s="486">
        <v>0</v>
      </c>
      <c r="AP49" s="486">
        <v>0</v>
      </c>
      <c r="AQ49" s="486">
        <v>0</v>
      </c>
      <c r="AR49" s="486">
        <v>0</v>
      </c>
      <c r="AS49" s="486">
        <v>0</v>
      </c>
      <c r="AT49" s="486">
        <v>0</v>
      </c>
      <c r="AU49" s="486">
        <v>0</v>
      </c>
      <c r="AV49" s="486">
        <v>0</v>
      </c>
      <c r="AW49" s="486">
        <v>0</v>
      </c>
      <c r="AX49" s="486">
        <v>0</v>
      </c>
      <c r="AY49" s="486">
        <v>0</v>
      </c>
      <c r="AZ49" s="486">
        <v>0</v>
      </c>
      <c r="BA49" s="486">
        <v>0</v>
      </c>
      <c r="BB49" s="486">
        <v>0</v>
      </c>
      <c r="BC49" s="486">
        <v>0</v>
      </c>
      <c r="BD49" s="486">
        <v>0</v>
      </c>
      <c r="BE49" s="486">
        <v>0</v>
      </c>
      <c r="BF49" s="486">
        <v>0</v>
      </c>
      <c r="BG49" s="486">
        <v>0</v>
      </c>
      <c r="BH49" s="486">
        <v>0</v>
      </c>
      <c r="BI49" s="486">
        <v>0</v>
      </c>
      <c r="BJ49" s="486">
        <v>0</v>
      </c>
      <c r="BK49" s="486">
        <v>0</v>
      </c>
      <c r="BL49" s="486">
        <v>0</v>
      </c>
      <c r="BM49" s="486">
        <v>0</v>
      </c>
      <c r="BN49" s="486">
        <v>0</v>
      </c>
      <c r="BO49" s="486">
        <v>0</v>
      </c>
      <c r="BP49" s="486">
        <v>0</v>
      </c>
      <c r="BQ49" s="486">
        <v>0</v>
      </c>
      <c r="BR49" s="486">
        <v>0</v>
      </c>
      <c r="BS49" s="486">
        <v>0</v>
      </c>
      <c r="BT49" s="486">
        <v>0</v>
      </c>
      <c r="BU49" s="486">
        <v>0</v>
      </c>
      <c r="BV49" s="486">
        <v>0</v>
      </c>
      <c r="BW49" s="486">
        <v>0</v>
      </c>
      <c r="BX49" s="486">
        <v>0</v>
      </c>
      <c r="BY49" s="486">
        <v>0</v>
      </c>
      <c r="BZ49" s="486">
        <v>0</v>
      </c>
      <c r="CA49" s="486">
        <v>0</v>
      </c>
      <c r="CB49" s="486">
        <v>0</v>
      </c>
      <c r="CC49" s="486">
        <v>0</v>
      </c>
      <c r="CD49" s="486">
        <v>0</v>
      </c>
      <c r="CE49" s="486">
        <v>0</v>
      </c>
      <c r="CF49" s="486">
        <v>0</v>
      </c>
      <c r="CG49" s="486">
        <v>0</v>
      </c>
      <c r="CH49" s="486">
        <v>0</v>
      </c>
      <c r="CI49" s="486">
        <v>0</v>
      </c>
      <c r="CJ49" s="486">
        <v>0</v>
      </c>
      <c r="CK49" s="486">
        <v>0</v>
      </c>
      <c r="CL49" s="486">
        <v>0</v>
      </c>
      <c r="CM49" s="486">
        <v>0</v>
      </c>
      <c r="CN49" s="486">
        <v>0</v>
      </c>
      <c r="CO49" s="486">
        <v>0</v>
      </c>
      <c r="CP49" s="486">
        <v>0</v>
      </c>
      <c r="CQ49" s="486">
        <v>0</v>
      </c>
      <c r="CR49" s="486">
        <v>0</v>
      </c>
      <c r="CS49" s="486">
        <v>0</v>
      </c>
      <c r="CT49" s="486">
        <v>0</v>
      </c>
      <c r="CU49" s="486">
        <v>0</v>
      </c>
      <c r="CV49" s="486">
        <v>0</v>
      </c>
      <c r="CW49" s="486">
        <v>0</v>
      </c>
      <c r="CX49" s="486">
        <v>0</v>
      </c>
      <c r="CY49" s="486">
        <v>0</v>
      </c>
      <c r="CZ49" s="486">
        <v>0</v>
      </c>
      <c r="DA49" s="486">
        <v>0</v>
      </c>
      <c r="DB49" s="486">
        <v>0</v>
      </c>
      <c r="DC49" s="486">
        <v>0</v>
      </c>
      <c r="DD49" s="486">
        <v>0</v>
      </c>
      <c r="DE49" s="486">
        <v>0</v>
      </c>
      <c r="DF49" s="486">
        <v>0</v>
      </c>
      <c r="DG49" s="486">
        <v>0</v>
      </c>
      <c r="DH49" s="486">
        <v>0</v>
      </c>
      <c r="DI49" s="486">
        <v>0</v>
      </c>
      <c r="DJ49" s="486">
        <v>0</v>
      </c>
      <c r="DK49" s="486">
        <v>0</v>
      </c>
      <c r="DL49" s="486">
        <v>0</v>
      </c>
      <c r="DM49" s="486">
        <v>0</v>
      </c>
      <c r="DN49" s="486">
        <v>0</v>
      </c>
      <c r="DO49" s="486">
        <v>0</v>
      </c>
      <c r="DP49" s="486">
        <v>0</v>
      </c>
      <c r="DQ49" s="486">
        <v>0</v>
      </c>
      <c r="DR49" s="486">
        <v>0</v>
      </c>
      <c r="DS49" s="486">
        <v>0</v>
      </c>
      <c r="DT49" s="486">
        <v>0</v>
      </c>
      <c r="DU49" s="486">
        <v>0</v>
      </c>
      <c r="DV49" s="486">
        <v>0</v>
      </c>
      <c r="DW49" s="486">
        <v>0</v>
      </c>
      <c r="DX49" s="477"/>
      <c r="DY49" s="484" t="s">
        <v>720</v>
      </c>
      <c r="DZ49" s="484" t="s">
        <v>617</v>
      </c>
      <c r="EA49" s="484" t="s">
        <v>25</v>
      </c>
      <c r="EB49" s="486">
        <v>61</v>
      </c>
      <c r="EC49" s="471" t="str">
        <f t="shared" si="0"/>
        <v>AIJ100161</v>
      </c>
      <c r="ED49" s="486">
        <v>10000</v>
      </c>
      <c r="EE49" s="486">
        <v>10000</v>
      </c>
      <c r="EF49" s="486">
        <v>10000</v>
      </c>
      <c r="EG49" s="486">
        <v>10000</v>
      </c>
      <c r="EH49" s="486">
        <v>10000</v>
      </c>
      <c r="EI49" s="486">
        <v>10000</v>
      </c>
      <c r="EJ49" s="486">
        <v>10000</v>
      </c>
      <c r="EK49" s="486">
        <v>10000</v>
      </c>
      <c r="EL49" s="486">
        <v>10000</v>
      </c>
      <c r="EM49" s="486">
        <v>10000</v>
      </c>
      <c r="EN49" s="486">
        <v>0</v>
      </c>
      <c r="EO49" s="486">
        <v>0</v>
      </c>
      <c r="EP49" s="486">
        <v>0</v>
      </c>
      <c r="EQ49" s="486">
        <v>0</v>
      </c>
      <c r="ER49" s="486">
        <v>0</v>
      </c>
      <c r="ES49" s="486">
        <v>0</v>
      </c>
      <c r="ET49" s="486">
        <v>0</v>
      </c>
      <c r="EU49" s="486">
        <v>0</v>
      </c>
      <c r="EV49" s="486">
        <v>0</v>
      </c>
      <c r="EW49" s="486">
        <v>0</v>
      </c>
      <c r="EX49" s="486">
        <v>0</v>
      </c>
      <c r="EY49" s="486">
        <v>0</v>
      </c>
      <c r="EZ49" s="486">
        <v>0</v>
      </c>
      <c r="FA49" s="486">
        <v>0</v>
      </c>
      <c r="FB49" s="486">
        <v>0</v>
      </c>
      <c r="FC49" s="486">
        <v>0</v>
      </c>
      <c r="FD49" s="486">
        <v>0</v>
      </c>
      <c r="FE49" s="486">
        <v>0</v>
      </c>
      <c r="FF49" s="486">
        <v>0</v>
      </c>
      <c r="FG49" s="486">
        <v>0</v>
      </c>
      <c r="FH49" s="486">
        <v>0</v>
      </c>
      <c r="FI49" s="486">
        <v>0</v>
      </c>
      <c r="FJ49" s="486">
        <v>0</v>
      </c>
      <c r="FK49" s="486">
        <v>0</v>
      </c>
      <c r="FL49" s="486">
        <v>0</v>
      </c>
      <c r="FM49" s="486">
        <v>0</v>
      </c>
      <c r="FN49" s="486">
        <v>0</v>
      </c>
      <c r="FO49" s="486">
        <v>0</v>
      </c>
      <c r="FP49" s="486">
        <v>0</v>
      </c>
      <c r="FQ49" s="486">
        <v>0</v>
      </c>
      <c r="FR49" s="486">
        <v>0</v>
      </c>
      <c r="FS49" s="486">
        <v>0</v>
      </c>
      <c r="FT49" s="486">
        <v>0</v>
      </c>
      <c r="FU49" s="486">
        <v>0</v>
      </c>
      <c r="FV49" s="486">
        <v>0</v>
      </c>
      <c r="FW49" s="486">
        <v>0</v>
      </c>
      <c r="FX49" s="486">
        <v>0</v>
      </c>
      <c r="FY49" s="486">
        <v>0</v>
      </c>
      <c r="FZ49" s="486">
        <v>0</v>
      </c>
      <c r="GA49" s="486">
        <v>0</v>
      </c>
      <c r="GB49" s="486">
        <v>0</v>
      </c>
      <c r="GC49" s="486">
        <v>0</v>
      </c>
      <c r="GD49" s="486">
        <v>0</v>
      </c>
      <c r="GE49" s="486">
        <v>0</v>
      </c>
      <c r="GF49" s="486">
        <v>0</v>
      </c>
      <c r="GG49" s="486">
        <v>0</v>
      </c>
      <c r="GH49" s="486">
        <v>0</v>
      </c>
      <c r="GI49" s="486">
        <v>0</v>
      </c>
      <c r="GJ49" s="486">
        <v>0</v>
      </c>
      <c r="GK49" s="486">
        <v>0</v>
      </c>
      <c r="GL49" s="486">
        <v>0</v>
      </c>
      <c r="GM49" s="486">
        <v>0</v>
      </c>
      <c r="GN49" s="486">
        <v>0</v>
      </c>
      <c r="GO49" s="486">
        <v>0</v>
      </c>
      <c r="GP49" s="486">
        <v>0</v>
      </c>
      <c r="GQ49" s="486">
        <v>0</v>
      </c>
      <c r="GR49" s="486">
        <v>0</v>
      </c>
      <c r="GS49" s="486">
        <v>0</v>
      </c>
      <c r="GT49" s="486">
        <v>0</v>
      </c>
      <c r="GU49" s="486">
        <v>0</v>
      </c>
      <c r="GV49" s="486">
        <v>0</v>
      </c>
      <c r="GW49" s="486">
        <v>0</v>
      </c>
      <c r="GX49" s="486">
        <v>0</v>
      </c>
      <c r="GY49" s="486">
        <v>0</v>
      </c>
      <c r="GZ49" s="486">
        <v>0</v>
      </c>
      <c r="HA49" s="486">
        <v>0</v>
      </c>
      <c r="HB49" s="486">
        <v>0</v>
      </c>
      <c r="HC49" s="486">
        <v>0</v>
      </c>
      <c r="HD49" s="486">
        <v>0</v>
      </c>
      <c r="HE49" s="486">
        <v>0</v>
      </c>
      <c r="HF49" s="486">
        <v>0</v>
      </c>
      <c r="HG49" s="486">
        <v>0</v>
      </c>
      <c r="HH49" s="486">
        <v>0</v>
      </c>
      <c r="HI49" s="486">
        <v>0</v>
      </c>
      <c r="HJ49" s="486">
        <v>0</v>
      </c>
      <c r="HK49" s="486">
        <v>0</v>
      </c>
      <c r="HL49" s="486">
        <v>0</v>
      </c>
      <c r="HM49" s="486">
        <v>0</v>
      </c>
      <c r="HN49" s="486">
        <v>0</v>
      </c>
      <c r="HO49" s="486">
        <v>0</v>
      </c>
      <c r="HP49" s="486">
        <v>0</v>
      </c>
      <c r="HQ49" s="486">
        <v>0</v>
      </c>
      <c r="HR49" s="486">
        <v>0</v>
      </c>
      <c r="HS49" s="486">
        <v>0</v>
      </c>
      <c r="HT49" s="486">
        <v>0</v>
      </c>
      <c r="HU49" s="486">
        <v>0</v>
      </c>
      <c r="HV49" s="486">
        <v>0</v>
      </c>
      <c r="HW49" s="486">
        <v>0</v>
      </c>
      <c r="HX49" s="486">
        <v>0</v>
      </c>
      <c r="HY49" s="486">
        <v>0</v>
      </c>
      <c r="HZ49" s="486">
        <v>0</v>
      </c>
      <c r="IA49" s="486">
        <v>0</v>
      </c>
      <c r="IB49" s="486">
        <v>0</v>
      </c>
      <c r="IC49" s="486">
        <v>0</v>
      </c>
      <c r="ID49" s="486">
        <v>0</v>
      </c>
      <c r="IE49" s="486">
        <v>0</v>
      </c>
      <c r="IF49" s="486">
        <v>0</v>
      </c>
      <c r="IG49" s="486">
        <v>0</v>
      </c>
      <c r="IH49" s="486">
        <v>0</v>
      </c>
      <c r="II49" s="486">
        <v>0</v>
      </c>
      <c r="IJ49" s="486">
        <v>0</v>
      </c>
    </row>
    <row r="50" spans="1:245" ht="16.5" hidden="1">
      <c r="A50" s="484" t="s">
        <v>720</v>
      </c>
      <c r="B50" s="484" t="s">
        <v>617</v>
      </c>
      <c r="C50" s="484" t="s">
        <v>721</v>
      </c>
      <c r="D50" s="485"/>
      <c r="E50" s="484" t="s">
        <v>721</v>
      </c>
      <c r="F50" s="484" t="s">
        <v>26</v>
      </c>
      <c r="G50" s="485"/>
      <c r="H50" s="486">
        <v>56</v>
      </c>
      <c r="I50" s="471" t="str">
        <f t="shared" si="1"/>
        <v>AIJ100256</v>
      </c>
      <c r="J50" s="486">
        <v>159</v>
      </c>
      <c r="L50" s="484" t="s">
        <v>720</v>
      </c>
      <c r="M50" s="484" t="s">
        <v>617</v>
      </c>
      <c r="N50" s="484" t="s">
        <v>26</v>
      </c>
      <c r="O50" s="486">
        <v>15</v>
      </c>
      <c r="P50" s="471" t="str">
        <f t="shared" si="2"/>
        <v>AIJ100215</v>
      </c>
      <c r="Q50" s="486">
        <v>0</v>
      </c>
      <c r="R50" s="486">
        <v>3</v>
      </c>
      <c r="S50" s="486">
        <v>6</v>
      </c>
      <c r="T50" s="486">
        <v>9</v>
      </c>
      <c r="U50" s="486">
        <v>13</v>
      </c>
      <c r="V50" s="486">
        <v>16</v>
      </c>
      <c r="W50" s="486">
        <v>20</v>
      </c>
      <c r="X50" s="486">
        <v>25</v>
      </c>
      <c r="Y50" s="486">
        <v>28</v>
      </c>
      <c r="Z50" s="486">
        <v>0</v>
      </c>
      <c r="AA50" s="486">
        <v>0</v>
      </c>
      <c r="AB50" s="486">
        <v>0</v>
      </c>
      <c r="AC50" s="486">
        <v>0</v>
      </c>
      <c r="AD50" s="486">
        <v>0</v>
      </c>
      <c r="AE50" s="486">
        <v>0</v>
      </c>
      <c r="AF50" s="486">
        <v>0</v>
      </c>
      <c r="AG50" s="486">
        <v>0</v>
      </c>
      <c r="AH50" s="486">
        <v>0</v>
      </c>
      <c r="AI50" s="486">
        <v>0</v>
      </c>
      <c r="AJ50" s="486">
        <v>0</v>
      </c>
      <c r="AK50" s="486">
        <v>0</v>
      </c>
      <c r="AL50" s="486">
        <v>0</v>
      </c>
      <c r="AM50" s="486">
        <v>0</v>
      </c>
      <c r="AN50" s="486">
        <v>0</v>
      </c>
      <c r="AO50" s="486">
        <v>0</v>
      </c>
      <c r="AP50" s="486">
        <v>0</v>
      </c>
      <c r="AQ50" s="486">
        <v>0</v>
      </c>
      <c r="AR50" s="486">
        <v>0</v>
      </c>
      <c r="AS50" s="486">
        <v>0</v>
      </c>
      <c r="AT50" s="486">
        <v>0</v>
      </c>
      <c r="AU50" s="486">
        <v>0</v>
      </c>
      <c r="AV50" s="486">
        <v>0</v>
      </c>
      <c r="AW50" s="486">
        <v>0</v>
      </c>
      <c r="AX50" s="486">
        <v>0</v>
      </c>
      <c r="AY50" s="486">
        <v>0</v>
      </c>
      <c r="AZ50" s="486">
        <v>0</v>
      </c>
      <c r="BA50" s="486">
        <v>0</v>
      </c>
      <c r="BB50" s="486">
        <v>0</v>
      </c>
      <c r="BC50" s="486">
        <v>0</v>
      </c>
      <c r="BD50" s="486">
        <v>0</v>
      </c>
      <c r="BE50" s="486">
        <v>0</v>
      </c>
      <c r="BF50" s="486">
        <v>0</v>
      </c>
      <c r="BG50" s="486">
        <v>0</v>
      </c>
      <c r="BH50" s="486">
        <v>0</v>
      </c>
      <c r="BI50" s="486">
        <v>0</v>
      </c>
      <c r="BJ50" s="486">
        <v>0</v>
      </c>
      <c r="BK50" s="486">
        <v>0</v>
      </c>
      <c r="BL50" s="486">
        <v>0</v>
      </c>
      <c r="BM50" s="486">
        <v>0</v>
      </c>
      <c r="BN50" s="486">
        <v>0</v>
      </c>
      <c r="BO50" s="486">
        <v>0</v>
      </c>
      <c r="BP50" s="486">
        <v>0</v>
      </c>
      <c r="BQ50" s="486">
        <v>0</v>
      </c>
      <c r="BR50" s="486">
        <v>0</v>
      </c>
      <c r="BS50" s="486">
        <v>0</v>
      </c>
      <c r="BT50" s="486">
        <v>0</v>
      </c>
      <c r="BU50" s="486">
        <v>0</v>
      </c>
      <c r="BV50" s="486">
        <v>0</v>
      </c>
      <c r="BW50" s="486">
        <v>0</v>
      </c>
      <c r="BX50" s="486">
        <v>0</v>
      </c>
      <c r="BY50" s="486">
        <v>0</v>
      </c>
      <c r="BZ50" s="486">
        <v>0</v>
      </c>
      <c r="CA50" s="486">
        <v>0</v>
      </c>
      <c r="CB50" s="486">
        <v>0</v>
      </c>
      <c r="CC50" s="486">
        <v>0</v>
      </c>
      <c r="CD50" s="486">
        <v>0</v>
      </c>
      <c r="CE50" s="486">
        <v>0</v>
      </c>
      <c r="CF50" s="486">
        <v>0</v>
      </c>
      <c r="CG50" s="486">
        <v>0</v>
      </c>
      <c r="CH50" s="486">
        <v>0</v>
      </c>
      <c r="CI50" s="486">
        <v>0</v>
      </c>
      <c r="CJ50" s="486">
        <v>0</v>
      </c>
      <c r="CK50" s="486">
        <v>0</v>
      </c>
      <c r="CL50" s="486">
        <v>0</v>
      </c>
      <c r="CM50" s="486">
        <v>0</v>
      </c>
      <c r="CN50" s="486">
        <v>0</v>
      </c>
      <c r="CO50" s="486">
        <v>0</v>
      </c>
      <c r="CP50" s="486">
        <v>0</v>
      </c>
      <c r="CQ50" s="486">
        <v>0</v>
      </c>
      <c r="CR50" s="486">
        <v>0</v>
      </c>
      <c r="CS50" s="486">
        <v>0</v>
      </c>
      <c r="CT50" s="486">
        <v>0</v>
      </c>
      <c r="CU50" s="486">
        <v>0</v>
      </c>
      <c r="CV50" s="486">
        <v>0</v>
      </c>
      <c r="CW50" s="486">
        <v>0</v>
      </c>
      <c r="CX50" s="486">
        <v>0</v>
      </c>
      <c r="CY50" s="486">
        <v>0</v>
      </c>
      <c r="CZ50" s="486">
        <v>0</v>
      </c>
      <c r="DA50" s="486">
        <v>0</v>
      </c>
      <c r="DB50" s="486">
        <v>0</v>
      </c>
      <c r="DC50" s="486">
        <v>0</v>
      </c>
      <c r="DD50" s="486">
        <v>0</v>
      </c>
      <c r="DE50" s="486">
        <v>0</v>
      </c>
      <c r="DF50" s="486">
        <v>0</v>
      </c>
      <c r="DG50" s="486">
        <v>0</v>
      </c>
      <c r="DH50" s="486">
        <v>0</v>
      </c>
      <c r="DI50" s="486">
        <v>0</v>
      </c>
      <c r="DJ50" s="486">
        <v>0</v>
      </c>
      <c r="DK50" s="486">
        <v>0</v>
      </c>
      <c r="DL50" s="486">
        <v>0</v>
      </c>
      <c r="DM50" s="486">
        <v>0</v>
      </c>
      <c r="DN50" s="486">
        <v>0</v>
      </c>
      <c r="DO50" s="486">
        <v>0</v>
      </c>
      <c r="DP50" s="486">
        <v>0</v>
      </c>
      <c r="DQ50" s="486">
        <v>0</v>
      </c>
      <c r="DR50" s="486">
        <v>0</v>
      </c>
      <c r="DS50" s="486">
        <v>0</v>
      </c>
      <c r="DT50" s="486">
        <v>0</v>
      </c>
      <c r="DU50" s="486">
        <v>0</v>
      </c>
      <c r="DV50" s="486">
        <v>0</v>
      </c>
      <c r="DW50" s="486">
        <v>0</v>
      </c>
      <c r="DX50" s="477"/>
      <c r="DY50" s="484" t="s">
        <v>720</v>
      </c>
      <c r="DZ50" s="484" t="s">
        <v>617</v>
      </c>
      <c r="EA50" s="484" t="s">
        <v>26</v>
      </c>
      <c r="EB50" s="486">
        <v>15</v>
      </c>
      <c r="EC50" s="471" t="str">
        <f t="shared" si="0"/>
        <v>AIJ100215</v>
      </c>
      <c r="ED50" s="486">
        <v>10000</v>
      </c>
      <c r="EE50" s="486">
        <v>10000</v>
      </c>
      <c r="EF50" s="486">
        <v>10000</v>
      </c>
      <c r="EG50" s="486">
        <v>10000</v>
      </c>
      <c r="EH50" s="486">
        <v>10000</v>
      </c>
      <c r="EI50" s="486">
        <v>10000</v>
      </c>
      <c r="EJ50" s="486">
        <v>10000</v>
      </c>
      <c r="EK50" s="486">
        <v>10000</v>
      </c>
      <c r="EL50" s="486">
        <v>10000</v>
      </c>
      <c r="EM50" s="486">
        <v>10000</v>
      </c>
      <c r="EN50" s="486">
        <v>0</v>
      </c>
      <c r="EO50" s="486">
        <v>0</v>
      </c>
      <c r="EP50" s="486">
        <v>0</v>
      </c>
      <c r="EQ50" s="486">
        <v>0</v>
      </c>
      <c r="ER50" s="486">
        <v>0</v>
      </c>
      <c r="ES50" s="486">
        <v>0</v>
      </c>
      <c r="ET50" s="486">
        <v>0</v>
      </c>
      <c r="EU50" s="486">
        <v>0</v>
      </c>
      <c r="EV50" s="486">
        <v>0</v>
      </c>
      <c r="EW50" s="486">
        <v>0</v>
      </c>
      <c r="EX50" s="486">
        <v>0</v>
      </c>
      <c r="EY50" s="486">
        <v>0</v>
      </c>
      <c r="EZ50" s="486">
        <v>0</v>
      </c>
      <c r="FA50" s="486">
        <v>0</v>
      </c>
      <c r="FB50" s="486">
        <v>0</v>
      </c>
      <c r="FC50" s="486">
        <v>0</v>
      </c>
      <c r="FD50" s="486">
        <v>0</v>
      </c>
      <c r="FE50" s="486">
        <v>0</v>
      </c>
      <c r="FF50" s="486">
        <v>0</v>
      </c>
      <c r="FG50" s="486">
        <v>0</v>
      </c>
      <c r="FH50" s="486">
        <v>0</v>
      </c>
      <c r="FI50" s="486">
        <v>0</v>
      </c>
      <c r="FJ50" s="486">
        <v>0</v>
      </c>
      <c r="FK50" s="486">
        <v>0</v>
      </c>
      <c r="FL50" s="486">
        <v>0</v>
      </c>
      <c r="FM50" s="486">
        <v>0</v>
      </c>
      <c r="FN50" s="486">
        <v>0</v>
      </c>
      <c r="FO50" s="486">
        <v>0</v>
      </c>
      <c r="FP50" s="486">
        <v>0</v>
      </c>
      <c r="FQ50" s="486">
        <v>0</v>
      </c>
      <c r="FR50" s="486">
        <v>0</v>
      </c>
      <c r="FS50" s="486">
        <v>0</v>
      </c>
      <c r="FT50" s="486">
        <v>0</v>
      </c>
      <c r="FU50" s="486">
        <v>0</v>
      </c>
      <c r="FV50" s="486">
        <v>0</v>
      </c>
      <c r="FW50" s="486">
        <v>0</v>
      </c>
      <c r="FX50" s="486">
        <v>0</v>
      </c>
      <c r="FY50" s="486">
        <v>0</v>
      </c>
      <c r="FZ50" s="486">
        <v>0</v>
      </c>
      <c r="GA50" s="486">
        <v>0</v>
      </c>
      <c r="GB50" s="486">
        <v>0</v>
      </c>
      <c r="GC50" s="486">
        <v>0</v>
      </c>
      <c r="GD50" s="486">
        <v>0</v>
      </c>
      <c r="GE50" s="486">
        <v>0</v>
      </c>
      <c r="GF50" s="486">
        <v>0</v>
      </c>
      <c r="GG50" s="486">
        <v>0</v>
      </c>
      <c r="GH50" s="486">
        <v>0</v>
      </c>
      <c r="GI50" s="486">
        <v>0</v>
      </c>
      <c r="GJ50" s="486">
        <v>0</v>
      </c>
      <c r="GK50" s="486">
        <v>0</v>
      </c>
      <c r="GL50" s="486">
        <v>0</v>
      </c>
      <c r="GM50" s="486">
        <v>0</v>
      </c>
      <c r="GN50" s="486">
        <v>0</v>
      </c>
      <c r="GO50" s="486">
        <v>0</v>
      </c>
      <c r="GP50" s="486">
        <v>0</v>
      </c>
      <c r="GQ50" s="486">
        <v>0</v>
      </c>
      <c r="GR50" s="486">
        <v>0</v>
      </c>
      <c r="GS50" s="486">
        <v>0</v>
      </c>
      <c r="GT50" s="486">
        <v>0</v>
      </c>
      <c r="GU50" s="486">
        <v>0</v>
      </c>
      <c r="GV50" s="486">
        <v>0</v>
      </c>
      <c r="GW50" s="486">
        <v>0</v>
      </c>
      <c r="GX50" s="486">
        <v>0</v>
      </c>
      <c r="GY50" s="486">
        <v>0</v>
      </c>
      <c r="GZ50" s="486">
        <v>0</v>
      </c>
      <c r="HA50" s="486">
        <v>0</v>
      </c>
      <c r="HB50" s="486">
        <v>0</v>
      </c>
      <c r="HC50" s="486">
        <v>0</v>
      </c>
      <c r="HD50" s="486">
        <v>0</v>
      </c>
      <c r="HE50" s="486">
        <v>0</v>
      </c>
      <c r="HF50" s="486">
        <v>0</v>
      </c>
      <c r="HG50" s="486">
        <v>0</v>
      </c>
      <c r="HH50" s="486">
        <v>0</v>
      </c>
      <c r="HI50" s="486">
        <v>0</v>
      </c>
      <c r="HJ50" s="486">
        <v>0</v>
      </c>
      <c r="HK50" s="486">
        <v>0</v>
      </c>
      <c r="HL50" s="486">
        <v>0</v>
      </c>
      <c r="HM50" s="486">
        <v>0</v>
      </c>
      <c r="HN50" s="486">
        <v>0</v>
      </c>
      <c r="HO50" s="486">
        <v>0</v>
      </c>
      <c r="HP50" s="486">
        <v>0</v>
      </c>
      <c r="HQ50" s="486">
        <v>0</v>
      </c>
      <c r="HR50" s="486">
        <v>0</v>
      </c>
      <c r="HS50" s="486">
        <v>0</v>
      </c>
      <c r="HT50" s="486">
        <v>0</v>
      </c>
      <c r="HU50" s="486">
        <v>0</v>
      </c>
      <c r="HV50" s="486">
        <v>0</v>
      </c>
      <c r="HW50" s="486">
        <v>0</v>
      </c>
      <c r="HX50" s="486">
        <v>0</v>
      </c>
      <c r="HY50" s="486">
        <v>0</v>
      </c>
      <c r="HZ50" s="486">
        <v>0</v>
      </c>
      <c r="IA50" s="486">
        <v>0</v>
      </c>
      <c r="IB50" s="486">
        <v>0</v>
      </c>
      <c r="IC50" s="486">
        <v>0</v>
      </c>
      <c r="ID50" s="486">
        <v>0</v>
      </c>
      <c r="IE50" s="486">
        <v>0</v>
      </c>
      <c r="IF50" s="486">
        <v>0</v>
      </c>
      <c r="IG50" s="486">
        <v>0</v>
      </c>
      <c r="IH50" s="486">
        <v>0</v>
      </c>
      <c r="II50" s="486">
        <v>0</v>
      </c>
      <c r="IJ50" s="486">
        <v>0</v>
      </c>
    </row>
    <row r="51" spans="1:245" ht="16.5" hidden="1">
      <c r="A51" s="484" t="s">
        <v>720</v>
      </c>
      <c r="B51" s="484" t="s">
        <v>617</v>
      </c>
      <c r="C51" s="484" t="s">
        <v>721</v>
      </c>
      <c r="D51" s="485"/>
      <c r="E51" s="484" t="s">
        <v>721</v>
      </c>
      <c r="F51" s="484" t="s">
        <v>26</v>
      </c>
      <c r="G51" s="485"/>
      <c r="H51" s="486">
        <v>57</v>
      </c>
      <c r="I51" s="471" t="str">
        <f t="shared" si="1"/>
        <v>AIJ100257</v>
      </c>
      <c r="J51" s="486">
        <v>171</v>
      </c>
      <c r="L51" s="484" t="s">
        <v>720</v>
      </c>
      <c r="M51" s="484" t="s">
        <v>617</v>
      </c>
      <c r="N51" s="484" t="s">
        <v>26</v>
      </c>
      <c r="O51" s="486">
        <v>16</v>
      </c>
      <c r="P51" s="471" t="str">
        <f t="shared" si="2"/>
        <v>AIJ100216</v>
      </c>
      <c r="Q51" s="486">
        <v>0</v>
      </c>
      <c r="R51" s="486">
        <v>3</v>
      </c>
      <c r="S51" s="486">
        <v>6</v>
      </c>
      <c r="T51" s="486">
        <v>9</v>
      </c>
      <c r="U51" s="486">
        <v>13</v>
      </c>
      <c r="V51" s="486">
        <v>16</v>
      </c>
      <c r="W51" s="486">
        <v>20</v>
      </c>
      <c r="X51" s="486">
        <v>25</v>
      </c>
      <c r="Y51" s="486">
        <v>28</v>
      </c>
      <c r="Z51" s="486">
        <v>0</v>
      </c>
      <c r="AA51" s="486">
        <v>0</v>
      </c>
      <c r="AB51" s="486">
        <v>0</v>
      </c>
      <c r="AC51" s="486">
        <v>0</v>
      </c>
      <c r="AD51" s="486">
        <v>0</v>
      </c>
      <c r="AE51" s="486">
        <v>0</v>
      </c>
      <c r="AF51" s="486">
        <v>0</v>
      </c>
      <c r="AG51" s="486">
        <v>0</v>
      </c>
      <c r="AH51" s="486">
        <v>0</v>
      </c>
      <c r="AI51" s="486">
        <v>0</v>
      </c>
      <c r="AJ51" s="486">
        <v>0</v>
      </c>
      <c r="AK51" s="486">
        <v>0</v>
      </c>
      <c r="AL51" s="486">
        <v>0</v>
      </c>
      <c r="AM51" s="486">
        <v>0</v>
      </c>
      <c r="AN51" s="486">
        <v>0</v>
      </c>
      <c r="AO51" s="486">
        <v>0</v>
      </c>
      <c r="AP51" s="486">
        <v>0</v>
      </c>
      <c r="AQ51" s="486">
        <v>0</v>
      </c>
      <c r="AR51" s="486">
        <v>0</v>
      </c>
      <c r="AS51" s="486">
        <v>0</v>
      </c>
      <c r="AT51" s="486">
        <v>0</v>
      </c>
      <c r="AU51" s="486">
        <v>0</v>
      </c>
      <c r="AV51" s="486">
        <v>0</v>
      </c>
      <c r="AW51" s="486">
        <v>0</v>
      </c>
      <c r="AX51" s="486">
        <v>0</v>
      </c>
      <c r="AY51" s="486">
        <v>0</v>
      </c>
      <c r="AZ51" s="486">
        <v>0</v>
      </c>
      <c r="BA51" s="486">
        <v>0</v>
      </c>
      <c r="BB51" s="486">
        <v>0</v>
      </c>
      <c r="BC51" s="486">
        <v>0</v>
      </c>
      <c r="BD51" s="486">
        <v>0</v>
      </c>
      <c r="BE51" s="486">
        <v>0</v>
      </c>
      <c r="BF51" s="486">
        <v>0</v>
      </c>
      <c r="BG51" s="486">
        <v>0</v>
      </c>
      <c r="BH51" s="486">
        <v>0</v>
      </c>
      <c r="BI51" s="486">
        <v>0</v>
      </c>
      <c r="BJ51" s="486">
        <v>0</v>
      </c>
      <c r="BK51" s="486">
        <v>0</v>
      </c>
      <c r="BL51" s="486">
        <v>0</v>
      </c>
      <c r="BM51" s="486">
        <v>0</v>
      </c>
      <c r="BN51" s="486">
        <v>0</v>
      </c>
      <c r="BO51" s="486">
        <v>0</v>
      </c>
      <c r="BP51" s="486">
        <v>0</v>
      </c>
      <c r="BQ51" s="486">
        <v>0</v>
      </c>
      <c r="BR51" s="486">
        <v>0</v>
      </c>
      <c r="BS51" s="486">
        <v>0</v>
      </c>
      <c r="BT51" s="486">
        <v>0</v>
      </c>
      <c r="BU51" s="486">
        <v>0</v>
      </c>
      <c r="BV51" s="486">
        <v>0</v>
      </c>
      <c r="BW51" s="486">
        <v>0</v>
      </c>
      <c r="BX51" s="486">
        <v>0</v>
      </c>
      <c r="BY51" s="486">
        <v>0</v>
      </c>
      <c r="BZ51" s="486">
        <v>0</v>
      </c>
      <c r="CA51" s="486">
        <v>0</v>
      </c>
      <c r="CB51" s="486">
        <v>0</v>
      </c>
      <c r="CC51" s="486">
        <v>0</v>
      </c>
      <c r="CD51" s="486">
        <v>0</v>
      </c>
      <c r="CE51" s="486">
        <v>0</v>
      </c>
      <c r="CF51" s="486">
        <v>0</v>
      </c>
      <c r="CG51" s="486">
        <v>0</v>
      </c>
      <c r="CH51" s="486">
        <v>0</v>
      </c>
      <c r="CI51" s="486">
        <v>0</v>
      </c>
      <c r="CJ51" s="486">
        <v>0</v>
      </c>
      <c r="CK51" s="486">
        <v>0</v>
      </c>
      <c r="CL51" s="486">
        <v>0</v>
      </c>
      <c r="CM51" s="486">
        <v>0</v>
      </c>
      <c r="CN51" s="486">
        <v>0</v>
      </c>
      <c r="CO51" s="486">
        <v>0</v>
      </c>
      <c r="CP51" s="486">
        <v>0</v>
      </c>
      <c r="CQ51" s="486">
        <v>0</v>
      </c>
      <c r="CR51" s="486">
        <v>0</v>
      </c>
      <c r="CS51" s="486">
        <v>0</v>
      </c>
      <c r="CT51" s="486">
        <v>0</v>
      </c>
      <c r="CU51" s="486">
        <v>0</v>
      </c>
      <c r="CV51" s="486">
        <v>0</v>
      </c>
      <c r="CW51" s="486">
        <v>0</v>
      </c>
      <c r="CX51" s="486">
        <v>0</v>
      </c>
      <c r="CY51" s="486">
        <v>0</v>
      </c>
      <c r="CZ51" s="486">
        <v>0</v>
      </c>
      <c r="DA51" s="486">
        <v>0</v>
      </c>
      <c r="DB51" s="486">
        <v>0</v>
      </c>
      <c r="DC51" s="486">
        <v>0</v>
      </c>
      <c r="DD51" s="486">
        <v>0</v>
      </c>
      <c r="DE51" s="486">
        <v>0</v>
      </c>
      <c r="DF51" s="486">
        <v>0</v>
      </c>
      <c r="DG51" s="486">
        <v>0</v>
      </c>
      <c r="DH51" s="486">
        <v>0</v>
      </c>
      <c r="DI51" s="486">
        <v>0</v>
      </c>
      <c r="DJ51" s="486">
        <v>0</v>
      </c>
      <c r="DK51" s="486">
        <v>0</v>
      </c>
      <c r="DL51" s="486">
        <v>0</v>
      </c>
      <c r="DM51" s="486">
        <v>0</v>
      </c>
      <c r="DN51" s="486">
        <v>0</v>
      </c>
      <c r="DO51" s="486">
        <v>0</v>
      </c>
      <c r="DP51" s="486">
        <v>0</v>
      </c>
      <c r="DQ51" s="486">
        <v>0</v>
      </c>
      <c r="DR51" s="486">
        <v>0</v>
      </c>
      <c r="DS51" s="486">
        <v>0</v>
      </c>
      <c r="DT51" s="486">
        <v>0</v>
      </c>
      <c r="DU51" s="486">
        <v>0</v>
      </c>
      <c r="DV51" s="486">
        <v>0</v>
      </c>
      <c r="DW51" s="486">
        <v>0</v>
      </c>
      <c r="DX51" s="477"/>
      <c r="DY51" s="484" t="s">
        <v>720</v>
      </c>
      <c r="DZ51" s="484" t="s">
        <v>617</v>
      </c>
      <c r="EA51" s="484" t="s">
        <v>26</v>
      </c>
      <c r="EB51" s="486">
        <v>16</v>
      </c>
      <c r="EC51" s="471" t="str">
        <f t="shared" si="0"/>
        <v>AIJ100216</v>
      </c>
      <c r="ED51" s="486">
        <v>10000</v>
      </c>
      <c r="EE51" s="486">
        <v>10000</v>
      </c>
      <c r="EF51" s="486">
        <v>10000</v>
      </c>
      <c r="EG51" s="486">
        <v>10000</v>
      </c>
      <c r="EH51" s="486">
        <v>10000</v>
      </c>
      <c r="EI51" s="486">
        <v>10000</v>
      </c>
      <c r="EJ51" s="486">
        <v>10000</v>
      </c>
      <c r="EK51" s="486">
        <v>10000</v>
      </c>
      <c r="EL51" s="486">
        <v>10000</v>
      </c>
      <c r="EM51" s="486">
        <v>10000</v>
      </c>
      <c r="EN51" s="486">
        <v>0</v>
      </c>
      <c r="EO51" s="486">
        <v>0</v>
      </c>
      <c r="EP51" s="486">
        <v>0</v>
      </c>
      <c r="EQ51" s="486">
        <v>0</v>
      </c>
      <c r="ER51" s="486">
        <v>0</v>
      </c>
      <c r="ES51" s="486">
        <v>0</v>
      </c>
      <c r="ET51" s="486">
        <v>0</v>
      </c>
      <c r="EU51" s="486">
        <v>0</v>
      </c>
      <c r="EV51" s="486">
        <v>0</v>
      </c>
      <c r="EW51" s="486">
        <v>0</v>
      </c>
      <c r="EX51" s="486">
        <v>0</v>
      </c>
      <c r="EY51" s="486">
        <v>0</v>
      </c>
      <c r="EZ51" s="486">
        <v>0</v>
      </c>
      <c r="FA51" s="486">
        <v>0</v>
      </c>
      <c r="FB51" s="486">
        <v>0</v>
      </c>
      <c r="FC51" s="486">
        <v>0</v>
      </c>
      <c r="FD51" s="486">
        <v>0</v>
      </c>
      <c r="FE51" s="486">
        <v>0</v>
      </c>
      <c r="FF51" s="486">
        <v>0</v>
      </c>
      <c r="FG51" s="486">
        <v>0</v>
      </c>
      <c r="FH51" s="486">
        <v>0</v>
      </c>
      <c r="FI51" s="486">
        <v>0</v>
      </c>
      <c r="FJ51" s="486">
        <v>0</v>
      </c>
      <c r="FK51" s="486">
        <v>0</v>
      </c>
      <c r="FL51" s="486">
        <v>0</v>
      </c>
      <c r="FM51" s="486">
        <v>0</v>
      </c>
      <c r="FN51" s="486">
        <v>0</v>
      </c>
      <c r="FO51" s="486">
        <v>0</v>
      </c>
      <c r="FP51" s="486">
        <v>0</v>
      </c>
      <c r="FQ51" s="486">
        <v>0</v>
      </c>
      <c r="FR51" s="486">
        <v>0</v>
      </c>
      <c r="FS51" s="486">
        <v>0</v>
      </c>
      <c r="FT51" s="486">
        <v>0</v>
      </c>
      <c r="FU51" s="486">
        <v>0</v>
      </c>
      <c r="FV51" s="486">
        <v>0</v>
      </c>
      <c r="FW51" s="486">
        <v>0</v>
      </c>
      <c r="FX51" s="486">
        <v>0</v>
      </c>
      <c r="FY51" s="486">
        <v>0</v>
      </c>
      <c r="FZ51" s="486">
        <v>0</v>
      </c>
      <c r="GA51" s="486">
        <v>0</v>
      </c>
      <c r="GB51" s="486">
        <v>0</v>
      </c>
      <c r="GC51" s="486">
        <v>0</v>
      </c>
      <c r="GD51" s="486">
        <v>0</v>
      </c>
      <c r="GE51" s="486">
        <v>0</v>
      </c>
      <c r="GF51" s="486">
        <v>0</v>
      </c>
      <c r="GG51" s="486">
        <v>0</v>
      </c>
      <c r="GH51" s="486">
        <v>0</v>
      </c>
      <c r="GI51" s="486">
        <v>0</v>
      </c>
      <c r="GJ51" s="486">
        <v>0</v>
      </c>
      <c r="GK51" s="486">
        <v>0</v>
      </c>
      <c r="GL51" s="486">
        <v>0</v>
      </c>
      <c r="GM51" s="486">
        <v>0</v>
      </c>
      <c r="GN51" s="486">
        <v>0</v>
      </c>
      <c r="GO51" s="486">
        <v>0</v>
      </c>
      <c r="GP51" s="486">
        <v>0</v>
      </c>
      <c r="GQ51" s="486">
        <v>0</v>
      </c>
      <c r="GR51" s="486">
        <v>0</v>
      </c>
      <c r="GS51" s="486">
        <v>0</v>
      </c>
      <c r="GT51" s="486">
        <v>0</v>
      </c>
      <c r="GU51" s="486">
        <v>0</v>
      </c>
      <c r="GV51" s="486">
        <v>0</v>
      </c>
      <c r="GW51" s="486">
        <v>0</v>
      </c>
      <c r="GX51" s="486">
        <v>0</v>
      </c>
      <c r="GY51" s="486">
        <v>0</v>
      </c>
      <c r="GZ51" s="486">
        <v>0</v>
      </c>
      <c r="HA51" s="486">
        <v>0</v>
      </c>
      <c r="HB51" s="486">
        <v>0</v>
      </c>
      <c r="HC51" s="486">
        <v>0</v>
      </c>
      <c r="HD51" s="486">
        <v>0</v>
      </c>
      <c r="HE51" s="486">
        <v>0</v>
      </c>
      <c r="HF51" s="486">
        <v>0</v>
      </c>
      <c r="HG51" s="486">
        <v>0</v>
      </c>
      <c r="HH51" s="486">
        <v>0</v>
      </c>
      <c r="HI51" s="486">
        <v>0</v>
      </c>
      <c r="HJ51" s="486">
        <v>0</v>
      </c>
      <c r="HK51" s="486">
        <v>0</v>
      </c>
      <c r="HL51" s="486">
        <v>0</v>
      </c>
      <c r="HM51" s="486">
        <v>0</v>
      </c>
      <c r="HN51" s="486">
        <v>0</v>
      </c>
      <c r="HO51" s="486">
        <v>0</v>
      </c>
      <c r="HP51" s="486">
        <v>0</v>
      </c>
      <c r="HQ51" s="486">
        <v>0</v>
      </c>
      <c r="HR51" s="486">
        <v>0</v>
      </c>
      <c r="HS51" s="486">
        <v>0</v>
      </c>
      <c r="HT51" s="486">
        <v>0</v>
      </c>
      <c r="HU51" s="486">
        <v>0</v>
      </c>
      <c r="HV51" s="486">
        <v>0</v>
      </c>
      <c r="HW51" s="486">
        <v>0</v>
      </c>
      <c r="HX51" s="486">
        <v>0</v>
      </c>
      <c r="HY51" s="486">
        <v>0</v>
      </c>
      <c r="HZ51" s="486">
        <v>0</v>
      </c>
      <c r="IA51" s="486">
        <v>0</v>
      </c>
      <c r="IB51" s="486">
        <v>0</v>
      </c>
      <c r="IC51" s="486">
        <v>0</v>
      </c>
      <c r="ID51" s="486">
        <v>0</v>
      </c>
      <c r="IE51" s="486">
        <v>0</v>
      </c>
      <c r="IF51" s="486">
        <v>0</v>
      </c>
      <c r="IG51" s="486">
        <v>0</v>
      </c>
      <c r="IH51" s="486">
        <v>0</v>
      </c>
      <c r="II51" s="486">
        <v>0</v>
      </c>
      <c r="IJ51" s="486">
        <v>0</v>
      </c>
    </row>
    <row r="52" spans="1:245" ht="16.5" hidden="1">
      <c r="A52" s="484" t="s">
        <v>720</v>
      </c>
      <c r="B52" s="484" t="s">
        <v>617</v>
      </c>
      <c r="C52" s="484" t="s">
        <v>721</v>
      </c>
      <c r="D52" s="485"/>
      <c r="E52" s="484" t="s">
        <v>721</v>
      </c>
      <c r="F52" s="484" t="s">
        <v>26</v>
      </c>
      <c r="G52" s="485"/>
      <c r="H52" s="486">
        <v>58</v>
      </c>
      <c r="I52" s="471" t="str">
        <f t="shared" si="1"/>
        <v>AIJ100258</v>
      </c>
      <c r="J52" s="486">
        <v>183</v>
      </c>
      <c r="L52" s="484" t="s">
        <v>720</v>
      </c>
      <c r="M52" s="484" t="s">
        <v>617</v>
      </c>
      <c r="N52" s="484" t="s">
        <v>26</v>
      </c>
      <c r="O52" s="486">
        <v>17</v>
      </c>
      <c r="P52" s="471" t="str">
        <f t="shared" si="2"/>
        <v>AIJ100217</v>
      </c>
      <c r="Q52" s="486">
        <v>0</v>
      </c>
      <c r="R52" s="486">
        <v>3</v>
      </c>
      <c r="S52" s="486">
        <v>6</v>
      </c>
      <c r="T52" s="486">
        <v>10</v>
      </c>
      <c r="U52" s="486">
        <v>14</v>
      </c>
      <c r="V52" s="486">
        <v>17</v>
      </c>
      <c r="W52" s="486">
        <v>21</v>
      </c>
      <c r="X52" s="486">
        <v>26</v>
      </c>
      <c r="Y52" s="486">
        <v>29</v>
      </c>
      <c r="Z52" s="486">
        <v>0</v>
      </c>
      <c r="AA52" s="486">
        <v>0</v>
      </c>
      <c r="AB52" s="486">
        <v>0</v>
      </c>
      <c r="AC52" s="486">
        <v>0</v>
      </c>
      <c r="AD52" s="486">
        <v>0</v>
      </c>
      <c r="AE52" s="486">
        <v>0</v>
      </c>
      <c r="AF52" s="486">
        <v>0</v>
      </c>
      <c r="AG52" s="486">
        <v>0</v>
      </c>
      <c r="AH52" s="486">
        <v>0</v>
      </c>
      <c r="AI52" s="486">
        <v>0</v>
      </c>
      <c r="AJ52" s="486">
        <v>0</v>
      </c>
      <c r="AK52" s="486">
        <v>0</v>
      </c>
      <c r="AL52" s="486">
        <v>0</v>
      </c>
      <c r="AM52" s="486">
        <v>0</v>
      </c>
      <c r="AN52" s="486">
        <v>0</v>
      </c>
      <c r="AO52" s="486">
        <v>0</v>
      </c>
      <c r="AP52" s="486">
        <v>0</v>
      </c>
      <c r="AQ52" s="486">
        <v>0</v>
      </c>
      <c r="AR52" s="486">
        <v>0</v>
      </c>
      <c r="AS52" s="486">
        <v>0</v>
      </c>
      <c r="AT52" s="486">
        <v>0</v>
      </c>
      <c r="AU52" s="486">
        <v>0</v>
      </c>
      <c r="AV52" s="486">
        <v>0</v>
      </c>
      <c r="AW52" s="486">
        <v>0</v>
      </c>
      <c r="AX52" s="486">
        <v>0</v>
      </c>
      <c r="AY52" s="486">
        <v>0</v>
      </c>
      <c r="AZ52" s="486">
        <v>0</v>
      </c>
      <c r="BA52" s="486">
        <v>0</v>
      </c>
      <c r="BB52" s="486">
        <v>0</v>
      </c>
      <c r="BC52" s="486">
        <v>0</v>
      </c>
      <c r="BD52" s="486">
        <v>0</v>
      </c>
      <c r="BE52" s="486">
        <v>0</v>
      </c>
      <c r="BF52" s="486">
        <v>0</v>
      </c>
      <c r="BG52" s="486">
        <v>0</v>
      </c>
      <c r="BH52" s="486">
        <v>0</v>
      </c>
      <c r="BI52" s="486">
        <v>0</v>
      </c>
      <c r="BJ52" s="486">
        <v>0</v>
      </c>
      <c r="BK52" s="486">
        <v>0</v>
      </c>
      <c r="BL52" s="486">
        <v>0</v>
      </c>
      <c r="BM52" s="486">
        <v>0</v>
      </c>
      <c r="BN52" s="486">
        <v>0</v>
      </c>
      <c r="BO52" s="486">
        <v>0</v>
      </c>
      <c r="BP52" s="486">
        <v>0</v>
      </c>
      <c r="BQ52" s="486">
        <v>0</v>
      </c>
      <c r="BR52" s="486">
        <v>0</v>
      </c>
      <c r="BS52" s="486">
        <v>0</v>
      </c>
      <c r="BT52" s="486">
        <v>0</v>
      </c>
      <c r="BU52" s="486">
        <v>0</v>
      </c>
      <c r="BV52" s="486">
        <v>0</v>
      </c>
      <c r="BW52" s="486">
        <v>0</v>
      </c>
      <c r="BX52" s="486">
        <v>0</v>
      </c>
      <c r="BY52" s="486">
        <v>0</v>
      </c>
      <c r="BZ52" s="486">
        <v>0</v>
      </c>
      <c r="CA52" s="486">
        <v>0</v>
      </c>
      <c r="CB52" s="486">
        <v>0</v>
      </c>
      <c r="CC52" s="486">
        <v>0</v>
      </c>
      <c r="CD52" s="486">
        <v>0</v>
      </c>
      <c r="CE52" s="486">
        <v>0</v>
      </c>
      <c r="CF52" s="486">
        <v>0</v>
      </c>
      <c r="CG52" s="486">
        <v>0</v>
      </c>
      <c r="CH52" s="486">
        <v>0</v>
      </c>
      <c r="CI52" s="486">
        <v>0</v>
      </c>
      <c r="CJ52" s="486">
        <v>0</v>
      </c>
      <c r="CK52" s="486">
        <v>0</v>
      </c>
      <c r="CL52" s="486">
        <v>0</v>
      </c>
      <c r="CM52" s="486">
        <v>0</v>
      </c>
      <c r="CN52" s="486">
        <v>0</v>
      </c>
      <c r="CO52" s="486">
        <v>0</v>
      </c>
      <c r="CP52" s="486">
        <v>0</v>
      </c>
      <c r="CQ52" s="486">
        <v>0</v>
      </c>
      <c r="CR52" s="486">
        <v>0</v>
      </c>
      <c r="CS52" s="486">
        <v>0</v>
      </c>
      <c r="CT52" s="486">
        <v>0</v>
      </c>
      <c r="CU52" s="486">
        <v>0</v>
      </c>
      <c r="CV52" s="486">
        <v>0</v>
      </c>
      <c r="CW52" s="486">
        <v>0</v>
      </c>
      <c r="CX52" s="486">
        <v>0</v>
      </c>
      <c r="CY52" s="486">
        <v>0</v>
      </c>
      <c r="CZ52" s="486">
        <v>0</v>
      </c>
      <c r="DA52" s="486">
        <v>0</v>
      </c>
      <c r="DB52" s="486">
        <v>0</v>
      </c>
      <c r="DC52" s="486">
        <v>0</v>
      </c>
      <c r="DD52" s="486">
        <v>0</v>
      </c>
      <c r="DE52" s="486">
        <v>0</v>
      </c>
      <c r="DF52" s="486">
        <v>0</v>
      </c>
      <c r="DG52" s="486">
        <v>0</v>
      </c>
      <c r="DH52" s="486">
        <v>0</v>
      </c>
      <c r="DI52" s="486">
        <v>0</v>
      </c>
      <c r="DJ52" s="486">
        <v>0</v>
      </c>
      <c r="DK52" s="486">
        <v>0</v>
      </c>
      <c r="DL52" s="486">
        <v>0</v>
      </c>
      <c r="DM52" s="486">
        <v>0</v>
      </c>
      <c r="DN52" s="486">
        <v>0</v>
      </c>
      <c r="DO52" s="486">
        <v>0</v>
      </c>
      <c r="DP52" s="486">
        <v>0</v>
      </c>
      <c r="DQ52" s="486">
        <v>0</v>
      </c>
      <c r="DR52" s="486">
        <v>0</v>
      </c>
      <c r="DS52" s="486">
        <v>0</v>
      </c>
      <c r="DT52" s="486">
        <v>0</v>
      </c>
      <c r="DU52" s="486">
        <v>0</v>
      </c>
      <c r="DV52" s="486">
        <v>0</v>
      </c>
      <c r="DW52" s="486">
        <v>0</v>
      </c>
      <c r="DX52" s="477"/>
      <c r="DY52" s="484" t="s">
        <v>720</v>
      </c>
      <c r="DZ52" s="484" t="s">
        <v>617</v>
      </c>
      <c r="EA52" s="484" t="s">
        <v>26</v>
      </c>
      <c r="EB52" s="486">
        <v>17</v>
      </c>
      <c r="EC52" s="471" t="str">
        <f t="shared" si="0"/>
        <v>AIJ100217</v>
      </c>
      <c r="ED52" s="486">
        <v>10000</v>
      </c>
      <c r="EE52" s="486">
        <v>10000</v>
      </c>
      <c r="EF52" s="486">
        <v>10000</v>
      </c>
      <c r="EG52" s="486">
        <v>10000</v>
      </c>
      <c r="EH52" s="486">
        <v>10000</v>
      </c>
      <c r="EI52" s="486">
        <v>10000</v>
      </c>
      <c r="EJ52" s="486">
        <v>10000</v>
      </c>
      <c r="EK52" s="486">
        <v>10000</v>
      </c>
      <c r="EL52" s="486">
        <v>10000</v>
      </c>
      <c r="EM52" s="486">
        <v>10000</v>
      </c>
      <c r="EN52" s="486">
        <v>0</v>
      </c>
      <c r="EO52" s="486">
        <v>0</v>
      </c>
      <c r="EP52" s="486">
        <v>0</v>
      </c>
      <c r="EQ52" s="486">
        <v>0</v>
      </c>
      <c r="ER52" s="486">
        <v>0</v>
      </c>
      <c r="ES52" s="486">
        <v>0</v>
      </c>
      <c r="ET52" s="486">
        <v>0</v>
      </c>
      <c r="EU52" s="486">
        <v>0</v>
      </c>
      <c r="EV52" s="486">
        <v>0</v>
      </c>
      <c r="EW52" s="486">
        <v>0</v>
      </c>
      <c r="EX52" s="486">
        <v>0</v>
      </c>
      <c r="EY52" s="486">
        <v>0</v>
      </c>
      <c r="EZ52" s="486">
        <v>0</v>
      </c>
      <c r="FA52" s="486">
        <v>0</v>
      </c>
      <c r="FB52" s="486">
        <v>0</v>
      </c>
      <c r="FC52" s="486">
        <v>0</v>
      </c>
      <c r="FD52" s="486">
        <v>0</v>
      </c>
      <c r="FE52" s="486">
        <v>0</v>
      </c>
      <c r="FF52" s="486">
        <v>0</v>
      </c>
      <c r="FG52" s="486">
        <v>0</v>
      </c>
      <c r="FH52" s="486">
        <v>0</v>
      </c>
      <c r="FI52" s="486">
        <v>0</v>
      </c>
      <c r="FJ52" s="486">
        <v>0</v>
      </c>
      <c r="FK52" s="486">
        <v>0</v>
      </c>
      <c r="FL52" s="486">
        <v>0</v>
      </c>
      <c r="FM52" s="486">
        <v>0</v>
      </c>
      <c r="FN52" s="486">
        <v>0</v>
      </c>
      <c r="FO52" s="486">
        <v>0</v>
      </c>
      <c r="FP52" s="486">
        <v>0</v>
      </c>
      <c r="FQ52" s="486">
        <v>0</v>
      </c>
      <c r="FR52" s="486">
        <v>0</v>
      </c>
      <c r="FS52" s="486">
        <v>0</v>
      </c>
      <c r="FT52" s="486">
        <v>0</v>
      </c>
      <c r="FU52" s="486">
        <v>0</v>
      </c>
      <c r="FV52" s="486">
        <v>0</v>
      </c>
      <c r="FW52" s="486">
        <v>0</v>
      </c>
      <c r="FX52" s="486">
        <v>0</v>
      </c>
      <c r="FY52" s="486">
        <v>0</v>
      </c>
      <c r="FZ52" s="486">
        <v>0</v>
      </c>
      <c r="GA52" s="486">
        <v>0</v>
      </c>
      <c r="GB52" s="486">
        <v>0</v>
      </c>
      <c r="GC52" s="486">
        <v>0</v>
      </c>
      <c r="GD52" s="486">
        <v>0</v>
      </c>
      <c r="GE52" s="486">
        <v>0</v>
      </c>
      <c r="GF52" s="486">
        <v>0</v>
      </c>
      <c r="GG52" s="486">
        <v>0</v>
      </c>
      <c r="GH52" s="486">
        <v>0</v>
      </c>
      <c r="GI52" s="486">
        <v>0</v>
      </c>
      <c r="GJ52" s="486">
        <v>0</v>
      </c>
      <c r="GK52" s="486">
        <v>0</v>
      </c>
      <c r="GL52" s="486">
        <v>0</v>
      </c>
      <c r="GM52" s="486">
        <v>0</v>
      </c>
      <c r="GN52" s="486">
        <v>0</v>
      </c>
      <c r="GO52" s="486">
        <v>0</v>
      </c>
      <c r="GP52" s="486">
        <v>0</v>
      </c>
      <c r="GQ52" s="486">
        <v>0</v>
      </c>
      <c r="GR52" s="486">
        <v>0</v>
      </c>
      <c r="GS52" s="486">
        <v>0</v>
      </c>
      <c r="GT52" s="486">
        <v>0</v>
      </c>
      <c r="GU52" s="486">
        <v>0</v>
      </c>
      <c r="GV52" s="486">
        <v>0</v>
      </c>
      <c r="GW52" s="486">
        <v>0</v>
      </c>
      <c r="GX52" s="486">
        <v>0</v>
      </c>
      <c r="GY52" s="486">
        <v>0</v>
      </c>
      <c r="GZ52" s="486">
        <v>0</v>
      </c>
      <c r="HA52" s="486">
        <v>0</v>
      </c>
      <c r="HB52" s="486">
        <v>0</v>
      </c>
      <c r="HC52" s="486">
        <v>0</v>
      </c>
      <c r="HD52" s="486">
        <v>0</v>
      </c>
      <c r="HE52" s="486">
        <v>0</v>
      </c>
      <c r="HF52" s="486">
        <v>0</v>
      </c>
      <c r="HG52" s="486">
        <v>0</v>
      </c>
      <c r="HH52" s="486">
        <v>0</v>
      </c>
      <c r="HI52" s="486">
        <v>0</v>
      </c>
      <c r="HJ52" s="486">
        <v>0</v>
      </c>
      <c r="HK52" s="486">
        <v>0</v>
      </c>
      <c r="HL52" s="486">
        <v>0</v>
      </c>
      <c r="HM52" s="486">
        <v>0</v>
      </c>
      <c r="HN52" s="486">
        <v>0</v>
      </c>
      <c r="HO52" s="486">
        <v>0</v>
      </c>
      <c r="HP52" s="486">
        <v>0</v>
      </c>
      <c r="HQ52" s="486">
        <v>0</v>
      </c>
      <c r="HR52" s="486">
        <v>0</v>
      </c>
      <c r="HS52" s="486">
        <v>0</v>
      </c>
      <c r="HT52" s="486">
        <v>0</v>
      </c>
      <c r="HU52" s="486">
        <v>0</v>
      </c>
      <c r="HV52" s="486">
        <v>0</v>
      </c>
      <c r="HW52" s="486">
        <v>0</v>
      </c>
      <c r="HX52" s="486">
        <v>0</v>
      </c>
      <c r="HY52" s="486">
        <v>0</v>
      </c>
      <c r="HZ52" s="486">
        <v>0</v>
      </c>
      <c r="IA52" s="486">
        <v>0</v>
      </c>
      <c r="IB52" s="486">
        <v>0</v>
      </c>
      <c r="IC52" s="486">
        <v>0</v>
      </c>
      <c r="ID52" s="486">
        <v>0</v>
      </c>
      <c r="IE52" s="486">
        <v>0</v>
      </c>
      <c r="IF52" s="486">
        <v>0</v>
      </c>
      <c r="IG52" s="486">
        <v>0</v>
      </c>
      <c r="IH52" s="486">
        <v>0</v>
      </c>
      <c r="II52" s="486">
        <v>0</v>
      </c>
      <c r="IJ52" s="486">
        <v>0</v>
      </c>
    </row>
    <row r="53" spans="1:245" ht="16.5" hidden="1">
      <c r="A53" s="484" t="s">
        <v>720</v>
      </c>
      <c r="B53" s="484" t="s">
        <v>617</v>
      </c>
      <c r="C53" s="484" t="s">
        <v>721</v>
      </c>
      <c r="D53" s="485"/>
      <c r="E53" s="484" t="s">
        <v>721</v>
      </c>
      <c r="F53" s="484" t="s">
        <v>26</v>
      </c>
      <c r="G53" s="485"/>
      <c r="H53" s="486">
        <v>59</v>
      </c>
      <c r="I53" s="471" t="str">
        <f t="shared" si="1"/>
        <v>AIJ100259</v>
      </c>
      <c r="J53" s="486">
        <v>196</v>
      </c>
      <c r="L53" s="484" t="s">
        <v>720</v>
      </c>
      <c r="M53" s="484" t="s">
        <v>617</v>
      </c>
      <c r="N53" s="484" t="s">
        <v>26</v>
      </c>
      <c r="O53" s="486">
        <v>18</v>
      </c>
      <c r="P53" s="471" t="str">
        <f t="shared" si="2"/>
        <v>AIJ100218</v>
      </c>
      <c r="Q53" s="486">
        <v>0</v>
      </c>
      <c r="R53" s="486">
        <v>3</v>
      </c>
      <c r="S53" s="486">
        <v>7</v>
      </c>
      <c r="T53" s="486">
        <v>10</v>
      </c>
      <c r="U53" s="486">
        <v>14</v>
      </c>
      <c r="V53" s="486">
        <v>17</v>
      </c>
      <c r="W53" s="486">
        <v>21</v>
      </c>
      <c r="X53" s="486">
        <v>26</v>
      </c>
      <c r="Y53" s="486">
        <v>29</v>
      </c>
      <c r="Z53" s="486">
        <v>0</v>
      </c>
      <c r="AA53" s="486">
        <v>0</v>
      </c>
      <c r="AB53" s="486">
        <v>0</v>
      </c>
      <c r="AC53" s="486">
        <v>0</v>
      </c>
      <c r="AD53" s="486">
        <v>0</v>
      </c>
      <c r="AE53" s="486">
        <v>0</v>
      </c>
      <c r="AF53" s="486">
        <v>0</v>
      </c>
      <c r="AG53" s="486">
        <v>0</v>
      </c>
      <c r="AH53" s="486">
        <v>0</v>
      </c>
      <c r="AI53" s="486">
        <v>0</v>
      </c>
      <c r="AJ53" s="486">
        <v>0</v>
      </c>
      <c r="AK53" s="486">
        <v>0</v>
      </c>
      <c r="AL53" s="486">
        <v>0</v>
      </c>
      <c r="AM53" s="486">
        <v>0</v>
      </c>
      <c r="AN53" s="486">
        <v>0</v>
      </c>
      <c r="AO53" s="486">
        <v>0</v>
      </c>
      <c r="AP53" s="486">
        <v>0</v>
      </c>
      <c r="AQ53" s="486">
        <v>0</v>
      </c>
      <c r="AR53" s="486">
        <v>0</v>
      </c>
      <c r="AS53" s="486">
        <v>0</v>
      </c>
      <c r="AT53" s="486">
        <v>0</v>
      </c>
      <c r="AU53" s="486">
        <v>0</v>
      </c>
      <c r="AV53" s="486">
        <v>0</v>
      </c>
      <c r="AW53" s="486">
        <v>0</v>
      </c>
      <c r="AX53" s="486">
        <v>0</v>
      </c>
      <c r="AY53" s="486">
        <v>0</v>
      </c>
      <c r="AZ53" s="486">
        <v>0</v>
      </c>
      <c r="BA53" s="486">
        <v>0</v>
      </c>
      <c r="BB53" s="486">
        <v>0</v>
      </c>
      <c r="BC53" s="486">
        <v>0</v>
      </c>
      <c r="BD53" s="486">
        <v>0</v>
      </c>
      <c r="BE53" s="486">
        <v>0</v>
      </c>
      <c r="BF53" s="486">
        <v>0</v>
      </c>
      <c r="BG53" s="486">
        <v>0</v>
      </c>
      <c r="BH53" s="486">
        <v>0</v>
      </c>
      <c r="BI53" s="486">
        <v>0</v>
      </c>
      <c r="BJ53" s="486">
        <v>0</v>
      </c>
      <c r="BK53" s="486">
        <v>0</v>
      </c>
      <c r="BL53" s="486">
        <v>0</v>
      </c>
      <c r="BM53" s="486">
        <v>0</v>
      </c>
      <c r="BN53" s="486">
        <v>0</v>
      </c>
      <c r="BO53" s="486">
        <v>0</v>
      </c>
      <c r="BP53" s="486">
        <v>0</v>
      </c>
      <c r="BQ53" s="486">
        <v>0</v>
      </c>
      <c r="BR53" s="486">
        <v>0</v>
      </c>
      <c r="BS53" s="486">
        <v>0</v>
      </c>
      <c r="BT53" s="486">
        <v>0</v>
      </c>
      <c r="BU53" s="486">
        <v>0</v>
      </c>
      <c r="BV53" s="486">
        <v>0</v>
      </c>
      <c r="BW53" s="486">
        <v>0</v>
      </c>
      <c r="BX53" s="486">
        <v>0</v>
      </c>
      <c r="BY53" s="486">
        <v>0</v>
      </c>
      <c r="BZ53" s="486">
        <v>0</v>
      </c>
      <c r="CA53" s="486">
        <v>0</v>
      </c>
      <c r="CB53" s="486">
        <v>0</v>
      </c>
      <c r="CC53" s="486">
        <v>0</v>
      </c>
      <c r="CD53" s="486">
        <v>0</v>
      </c>
      <c r="CE53" s="486">
        <v>0</v>
      </c>
      <c r="CF53" s="486">
        <v>0</v>
      </c>
      <c r="CG53" s="486">
        <v>0</v>
      </c>
      <c r="CH53" s="486">
        <v>0</v>
      </c>
      <c r="CI53" s="486">
        <v>0</v>
      </c>
      <c r="CJ53" s="486">
        <v>0</v>
      </c>
      <c r="CK53" s="486">
        <v>0</v>
      </c>
      <c r="CL53" s="486">
        <v>0</v>
      </c>
      <c r="CM53" s="486">
        <v>0</v>
      </c>
      <c r="CN53" s="486">
        <v>0</v>
      </c>
      <c r="CO53" s="486">
        <v>0</v>
      </c>
      <c r="CP53" s="486">
        <v>0</v>
      </c>
      <c r="CQ53" s="486">
        <v>0</v>
      </c>
      <c r="CR53" s="486">
        <v>0</v>
      </c>
      <c r="CS53" s="486">
        <v>0</v>
      </c>
      <c r="CT53" s="486">
        <v>0</v>
      </c>
      <c r="CU53" s="486">
        <v>0</v>
      </c>
      <c r="CV53" s="486">
        <v>0</v>
      </c>
      <c r="CW53" s="486">
        <v>0</v>
      </c>
      <c r="CX53" s="486">
        <v>0</v>
      </c>
      <c r="CY53" s="486">
        <v>0</v>
      </c>
      <c r="CZ53" s="486">
        <v>0</v>
      </c>
      <c r="DA53" s="486">
        <v>0</v>
      </c>
      <c r="DB53" s="486">
        <v>0</v>
      </c>
      <c r="DC53" s="486">
        <v>0</v>
      </c>
      <c r="DD53" s="486">
        <v>0</v>
      </c>
      <c r="DE53" s="486">
        <v>0</v>
      </c>
      <c r="DF53" s="486">
        <v>0</v>
      </c>
      <c r="DG53" s="486">
        <v>0</v>
      </c>
      <c r="DH53" s="486">
        <v>0</v>
      </c>
      <c r="DI53" s="486">
        <v>0</v>
      </c>
      <c r="DJ53" s="486">
        <v>0</v>
      </c>
      <c r="DK53" s="486">
        <v>0</v>
      </c>
      <c r="DL53" s="486">
        <v>0</v>
      </c>
      <c r="DM53" s="486">
        <v>0</v>
      </c>
      <c r="DN53" s="486">
        <v>0</v>
      </c>
      <c r="DO53" s="486">
        <v>0</v>
      </c>
      <c r="DP53" s="486">
        <v>0</v>
      </c>
      <c r="DQ53" s="486">
        <v>0</v>
      </c>
      <c r="DR53" s="486">
        <v>0</v>
      </c>
      <c r="DS53" s="486">
        <v>0</v>
      </c>
      <c r="DT53" s="486">
        <v>0</v>
      </c>
      <c r="DU53" s="486">
        <v>0</v>
      </c>
      <c r="DV53" s="486">
        <v>0</v>
      </c>
      <c r="DW53" s="486">
        <v>0</v>
      </c>
      <c r="DX53" s="477"/>
      <c r="DY53" s="484" t="s">
        <v>720</v>
      </c>
      <c r="DZ53" s="484" t="s">
        <v>617</v>
      </c>
      <c r="EA53" s="484" t="s">
        <v>26</v>
      </c>
      <c r="EB53" s="486">
        <v>18</v>
      </c>
      <c r="EC53" s="471" t="str">
        <f t="shared" si="0"/>
        <v>AIJ100218</v>
      </c>
      <c r="ED53" s="486">
        <v>10000</v>
      </c>
      <c r="EE53" s="486">
        <v>10000</v>
      </c>
      <c r="EF53" s="486">
        <v>10000</v>
      </c>
      <c r="EG53" s="486">
        <v>10000</v>
      </c>
      <c r="EH53" s="486">
        <v>10000</v>
      </c>
      <c r="EI53" s="486">
        <v>10000</v>
      </c>
      <c r="EJ53" s="486">
        <v>10000</v>
      </c>
      <c r="EK53" s="486">
        <v>10000</v>
      </c>
      <c r="EL53" s="486">
        <v>10000</v>
      </c>
      <c r="EM53" s="486">
        <v>10000</v>
      </c>
      <c r="EN53" s="486">
        <v>0</v>
      </c>
      <c r="EO53" s="486">
        <v>0</v>
      </c>
      <c r="EP53" s="486">
        <v>0</v>
      </c>
      <c r="EQ53" s="486">
        <v>0</v>
      </c>
      <c r="ER53" s="486">
        <v>0</v>
      </c>
      <c r="ES53" s="486">
        <v>0</v>
      </c>
      <c r="ET53" s="486">
        <v>0</v>
      </c>
      <c r="EU53" s="486">
        <v>0</v>
      </c>
      <c r="EV53" s="486">
        <v>0</v>
      </c>
      <c r="EW53" s="486">
        <v>0</v>
      </c>
      <c r="EX53" s="486">
        <v>0</v>
      </c>
      <c r="EY53" s="486">
        <v>0</v>
      </c>
      <c r="EZ53" s="486">
        <v>0</v>
      </c>
      <c r="FA53" s="486">
        <v>0</v>
      </c>
      <c r="FB53" s="486">
        <v>0</v>
      </c>
      <c r="FC53" s="486">
        <v>0</v>
      </c>
      <c r="FD53" s="486">
        <v>0</v>
      </c>
      <c r="FE53" s="486">
        <v>0</v>
      </c>
      <c r="FF53" s="486">
        <v>0</v>
      </c>
      <c r="FG53" s="486">
        <v>0</v>
      </c>
      <c r="FH53" s="486">
        <v>0</v>
      </c>
      <c r="FI53" s="486">
        <v>0</v>
      </c>
      <c r="FJ53" s="486">
        <v>0</v>
      </c>
      <c r="FK53" s="486">
        <v>0</v>
      </c>
      <c r="FL53" s="486">
        <v>0</v>
      </c>
      <c r="FM53" s="486">
        <v>0</v>
      </c>
      <c r="FN53" s="486">
        <v>0</v>
      </c>
      <c r="FO53" s="486">
        <v>0</v>
      </c>
      <c r="FP53" s="486">
        <v>0</v>
      </c>
      <c r="FQ53" s="486">
        <v>0</v>
      </c>
      <c r="FR53" s="486">
        <v>0</v>
      </c>
      <c r="FS53" s="486">
        <v>0</v>
      </c>
      <c r="FT53" s="486">
        <v>0</v>
      </c>
      <c r="FU53" s="486">
        <v>0</v>
      </c>
      <c r="FV53" s="486">
        <v>0</v>
      </c>
      <c r="FW53" s="486">
        <v>0</v>
      </c>
      <c r="FX53" s="486">
        <v>0</v>
      </c>
      <c r="FY53" s="486">
        <v>0</v>
      </c>
      <c r="FZ53" s="486">
        <v>0</v>
      </c>
      <c r="GA53" s="486">
        <v>0</v>
      </c>
      <c r="GB53" s="486">
        <v>0</v>
      </c>
      <c r="GC53" s="486">
        <v>0</v>
      </c>
      <c r="GD53" s="486">
        <v>0</v>
      </c>
      <c r="GE53" s="486">
        <v>0</v>
      </c>
      <c r="GF53" s="486">
        <v>0</v>
      </c>
      <c r="GG53" s="486">
        <v>0</v>
      </c>
      <c r="GH53" s="486">
        <v>0</v>
      </c>
      <c r="GI53" s="486">
        <v>0</v>
      </c>
      <c r="GJ53" s="486">
        <v>0</v>
      </c>
      <c r="GK53" s="486">
        <v>0</v>
      </c>
      <c r="GL53" s="486">
        <v>0</v>
      </c>
      <c r="GM53" s="486">
        <v>0</v>
      </c>
      <c r="GN53" s="486">
        <v>0</v>
      </c>
      <c r="GO53" s="486">
        <v>0</v>
      </c>
      <c r="GP53" s="486">
        <v>0</v>
      </c>
      <c r="GQ53" s="486">
        <v>0</v>
      </c>
      <c r="GR53" s="486">
        <v>0</v>
      </c>
      <c r="GS53" s="486">
        <v>0</v>
      </c>
      <c r="GT53" s="486">
        <v>0</v>
      </c>
      <c r="GU53" s="486">
        <v>0</v>
      </c>
      <c r="GV53" s="486">
        <v>0</v>
      </c>
      <c r="GW53" s="486">
        <v>0</v>
      </c>
      <c r="GX53" s="486">
        <v>0</v>
      </c>
      <c r="GY53" s="486">
        <v>0</v>
      </c>
      <c r="GZ53" s="486">
        <v>0</v>
      </c>
      <c r="HA53" s="486">
        <v>0</v>
      </c>
      <c r="HB53" s="486">
        <v>0</v>
      </c>
      <c r="HC53" s="486">
        <v>0</v>
      </c>
      <c r="HD53" s="486">
        <v>0</v>
      </c>
      <c r="HE53" s="486">
        <v>0</v>
      </c>
      <c r="HF53" s="486">
        <v>0</v>
      </c>
      <c r="HG53" s="486">
        <v>0</v>
      </c>
      <c r="HH53" s="486">
        <v>0</v>
      </c>
      <c r="HI53" s="486">
        <v>0</v>
      </c>
      <c r="HJ53" s="486">
        <v>0</v>
      </c>
      <c r="HK53" s="486">
        <v>0</v>
      </c>
      <c r="HL53" s="486">
        <v>0</v>
      </c>
      <c r="HM53" s="486">
        <v>0</v>
      </c>
      <c r="HN53" s="486">
        <v>0</v>
      </c>
      <c r="HO53" s="486">
        <v>0</v>
      </c>
      <c r="HP53" s="486">
        <v>0</v>
      </c>
      <c r="HQ53" s="486">
        <v>0</v>
      </c>
      <c r="HR53" s="486">
        <v>0</v>
      </c>
      <c r="HS53" s="486">
        <v>0</v>
      </c>
      <c r="HT53" s="486">
        <v>0</v>
      </c>
      <c r="HU53" s="486">
        <v>0</v>
      </c>
      <c r="HV53" s="486">
        <v>0</v>
      </c>
      <c r="HW53" s="486">
        <v>0</v>
      </c>
      <c r="HX53" s="486">
        <v>0</v>
      </c>
      <c r="HY53" s="486">
        <v>0</v>
      </c>
      <c r="HZ53" s="486">
        <v>0</v>
      </c>
      <c r="IA53" s="486">
        <v>0</v>
      </c>
      <c r="IB53" s="486">
        <v>0</v>
      </c>
      <c r="IC53" s="486">
        <v>0</v>
      </c>
      <c r="ID53" s="486">
        <v>0</v>
      </c>
      <c r="IE53" s="486">
        <v>0</v>
      </c>
      <c r="IF53" s="486">
        <v>0</v>
      </c>
      <c r="IG53" s="486">
        <v>0</v>
      </c>
      <c r="IH53" s="486">
        <v>0</v>
      </c>
      <c r="II53" s="486">
        <v>0</v>
      </c>
      <c r="IJ53" s="486">
        <v>0</v>
      </c>
    </row>
    <row r="54" spans="1:245" ht="16.5" hidden="1">
      <c r="A54" s="484" t="s">
        <v>720</v>
      </c>
      <c r="B54" s="484" t="s">
        <v>617</v>
      </c>
      <c r="C54" s="484" t="s">
        <v>721</v>
      </c>
      <c r="D54" s="485"/>
      <c r="E54" s="484" t="s">
        <v>721</v>
      </c>
      <c r="F54" s="484" t="s">
        <v>26</v>
      </c>
      <c r="G54" s="485"/>
      <c r="H54" s="486">
        <v>60</v>
      </c>
      <c r="I54" s="471" t="str">
        <f t="shared" si="1"/>
        <v>AIJ100260</v>
      </c>
      <c r="J54" s="486">
        <v>210</v>
      </c>
      <c r="L54" s="484" t="s">
        <v>720</v>
      </c>
      <c r="M54" s="484" t="s">
        <v>617</v>
      </c>
      <c r="N54" s="484" t="s">
        <v>26</v>
      </c>
      <c r="O54" s="486">
        <v>19</v>
      </c>
      <c r="P54" s="471" t="str">
        <f t="shared" si="2"/>
        <v>AIJ100219</v>
      </c>
      <c r="Q54" s="486">
        <v>0</v>
      </c>
      <c r="R54" s="486">
        <v>3</v>
      </c>
      <c r="S54" s="486">
        <v>7</v>
      </c>
      <c r="T54" s="486">
        <v>10</v>
      </c>
      <c r="U54" s="486">
        <v>14</v>
      </c>
      <c r="V54" s="486">
        <v>18</v>
      </c>
      <c r="W54" s="486">
        <v>21</v>
      </c>
      <c r="X54" s="486">
        <v>26</v>
      </c>
      <c r="Y54" s="486">
        <v>30</v>
      </c>
      <c r="Z54" s="486">
        <v>0</v>
      </c>
      <c r="AA54" s="486">
        <v>0</v>
      </c>
      <c r="AB54" s="486">
        <v>0</v>
      </c>
      <c r="AC54" s="486">
        <v>0</v>
      </c>
      <c r="AD54" s="486">
        <v>0</v>
      </c>
      <c r="AE54" s="486">
        <v>0</v>
      </c>
      <c r="AF54" s="486">
        <v>0</v>
      </c>
      <c r="AG54" s="486">
        <v>0</v>
      </c>
      <c r="AH54" s="486">
        <v>0</v>
      </c>
      <c r="AI54" s="486">
        <v>0</v>
      </c>
      <c r="AJ54" s="486">
        <v>0</v>
      </c>
      <c r="AK54" s="486">
        <v>0</v>
      </c>
      <c r="AL54" s="486">
        <v>0</v>
      </c>
      <c r="AM54" s="486">
        <v>0</v>
      </c>
      <c r="AN54" s="486">
        <v>0</v>
      </c>
      <c r="AO54" s="486">
        <v>0</v>
      </c>
      <c r="AP54" s="486">
        <v>0</v>
      </c>
      <c r="AQ54" s="486">
        <v>0</v>
      </c>
      <c r="AR54" s="486">
        <v>0</v>
      </c>
      <c r="AS54" s="486">
        <v>0</v>
      </c>
      <c r="AT54" s="486">
        <v>0</v>
      </c>
      <c r="AU54" s="486">
        <v>0</v>
      </c>
      <c r="AV54" s="486">
        <v>0</v>
      </c>
      <c r="AW54" s="486">
        <v>0</v>
      </c>
      <c r="AX54" s="486">
        <v>0</v>
      </c>
      <c r="AY54" s="486">
        <v>0</v>
      </c>
      <c r="AZ54" s="486">
        <v>0</v>
      </c>
      <c r="BA54" s="486">
        <v>0</v>
      </c>
      <c r="BB54" s="486">
        <v>0</v>
      </c>
      <c r="BC54" s="486">
        <v>0</v>
      </c>
      <c r="BD54" s="486">
        <v>0</v>
      </c>
      <c r="BE54" s="486">
        <v>0</v>
      </c>
      <c r="BF54" s="486">
        <v>0</v>
      </c>
      <c r="BG54" s="486">
        <v>0</v>
      </c>
      <c r="BH54" s="486">
        <v>0</v>
      </c>
      <c r="BI54" s="486">
        <v>0</v>
      </c>
      <c r="BJ54" s="486">
        <v>0</v>
      </c>
      <c r="BK54" s="486">
        <v>0</v>
      </c>
      <c r="BL54" s="486">
        <v>0</v>
      </c>
      <c r="BM54" s="486">
        <v>0</v>
      </c>
      <c r="BN54" s="486">
        <v>0</v>
      </c>
      <c r="BO54" s="486">
        <v>0</v>
      </c>
      <c r="BP54" s="486">
        <v>0</v>
      </c>
      <c r="BQ54" s="486">
        <v>0</v>
      </c>
      <c r="BR54" s="486">
        <v>0</v>
      </c>
      <c r="BS54" s="486">
        <v>0</v>
      </c>
      <c r="BT54" s="486">
        <v>0</v>
      </c>
      <c r="BU54" s="486">
        <v>0</v>
      </c>
      <c r="BV54" s="486">
        <v>0</v>
      </c>
      <c r="BW54" s="486">
        <v>0</v>
      </c>
      <c r="BX54" s="486">
        <v>0</v>
      </c>
      <c r="BY54" s="486">
        <v>0</v>
      </c>
      <c r="BZ54" s="486">
        <v>0</v>
      </c>
      <c r="CA54" s="486">
        <v>0</v>
      </c>
      <c r="CB54" s="486">
        <v>0</v>
      </c>
      <c r="CC54" s="486">
        <v>0</v>
      </c>
      <c r="CD54" s="486">
        <v>0</v>
      </c>
      <c r="CE54" s="486">
        <v>0</v>
      </c>
      <c r="CF54" s="486">
        <v>0</v>
      </c>
      <c r="CG54" s="486">
        <v>0</v>
      </c>
      <c r="CH54" s="486">
        <v>0</v>
      </c>
      <c r="CI54" s="486">
        <v>0</v>
      </c>
      <c r="CJ54" s="486">
        <v>0</v>
      </c>
      <c r="CK54" s="486">
        <v>0</v>
      </c>
      <c r="CL54" s="486">
        <v>0</v>
      </c>
      <c r="CM54" s="486">
        <v>0</v>
      </c>
      <c r="CN54" s="486">
        <v>0</v>
      </c>
      <c r="CO54" s="486">
        <v>0</v>
      </c>
      <c r="CP54" s="486">
        <v>0</v>
      </c>
      <c r="CQ54" s="486">
        <v>0</v>
      </c>
      <c r="CR54" s="486">
        <v>0</v>
      </c>
      <c r="CS54" s="486">
        <v>0</v>
      </c>
      <c r="CT54" s="486">
        <v>0</v>
      </c>
      <c r="CU54" s="486">
        <v>0</v>
      </c>
      <c r="CV54" s="486">
        <v>0</v>
      </c>
      <c r="CW54" s="486">
        <v>0</v>
      </c>
      <c r="CX54" s="486">
        <v>0</v>
      </c>
      <c r="CY54" s="486">
        <v>0</v>
      </c>
      <c r="CZ54" s="486">
        <v>0</v>
      </c>
      <c r="DA54" s="486">
        <v>0</v>
      </c>
      <c r="DB54" s="486">
        <v>0</v>
      </c>
      <c r="DC54" s="486">
        <v>0</v>
      </c>
      <c r="DD54" s="486">
        <v>0</v>
      </c>
      <c r="DE54" s="486">
        <v>0</v>
      </c>
      <c r="DF54" s="486">
        <v>0</v>
      </c>
      <c r="DG54" s="486">
        <v>0</v>
      </c>
      <c r="DH54" s="486">
        <v>0</v>
      </c>
      <c r="DI54" s="486">
        <v>0</v>
      </c>
      <c r="DJ54" s="486">
        <v>0</v>
      </c>
      <c r="DK54" s="486">
        <v>0</v>
      </c>
      <c r="DL54" s="486">
        <v>0</v>
      </c>
      <c r="DM54" s="486">
        <v>0</v>
      </c>
      <c r="DN54" s="486">
        <v>0</v>
      </c>
      <c r="DO54" s="486">
        <v>0</v>
      </c>
      <c r="DP54" s="486">
        <v>0</v>
      </c>
      <c r="DQ54" s="486">
        <v>0</v>
      </c>
      <c r="DR54" s="486">
        <v>0</v>
      </c>
      <c r="DS54" s="486">
        <v>0</v>
      </c>
      <c r="DT54" s="486">
        <v>0</v>
      </c>
      <c r="DU54" s="486">
        <v>0</v>
      </c>
      <c r="DV54" s="486">
        <v>0</v>
      </c>
      <c r="DW54" s="486">
        <v>0</v>
      </c>
      <c r="DX54" s="477"/>
      <c r="DY54" s="484" t="s">
        <v>720</v>
      </c>
      <c r="DZ54" s="484" t="s">
        <v>617</v>
      </c>
      <c r="EA54" s="484" t="s">
        <v>26</v>
      </c>
      <c r="EB54" s="486">
        <v>19</v>
      </c>
      <c r="EC54" s="471" t="str">
        <f t="shared" si="0"/>
        <v>AIJ100219</v>
      </c>
      <c r="ED54" s="486">
        <v>10000</v>
      </c>
      <c r="EE54" s="486">
        <v>10000</v>
      </c>
      <c r="EF54" s="486">
        <v>10000</v>
      </c>
      <c r="EG54" s="486">
        <v>10000</v>
      </c>
      <c r="EH54" s="486">
        <v>10000</v>
      </c>
      <c r="EI54" s="486">
        <v>10000</v>
      </c>
      <c r="EJ54" s="486">
        <v>10000</v>
      </c>
      <c r="EK54" s="486">
        <v>10000</v>
      </c>
      <c r="EL54" s="486">
        <v>10000</v>
      </c>
      <c r="EM54" s="486">
        <v>10000</v>
      </c>
      <c r="EN54" s="486">
        <v>0</v>
      </c>
      <c r="EO54" s="486">
        <v>0</v>
      </c>
      <c r="EP54" s="486">
        <v>0</v>
      </c>
      <c r="EQ54" s="486">
        <v>0</v>
      </c>
      <c r="ER54" s="486">
        <v>0</v>
      </c>
      <c r="ES54" s="486">
        <v>0</v>
      </c>
      <c r="ET54" s="486">
        <v>0</v>
      </c>
      <c r="EU54" s="486">
        <v>0</v>
      </c>
      <c r="EV54" s="486">
        <v>0</v>
      </c>
      <c r="EW54" s="486">
        <v>0</v>
      </c>
      <c r="EX54" s="486">
        <v>0</v>
      </c>
      <c r="EY54" s="486">
        <v>0</v>
      </c>
      <c r="EZ54" s="486">
        <v>0</v>
      </c>
      <c r="FA54" s="486">
        <v>0</v>
      </c>
      <c r="FB54" s="486">
        <v>0</v>
      </c>
      <c r="FC54" s="486">
        <v>0</v>
      </c>
      <c r="FD54" s="486">
        <v>0</v>
      </c>
      <c r="FE54" s="486">
        <v>0</v>
      </c>
      <c r="FF54" s="486">
        <v>0</v>
      </c>
      <c r="FG54" s="486">
        <v>0</v>
      </c>
      <c r="FH54" s="486">
        <v>0</v>
      </c>
      <c r="FI54" s="486">
        <v>0</v>
      </c>
      <c r="FJ54" s="486">
        <v>0</v>
      </c>
      <c r="FK54" s="486">
        <v>0</v>
      </c>
      <c r="FL54" s="486">
        <v>0</v>
      </c>
      <c r="FM54" s="486">
        <v>0</v>
      </c>
      <c r="FN54" s="486">
        <v>0</v>
      </c>
      <c r="FO54" s="486">
        <v>0</v>
      </c>
      <c r="FP54" s="486">
        <v>0</v>
      </c>
      <c r="FQ54" s="486">
        <v>0</v>
      </c>
      <c r="FR54" s="486">
        <v>0</v>
      </c>
      <c r="FS54" s="486">
        <v>0</v>
      </c>
      <c r="FT54" s="486">
        <v>0</v>
      </c>
      <c r="FU54" s="486">
        <v>0</v>
      </c>
      <c r="FV54" s="486">
        <v>0</v>
      </c>
      <c r="FW54" s="486">
        <v>0</v>
      </c>
      <c r="FX54" s="486">
        <v>0</v>
      </c>
      <c r="FY54" s="486">
        <v>0</v>
      </c>
      <c r="FZ54" s="486">
        <v>0</v>
      </c>
      <c r="GA54" s="486">
        <v>0</v>
      </c>
      <c r="GB54" s="486">
        <v>0</v>
      </c>
      <c r="GC54" s="486">
        <v>0</v>
      </c>
      <c r="GD54" s="486">
        <v>0</v>
      </c>
      <c r="GE54" s="486">
        <v>0</v>
      </c>
      <c r="GF54" s="486">
        <v>0</v>
      </c>
      <c r="GG54" s="486">
        <v>0</v>
      </c>
      <c r="GH54" s="486">
        <v>0</v>
      </c>
      <c r="GI54" s="486">
        <v>0</v>
      </c>
      <c r="GJ54" s="486">
        <v>0</v>
      </c>
      <c r="GK54" s="486">
        <v>0</v>
      </c>
      <c r="GL54" s="486">
        <v>0</v>
      </c>
      <c r="GM54" s="486">
        <v>0</v>
      </c>
      <c r="GN54" s="486">
        <v>0</v>
      </c>
      <c r="GO54" s="486">
        <v>0</v>
      </c>
      <c r="GP54" s="486">
        <v>0</v>
      </c>
      <c r="GQ54" s="486">
        <v>0</v>
      </c>
      <c r="GR54" s="486">
        <v>0</v>
      </c>
      <c r="GS54" s="486">
        <v>0</v>
      </c>
      <c r="GT54" s="486">
        <v>0</v>
      </c>
      <c r="GU54" s="486">
        <v>0</v>
      </c>
      <c r="GV54" s="486">
        <v>0</v>
      </c>
      <c r="GW54" s="486">
        <v>0</v>
      </c>
      <c r="GX54" s="486">
        <v>0</v>
      </c>
      <c r="GY54" s="486">
        <v>0</v>
      </c>
      <c r="GZ54" s="486">
        <v>0</v>
      </c>
      <c r="HA54" s="486">
        <v>0</v>
      </c>
      <c r="HB54" s="486">
        <v>0</v>
      </c>
      <c r="HC54" s="486">
        <v>0</v>
      </c>
      <c r="HD54" s="486">
        <v>0</v>
      </c>
      <c r="HE54" s="486">
        <v>0</v>
      </c>
      <c r="HF54" s="486">
        <v>0</v>
      </c>
      <c r="HG54" s="486">
        <v>0</v>
      </c>
      <c r="HH54" s="486">
        <v>0</v>
      </c>
      <c r="HI54" s="486">
        <v>0</v>
      </c>
      <c r="HJ54" s="486">
        <v>0</v>
      </c>
      <c r="HK54" s="486">
        <v>0</v>
      </c>
      <c r="HL54" s="486">
        <v>0</v>
      </c>
      <c r="HM54" s="486">
        <v>0</v>
      </c>
      <c r="HN54" s="486">
        <v>0</v>
      </c>
      <c r="HO54" s="486">
        <v>0</v>
      </c>
      <c r="HP54" s="486">
        <v>0</v>
      </c>
      <c r="HQ54" s="486">
        <v>0</v>
      </c>
      <c r="HR54" s="486">
        <v>0</v>
      </c>
      <c r="HS54" s="486">
        <v>0</v>
      </c>
      <c r="HT54" s="486">
        <v>0</v>
      </c>
      <c r="HU54" s="486">
        <v>0</v>
      </c>
      <c r="HV54" s="486">
        <v>0</v>
      </c>
      <c r="HW54" s="486">
        <v>0</v>
      </c>
      <c r="HX54" s="486">
        <v>0</v>
      </c>
      <c r="HY54" s="486">
        <v>0</v>
      </c>
      <c r="HZ54" s="486">
        <v>0</v>
      </c>
      <c r="IA54" s="486">
        <v>0</v>
      </c>
      <c r="IB54" s="486">
        <v>0</v>
      </c>
      <c r="IC54" s="486">
        <v>0</v>
      </c>
      <c r="ID54" s="486">
        <v>0</v>
      </c>
      <c r="IE54" s="486">
        <v>0</v>
      </c>
      <c r="IF54" s="486">
        <v>0</v>
      </c>
      <c r="IG54" s="486">
        <v>0</v>
      </c>
      <c r="IH54" s="486">
        <v>0</v>
      </c>
      <c r="II54" s="486">
        <v>0</v>
      </c>
      <c r="IJ54" s="486">
        <v>0</v>
      </c>
    </row>
    <row r="55" spans="1:245" ht="16.5" hidden="1">
      <c r="A55" s="484" t="s">
        <v>720</v>
      </c>
      <c r="B55" s="484" t="s">
        <v>617</v>
      </c>
      <c r="C55" s="484" t="s">
        <v>721</v>
      </c>
      <c r="D55" s="485"/>
      <c r="E55" s="484" t="s">
        <v>721</v>
      </c>
      <c r="F55" s="484" t="s">
        <v>26</v>
      </c>
      <c r="G55" s="485"/>
      <c r="H55" s="486">
        <v>61</v>
      </c>
      <c r="I55" s="471" t="str">
        <f t="shared" si="1"/>
        <v>AIJ100261</v>
      </c>
      <c r="J55" s="486">
        <v>226</v>
      </c>
      <c r="L55" s="484" t="s">
        <v>720</v>
      </c>
      <c r="M55" s="484" t="s">
        <v>617</v>
      </c>
      <c r="N55" s="484" t="s">
        <v>26</v>
      </c>
      <c r="O55" s="486">
        <v>20</v>
      </c>
      <c r="P55" s="471" t="str">
        <f t="shared" si="2"/>
        <v>AIJ100220</v>
      </c>
      <c r="Q55" s="486">
        <v>0</v>
      </c>
      <c r="R55" s="486">
        <v>4</v>
      </c>
      <c r="S55" s="486">
        <v>7</v>
      </c>
      <c r="T55" s="486">
        <v>11</v>
      </c>
      <c r="U55" s="486">
        <v>14</v>
      </c>
      <c r="V55" s="486">
        <v>18</v>
      </c>
      <c r="W55" s="486">
        <v>22</v>
      </c>
      <c r="X55" s="486">
        <v>27</v>
      </c>
      <c r="Y55" s="486">
        <v>30</v>
      </c>
      <c r="Z55" s="486">
        <v>0</v>
      </c>
      <c r="AA55" s="486">
        <v>0</v>
      </c>
      <c r="AB55" s="486">
        <v>0</v>
      </c>
      <c r="AC55" s="486">
        <v>0</v>
      </c>
      <c r="AD55" s="486">
        <v>0</v>
      </c>
      <c r="AE55" s="486">
        <v>0</v>
      </c>
      <c r="AF55" s="486">
        <v>0</v>
      </c>
      <c r="AG55" s="486">
        <v>0</v>
      </c>
      <c r="AH55" s="486">
        <v>0</v>
      </c>
      <c r="AI55" s="486">
        <v>0</v>
      </c>
      <c r="AJ55" s="486">
        <v>0</v>
      </c>
      <c r="AK55" s="486">
        <v>0</v>
      </c>
      <c r="AL55" s="486">
        <v>0</v>
      </c>
      <c r="AM55" s="486">
        <v>0</v>
      </c>
      <c r="AN55" s="486">
        <v>0</v>
      </c>
      <c r="AO55" s="486">
        <v>0</v>
      </c>
      <c r="AP55" s="486">
        <v>0</v>
      </c>
      <c r="AQ55" s="486">
        <v>0</v>
      </c>
      <c r="AR55" s="486">
        <v>0</v>
      </c>
      <c r="AS55" s="486">
        <v>0</v>
      </c>
      <c r="AT55" s="486">
        <v>0</v>
      </c>
      <c r="AU55" s="486">
        <v>0</v>
      </c>
      <c r="AV55" s="486">
        <v>0</v>
      </c>
      <c r="AW55" s="486">
        <v>0</v>
      </c>
      <c r="AX55" s="486">
        <v>0</v>
      </c>
      <c r="AY55" s="486">
        <v>0</v>
      </c>
      <c r="AZ55" s="486">
        <v>0</v>
      </c>
      <c r="BA55" s="486">
        <v>0</v>
      </c>
      <c r="BB55" s="486">
        <v>0</v>
      </c>
      <c r="BC55" s="486">
        <v>0</v>
      </c>
      <c r="BD55" s="486">
        <v>0</v>
      </c>
      <c r="BE55" s="486">
        <v>0</v>
      </c>
      <c r="BF55" s="486">
        <v>0</v>
      </c>
      <c r="BG55" s="486">
        <v>0</v>
      </c>
      <c r="BH55" s="486">
        <v>0</v>
      </c>
      <c r="BI55" s="486">
        <v>0</v>
      </c>
      <c r="BJ55" s="486">
        <v>0</v>
      </c>
      <c r="BK55" s="486">
        <v>0</v>
      </c>
      <c r="BL55" s="486">
        <v>0</v>
      </c>
      <c r="BM55" s="486">
        <v>0</v>
      </c>
      <c r="BN55" s="486">
        <v>0</v>
      </c>
      <c r="BO55" s="486">
        <v>0</v>
      </c>
      <c r="BP55" s="486">
        <v>0</v>
      </c>
      <c r="BQ55" s="486">
        <v>0</v>
      </c>
      <c r="BR55" s="486">
        <v>0</v>
      </c>
      <c r="BS55" s="486">
        <v>0</v>
      </c>
      <c r="BT55" s="486">
        <v>0</v>
      </c>
      <c r="BU55" s="486">
        <v>0</v>
      </c>
      <c r="BV55" s="486">
        <v>0</v>
      </c>
      <c r="BW55" s="486">
        <v>0</v>
      </c>
      <c r="BX55" s="486">
        <v>0</v>
      </c>
      <c r="BY55" s="486">
        <v>0</v>
      </c>
      <c r="BZ55" s="486">
        <v>0</v>
      </c>
      <c r="CA55" s="486">
        <v>0</v>
      </c>
      <c r="CB55" s="486">
        <v>0</v>
      </c>
      <c r="CC55" s="486">
        <v>0</v>
      </c>
      <c r="CD55" s="486">
        <v>0</v>
      </c>
      <c r="CE55" s="486">
        <v>0</v>
      </c>
      <c r="CF55" s="486">
        <v>0</v>
      </c>
      <c r="CG55" s="486">
        <v>0</v>
      </c>
      <c r="CH55" s="486">
        <v>0</v>
      </c>
      <c r="CI55" s="486">
        <v>0</v>
      </c>
      <c r="CJ55" s="486">
        <v>0</v>
      </c>
      <c r="CK55" s="486">
        <v>0</v>
      </c>
      <c r="CL55" s="486">
        <v>0</v>
      </c>
      <c r="CM55" s="486">
        <v>0</v>
      </c>
      <c r="CN55" s="486">
        <v>0</v>
      </c>
      <c r="CO55" s="486">
        <v>0</v>
      </c>
      <c r="CP55" s="486">
        <v>0</v>
      </c>
      <c r="CQ55" s="486">
        <v>0</v>
      </c>
      <c r="CR55" s="486">
        <v>0</v>
      </c>
      <c r="CS55" s="486">
        <v>0</v>
      </c>
      <c r="CT55" s="486">
        <v>0</v>
      </c>
      <c r="CU55" s="486">
        <v>0</v>
      </c>
      <c r="CV55" s="486">
        <v>0</v>
      </c>
      <c r="CW55" s="486">
        <v>0</v>
      </c>
      <c r="CX55" s="486">
        <v>0</v>
      </c>
      <c r="CY55" s="486">
        <v>0</v>
      </c>
      <c r="CZ55" s="486">
        <v>0</v>
      </c>
      <c r="DA55" s="486">
        <v>0</v>
      </c>
      <c r="DB55" s="486">
        <v>0</v>
      </c>
      <c r="DC55" s="486">
        <v>0</v>
      </c>
      <c r="DD55" s="486">
        <v>0</v>
      </c>
      <c r="DE55" s="486">
        <v>0</v>
      </c>
      <c r="DF55" s="486">
        <v>0</v>
      </c>
      <c r="DG55" s="486">
        <v>0</v>
      </c>
      <c r="DH55" s="486">
        <v>0</v>
      </c>
      <c r="DI55" s="486">
        <v>0</v>
      </c>
      <c r="DJ55" s="486">
        <v>0</v>
      </c>
      <c r="DK55" s="486">
        <v>0</v>
      </c>
      <c r="DL55" s="486">
        <v>0</v>
      </c>
      <c r="DM55" s="486">
        <v>0</v>
      </c>
      <c r="DN55" s="486">
        <v>0</v>
      </c>
      <c r="DO55" s="486">
        <v>0</v>
      </c>
      <c r="DP55" s="486">
        <v>0</v>
      </c>
      <c r="DQ55" s="486">
        <v>0</v>
      </c>
      <c r="DR55" s="486">
        <v>0</v>
      </c>
      <c r="DS55" s="486">
        <v>0</v>
      </c>
      <c r="DT55" s="486">
        <v>0</v>
      </c>
      <c r="DU55" s="486">
        <v>0</v>
      </c>
      <c r="DV55" s="486">
        <v>0</v>
      </c>
      <c r="DW55" s="486">
        <v>0</v>
      </c>
      <c r="DX55" s="477"/>
      <c r="DY55" s="484" t="s">
        <v>720</v>
      </c>
      <c r="DZ55" s="484" t="s">
        <v>617</v>
      </c>
      <c r="EA55" s="484" t="s">
        <v>26</v>
      </c>
      <c r="EB55" s="486">
        <v>20</v>
      </c>
      <c r="EC55" s="471" t="str">
        <f t="shared" si="0"/>
        <v>AIJ100220</v>
      </c>
      <c r="ED55" s="486">
        <v>10000</v>
      </c>
      <c r="EE55" s="486">
        <v>10000</v>
      </c>
      <c r="EF55" s="486">
        <v>10000</v>
      </c>
      <c r="EG55" s="486">
        <v>10000</v>
      </c>
      <c r="EH55" s="486">
        <v>10000</v>
      </c>
      <c r="EI55" s="486">
        <v>10000</v>
      </c>
      <c r="EJ55" s="486">
        <v>10000</v>
      </c>
      <c r="EK55" s="486">
        <v>10000</v>
      </c>
      <c r="EL55" s="486">
        <v>10000</v>
      </c>
      <c r="EM55" s="486">
        <v>10000</v>
      </c>
      <c r="EN55" s="486">
        <v>0</v>
      </c>
      <c r="EO55" s="486">
        <v>0</v>
      </c>
      <c r="EP55" s="486">
        <v>0</v>
      </c>
      <c r="EQ55" s="486">
        <v>0</v>
      </c>
      <c r="ER55" s="486">
        <v>0</v>
      </c>
      <c r="ES55" s="486">
        <v>0</v>
      </c>
      <c r="ET55" s="486">
        <v>0</v>
      </c>
      <c r="EU55" s="486">
        <v>0</v>
      </c>
      <c r="EV55" s="486">
        <v>0</v>
      </c>
      <c r="EW55" s="486">
        <v>0</v>
      </c>
      <c r="EX55" s="486">
        <v>0</v>
      </c>
      <c r="EY55" s="486">
        <v>0</v>
      </c>
      <c r="EZ55" s="486">
        <v>0</v>
      </c>
      <c r="FA55" s="486">
        <v>0</v>
      </c>
      <c r="FB55" s="486">
        <v>0</v>
      </c>
      <c r="FC55" s="486">
        <v>0</v>
      </c>
      <c r="FD55" s="486">
        <v>0</v>
      </c>
      <c r="FE55" s="486">
        <v>0</v>
      </c>
      <c r="FF55" s="486">
        <v>0</v>
      </c>
      <c r="FG55" s="486">
        <v>0</v>
      </c>
      <c r="FH55" s="486">
        <v>0</v>
      </c>
      <c r="FI55" s="486">
        <v>0</v>
      </c>
      <c r="FJ55" s="486">
        <v>0</v>
      </c>
      <c r="FK55" s="486">
        <v>0</v>
      </c>
      <c r="FL55" s="486">
        <v>0</v>
      </c>
      <c r="FM55" s="486">
        <v>0</v>
      </c>
      <c r="FN55" s="486">
        <v>0</v>
      </c>
      <c r="FO55" s="486">
        <v>0</v>
      </c>
      <c r="FP55" s="486">
        <v>0</v>
      </c>
      <c r="FQ55" s="486">
        <v>0</v>
      </c>
      <c r="FR55" s="486">
        <v>0</v>
      </c>
      <c r="FS55" s="486">
        <v>0</v>
      </c>
      <c r="FT55" s="486">
        <v>0</v>
      </c>
      <c r="FU55" s="486">
        <v>0</v>
      </c>
      <c r="FV55" s="486">
        <v>0</v>
      </c>
      <c r="FW55" s="486">
        <v>0</v>
      </c>
      <c r="FX55" s="486">
        <v>0</v>
      </c>
      <c r="FY55" s="486">
        <v>0</v>
      </c>
      <c r="FZ55" s="486">
        <v>0</v>
      </c>
      <c r="GA55" s="486">
        <v>0</v>
      </c>
      <c r="GB55" s="486">
        <v>0</v>
      </c>
      <c r="GC55" s="486">
        <v>0</v>
      </c>
      <c r="GD55" s="486">
        <v>0</v>
      </c>
      <c r="GE55" s="486">
        <v>0</v>
      </c>
      <c r="GF55" s="486">
        <v>0</v>
      </c>
      <c r="GG55" s="486">
        <v>0</v>
      </c>
      <c r="GH55" s="486">
        <v>0</v>
      </c>
      <c r="GI55" s="486">
        <v>0</v>
      </c>
      <c r="GJ55" s="486">
        <v>0</v>
      </c>
      <c r="GK55" s="486">
        <v>0</v>
      </c>
      <c r="GL55" s="486">
        <v>0</v>
      </c>
      <c r="GM55" s="486">
        <v>0</v>
      </c>
      <c r="GN55" s="486">
        <v>0</v>
      </c>
      <c r="GO55" s="486">
        <v>0</v>
      </c>
      <c r="GP55" s="486">
        <v>0</v>
      </c>
      <c r="GQ55" s="486">
        <v>0</v>
      </c>
      <c r="GR55" s="486">
        <v>0</v>
      </c>
      <c r="GS55" s="486">
        <v>0</v>
      </c>
      <c r="GT55" s="486">
        <v>0</v>
      </c>
      <c r="GU55" s="486">
        <v>0</v>
      </c>
      <c r="GV55" s="486">
        <v>0</v>
      </c>
      <c r="GW55" s="486">
        <v>0</v>
      </c>
      <c r="GX55" s="486">
        <v>0</v>
      </c>
      <c r="GY55" s="486">
        <v>0</v>
      </c>
      <c r="GZ55" s="486">
        <v>0</v>
      </c>
      <c r="HA55" s="486">
        <v>0</v>
      </c>
      <c r="HB55" s="486">
        <v>0</v>
      </c>
      <c r="HC55" s="486">
        <v>0</v>
      </c>
      <c r="HD55" s="486">
        <v>0</v>
      </c>
      <c r="HE55" s="486">
        <v>0</v>
      </c>
      <c r="HF55" s="486">
        <v>0</v>
      </c>
      <c r="HG55" s="486">
        <v>0</v>
      </c>
      <c r="HH55" s="486">
        <v>0</v>
      </c>
      <c r="HI55" s="486">
        <v>0</v>
      </c>
      <c r="HJ55" s="486">
        <v>0</v>
      </c>
      <c r="HK55" s="486">
        <v>0</v>
      </c>
      <c r="HL55" s="486">
        <v>0</v>
      </c>
      <c r="HM55" s="486">
        <v>0</v>
      </c>
      <c r="HN55" s="486">
        <v>0</v>
      </c>
      <c r="HO55" s="486">
        <v>0</v>
      </c>
      <c r="HP55" s="486">
        <v>0</v>
      </c>
      <c r="HQ55" s="486">
        <v>0</v>
      </c>
      <c r="HR55" s="486">
        <v>0</v>
      </c>
      <c r="HS55" s="486">
        <v>0</v>
      </c>
      <c r="HT55" s="486">
        <v>0</v>
      </c>
      <c r="HU55" s="486">
        <v>0</v>
      </c>
      <c r="HV55" s="486">
        <v>0</v>
      </c>
      <c r="HW55" s="486">
        <v>0</v>
      </c>
      <c r="HX55" s="486">
        <v>0</v>
      </c>
      <c r="HY55" s="486">
        <v>0</v>
      </c>
      <c r="HZ55" s="486">
        <v>0</v>
      </c>
      <c r="IA55" s="486">
        <v>0</v>
      </c>
      <c r="IB55" s="486">
        <v>0</v>
      </c>
      <c r="IC55" s="486">
        <v>0</v>
      </c>
      <c r="ID55" s="486">
        <v>0</v>
      </c>
      <c r="IE55" s="486">
        <v>0</v>
      </c>
      <c r="IF55" s="486">
        <v>0</v>
      </c>
      <c r="IG55" s="486">
        <v>0</v>
      </c>
      <c r="IH55" s="486">
        <v>0</v>
      </c>
      <c r="II55" s="486">
        <v>0</v>
      </c>
      <c r="IJ55" s="486">
        <v>0</v>
      </c>
    </row>
    <row r="56" spans="1:245" s="249" customFormat="1" ht="16.5" hidden="1">
      <c r="A56" s="484" t="s">
        <v>720</v>
      </c>
      <c r="B56" s="484" t="s">
        <v>617</v>
      </c>
      <c r="C56" s="484" t="s">
        <v>721</v>
      </c>
      <c r="D56" s="485"/>
      <c r="E56" s="484" t="s">
        <v>721</v>
      </c>
      <c r="F56" s="484" t="s">
        <v>26</v>
      </c>
      <c r="G56" s="485"/>
      <c r="H56" s="486">
        <v>62</v>
      </c>
      <c r="I56" s="471" t="str">
        <f t="shared" si="1"/>
        <v>AIJ100262</v>
      </c>
      <c r="J56" s="486">
        <v>242</v>
      </c>
      <c r="L56" s="484" t="s">
        <v>720</v>
      </c>
      <c r="M56" s="484" t="s">
        <v>617</v>
      </c>
      <c r="N56" s="484" t="s">
        <v>26</v>
      </c>
      <c r="O56" s="486">
        <v>21</v>
      </c>
      <c r="P56" s="471" t="str">
        <f t="shared" si="2"/>
        <v>AIJ100221</v>
      </c>
      <c r="Q56" s="486">
        <v>0</v>
      </c>
      <c r="R56" s="486">
        <v>4</v>
      </c>
      <c r="S56" s="486">
        <v>7</v>
      </c>
      <c r="T56" s="486">
        <v>11</v>
      </c>
      <c r="U56" s="486">
        <v>14</v>
      </c>
      <c r="V56" s="486">
        <v>18</v>
      </c>
      <c r="W56" s="486">
        <v>22</v>
      </c>
      <c r="X56" s="486">
        <v>27</v>
      </c>
      <c r="Y56" s="486">
        <v>31</v>
      </c>
      <c r="Z56" s="486">
        <v>0</v>
      </c>
      <c r="AA56" s="486">
        <v>0</v>
      </c>
      <c r="AB56" s="486">
        <v>0</v>
      </c>
      <c r="AC56" s="486">
        <v>0</v>
      </c>
      <c r="AD56" s="486">
        <v>0</v>
      </c>
      <c r="AE56" s="486">
        <v>0</v>
      </c>
      <c r="AF56" s="486">
        <v>0</v>
      </c>
      <c r="AG56" s="486">
        <v>0</v>
      </c>
      <c r="AH56" s="486">
        <v>0</v>
      </c>
      <c r="AI56" s="486">
        <v>0</v>
      </c>
      <c r="AJ56" s="486">
        <v>0</v>
      </c>
      <c r="AK56" s="486">
        <v>0</v>
      </c>
      <c r="AL56" s="486">
        <v>0</v>
      </c>
      <c r="AM56" s="486">
        <v>0</v>
      </c>
      <c r="AN56" s="486">
        <v>0</v>
      </c>
      <c r="AO56" s="486">
        <v>0</v>
      </c>
      <c r="AP56" s="486">
        <v>0</v>
      </c>
      <c r="AQ56" s="486">
        <v>0</v>
      </c>
      <c r="AR56" s="486">
        <v>0</v>
      </c>
      <c r="AS56" s="486">
        <v>0</v>
      </c>
      <c r="AT56" s="486">
        <v>0</v>
      </c>
      <c r="AU56" s="486">
        <v>0</v>
      </c>
      <c r="AV56" s="486">
        <v>0</v>
      </c>
      <c r="AW56" s="486">
        <v>0</v>
      </c>
      <c r="AX56" s="486">
        <v>0</v>
      </c>
      <c r="AY56" s="486">
        <v>0</v>
      </c>
      <c r="AZ56" s="486">
        <v>0</v>
      </c>
      <c r="BA56" s="486">
        <v>0</v>
      </c>
      <c r="BB56" s="486">
        <v>0</v>
      </c>
      <c r="BC56" s="486">
        <v>0</v>
      </c>
      <c r="BD56" s="486">
        <v>0</v>
      </c>
      <c r="BE56" s="486">
        <v>0</v>
      </c>
      <c r="BF56" s="486">
        <v>0</v>
      </c>
      <c r="BG56" s="486">
        <v>0</v>
      </c>
      <c r="BH56" s="486">
        <v>0</v>
      </c>
      <c r="BI56" s="486">
        <v>0</v>
      </c>
      <c r="BJ56" s="486">
        <v>0</v>
      </c>
      <c r="BK56" s="486">
        <v>0</v>
      </c>
      <c r="BL56" s="486">
        <v>0</v>
      </c>
      <c r="BM56" s="486">
        <v>0</v>
      </c>
      <c r="BN56" s="486">
        <v>0</v>
      </c>
      <c r="BO56" s="486">
        <v>0</v>
      </c>
      <c r="BP56" s="486">
        <v>0</v>
      </c>
      <c r="BQ56" s="486">
        <v>0</v>
      </c>
      <c r="BR56" s="486">
        <v>0</v>
      </c>
      <c r="BS56" s="486">
        <v>0</v>
      </c>
      <c r="BT56" s="486">
        <v>0</v>
      </c>
      <c r="BU56" s="486">
        <v>0</v>
      </c>
      <c r="BV56" s="486">
        <v>0</v>
      </c>
      <c r="BW56" s="486">
        <v>0</v>
      </c>
      <c r="BX56" s="486">
        <v>0</v>
      </c>
      <c r="BY56" s="486">
        <v>0</v>
      </c>
      <c r="BZ56" s="486">
        <v>0</v>
      </c>
      <c r="CA56" s="486">
        <v>0</v>
      </c>
      <c r="CB56" s="486">
        <v>0</v>
      </c>
      <c r="CC56" s="486">
        <v>0</v>
      </c>
      <c r="CD56" s="486">
        <v>0</v>
      </c>
      <c r="CE56" s="486">
        <v>0</v>
      </c>
      <c r="CF56" s="486">
        <v>0</v>
      </c>
      <c r="CG56" s="486">
        <v>0</v>
      </c>
      <c r="CH56" s="486">
        <v>0</v>
      </c>
      <c r="CI56" s="486">
        <v>0</v>
      </c>
      <c r="CJ56" s="486">
        <v>0</v>
      </c>
      <c r="CK56" s="486">
        <v>0</v>
      </c>
      <c r="CL56" s="486">
        <v>0</v>
      </c>
      <c r="CM56" s="486">
        <v>0</v>
      </c>
      <c r="CN56" s="486">
        <v>0</v>
      </c>
      <c r="CO56" s="486">
        <v>0</v>
      </c>
      <c r="CP56" s="486">
        <v>0</v>
      </c>
      <c r="CQ56" s="486">
        <v>0</v>
      </c>
      <c r="CR56" s="486">
        <v>0</v>
      </c>
      <c r="CS56" s="486">
        <v>0</v>
      </c>
      <c r="CT56" s="486">
        <v>0</v>
      </c>
      <c r="CU56" s="486">
        <v>0</v>
      </c>
      <c r="CV56" s="486">
        <v>0</v>
      </c>
      <c r="CW56" s="486">
        <v>0</v>
      </c>
      <c r="CX56" s="486">
        <v>0</v>
      </c>
      <c r="CY56" s="486">
        <v>0</v>
      </c>
      <c r="CZ56" s="486">
        <v>0</v>
      </c>
      <c r="DA56" s="486">
        <v>0</v>
      </c>
      <c r="DB56" s="486">
        <v>0</v>
      </c>
      <c r="DC56" s="486">
        <v>0</v>
      </c>
      <c r="DD56" s="486">
        <v>0</v>
      </c>
      <c r="DE56" s="486">
        <v>0</v>
      </c>
      <c r="DF56" s="486">
        <v>0</v>
      </c>
      <c r="DG56" s="486">
        <v>0</v>
      </c>
      <c r="DH56" s="486">
        <v>0</v>
      </c>
      <c r="DI56" s="486">
        <v>0</v>
      </c>
      <c r="DJ56" s="486">
        <v>0</v>
      </c>
      <c r="DK56" s="486">
        <v>0</v>
      </c>
      <c r="DL56" s="486">
        <v>0</v>
      </c>
      <c r="DM56" s="486">
        <v>0</v>
      </c>
      <c r="DN56" s="486">
        <v>0</v>
      </c>
      <c r="DO56" s="486">
        <v>0</v>
      </c>
      <c r="DP56" s="486">
        <v>0</v>
      </c>
      <c r="DQ56" s="486">
        <v>0</v>
      </c>
      <c r="DR56" s="486">
        <v>0</v>
      </c>
      <c r="DS56" s="486">
        <v>0</v>
      </c>
      <c r="DT56" s="486">
        <v>0</v>
      </c>
      <c r="DU56" s="486">
        <v>0</v>
      </c>
      <c r="DV56" s="486">
        <v>0</v>
      </c>
      <c r="DW56" s="486">
        <v>0</v>
      </c>
      <c r="DX56" s="477"/>
      <c r="DY56" s="484" t="s">
        <v>720</v>
      </c>
      <c r="DZ56" s="484" t="s">
        <v>617</v>
      </c>
      <c r="EA56" s="484" t="s">
        <v>26</v>
      </c>
      <c r="EB56" s="486">
        <v>21</v>
      </c>
      <c r="EC56" s="471" t="str">
        <f t="shared" si="0"/>
        <v>AIJ100221</v>
      </c>
      <c r="ED56" s="486">
        <v>10000</v>
      </c>
      <c r="EE56" s="486">
        <v>10000</v>
      </c>
      <c r="EF56" s="486">
        <v>10000</v>
      </c>
      <c r="EG56" s="486">
        <v>10000</v>
      </c>
      <c r="EH56" s="486">
        <v>10000</v>
      </c>
      <c r="EI56" s="486">
        <v>10000</v>
      </c>
      <c r="EJ56" s="486">
        <v>10000</v>
      </c>
      <c r="EK56" s="486">
        <v>10000</v>
      </c>
      <c r="EL56" s="486">
        <v>10000</v>
      </c>
      <c r="EM56" s="486">
        <v>10000</v>
      </c>
      <c r="EN56" s="486">
        <v>0</v>
      </c>
      <c r="EO56" s="486">
        <v>0</v>
      </c>
      <c r="EP56" s="486">
        <v>0</v>
      </c>
      <c r="EQ56" s="486">
        <v>0</v>
      </c>
      <c r="ER56" s="486">
        <v>0</v>
      </c>
      <c r="ES56" s="486">
        <v>0</v>
      </c>
      <c r="ET56" s="486">
        <v>0</v>
      </c>
      <c r="EU56" s="486">
        <v>0</v>
      </c>
      <c r="EV56" s="486">
        <v>0</v>
      </c>
      <c r="EW56" s="486">
        <v>0</v>
      </c>
      <c r="EX56" s="486">
        <v>0</v>
      </c>
      <c r="EY56" s="486">
        <v>0</v>
      </c>
      <c r="EZ56" s="486">
        <v>0</v>
      </c>
      <c r="FA56" s="486">
        <v>0</v>
      </c>
      <c r="FB56" s="486">
        <v>0</v>
      </c>
      <c r="FC56" s="486">
        <v>0</v>
      </c>
      <c r="FD56" s="486">
        <v>0</v>
      </c>
      <c r="FE56" s="486">
        <v>0</v>
      </c>
      <c r="FF56" s="486">
        <v>0</v>
      </c>
      <c r="FG56" s="486">
        <v>0</v>
      </c>
      <c r="FH56" s="486">
        <v>0</v>
      </c>
      <c r="FI56" s="486">
        <v>0</v>
      </c>
      <c r="FJ56" s="486">
        <v>0</v>
      </c>
      <c r="FK56" s="486">
        <v>0</v>
      </c>
      <c r="FL56" s="486">
        <v>0</v>
      </c>
      <c r="FM56" s="486">
        <v>0</v>
      </c>
      <c r="FN56" s="486">
        <v>0</v>
      </c>
      <c r="FO56" s="486">
        <v>0</v>
      </c>
      <c r="FP56" s="486">
        <v>0</v>
      </c>
      <c r="FQ56" s="486">
        <v>0</v>
      </c>
      <c r="FR56" s="486">
        <v>0</v>
      </c>
      <c r="FS56" s="486">
        <v>0</v>
      </c>
      <c r="FT56" s="486">
        <v>0</v>
      </c>
      <c r="FU56" s="486">
        <v>0</v>
      </c>
      <c r="FV56" s="486">
        <v>0</v>
      </c>
      <c r="FW56" s="486">
        <v>0</v>
      </c>
      <c r="FX56" s="486">
        <v>0</v>
      </c>
      <c r="FY56" s="486">
        <v>0</v>
      </c>
      <c r="FZ56" s="486">
        <v>0</v>
      </c>
      <c r="GA56" s="486">
        <v>0</v>
      </c>
      <c r="GB56" s="486">
        <v>0</v>
      </c>
      <c r="GC56" s="486">
        <v>0</v>
      </c>
      <c r="GD56" s="486">
        <v>0</v>
      </c>
      <c r="GE56" s="486">
        <v>0</v>
      </c>
      <c r="GF56" s="486">
        <v>0</v>
      </c>
      <c r="GG56" s="486">
        <v>0</v>
      </c>
      <c r="GH56" s="486">
        <v>0</v>
      </c>
      <c r="GI56" s="486">
        <v>0</v>
      </c>
      <c r="GJ56" s="486">
        <v>0</v>
      </c>
      <c r="GK56" s="486">
        <v>0</v>
      </c>
      <c r="GL56" s="486">
        <v>0</v>
      </c>
      <c r="GM56" s="486">
        <v>0</v>
      </c>
      <c r="GN56" s="486">
        <v>0</v>
      </c>
      <c r="GO56" s="486">
        <v>0</v>
      </c>
      <c r="GP56" s="486">
        <v>0</v>
      </c>
      <c r="GQ56" s="486">
        <v>0</v>
      </c>
      <c r="GR56" s="486">
        <v>0</v>
      </c>
      <c r="GS56" s="486">
        <v>0</v>
      </c>
      <c r="GT56" s="486">
        <v>0</v>
      </c>
      <c r="GU56" s="486">
        <v>0</v>
      </c>
      <c r="GV56" s="486">
        <v>0</v>
      </c>
      <c r="GW56" s="486">
        <v>0</v>
      </c>
      <c r="GX56" s="486">
        <v>0</v>
      </c>
      <c r="GY56" s="486">
        <v>0</v>
      </c>
      <c r="GZ56" s="486">
        <v>0</v>
      </c>
      <c r="HA56" s="486">
        <v>0</v>
      </c>
      <c r="HB56" s="486">
        <v>0</v>
      </c>
      <c r="HC56" s="486">
        <v>0</v>
      </c>
      <c r="HD56" s="486">
        <v>0</v>
      </c>
      <c r="HE56" s="486">
        <v>0</v>
      </c>
      <c r="HF56" s="486">
        <v>0</v>
      </c>
      <c r="HG56" s="486">
        <v>0</v>
      </c>
      <c r="HH56" s="486">
        <v>0</v>
      </c>
      <c r="HI56" s="486">
        <v>0</v>
      </c>
      <c r="HJ56" s="486">
        <v>0</v>
      </c>
      <c r="HK56" s="486">
        <v>0</v>
      </c>
      <c r="HL56" s="486">
        <v>0</v>
      </c>
      <c r="HM56" s="486">
        <v>0</v>
      </c>
      <c r="HN56" s="486">
        <v>0</v>
      </c>
      <c r="HO56" s="486">
        <v>0</v>
      </c>
      <c r="HP56" s="486">
        <v>0</v>
      </c>
      <c r="HQ56" s="486">
        <v>0</v>
      </c>
      <c r="HR56" s="486">
        <v>0</v>
      </c>
      <c r="HS56" s="486">
        <v>0</v>
      </c>
      <c r="HT56" s="486">
        <v>0</v>
      </c>
      <c r="HU56" s="486">
        <v>0</v>
      </c>
      <c r="HV56" s="486">
        <v>0</v>
      </c>
      <c r="HW56" s="486">
        <v>0</v>
      </c>
      <c r="HX56" s="486">
        <v>0</v>
      </c>
      <c r="HY56" s="486">
        <v>0</v>
      </c>
      <c r="HZ56" s="486">
        <v>0</v>
      </c>
      <c r="IA56" s="486">
        <v>0</v>
      </c>
      <c r="IB56" s="486">
        <v>0</v>
      </c>
      <c r="IC56" s="486">
        <v>0</v>
      </c>
      <c r="ID56" s="486">
        <v>0</v>
      </c>
      <c r="IE56" s="486">
        <v>0</v>
      </c>
      <c r="IF56" s="486">
        <v>0</v>
      </c>
      <c r="IG56" s="486">
        <v>0</v>
      </c>
      <c r="IH56" s="486">
        <v>0</v>
      </c>
      <c r="II56" s="486">
        <v>0</v>
      </c>
      <c r="IJ56" s="486">
        <v>0</v>
      </c>
      <c r="IK56" s="474"/>
    </row>
    <row r="57" spans="1:245" ht="16.5" hidden="1">
      <c r="A57" s="484" t="s">
        <v>720</v>
      </c>
      <c r="B57" s="484" t="s">
        <v>617</v>
      </c>
      <c r="C57" s="484" t="s">
        <v>721</v>
      </c>
      <c r="D57" s="485"/>
      <c r="E57" s="484" t="s">
        <v>721</v>
      </c>
      <c r="F57" s="484" t="s">
        <v>26</v>
      </c>
      <c r="G57" s="485"/>
      <c r="H57" s="486">
        <v>63</v>
      </c>
      <c r="I57" s="471" t="str">
        <f t="shared" si="1"/>
        <v>AIJ100263</v>
      </c>
      <c r="J57" s="486">
        <v>262</v>
      </c>
      <c r="L57" s="484" t="s">
        <v>720</v>
      </c>
      <c r="M57" s="484" t="s">
        <v>617</v>
      </c>
      <c r="N57" s="484" t="s">
        <v>26</v>
      </c>
      <c r="O57" s="486">
        <v>22</v>
      </c>
      <c r="P57" s="471" t="str">
        <f t="shared" si="2"/>
        <v>AIJ100222</v>
      </c>
      <c r="Q57" s="486">
        <v>0</v>
      </c>
      <c r="R57" s="486">
        <v>4</v>
      </c>
      <c r="S57" s="486">
        <v>7</v>
      </c>
      <c r="T57" s="486">
        <v>11</v>
      </c>
      <c r="U57" s="486">
        <v>14</v>
      </c>
      <c r="V57" s="486">
        <v>18</v>
      </c>
      <c r="W57" s="486">
        <v>23</v>
      </c>
      <c r="X57" s="486">
        <v>28</v>
      </c>
      <c r="Y57" s="486">
        <v>32</v>
      </c>
      <c r="Z57" s="486">
        <v>0</v>
      </c>
      <c r="AA57" s="486">
        <v>0</v>
      </c>
      <c r="AB57" s="486">
        <v>0</v>
      </c>
      <c r="AC57" s="486">
        <v>0</v>
      </c>
      <c r="AD57" s="486">
        <v>0</v>
      </c>
      <c r="AE57" s="486">
        <v>0</v>
      </c>
      <c r="AF57" s="486">
        <v>0</v>
      </c>
      <c r="AG57" s="486">
        <v>0</v>
      </c>
      <c r="AH57" s="486">
        <v>0</v>
      </c>
      <c r="AI57" s="486">
        <v>0</v>
      </c>
      <c r="AJ57" s="486">
        <v>0</v>
      </c>
      <c r="AK57" s="486">
        <v>0</v>
      </c>
      <c r="AL57" s="486">
        <v>0</v>
      </c>
      <c r="AM57" s="486">
        <v>0</v>
      </c>
      <c r="AN57" s="486">
        <v>0</v>
      </c>
      <c r="AO57" s="486">
        <v>0</v>
      </c>
      <c r="AP57" s="486">
        <v>0</v>
      </c>
      <c r="AQ57" s="486">
        <v>0</v>
      </c>
      <c r="AR57" s="486">
        <v>0</v>
      </c>
      <c r="AS57" s="486">
        <v>0</v>
      </c>
      <c r="AT57" s="486">
        <v>0</v>
      </c>
      <c r="AU57" s="486">
        <v>0</v>
      </c>
      <c r="AV57" s="486">
        <v>0</v>
      </c>
      <c r="AW57" s="486">
        <v>0</v>
      </c>
      <c r="AX57" s="486">
        <v>0</v>
      </c>
      <c r="AY57" s="486">
        <v>0</v>
      </c>
      <c r="AZ57" s="486">
        <v>0</v>
      </c>
      <c r="BA57" s="486">
        <v>0</v>
      </c>
      <c r="BB57" s="486">
        <v>0</v>
      </c>
      <c r="BC57" s="486">
        <v>0</v>
      </c>
      <c r="BD57" s="486">
        <v>0</v>
      </c>
      <c r="BE57" s="486">
        <v>0</v>
      </c>
      <c r="BF57" s="486">
        <v>0</v>
      </c>
      <c r="BG57" s="486">
        <v>0</v>
      </c>
      <c r="BH57" s="486">
        <v>0</v>
      </c>
      <c r="BI57" s="486">
        <v>0</v>
      </c>
      <c r="BJ57" s="486">
        <v>0</v>
      </c>
      <c r="BK57" s="486">
        <v>0</v>
      </c>
      <c r="BL57" s="486">
        <v>0</v>
      </c>
      <c r="BM57" s="486">
        <v>0</v>
      </c>
      <c r="BN57" s="486">
        <v>0</v>
      </c>
      <c r="BO57" s="486">
        <v>0</v>
      </c>
      <c r="BP57" s="486">
        <v>0</v>
      </c>
      <c r="BQ57" s="486">
        <v>0</v>
      </c>
      <c r="BR57" s="486">
        <v>0</v>
      </c>
      <c r="BS57" s="486">
        <v>0</v>
      </c>
      <c r="BT57" s="486">
        <v>0</v>
      </c>
      <c r="BU57" s="486">
        <v>0</v>
      </c>
      <c r="BV57" s="486">
        <v>0</v>
      </c>
      <c r="BW57" s="486">
        <v>0</v>
      </c>
      <c r="BX57" s="486">
        <v>0</v>
      </c>
      <c r="BY57" s="486">
        <v>0</v>
      </c>
      <c r="BZ57" s="486">
        <v>0</v>
      </c>
      <c r="CA57" s="486">
        <v>0</v>
      </c>
      <c r="CB57" s="486">
        <v>0</v>
      </c>
      <c r="CC57" s="486">
        <v>0</v>
      </c>
      <c r="CD57" s="486">
        <v>0</v>
      </c>
      <c r="CE57" s="486">
        <v>0</v>
      </c>
      <c r="CF57" s="486">
        <v>0</v>
      </c>
      <c r="CG57" s="486">
        <v>0</v>
      </c>
      <c r="CH57" s="486">
        <v>0</v>
      </c>
      <c r="CI57" s="486">
        <v>0</v>
      </c>
      <c r="CJ57" s="486">
        <v>0</v>
      </c>
      <c r="CK57" s="486">
        <v>0</v>
      </c>
      <c r="CL57" s="486">
        <v>0</v>
      </c>
      <c r="CM57" s="486">
        <v>0</v>
      </c>
      <c r="CN57" s="486">
        <v>0</v>
      </c>
      <c r="CO57" s="486">
        <v>0</v>
      </c>
      <c r="CP57" s="486">
        <v>0</v>
      </c>
      <c r="CQ57" s="486">
        <v>0</v>
      </c>
      <c r="CR57" s="486">
        <v>0</v>
      </c>
      <c r="CS57" s="486">
        <v>0</v>
      </c>
      <c r="CT57" s="486">
        <v>0</v>
      </c>
      <c r="CU57" s="486">
        <v>0</v>
      </c>
      <c r="CV57" s="486">
        <v>0</v>
      </c>
      <c r="CW57" s="486">
        <v>0</v>
      </c>
      <c r="CX57" s="486">
        <v>0</v>
      </c>
      <c r="CY57" s="486">
        <v>0</v>
      </c>
      <c r="CZ57" s="486">
        <v>0</v>
      </c>
      <c r="DA57" s="486">
        <v>0</v>
      </c>
      <c r="DB57" s="486">
        <v>0</v>
      </c>
      <c r="DC57" s="486">
        <v>0</v>
      </c>
      <c r="DD57" s="486">
        <v>0</v>
      </c>
      <c r="DE57" s="486">
        <v>0</v>
      </c>
      <c r="DF57" s="486">
        <v>0</v>
      </c>
      <c r="DG57" s="486">
        <v>0</v>
      </c>
      <c r="DH57" s="486">
        <v>0</v>
      </c>
      <c r="DI57" s="486">
        <v>0</v>
      </c>
      <c r="DJ57" s="486">
        <v>0</v>
      </c>
      <c r="DK57" s="486">
        <v>0</v>
      </c>
      <c r="DL57" s="486">
        <v>0</v>
      </c>
      <c r="DM57" s="486">
        <v>0</v>
      </c>
      <c r="DN57" s="486">
        <v>0</v>
      </c>
      <c r="DO57" s="486">
        <v>0</v>
      </c>
      <c r="DP57" s="486">
        <v>0</v>
      </c>
      <c r="DQ57" s="486">
        <v>0</v>
      </c>
      <c r="DR57" s="486">
        <v>0</v>
      </c>
      <c r="DS57" s="486">
        <v>0</v>
      </c>
      <c r="DT57" s="486">
        <v>0</v>
      </c>
      <c r="DU57" s="486">
        <v>0</v>
      </c>
      <c r="DV57" s="486">
        <v>0</v>
      </c>
      <c r="DW57" s="486">
        <v>0</v>
      </c>
      <c r="DX57" s="477"/>
      <c r="DY57" s="484" t="s">
        <v>720</v>
      </c>
      <c r="DZ57" s="484" t="s">
        <v>617</v>
      </c>
      <c r="EA57" s="484" t="s">
        <v>26</v>
      </c>
      <c r="EB57" s="486">
        <v>22</v>
      </c>
      <c r="EC57" s="471" t="str">
        <f t="shared" si="0"/>
        <v>AIJ100222</v>
      </c>
      <c r="ED57" s="486">
        <v>10000</v>
      </c>
      <c r="EE57" s="486">
        <v>10000</v>
      </c>
      <c r="EF57" s="486">
        <v>10000</v>
      </c>
      <c r="EG57" s="486">
        <v>10000</v>
      </c>
      <c r="EH57" s="486">
        <v>10000</v>
      </c>
      <c r="EI57" s="486">
        <v>10000</v>
      </c>
      <c r="EJ57" s="486">
        <v>10000</v>
      </c>
      <c r="EK57" s="486">
        <v>10000</v>
      </c>
      <c r="EL57" s="486">
        <v>10000</v>
      </c>
      <c r="EM57" s="486">
        <v>10000</v>
      </c>
      <c r="EN57" s="486">
        <v>0</v>
      </c>
      <c r="EO57" s="486">
        <v>0</v>
      </c>
      <c r="EP57" s="486">
        <v>0</v>
      </c>
      <c r="EQ57" s="486">
        <v>0</v>
      </c>
      <c r="ER57" s="486">
        <v>0</v>
      </c>
      <c r="ES57" s="486">
        <v>0</v>
      </c>
      <c r="ET57" s="486">
        <v>0</v>
      </c>
      <c r="EU57" s="486">
        <v>0</v>
      </c>
      <c r="EV57" s="486">
        <v>0</v>
      </c>
      <c r="EW57" s="486">
        <v>0</v>
      </c>
      <c r="EX57" s="486">
        <v>0</v>
      </c>
      <c r="EY57" s="486">
        <v>0</v>
      </c>
      <c r="EZ57" s="486">
        <v>0</v>
      </c>
      <c r="FA57" s="486">
        <v>0</v>
      </c>
      <c r="FB57" s="486">
        <v>0</v>
      </c>
      <c r="FC57" s="486">
        <v>0</v>
      </c>
      <c r="FD57" s="486">
        <v>0</v>
      </c>
      <c r="FE57" s="486">
        <v>0</v>
      </c>
      <c r="FF57" s="486">
        <v>0</v>
      </c>
      <c r="FG57" s="486">
        <v>0</v>
      </c>
      <c r="FH57" s="486">
        <v>0</v>
      </c>
      <c r="FI57" s="486">
        <v>0</v>
      </c>
      <c r="FJ57" s="486">
        <v>0</v>
      </c>
      <c r="FK57" s="486">
        <v>0</v>
      </c>
      <c r="FL57" s="486">
        <v>0</v>
      </c>
      <c r="FM57" s="486">
        <v>0</v>
      </c>
      <c r="FN57" s="486">
        <v>0</v>
      </c>
      <c r="FO57" s="486">
        <v>0</v>
      </c>
      <c r="FP57" s="486">
        <v>0</v>
      </c>
      <c r="FQ57" s="486">
        <v>0</v>
      </c>
      <c r="FR57" s="486">
        <v>0</v>
      </c>
      <c r="FS57" s="486">
        <v>0</v>
      </c>
      <c r="FT57" s="486">
        <v>0</v>
      </c>
      <c r="FU57" s="486">
        <v>0</v>
      </c>
      <c r="FV57" s="486">
        <v>0</v>
      </c>
      <c r="FW57" s="486">
        <v>0</v>
      </c>
      <c r="FX57" s="486">
        <v>0</v>
      </c>
      <c r="FY57" s="486">
        <v>0</v>
      </c>
      <c r="FZ57" s="486">
        <v>0</v>
      </c>
      <c r="GA57" s="486">
        <v>0</v>
      </c>
      <c r="GB57" s="486">
        <v>0</v>
      </c>
      <c r="GC57" s="486">
        <v>0</v>
      </c>
      <c r="GD57" s="486">
        <v>0</v>
      </c>
      <c r="GE57" s="486">
        <v>0</v>
      </c>
      <c r="GF57" s="486">
        <v>0</v>
      </c>
      <c r="GG57" s="486">
        <v>0</v>
      </c>
      <c r="GH57" s="486">
        <v>0</v>
      </c>
      <c r="GI57" s="486">
        <v>0</v>
      </c>
      <c r="GJ57" s="486">
        <v>0</v>
      </c>
      <c r="GK57" s="486">
        <v>0</v>
      </c>
      <c r="GL57" s="486">
        <v>0</v>
      </c>
      <c r="GM57" s="486">
        <v>0</v>
      </c>
      <c r="GN57" s="486">
        <v>0</v>
      </c>
      <c r="GO57" s="486">
        <v>0</v>
      </c>
      <c r="GP57" s="486">
        <v>0</v>
      </c>
      <c r="GQ57" s="486">
        <v>0</v>
      </c>
      <c r="GR57" s="486">
        <v>0</v>
      </c>
      <c r="GS57" s="486">
        <v>0</v>
      </c>
      <c r="GT57" s="486">
        <v>0</v>
      </c>
      <c r="GU57" s="486">
        <v>0</v>
      </c>
      <c r="GV57" s="486">
        <v>0</v>
      </c>
      <c r="GW57" s="486">
        <v>0</v>
      </c>
      <c r="GX57" s="486">
        <v>0</v>
      </c>
      <c r="GY57" s="486">
        <v>0</v>
      </c>
      <c r="GZ57" s="486">
        <v>0</v>
      </c>
      <c r="HA57" s="486">
        <v>0</v>
      </c>
      <c r="HB57" s="486">
        <v>0</v>
      </c>
      <c r="HC57" s="486">
        <v>0</v>
      </c>
      <c r="HD57" s="486">
        <v>0</v>
      </c>
      <c r="HE57" s="486">
        <v>0</v>
      </c>
      <c r="HF57" s="486">
        <v>0</v>
      </c>
      <c r="HG57" s="486">
        <v>0</v>
      </c>
      <c r="HH57" s="486">
        <v>0</v>
      </c>
      <c r="HI57" s="486">
        <v>0</v>
      </c>
      <c r="HJ57" s="486">
        <v>0</v>
      </c>
      <c r="HK57" s="486">
        <v>0</v>
      </c>
      <c r="HL57" s="486">
        <v>0</v>
      </c>
      <c r="HM57" s="486">
        <v>0</v>
      </c>
      <c r="HN57" s="486">
        <v>0</v>
      </c>
      <c r="HO57" s="486">
        <v>0</v>
      </c>
      <c r="HP57" s="486">
        <v>0</v>
      </c>
      <c r="HQ57" s="486">
        <v>0</v>
      </c>
      <c r="HR57" s="486">
        <v>0</v>
      </c>
      <c r="HS57" s="486">
        <v>0</v>
      </c>
      <c r="HT57" s="486">
        <v>0</v>
      </c>
      <c r="HU57" s="486">
        <v>0</v>
      </c>
      <c r="HV57" s="486">
        <v>0</v>
      </c>
      <c r="HW57" s="486">
        <v>0</v>
      </c>
      <c r="HX57" s="486">
        <v>0</v>
      </c>
      <c r="HY57" s="486">
        <v>0</v>
      </c>
      <c r="HZ57" s="486">
        <v>0</v>
      </c>
      <c r="IA57" s="486">
        <v>0</v>
      </c>
      <c r="IB57" s="486">
        <v>0</v>
      </c>
      <c r="IC57" s="486">
        <v>0</v>
      </c>
      <c r="ID57" s="486">
        <v>0</v>
      </c>
      <c r="IE57" s="486">
        <v>0</v>
      </c>
      <c r="IF57" s="486">
        <v>0</v>
      </c>
      <c r="IG57" s="486">
        <v>0</v>
      </c>
      <c r="IH57" s="486">
        <v>0</v>
      </c>
      <c r="II57" s="486">
        <v>0</v>
      </c>
      <c r="IJ57" s="486">
        <v>0</v>
      </c>
    </row>
    <row r="58" spans="1:245" ht="16.5" hidden="1">
      <c r="A58" s="484" t="s">
        <v>720</v>
      </c>
      <c r="B58" s="484" t="s">
        <v>617</v>
      </c>
      <c r="C58" s="484" t="s">
        <v>721</v>
      </c>
      <c r="D58" s="485"/>
      <c r="E58" s="484" t="s">
        <v>721</v>
      </c>
      <c r="F58" s="484" t="s">
        <v>26</v>
      </c>
      <c r="G58" s="485"/>
      <c r="H58" s="486">
        <v>64</v>
      </c>
      <c r="I58" s="471" t="str">
        <f t="shared" si="1"/>
        <v>AIJ100264</v>
      </c>
      <c r="J58" s="486">
        <v>284</v>
      </c>
      <c r="L58" s="484" t="s">
        <v>720</v>
      </c>
      <c r="M58" s="484" t="s">
        <v>617</v>
      </c>
      <c r="N58" s="484" t="s">
        <v>26</v>
      </c>
      <c r="O58" s="486">
        <v>23</v>
      </c>
      <c r="P58" s="471" t="str">
        <f t="shared" si="2"/>
        <v>AIJ100223</v>
      </c>
      <c r="Q58" s="486">
        <v>0</v>
      </c>
      <c r="R58" s="486">
        <v>4</v>
      </c>
      <c r="S58" s="486">
        <v>7</v>
      </c>
      <c r="T58" s="486">
        <v>11</v>
      </c>
      <c r="U58" s="486">
        <v>14</v>
      </c>
      <c r="V58" s="486">
        <v>18</v>
      </c>
      <c r="W58" s="486">
        <v>23</v>
      </c>
      <c r="X58" s="486">
        <v>28</v>
      </c>
      <c r="Y58" s="486">
        <v>32</v>
      </c>
      <c r="Z58" s="486">
        <v>0</v>
      </c>
      <c r="AA58" s="486">
        <v>0</v>
      </c>
      <c r="AB58" s="486">
        <v>0</v>
      </c>
      <c r="AC58" s="486">
        <v>0</v>
      </c>
      <c r="AD58" s="486">
        <v>0</v>
      </c>
      <c r="AE58" s="486">
        <v>0</v>
      </c>
      <c r="AF58" s="486">
        <v>0</v>
      </c>
      <c r="AG58" s="486">
        <v>0</v>
      </c>
      <c r="AH58" s="486">
        <v>0</v>
      </c>
      <c r="AI58" s="486">
        <v>0</v>
      </c>
      <c r="AJ58" s="486">
        <v>0</v>
      </c>
      <c r="AK58" s="486">
        <v>0</v>
      </c>
      <c r="AL58" s="486">
        <v>0</v>
      </c>
      <c r="AM58" s="486">
        <v>0</v>
      </c>
      <c r="AN58" s="486">
        <v>0</v>
      </c>
      <c r="AO58" s="486">
        <v>0</v>
      </c>
      <c r="AP58" s="486">
        <v>0</v>
      </c>
      <c r="AQ58" s="486">
        <v>0</v>
      </c>
      <c r="AR58" s="486">
        <v>0</v>
      </c>
      <c r="AS58" s="486">
        <v>0</v>
      </c>
      <c r="AT58" s="486">
        <v>0</v>
      </c>
      <c r="AU58" s="486">
        <v>0</v>
      </c>
      <c r="AV58" s="486">
        <v>0</v>
      </c>
      <c r="AW58" s="486">
        <v>0</v>
      </c>
      <c r="AX58" s="486">
        <v>0</v>
      </c>
      <c r="AY58" s="486">
        <v>0</v>
      </c>
      <c r="AZ58" s="486">
        <v>0</v>
      </c>
      <c r="BA58" s="486">
        <v>0</v>
      </c>
      <c r="BB58" s="486">
        <v>0</v>
      </c>
      <c r="BC58" s="486">
        <v>0</v>
      </c>
      <c r="BD58" s="486">
        <v>0</v>
      </c>
      <c r="BE58" s="486">
        <v>0</v>
      </c>
      <c r="BF58" s="486">
        <v>0</v>
      </c>
      <c r="BG58" s="486">
        <v>0</v>
      </c>
      <c r="BH58" s="486">
        <v>0</v>
      </c>
      <c r="BI58" s="486">
        <v>0</v>
      </c>
      <c r="BJ58" s="486">
        <v>0</v>
      </c>
      <c r="BK58" s="486">
        <v>0</v>
      </c>
      <c r="BL58" s="486">
        <v>0</v>
      </c>
      <c r="BM58" s="486">
        <v>0</v>
      </c>
      <c r="BN58" s="486">
        <v>0</v>
      </c>
      <c r="BO58" s="486">
        <v>0</v>
      </c>
      <c r="BP58" s="486">
        <v>0</v>
      </c>
      <c r="BQ58" s="486">
        <v>0</v>
      </c>
      <c r="BR58" s="486">
        <v>0</v>
      </c>
      <c r="BS58" s="486">
        <v>0</v>
      </c>
      <c r="BT58" s="486">
        <v>0</v>
      </c>
      <c r="BU58" s="486">
        <v>0</v>
      </c>
      <c r="BV58" s="486">
        <v>0</v>
      </c>
      <c r="BW58" s="486">
        <v>0</v>
      </c>
      <c r="BX58" s="486">
        <v>0</v>
      </c>
      <c r="BY58" s="486">
        <v>0</v>
      </c>
      <c r="BZ58" s="486">
        <v>0</v>
      </c>
      <c r="CA58" s="486">
        <v>0</v>
      </c>
      <c r="CB58" s="486">
        <v>0</v>
      </c>
      <c r="CC58" s="486">
        <v>0</v>
      </c>
      <c r="CD58" s="486">
        <v>0</v>
      </c>
      <c r="CE58" s="486">
        <v>0</v>
      </c>
      <c r="CF58" s="486">
        <v>0</v>
      </c>
      <c r="CG58" s="486">
        <v>0</v>
      </c>
      <c r="CH58" s="486">
        <v>0</v>
      </c>
      <c r="CI58" s="486">
        <v>0</v>
      </c>
      <c r="CJ58" s="486">
        <v>0</v>
      </c>
      <c r="CK58" s="486">
        <v>0</v>
      </c>
      <c r="CL58" s="486">
        <v>0</v>
      </c>
      <c r="CM58" s="486">
        <v>0</v>
      </c>
      <c r="CN58" s="486">
        <v>0</v>
      </c>
      <c r="CO58" s="486">
        <v>0</v>
      </c>
      <c r="CP58" s="486">
        <v>0</v>
      </c>
      <c r="CQ58" s="486">
        <v>0</v>
      </c>
      <c r="CR58" s="486">
        <v>0</v>
      </c>
      <c r="CS58" s="486">
        <v>0</v>
      </c>
      <c r="CT58" s="486">
        <v>0</v>
      </c>
      <c r="CU58" s="486">
        <v>0</v>
      </c>
      <c r="CV58" s="486">
        <v>0</v>
      </c>
      <c r="CW58" s="486">
        <v>0</v>
      </c>
      <c r="CX58" s="486">
        <v>0</v>
      </c>
      <c r="CY58" s="486">
        <v>0</v>
      </c>
      <c r="CZ58" s="486">
        <v>0</v>
      </c>
      <c r="DA58" s="486">
        <v>0</v>
      </c>
      <c r="DB58" s="486">
        <v>0</v>
      </c>
      <c r="DC58" s="486">
        <v>0</v>
      </c>
      <c r="DD58" s="486">
        <v>0</v>
      </c>
      <c r="DE58" s="486">
        <v>0</v>
      </c>
      <c r="DF58" s="486">
        <v>0</v>
      </c>
      <c r="DG58" s="486">
        <v>0</v>
      </c>
      <c r="DH58" s="486">
        <v>0</v>
      </c>
      <c r="DI58" s="486">
        <v>0</v>
      </c>
      <c r="DJ58" s="486">
        <v>0</v>
      </c>
      <c r="DK58" s="486">
        <v>0</v>
      </c>
      <c r="DL58" s="486">
        <v>0</v>
      </c>
      <c r="DM58" s="486">
        <v>0</v>
      </c>
      <c r="DN58" s="486">
        <v>0</v>
      </c>
      <c r="DO58" s="486">
        <v>0</v>
      </c>
      <c r="DP58" s="486">
        <v>0</v>
      </c>
      <c r="DQ58" s="486">
        <v>0</v>
      </c>
      <c r="DR58" s="486">
        <v>0</v>
      </c>
      <c r="DS58" s="486">
        <v>0</v>
      </c>
      <c r="DT58" s="486">
        <v>0</v>
      </c>
      <c r="DU58" s="486">
        <v>0</v>
      </c>
      <c r="DV58" s="486">
        <v>0</v>
      </c>
      <c r="DW58" s="486">
        <v>0</v>
      </c>
      <c r="DX58" s="477"/>
      <c r="DY58" s="484" t="s">
        <v>720</v>
      </c>
      <c r="DZ58" s="484" t="s">
        <v>617</v>
      </c>
      <c r="EA58" s="484" t="s">
        <v>26</v>
      </c>
      <c r="EB58" s="486">
        <v>23</v>
      </c>
      <c r="EC58" s="471" t="str">
        <f t="shared" si="0"/>
        <v>AIJ100223</v>
      </c>
      <c r="ED58" s="486">
        <v>10000</v>
      </c>
      <c r="EE58" s="486">
        <v>10000</v>
      </c>
      <c r="EF58" s="486">
        <v>10000</v>
      </c>
      <c r="EG58" s="486">
        <v>10000</v>
      </c>
      <c r="EH58" s="486">
        <v>10000</v>
      </c>
      <c r="EI58" s="486">
        <v>10000</v>
      </c>
      <c r="EJ58" s="486">
        <v>10000</v>
      </c>
      <c r="EK58" s="486">
        <v>10000</v>
      </c>
      <c r="EL58" s="486">
        <v>10000</v>
      </c>
      <c r="EM58" s="486">
        <v>10000</v>
      </c>
      <c r="EN58" s="486">
        <v>0</v>
      </c>
      <c r="EO58" s="486">
        <v>0</v>
      </c>
      <c r="EP58" s="486">
        <v>0</v>
      </c>
      <c r="EQ58" s="486">
        <v>0</v>
      </c>
      <c r="ER58" s="486">
        <v>0</v>
      </c>
      <c r="ES58" s="486">
        <v>0</v>
      </c>
      <c r="ET58" s="486">
        <v>0</v>
      </c>
      <c r="EU58" s="486">
        <v>0</v>
      </c>
      <c r="EV58" s="486">
        <v>0</v>
      </c>
      <c r="EW58" s="486">
        <v>0</v>
      </c>
      <c r="EX58" s="486">
        <v>0</v>
      </c>
      <c r="EY58" s="486">
        <v>0</v>
      </c>
      <c r="EZ58" s="486">
        <v>0</v>
      </c>
      <c r="FA58" s="486">
        <v>0</v>
      </c>
      <c r="FB58" s="486">
        <v>0</v>
      </c>
      <c r="FC58" s="486">
        <v>0</v>
      </c>
      <c r="FD58" s="486">
        <v>0</v>
      </c>
      <c r="FE58" s="486">
        <v>0</v>
      </c>
      <c r="FF58" s="486">
        <v>0</v>
      </c>
      <c r="FG58" s="486">
        <v>0</v>
      </c>
      <c r="FH58" s="486">
        <v>0</v>
      </c>
      <c r="FI58" s="486">
        <v>0</v>
      </c>
      <c r="FJ58" s="486">
        <v>0</v>
      </c>
      <c r="FK58" s="486">
        <v>0</v>
      </c>
      <c r="FL58" s="486">
        <v>0</v>
      </c>
      <c r="FM58" s="486">
        <v>0</v>
      </c>
      <c r="FN58" s="486">
        <v>0</v>
      </c>
      <c r="FO58" s="486">
        <v>0</v>
      </c>
      <c r="FP58" s="486">
        <v>0</v>
      </c>
      <c r="FQ58" s="486">
        <v>0</v>
      </c>
      <c r="FR58" s="486">
        <v>0</v>
      </c>
      <c r="FS58" s="486">
        <v>0</v>
      </c>
      <c r="FT58" s="486">
        <v>0</v>
      </c>
      <c r="FU58" s="486">
        <v>0</v>
      </c>
      <c r="FV58" s="486">
        <v>0</v>
      </c>
      <c r="FW58" s="486">
        <v>0</v>
      </c>
      <c r="FX58" s="486">
        <v>0</v>
      </c>
      <c r="FY58" s="486">
        <v>0</v>
      </c>
      <c r="FZ58" s="486">
        <v>0</v>
      </c>
      <c r="GA58" s="486">
        <v>0</v>
      </c>
      <c r="GB58" s="486">
        <v>0</v>
      </c>
      <c r="GC58" s="486">
        <v>0</v>
      </c>
      <c r="GD58" s="486">
        <v>0</v>
      </c>
      <c r="GE58" s="486">
        <v>0</v>
      </c>
      <c r="GF58" s="486">
        <v>0</v>
      </c>
      <c r="GG58" s="486">
        <v>0</v>
      </c>
      <c r="GH58" s="486">
        <v>0</v>
      </c>
      <c r="GI58" s="486">
        <v>0</v>
      </c>
      <c r="GJ58" s="486">
        <v>0</v>
      </c>
      <c r="GK58" s="486">
        <v>0</v>
      </c>
      <c r="GL58" s="486">
        <v>0</v>
      </c>
      <c r="GM58" s="486">
        <v>0</v>
      </c>
      <c r="GN58" s="486">
        <v>0</v>
      </c>
      <c r="GO58" s="486">
        <v>0</v>
      </c>
      <c r="GP58" s="486">
        <v>0</v>
      </c>
      <c r="GQ58" s="486">
        <v>0</v>
      </c>
      <c r="GR58" s="486">
        <v>0</v>
      </c>
      <c r="GS58" s="486">
        <v>0</v>
      </c>
      <c r="GT58" s="486">
        <v>0</v>
      </c>
      <c r="GU58" s="486">
        <v>0</v>
      </c>
      <c r="GV58" s="486">
        <v>0</v>
      </c>
      <c r="GW58" s="486">
        <v>0</v>
      </c>
      <c r="GX58" s="486">
        <v>0</v>
      </c>
      <c r="GY58" s="486">
        <v>0</v>
      </c>
      <c r="GZ58" s="486">
        <v>0</v>
      </c>
      <c r="HA58" s="486">
        <v>0</v>
      </c>
      <c r="HB58" s="486">
        <v>0</v>
      </c>
      <c r="HC58" s="486">
        <v>0</v>
      </c>
      <c r="HD58" s="486">
        <v>0</v>
      </c>
      <c r="HE58" s="486">
        <v>0</v>
      </c>
      <c r="HF58" s="486">
        <v>0</v>
      </c>
      <c r="HG58" s="486">
        <v>0</v>
      </c>
      <c r="HH58" s="486">
        <v>0</v>
      </c>
      <c r="HI58" s="486">
        <v>0</v>
      </c>
      <c r="HJ58" s="486">
        <v>0</v>
      </c>
      <c r="HK58" s="486">
        <v>0</v>
      </c>
      <c r="HL58" s="486">
        <v>0</v>
      </c>
      <c r="HM58" s="486">
        <v>0</v>
      </c>
      <c r="HN58" s="486">
        <v>0</v>
      </c>
      <c r="HO58" s="486">
        <v>0</v>
      </c>
      <c r="HP58" s="486">
        <v>0</v>
      </c>
      <c r="HQ58" s="486">
        <v>0</v>
      </c>
      <c r="HR58" s="486">
        <v>0</v>
      </c>
      <c r="HS58" s="486">
        <v>0</v>
      </c>
      <c r="HT58" s="486">
        <v>0</v>
      </c>
      <c r="HU58" s="486">
        <v>0</v>
      </c>
      <c r="HV58" s="486">
        <v>0</v>
      </c>
      <c r="HW58" s="486">
        <v>0</v>
      </c>
      <c r="HX58" s="486">
        <v>0</v>
      </c>
      <c r="HY58" s="486">
        <v>0</v>
      </c>
      <c r="HZ58" s="486">
        <v>0</v>
      </c>
      <c r="IA58" s="486">
        <v>0</v>
      </c>
      <c r="IB58" s="486">
        <v>0</v>
      </c>
      <c r="IC58" s="486">
        <v>0</v>
      </c>
      <c r="ID58" s="486">
        <v>0</v>
      </c>
      <c r="IE58" s="486">
        <v>0</v>
      </c>
      <c r="IF58" s="486">
        <v>0</v>
      </c>
      <c r="IG58" s="486">
        <v>0</v>
      </c>
      <c r="IH58" s="486">
        <v>0</v>
      </c>
      <c r="II58" s="486">
        <v>0</v>
      </c>
      <c r="IJ58" s="486">
        <v>0</v>
      </c>
    </row>
    <row r="59" spans="1:245" ht="16.5" hidden="1">
      <c r="A59" s="484" t="s">
        <v>720</v>
      </c>
      <c r="B59" s="484" t="s">
        <v>617</v>
      </c>
      <c r="C59" s="484" t="s">
        <v>721</v>
      </c>
      <c r="D59" s="485"/>
      <c r="E59" s="484" t="s">
        <v>721</v>
      </c>
      <c r="F59" s="484" t="s">
        <v>26</v>
      </c>
      <c r="G59" s="485"/>
      <c r="H59" s="486">
        <v>65</v>
      </c>
      <c r="I59" s="471" t="str">
        <f t="shared" si="1"/>
        <v>AIJ100265</v>
      </c>
      <c r="J59" s="486">
        <v>308</v>
      </c>
      <c r="L59" s="484" t="s">
        <v>720</v>
      </c>
      <c r="M59" s="484" t="s">
        <v>617</v>
      </c>
      <c r="N59" s="484" t="s">
        <v>26</v>
      </c>
      <c r="O59" s="486">
        <v>24</v>
      </c>
      <c r="P59" s="471" t="str">
        <f t="shared" si="2"/>
        <v>AIJ100224</v>
      </c>
      <c r="Q59" s="486">
        <v>0</v>
      </c>
      <c r="R59" s="486">
        <v>4</v>
      </c>
      <c r="S59" s="486">
        <v>7</v>
      </c>
      <c r="T59" s="486">
        <v>11</v>
      </c>
      <c r="U59" s="486">
        <v>15</v>
      </c>
      <c r="V59" s="486">
        <v>18</v>
      </c>
      <c r="W59" s="486">
        <v>24</v>
      </c>
      <c r="X59" s="486">
        <v>29</v>
      </c>
      <c r="Y59" s="486">
        <v>33</v>
      </c>
      <c r="Z59" s="486">
        <v>0</v>
      </c>
      <c r="AA59" s="486">
        <v>0</v>
      </c>
      <c r="AB59" s="486">
        <v>0</v>
      </c>
      <c r="AC59" s="486">
        <v>0</v>
      </c>
      <c r="AD59" s="486">
        <v>0</v>
      </c>
      <c r="AE59" s="486">
        <v>0</v>
      </c>
      <c r="AF59" s="486">
        <v>0</v>
      </c>
      <c r="AG59" s="486">
        <v>0</v>
      </c>
      <c r="AH59" s="486">
        <v>0</v>
      </c>
      <c r="AI59" s="486">
        <v>0</v>
      </c>
      <c r="AJ59" s="486">
        <v>0</v>
      </c>
      <c r="AK59" s="486">
        <v>0</v>
      </c>
      <c r="AL59" s="486">
        <v>0</v>
      </c>
      <c r="AM59" s="486">
        <v>0</v>
      </c>
      <c r="AN59" s="486">
        <v>0</v>
      </c>
      <c r="AO59" s="486">
        <v>0</v>
      </c>
      <c r="AP59" s="486">
        <v>0</v>
      </c>
      <c r="AQ59" s="486">
        <v>0</v>
      </c>
      <c r="AR59" s="486">
        <v>0</v>
      </c>
      <c r="AS59" s="486">
        <v>0</v>
      </c>
      <c r="AT59" s="486">
        <v>0</v>
      </c>
      <c r="AU59" s="486">
        <v>0</v>
      </c>
      <c r="AV59" s="486">
        <v>0</v>
      </c>
      <c r="AW59" s="486">
        <v>0</v>
      </c>
      <c r="AX59" s="486">
        <v>0</v>
      </c>
      <c r="AY59" s="486">
        <v>0</v>
      </c>
      <c r="AZ59" s="486">
        <v>0</v>
      </c>
      <c r="BA59" s="486">
        <v>0</v>
      </c>
      <c r="BB59" s="486">
        <v>0</v>
      </c>
      <c r="BC59" s="486">
        <v>0</v>
      </c>
      <c r="BD59" s="486">
        <v>0</v>
      </c>
      <c r="BE59" s="486">
        <v>0</v>
      </c>
      <c r="BF59" s="486">
        <v>0</v>
      </c>
      <c r="BG59" s="486">
        <v>0</v>
      </c>
      <c r="BH59" s="486">
        <v>0</v>
      </c>
      <c r="BI59" s="486">
        <v>0</v>
      </c>
      <c r="BJ59" s="486">
        <v>0</v>
      </c>
      <c r="BK59" s="486">
        <v>0</v>
      </c>
      <c r="BL59" s="486">
        <v>0</v>
      </c>
      <c r="BM59" s="486">
        <v>0</v>
      </c>
      <c r="BN59" s="486">
        <v>0</v>
      </c>
      <c r="BO59" s="486">
        <v>0</v>
      </c>
      <c r="BP59" s="486">
        <v>0</v>
      </c>
      <c r="BQ59" s="486">
        <v>0</v>
      </c>
      <c r="BR59" s="486">
        <v>0</v>
      </c>
      <c r="BS59" s="486">
        <v>0</v>
      </c>
      <c r="BT59" s="486">
        <v>0</v>
      </c>
      <c r="BU59" s="486">
        <v>0</v>
      </c>
      <c r="BV59" s="486">
        <v>0</v>
      </c>
      <c r="BW59" s="486">
        <v>0</v>
      </c>
      <c r="BX59" s="486">
        <v>0</v>
      </c>
      <c r="BY59" s="486">
        <v>0</v>
      </c>
      <c r="BZ59" s="486">
        <v>0</v>
      </c>
      <c r="CA59" s="486">
        <v>0</v>
      </c>
      <c r="CB59" s="486">
        <v>0</v>
      </c>
      <c r="CC59" s="486">
        <v>0</v>
      </c>
      <c r="CD59" s="486">
        <v>0</v>
      </c>
      <c r="CE59" s="486">
        <v>0</v>
      </c>
      <c r="CF59" s="486">
        <v>0</v>
      </c>
      <c r="CG59" s="486">
        <v>0</v>
      </c>
      <c r="CH59" s="486">
        <v>0</v>
      </c>
      <c r="CI59" s="486">
        <v>0</v>
      </c>
      <c r="CJ59" s="486">
        <v>0</v>
      </c>
      <c r="CK59" s="486">
        <v>0</v>
      </c>
      <c r="CL59" s="486">
        <v>0</v>
      </c>
      <c r="CM59" s="486">
        <v>0</v>
      </c>
      <c r="CN59" s="486">
        <v>0</v>
      </c>
      <c r="CO59" s="486">
        <v>0</v>
      </c>
      <c r="CP59" s="486">
        <v>0</v>
      </c>
      <c r="CQ59" s="486">
        <v>0</v>
      </c>
      <c r="CR59" s="486">
        <v>0</v>
      </c>
      <c r="CS59" s="486">
        <v>0</v>
      </c>
      <c r="CT59" s="486">
        <v>0</v>
      </c>
      <c r="CU59" s="486">
        <v>0</v>
      </c>
      <c r="CV59" s="486">
        <v>0</v>
      </c>
      <c r="CW59" s="486">
        <v>0</v>
      </c>
      <c r="CX59" s="486">
        <v>0</v>
      </c>
      <c r="CY59" s="486">
        <v>0</v>
      </c>
      <c r="CZ59" s="486">
        <v>0</v>
      </c>
      <c r="DA59" s="486">
        <v>0</v>
      </c>
      <c r="DB59" s="486">
        <v>0</v>
      </c>
      <c r="DC59" s="486">
        <v>0</v>
      </c>
      <c r="DD59" s="486">
        <v>0</v>
      </c>
      <c r="DE59" s="486">
        <v>0</v>
      </c>
      <c r="DF59" s="486">
        <v>0</v>
      </c>
      <c r="DG59" s="486">
        <v>0</v>
      </c>
      <c r="DH59" s="486">
        <v>0</v>
      </c>
      <c r="DI59" s="486">
        <v>0</v>
      </c>
      <c r="DJ59" s="486">
        <v>0</v>
      </c>
      <c r="DK59" s="486">
        <v>0</v>
      </c>
      <c r="DL59" s="486">
        <v>0</v>
      </c>
      <c r="DM59" s="486">
        <v>0</v>
      </c>
      <c r="DN59" s="486">
        <v>0</v>
      </c>
      <c r="DO59" s="486">
        <v>0</v>
      </c>
      <c r="DP59" s="486">
        <v>0</v>
      </c>
      <c r="DQ59" s="486">
        <v>0</v>
      </c>
      <c r="DR59" s="486">
        <v>0</v>
      </c>
      <c r="DS59" s="486">
        <v>0</v>
      </c>
      <c r="DT59" s="486">
        <v>0</v>
      </c>
      <c r="DU59" s="486">
        <v>0</v>
      </c>
      <c r="DV59" s="486">
        <v>0</v>
      </c>
      <c r="DW59" s="486">
        <v>0</v>
      </c>
      <c r="DX59" s="477"/>
      <c r="DY59" s="484" t="s">
        <v>720</v>
      </c>
      <c r="DZ59" s="484" t="s">
        <v>617</v>
      </c>
      <c r="EA59" s="484" t="s">
        <v>26</v>
      </c>
      <c r="EB59" s="486">
        <v>24</v>
      </c>
      <c r="EC59" s="471" t="str">
        <f t="shared" si="0"/>
        <v>AIJ100224</v>
      </c>
      <c r="ED59" s="486">
        <v>10000</v>
      </c>
      <c r="EE59" s="486">
        <v>10000</v>
      </c>
      <c r="EF59" s="486">
        <v>10000</v>
      </c>
      <c r="EG59" s="486">
        <v>10000</v>
      </c>
      <c r="EH59" s="486">
        <v>10000</v>
      </c>
      <c r="EI59" s="486">
        <v>10000</v>
      </c>
      <c r="EJ59" s="486">
        <v>10000</v>
      </c>
      <c r="EK59" s="486">
        <v>10000</v>
      </c>
      <c r="EL59" s="486">
        <v>10000</v>
      </c>
      <c r="EM59" s="486">
        <v>10000</v>
      </c>
      <c r="EN59" s="486">
        <v>0</v>
      </c>
      <c r="EO59" s="486">
        <v>0</v>
      </c>
      <c r="EP59" s="486">
        <v>0</v>
      </c>
      <c r="EQ59" s="486">
        <v>0</v>
      </c>
      <c r="ER59" s="486">
        <v>0</v>
      </c>
      <c r="ES59" s="486">
        <v>0</v>
      </c>
      <c r="ET59" s="486">
        <v>0</v>
      </c>
      <c r="EU59" s="486">
        <v>0</v>
      </c>
      <c r="EV59" s="486">
        <v>0</v>
      </c>
      <c r="EW59" s="486">
        <v>0</v>
      </c>
      <c r="EX59" s="486">
        <v>0</v>
      </c>
      <c r="EY59" s="486">
        <v>0</v>
      </c>
      <c r="EZ59" s="486">
        <v>0</v>
      </c>
      <c r="FA59" s="486">
        <v>0</v>
      </c>
      <c r="FB59" s="486">
        <v>0</v>
      </c>
      <c r="FC59" s="486">
        <v>0</v>
      </c>
      <c r="FD59" s="486">
        <v>0</v>
      </c>
      <c r="FE59" s="486">
        <v>0</v>
      </c>
      <c r="FF59" s="486">
        <v>0</v>
      </c>
      <c r="FG59" s="486">
        <v>0</v>
      </c>
      <c r="FH59" s="486">
        <v>0</v>
      </c>
      <c r="FI59" s="486">
        <v>0</v>
      </c>
      <c r="FJ59" s="486">
        <v>0</v>
      </c>
      <c r="FK59" s="486">
        <v>0</v>
      </c>
      <c r="FL59" s="486">
        <v>0</v>
      </c>
      <c r="FM59" s="486">
        <v>0</v>
      </c>
      <c r="FN59" s="486">
        <v>0</v>
      </c>
      <c r="FO59" s="486">
        <v>0</v>
      </c>
      <c r="FP59" s="486">
        <v>0</v>
      </c>
      <c r="FQ59" s="486">
        <v>0</v>
      </c>
      <c r="FR59" s="486">
        <v>0</v>
      </c>
      <c r="FS59" s="486">
        <v>0</v>
      </c>
      <c r="FT59" s="486">
        <v>0</v>
      </c>
      <c r="FU59" s="486">
        <v>0</v>
      </c>
      <c r="FV59" s="486">
        <v>0</v>
      </c>
      <c r="FW59" s="486">
        <v>0</v>
      </c>
      <c r="FX59" s="486">
        <v>0</v>
      </c>
      <c r="FY59" s="486">
        <v>0</v>
      </c>
      <c r="FZ59" s="486">
        <v>0</v>
      </c>
      <c r="GA59" s="486">
        <v>0</v>
      </c>
      <c r="GB59" s="486">
        <v>0</v>
      </c>
      <c r="GC59" s="486">
        <v>0</v>
      </c>
      <c r="GD59" s="486">
        <v>0</v>
      </c>
      <c r="GE59" s="486">
        <v>0</v>
      </c>
      <c r="GF59" s="486">
        <v>0</v>
      </c>
      <c r="GG59" s="486">
        <v>0</v>
      </c>
      <c r="GH59" s="486">
        <v>0</v>
      </c>
      <c r="GI59" s="486">
        <v>0</v>
      </c>
      <c r="GJ59" s="486">
        <v>0</v>
      </c>
      <c r="GK59" s="486">
        <v>0</v>
      </c>
      <c r="GL59" s="486">
        <v>0</v>
      </c>
      <c r="GM59" s="486">
        <v>0</v>
      </c>
      <c r="GN59" s="486">
        <v>0</v>
      </c>
      <c r="GO59" s="486">
        <v>0</v>
      </c>
      <c r="GP59" s="486">
        <v>0</v>
      </c>
      <c r="GQ59" s="486">
        <v>0</v>
      </c>
      <c r="GR59" s="486">
        <v>0</v>
      </c>
      <c r="GS59" s="486">
        <v>0</v>
      </c>
      <c r="GT59" s="486">
        <v>0</v>
      </c>
      <c r="GU59" s="486">
        <v>0</v>
      </c>
      <c r="GV59" s="486">
        <v>0</v>
      </c>
      <c r="GW59" s="486">
        <v>0</v>
      </c>
      <c r="GX59" s="486">
        <v>0</v>
      </c>
      <c r="GY59" s="486">
        <v>0</v>
      </c>
      <c r="GZ59" s="486">
        <v>0</v>
      </c>
      <c r="HA59" s="486">
        <v>0</v>
      </c>
      <c r="HB59" s="486">
        <v>0</v>
      </c>
      <c r="HC59" s="486">
        <v>0</v>
      </c>
      <c r="HD59" s="486">
        <v>0</v>
      </c>
      <c r="HE59" s="486">
        <v>0</v>
      </c>
      <c r="HF59" s="486">
        <v>0</v>
      </c>
      <c r="HG59" s="486">
        <v>0</v>
      </c>
      <c r="HH59" s="486">
        <v>0</v>
      </c>
      <c r="HI59" s="486">
        <v>0</v>
      </c>
      <c r="HJ59" s="486">
        <v>0</v>
      </c>
      <c r="HK59" s="486">
        <v>0</v>
      </c>
      <c r="HL59" s="486">
        <v>0</v>
      </c>
      <c r="HM59" s="486">
        <v>0</v>
      </c>
      <c r="HN59" s="486">
        <v>0</v>
      </c>
      <c r="HO59" s="486">
        <v>0</v>
      </c>
      <c r="HP59" s="486">
        <v>0</v>
      </c>
      <c r="HQ59" s="486">
        <v>0</v>
      </c>
      <c r="HR59" s="486">
        <v>0</v>
      </c>
      <c r="HS59" s="486">
        <v>0</v>
      </c>
      <c r="HT59" s="486">
        <v>0</v>
      </c>
      <c r="HU59" s="486">
        <v>0</v>
      </c>
      <c r="HV59" s="486">
        <v>0</v>
      </c>
      <c r="HW59" s="486">
        <v>0</v>
      </c>
      <c r="HX59" s="486">
        <v>0</v>
      </c>
      <c r="HY59" s="486">
        <v>0</v>
      </c>
      <c r="HZ59" s="486">
        <v>0</v>
      </c>
      <c r="IA59" s="486">
        <v>0</v>
      </c>
      <c r="IB59" s="486">
        <v>0</v>
      </c>
      <c r="IC59" s="486">
        <v>0</v>
      </c>
      <c r="ID59" s="486">
        <v>0</v>
      </c>
      <c r="IE59" s="486">
        <v>0</v>
      </c>
      <c r="IF59" s="486">
        <v>0</v>
      </c>
      <c r="IG59" s="486">
        <v>0</v>
      </c>
      <c r="IH59" s="486">
        <v>0</v>
      </c>
      <c r="II59" s="486">
        <v>0</v>
      </c>
      <c r="IJ59" s="486">
        <v>0</v>
      </c>
    </row>
    <row r="60" spans="1:245" ht="16.5" hidden="1">
      <c r="A60" s="484" t="s">
        <v>720</v>
      </c>
      <c r="B60" s="484" t="s">
        <v>617</v>
      </c>
      <c r="C60" s="484" t="s">
        <v>721</v>
      </c>
      <c r="D60" s="485"/>
      <c r="E60" s="484" t="s">
        <v>721</v>
      </c>
      <c r="F60" s="484" t="s">
        <v>26</v>
      </c>
      <c r="G60" s="485"/>
      <c r="H60" s="486">
        <v>66</v>
      </c>
      <c r="I60" s="471" t="str">
        <f t="shared" si="1"/>
        <v>AIJ100266</v>
      </c>
      <c r="J60" s="486">
        <v>332</v>
      </c>
      <c r="L60" s="484" t="s">
        <v>720</v>
      </c>
      <c r="M60" s="484" t="s">
        <v>617</v>
      </c>
      <c r="N60" s="484" t="s">
        <v>26</v>
      </c>
      <c r="O60" s="486">
        <v>25</v>
      </c>
      <c r="P60" s="471" t="str">
        <f t="shared" si="2"/>
        <v>AIJ100225</v>
      </c>
      <c r="Q60" s="486">
        <v>0</v>
      </c>
      <c r="R60" s="486">
        <v>4</v>
      </c>
      <c r="S60" s="486">
        <v>8</v>
      </c>
      <c r="T60" s="486">
        <v>11</v>
      </c>
      <c r="U60" s="486">
        <v>15</v>
      </c>
      <c r="V60" s="486">
        <v>19</v>
      </c>
      <c r="W60" s="486">
        <v>25</v>
      </c>
      <c r="X60" s="486">
        <v>31</v>
      </c>
      <c r="Y60" s="486">
        <v>34</v>
      </c>
      <c r="Z60" s="486">
        <v>0</v>
      </c>
      <c r="AA60" s="486">
        <v>0</v>
      </c>
      <c r="AB60" s="486">
        <v>0</v>
      </c>
      <c r="AC60" s="486">
        <v>0</v>
      </c>
      <c r="AD60" s="486">
        <v>0</v>
      </c>
      <c r="AE60" s="486">
        <v>0</v>
      </c>
      <c r="AF60" s="486">
        <v>0</v>
      </c>
      <c r="AG60" s="486">
        <v>0</v>
      </c>
      <c r="AH60" s="486">
        <v>0</v>
      </c>
      <c r="AI60" s="486">
        <v>0</v>
      </c>
      <c r="AJ60" s="486">
        <v>0</v>
      </c>
      <c r="AK60" s="486">
        <v>0</v>
      </c>
      <c r="AL60" s="486">
        <v>0</v>
      </c>
      <c r="AM60" s="486">
        <v>0</v>
      </c>
      <c r="AN60" s="486">
        <v>0</v>
      </c>
      <c r="AO60" s="486">
        <v>0</v>
      </c>
      <c r="AP60" s="486">
        <v>0</v>
      </c>
      <c r="AQ60" s="486">
        <v>0</v>
      </c>
      <c r="AR60" s="486">
        <v>0</v>
      </c>
      <c r="AS60" s="486">
        <v>0</v>
      </c>
      <c r="AT60" s="486">
        <v>0</v>
      </c>
      <c r="AU60" s="486">
        <v>0</v>
      </c>
      <c r="AV60" s="486">
        <v>0</v>
      </c>
      <c r="AW60" s="486">
        <v>0</v>
      </c>
      <c r="AX60" s="486">
        <v>0</v>
      </c>
      <c r="AY60" s="486">
        <v>0</v>
      </c>
      <c r="AZ60" s="486">
        <v>0</v>
      </c>
      <c r="BA60" s="486">
        <v>0</v>
      </c>
      <c r="BB60" s="486">
        <v>0</v>
      </c>
      <c r="BC60" s="486">
        <v>0</v>
      </c>
      <c r="BD60" s="486">
        <v>0</v>
      </c>
      <c r="BE60" s="486">
        <v>0</v>
      </c>
      <c r="BF60" s="486">
        <v>0</v>
      </c>
      <c r="BG60" s="486">
        <v>0</v>
      </c>
      <c r="BH60" s="486">
        <v>0</v>
      </c>
      <c r="BI60" s="486">
        <v>0</v>
      </c>
      <c r="BJ60" s="486">
        <v>0</v>
      </c>
      <c r="BK60" s="486">
        <v>0</v>
      </c>
      <c r="BL60" s="486">
        <v>0</v>
      </c>
      <c r="BM60" s="486">
        <v>0</v>
      </c>
      <c r="BN60" s="486">
        <v>0</v>
      </c>
      <c r="BO60" s="486">
        <v>0</v>
      </c>
      <c r="BP60" s="486">
        <v>0</v>
      </c>
      <c r="BQ60" s="486">
        <v>0</v>
      </c>
      <c r="BR60" s="486">
        <v>0</v>
      </c>
      <c r="BS60" s="486">
        <v>0</v>
      </c>
      <c r="BT60" s="486">
        <v>0</v>
      </c>
      <c r="BU60" s="486">
        <v>0</v>
      </c>
      <c r="BV60" s="486">
        <v>0</v>
      </c>
      <c r="BW60" s="486">
        <v>0</v>
      </c>
      <c r="BX60" s="486">
        <v>0</v>
      </c>
      <c r="BY60" s="486">
        <v>0</v>
      </c>
      <c r="BZ60" s="486">
        <v>0</v>
      </c>
      <c r="CA60" s="486">
        <v>0</v>
      </c>
      <c r="CB60" s="486">
        <v>0</v>
      </c>
      <c r="CC60" s="486">
        <v>0</v>
      </c>
      <c r="CD60" s="486">
        <v>0</v>
      </c>
      <c r="CE60" s="486">
        <v>0</v>
      </c>
      <c r="CF60" s="486">
        <v>0</v>
      </c>
      <c r="CG60" s="486">
        <v>0</v>
      </c>
      <c r="CH60" s="486">
        <v>0</v>
      </c>
      <c r="CI60" s="486">
        <v>0</v>
      </c>
      <c r="CJ60" s="486">
        <v>0</v>
      </c>
      <c r="CK60" s="486">
        <v>0</v>
      </c>
      <c r="CL60" s="486">
        <v>0</v>
      </c>
      <c r="CM60" s="486">
        <v>0</v>
      </c>
      <c r="CN60" s="486">
        <v>0</v>
      </c>
      <c r="CO60" s="486">
        <v>0</v>
      </c>
      <c r="CP60" s="486">
        <v>0</v>
      </c>
      <c r="CQ60" s="486">
        <v>0</v>
      </c>
      <c r="CR60" s="486">
        <v>0</v>
      </c>
      <c r="CS60" s="486">
        <v>0</v>
      </c>
      <c r="CT60" s="486">
        <v>0</v>
      </c>
      <c r="CU60" s="486">
        <v>0</v>
      </c>
      <c r="CV60" s="486">
        <v>0</v>
      </c>
      <c r="CW60" s="486">
        <v>0</v>
      </c>
      <c r="CX60" s="486">
        <v>0</v>
      </c>
      <c r="CY60" s="486">
        <v>0</v>
      </c>
      <c r="CZ60" s="486">
        <v>0</v>
      </c>
      <c r="DA60" s="486">
        <v>0</v>
      </c>
      <c r="DB60" s="486">
        <v>0</v>
      </c>
      <c r="DC60" s="486">
        <v>0</v>
      </c>
      <c r="DD60" s="486">
        <v>0</v>
      </c>
      <c r="DE60" s="486">
        <v>0</v>
      </c>
      <c r="DF60" s="486">
        <v>0</v>
      </c>
      <c r="DG60" s="486">
        <v>0</v>
      </c>
      <c r="DH60" s="486">
        <v>0</v>
      </c>
      <c r="DI60" s="486">
        <v>0</v>
      </c>
      <c r="DJ60" s="486">
        <v>0</v>
      </c>
      <c r="DK60" s="486">
        <v>0</v>
      </c>
      <c r="DL60" s="486">
        <v>0</v>
      </c>
      <c r="DM60" s="486">
        <v>0</v>
      </c>
      <c r="DN60" s="486">
        <v>0</v>
      </c>
      <c r="DO60" s="486">
        <v>0</v>
      </c>
      <c r="DP60" s="486">
        <v>0</v>
      </c>
      <c r="DQ60" s="486">
        <v>0</v>
      </c>
      <c r="DR60" s="486">
        <v>0</v>
      </c>
      <c r="DS60" s="486">
        <v>0</v>
      </c>
      <c r="DT60" s="486">
        <v>0</v>
      </c>
      <c r="DU60" s="486">
        <v>0</v>
      </c>
      <c r="DV60" s="486">
        <v>0</v>
      </c>
      <c r="DW60" s="486">
        <v>0</v>
      </c>
      <c r="DX60" s="477"/>
      <c r="DY60" s="484" t="s">
        <v>720</v>
      </c>
      <c r="DZ60" s="484" t="s">
        <v>617</v>
      </c>
      <c r="EA60" s="484" t="s">
        <v>26</v>
      </c>
      <c r="EB60" s="486">
        <v>25</v>
      </c>
      <c r="EC60" s="471" t="str">
        <f t="shared" si="0"/>
        <v>AIJ100225</v>
      </c>
      <c r="ED60" s="486">
        <v>10000</v>
      </c>
      <c r="EE60" s="486">
        <v>10000</v>
      </c>
      <c r="EF60" s="486">
        <v>10000</v>
      </c>
      <c r="EG60" s="486">
        <v>10000</v>
      </c>
      <c r="EH60" s="486">
        <v>10000</v>
      </c>
      <c r="EI60" s="486">
        <v>10000</v>
      </c>
      <c r="EJ60" s="486">
        <v>10000</v>
      </c>
      <c r="EK60" s="486">
        <v>10000</v>
      </c>
      <c r="EL60" s="486">
        <v>10000</v>
      </c>
      <c r="EM60" s="486">
        <v>10000</v>
      </c>
      <c r="EN60" s="486">
        <v>0</v>
      </c>
      <c r="EO60" s="486">
        <v>0</v>
      </c>
      <c r="EP60" s="486">
        <v>0</v>
      </c>
      <c r="EQ60" s="486">
        <v>0</v>
      </c>
      <c r="ER60" s="486">
        <v>0</v>
      </c>
      <c r="ES60" s="486">
        <v>0</v>
      </c>
      <c r="ET60" s="486">
        <v>0</v>
      </c>
      <c r="EU60" s="486">
        <v>0</v>
      </c>
      <c r="EV60" s="486">
        <v>0</v>
      </c>
      <c r="EW60" s="486">
        <v>0</v>
      </c>
      <c r="EX60" s="486">
        <v>0</v>
      </c>
      <c r="EY60" s="486">
        <v>0</v>
      </c>
      <c r="EZ60" s="486">
        <v>0</v>
      </c>
      <c r="FA60" s="486">
        <v>0</v>
      </c>
      <c r="FB60" s="486">
        <v>0</v>
      </c>
      <c r="FC60" s="486">
        <v>0</v>
      </c>
      <c r="FD60" s="486">
        <v>0</v>
      </c>
      <c r="FE60" s="486">
        <v>0</v>
      </c>
      <c r="FF60" s="486">
        <v>0</v>
      </c>
      <c r="FG60" s="486">
        <v>0</v>
      </c>
      <c r="FH60" s="486">
        <v>0</v>
      </c>
      <c r="FI60" s="486">
        <v>0</v>
      </c>
      <c r="FJ60" s="486">
        <v>0</v>
      </c>
      <c r="FK60" s="486">
        <v>0</v>
      </c>
      <c r="FL60" s="486">
        <v>0</v>
      </c>
      <c r="FM60" s="486">
        <v>0</v>
      </c>
      <c r="FN60" s="486">
        <v>0</v>
      </c>
      <c r="FO60" s="486">
        <v>0</v>
      </c>
      <c r="FP60" s="486">
        <v>0</v>
      </c>
      <c r="FQ60" s="486">
        <v>0</v>
      </c>
      <c r="FR60" s="486">
        <v>0</v>
      </c>
      <c r="FS60" s="486">
        <v>0</v>
      </c>
      <c r="FT60" s="486">
        <v>0</v>
      </c>
      <c r="FU60" s="486">
        <v>0</v>
      </c>
      <c r="FV60" s="486">
        <v>0</v>
      </c>
      <c r="FW60" s="486">
        <v>0</v>
      </c>
      <c r="FX60" s="486">
        <v>0</v>
      </c>
      <c r="FY60" s="486">
        <v>0</v>
      </c>
      <c r="FZ60" s="486">
        <v>0</v>
      </c>
      <c r="GA60" s="486">
        <v>0</v>
      </c>
      <c r="GB60" s="486">
        <v>0</v>
      </c>
      <c r="GC60" s="486">
        <v>0</v>
      </c>
      <c r="GD60" s="486">
        <v>0</v>
      </c>
      <c r="GE60" s="486">
        <v>0</v>
      </c>
      <c r="GF60" s="486">
        <v>0</v>
      </c>
      <c r="GG60" s="486">
        <v>0</v>
      </c>
      <c r="GH60" s="486">
        <v>0</v>
      </c>
      <c r="GI60" s="486">
        <v>0</v>
      </c>
      <c r="GJ60" s="486">
        <v>0</v>
      </c>
      <c r="GK60" s="486">
        <v>0</v>
      </c>
      <c r="GL60" s="486">
        <v>0</v>
      </c>
      <c r="GM60" s="486">
        <v>0</v>
      </c>
      <c r="GN60" s="486">
        <v>0</v>
      </c>
      <c r="GO60" s="486">
        <v>0</v>
      </c>
      <c r="GP60" s="486">
        <v>0</v>
      </c>
      <c r="GQ60" s="486">
        <v>0</v>
      </c>
      <c r="GR60" s="486">
        <v>0</v>
      </c>
      <c r="GS60" s="486">
        <v>0</v>
      </c>
      <c r="GT60" s="486">
        <v>0</v>
      </c>
      <c r="GU60" s="486">
        <v>0</v>
      </c>
      <c r="GV60" s="486">
        <v>0</v>
      </c>
      <c r="GW60" s="486">
        <v>0</v>
      </c>
      <c r="GX60" s="486">
        <v>0</v>
      </c>
      <c r="GY60" s="486">
        <v>0</v>
      </c>
      <c r="GZ60" s="486">
        <v>0</v>
      </c>
      <c r="HA60" s="486">
        <v>0</v>
      </c>
      <c r="HB60" s="486">
        <v>0</v>
      </c>
      <c r="HC60" s="486">
        <v>0</v>
      </c>
      <c r="HD60" s="486">
        <v>0</v>
      </c>
      <c r="HE60" s="486">
        <v>0</v>
      </c>
      <c r="HF60" s="486">
        <v>0</v>
      </c>
      <c r="HG60" s="486">
        <v>0</v>
      </c>
      <c r="HH60" s="486">
        <v>0</v>
      </c>
      <c r="HI60" s="486">
        <v>0</v>
      </c>
      <c r="HJ60" s="486">
        <v>0</v>
      </c>
      <c r="HK60" s="486">
        <v>0</v>
      </c>
      <c r="HL60" s="486">
        <v>0</v>
      </c>
      <c r="HM60" s="486">
        <v>0</v>
      </c>
      <c r="HN60" s="486">
        <v>0</v>
      </c>
      <c r="HO60" s="486">
        <v>0</v>
      </c>
      <c r="HP60" s="486">
        <v>0</v>
      </c>
      <c r="HQ60" s="486">
        <v>0</v>
      </c>
      <c r="HR60" s="486">
        <v>0</v>
      </c>
      <c r="HS60" s="486">
        <v>0</v>
      </c>
      <c r="HT60" s="486">
        <v>0</v>
      </c>
      <c r="HU60" s="486">
        <v>0</v>
      </c>
      <c r="HV60" s="486">
        <v>0</v>
      </c>
      <c r="HW60" s="486">
        <v>0</v>
      </c>
      <c r="HX60" s="486">
        <v>0</v>
      </c>
      <c r="HY60" s="486">
        <v>0</v>
      </c>
      <c r="HZ60" s="486">
        <v>0</v>
      </c>
      <c r="IA60" s="486">
        <v>0</v>
      </c>
      <c r="IB60" s="486">
        <v>0</v>
      </c>
      <c r="IC60" s="486">
        <v>0</v>
      </c>
      <c r="ID60" s="486">
        <v>0</v>
      </c>
      <c r="IE60" s="486">
        <v>0</v>
      </c>
      <c r="IF60" s="486">
        <v>0</v>
      </c>
      <c r="IG60" s="486">
        <v>0</v>
      </c>
      <c r="IH60" s="486">
        <v>0</v>
      </c>
      <c r="II60" s="486">
        <v>0</v>
      </c>
      <c r="IJ60" s="486">
        <v>0</v>
      </c>
    </row>
    <row r="61" spans="1:245" ht="16.5" hidden="1">
      <c r="A61" s="484" t="s">
        <v>720</v>
      </c>
      <c r="B61" s="484" t="s">
        <v>617</v>
      </c>
      <c r="C61" s="484" t="s">
        <v>721</v>
      </c>
      <c r="D61" s="485"/>
      <c r="E61" s="484" t="s">
        <v>721</v>
      </c>
      <c r="F61" s="484" t="s">
        <v>26</v>
      </c>
      <c r="G61" s="485"/>
      <c r="H61" s="486">
        <v>67</v>
      </c>
      <c r="I61" s="471" t="str">
        <f t="shared" si="1"/>
        <v>AIJ100267</v>
      </c>
      <c r="J61" s="486">
        <v>362</v>
      </c>
      <c r="L61" s="484" t="s">
        <v>720</v>
      </c>
      <c r="M61" s="484" t="s">
        <v>617</v>
      </c>
      <c r="N61" s="484" t="s">
        <v>26</v>
      </c>
      <c r="O61" s="486">
        <v>26</v>
      </c>
      <c r="P61" s="471" t="str">
        <f t="shared" si="2"/>
        <v>AIJ100226</v>
      </c>
      <c r="Q61" s="486">
        <v>0</v>
      </c>
      <c r="R61" s="486">
        <v>4</v>
      </c>
      <c r="S61" s="486">
        <v>8</v>
      </c>
      <c r="T61" s="486">
        <v>11</v>
      </c>
      <c r="U61" s="486">
        <v>16</v>
      </c>
      <c r="V61" s="486">
        <v>20</v>
      </c>
      <c r="W61" s="486">
        <v>26</v>
      </c>
      <c r="X61" s="486">
        <v>32</v>
      </c>
      <c r="Y61" s="486">
        <v>35</v>
      </c>
      <c r="Z61" s="486">
        <v>0</v>
      </c>
      <c r="AA61" s="486">
        <v>0</v>
      </c>
      <c r="AB61" s="486">
        <v>0</v>
      </c>
      <c r="AC61" s="486">
        <v>0</v>
      </c>
      <c r="AD61" s="486">
        <v>0</v>
      </c>
      <c r="AE61" s="486">
        <v>0</v>
      </c>
      <c r="AF61" s="486">
        <v>0</v>
      </c>
      <c r="AG61" s="486">
        <v>0</v>
      </c>
      <c r="AH61" s="486">
        <v>0</v>
      </c>
      <c r="AI61" s="486">
        <v>0</v>
      </c>
      <c r="AJ61" s="486">
        <v>0</v>
      </c>
      <c r="AK61" s="486">
        <v>0</v>
      </c>
      <c r="AL61" s="486">
        <v>0</v>
      </c>
      <c r="AM61" s="486">
        <v>0</v>
      </c>
      <c r="AN61" s="486">
        <v>0</v>
      </c>
      <c r="AO61" s="486">
        <v>0</v>
      </c>
      <c r="AP61" s="486">
        <v>0</v>
      </c>
      <c r="AQ61" s="486">
        <v>0</v>
      </c>
      <c r="AR61" s="486">
        <v>0</v>
      </c>
      <c r="AS61" s="486">
        <v>0</v>
      </c>
      <c r="AT61" s="486">
        <v>0</v>
      </c>
      <c r="AU61" s="486">
        <v>0</v>
      </c>
      <c r="AV61" s="486">
        <v>0</v>
      </c>
      <c r="AW61" s="486">
        <v>0</v>
      </c>
      <c r="AX61" s="486">
        <v>0</v>
      </c>
      <c r="AY61" s="486">
        <v>0</v>
      </c>
      <c r="AZ61" s="486">
        <v>0</v>
      </c>
      <c r="BA61" s="486">
        <v>0</v>
      </c>
      <c r="BB61" s="486">
        <v>0</v>
      </c>
      <c r="BC61" s="486">
        <v>0</v>
      </c>
      <c r="BD61" s="486">
        <v>0</v>
      </c>
      <c r="BE61" s="486">
        <v>0</v>
      </c>
      <c r="BF61" s="486">
        <v>0</v>
      </c>
      <c r="BG61" s="486">
        <v>0</v>
      </c>
      <c r="BH61" s="486">
        <v>0</v>
      </c>
      <c r="BI61" s="486">
        <v>0</v>
      </c>
      <c r="BJ61" s="486">
        <v>0</v>
      </c>
      <c r="BK61" s="486">
        <v>0</v>
      </c>
      <c r="BL61" s="486">
        <v>0</v>
      </c>
      <c r="BM61" s="486">
        <v>0</v>
      </c>
      <c r="BN61" s="486">
        <v>0</v>
      </c>
      <c r="BO61" s="486">
        <v>0</v>
      </c>
      <c r="BP61" s="486">
        <v>0</v>
      </c>
      <c r="BQ61" s="486">
        <v>0</v>
      </c>
      <c r="BR61" s="486">
        <v>0</v>
      </c>
      <c r="BS61" s="486">
        <v>0</v>
      </c>
      <c r="BT61" s="486">
        <v>0</v>
      </c>
      <c r="BU61" s="486">
        <v>0</v>
      </c>
      <c r="BV61" s="486">
        <v>0</v>
      </c>
      <c r="BW61" s="486">
        <v>0</v>
      </c>
      <c r="BX61" s="486">
        <v>0</v>
      </c>
      <c r="BY61" s="486">
        <v>0</v>
      </c>
      <c r="BZ61" s="486">
        <v>0</v>
      </c>
      <c r="CA61" s="486">
        <v>0</v>
      </c>
      <c r="CB61" s="486">
        <v>0</v>
      </c>
      <c r="CC61" s="486">
        <v>0</v>
      </c>
      <c r="CD61" s="486">
        <v>0</v>
      </c>
      <c r="CE61" s="486">
        <v>0</v>
      </c>
      <c r="CF61" s="486">
        <v>0</v>
      </c>
      <c r="CG61" s="486">
        <v>0</v>
      </c>
      <c r="CH61" s="486">
        <v>0</v>
      </c>
      <c r="CI61" s="486">
        <v>0</v>
      </c>
      <c r="CJ61" s="486">
        <v>0</v>
      </c>
      <c r="CK61" s="486">
        <v>0</v>
      </c>
      <c r="CL61" s="486">
        <v>0</v>
      </c>
      <c r="CM61" s="486">
        <v>0</v>
      </c>
      <c r="CN61" s="486">
        <v>0</v>
      </c>
      <c r="CO61" s="486">
        <v>0</v>
      </c>
      <c r="CP61" s="486">
        <v>0</v>
      </c>
      <c r="CQ61" s="486">
        <v>0</v>
      </c>
      <c r="CR61" s="486">
        <v>0</v>
      </c>
      <c r="CS61" s="486">
        <v>0</v>
      </c>
      <c r="CT61" s="486">
        <v>0</v>
      </c>
      <c r="CU61" s="486">
        <v>0</v>
      </c>
      <c r="CV61" s="486">
        <v>0</v>
      </c>
      <c r="CW61" s="486">
        <v>0</v>
      </c>
      <c r="CX61" s="486">
        <v>0</v>
      </c>
      <c r="CY61" s="486">
        <v>0</v>
      </c>
      <c r="CZ61" s="486">
        <v>0</v>
      </c>
      <c r="DA61" s="486">
        <v>0</v>
      </c>
      <c r="DB61" s="486">
        <v>0</v>
      </c>
      <c r="DC61" s="486">
        <v>0</v>
      </c>
      <c r="DD61" s="486">
        <v>0</v>
      </c>
      <c r="DE61" s="486">
        <v>0</v>
      </c>
      <c r="DF61" s="486">
        <v>0</v>
      </c>
      <c r="DG61" s="486">
        <v>0</v>
      </c>
      <c r="DH61" s="486">
        <v>0</v>
      </c>
      <c r="DI61" s="486">
        <v>0</v>
      </c>
      <c r="DJ61" s="486">
        <v>0</v>
      </c>
      <c r="DK61" s="486">
        <v>0</v>
      </c>
      <c r="DL61" s="486">
        <v>0</v>
      </c>
      <c r="DM61" s="486">
        <v>0</v>
      </c>
      <c r="DN61" s="486">
        <v>0</v>
      </c>
      <c r="DO61" s="486">
        <v>0</v>
      </c>
      <c r="DP61" s="486">
        <v>0</v>
      </c>
      <c r="DQ61" s="486">
        <v>0</v>
      </c>
      <c r="DR61" s="486">
        <v>0</v>
      </c>
      <c r="DS61" s="486">
        <v>0</v>
      </c>
      <c r="DT61" s="486">
        <v>0</v>
      </c>
      <c r="DU61" s="486">
        <v>0</v>
      </c>
      <c r="DV61" s="486">
        <v>0</v>
      </c>
      <c r="DW61" s="486">
        <v>0</v>
      </c>
      <c r="DX61" s="477"/>
      <c r="DY61" s="484" t="s">
        <v>720</v>
      </c>
      <c r="DZ61" s="484" t="s">
        <v>617</v>
      </c>
      <c r="EA61" s="484" t="s">
        <v>26</v>
      </c>
      <c r="EB61" s="486">
        <v>26</v>
      </c>
      <c r="EC61" s="471" t="str">
        <f t="shared" si="0"/>
        <v>AIJ100226</v>
      </c>
      <c r="ED61" s="486">
        <v>10000</v>
      </c>
      <c r="EE61" s="486">
        <v>10000</v>
      </c>
      <c r="EF61" s="486">
        <v>10000</v>
      </c>
      <c r="EG61" s="486">
        <v>10000</v>
      </c>
      <c r="EH61" s="486">
        <v>10000</v>
      </c>
      <c r="EI61" s="486">
        <v>10000</v>
      </c>
      <c r="EJ61" s="486">
        <v>10000</v>
      </c>
      <c r="EK61" s="486">
        <v>10000</v>
      </c>
      <c r="EL61" s="486">
        <v>10000</v>
      </c>
      <c r="EM61" s="486">
        <v>10000</v>
      </c>
      <c r="EN61" s="486">
        <v>0</v>
      </c>
      <c r="EO61" s="486">
        <v>0</v>
      </c>
      <c r="EP61" s="486">
        <v>0</v>
      </c>
      <c r="EQ61" s="486">
        <v>0</v>
      </c>
      <c r="ER61" s="486">
        <v>0</v>
      </c>
      <c r="ES61" s="486">
        <v>0</v>
      </c>
      <c r="ET61" s="486">
        <v>0</v>
      </c>
      <c r="EU61" s="486">
        <v>0</v>
      </c>
      <c r="EV61" s="486">
        <v>0</v>
      </c>
      <c r="EW61" s="486">
        <v>0</v>
      </c>
      <c r="EX61" s="486">
        <v>0</v>
      </c>
      <c r="EY61" s="486">
        <v>0</v>
      </c>
      <c r="EZ61" s="486">
        <v>0</v>
      </c>
      <c r="FA61" s="486">
        <v>0</v>
      </c>
      <c r="FB61" s="486">
        <v>0</v>
      </c>
      <c r="FC61" s="486">
        <v>0</v>
      </c>
      <c r="FD61" s="486">
        <v>0</v>
      </c>
      <c r="FE61" s="486">
        <v>0</v>
      </c>
      <c r="FF61" s="486">
        <v>0</v>
      </c>
      <c r="FG61" s="486">
        <v>0</v>
      </c>
      <c r="FH61" s="486">
        <v>0</v>
      </c>
      <c r="FI61" s="486">
        <v>0</v>
      </c>
      <c r="FJ61" s="486">
        <v>0</v>
      </c>
      <c r="FK61" s="486">
        <v>0</v>
      </c>
      <c r="FL61" s="486">
        <v>0</v>
      </c>
      <c r="FM61" s="486">
        <v>0</v>
      </c>
      <c r="FN61" s="486">
        <v>0</v>
      </c>
      <c r="FO61" s="486">
        <v>0</v>
      </c>
      <c r="FP61" s="486">
        <v>0</v>
      </c>
      <c r="FQ61" s="486">
        <v>0</v>
      </c>
      <c r="FR61" s="486">
        <v>0</v>
      </c>
      <c r="FS61" s="486">
        <v>0</v>
      </c>
      <c r="FT61" s="486">
        <v>0</v>
      </c>
      <c r="FU61" s="486">
        <v>0</v>
      </c>
      <c r="FV61" s="486">
        <v>0</v>
      </c>
      <c r="FW61" s="486">
        <v>0</v>
      </c>
      <c r="FX61" s="486">
        <v>0</v>
      </c>
      <c r="FY61" s="486">
        <v>0</v>
      </c>
      <c r="FZ61" s="486">
        <v>0</v>
      </c>
      <c r="GA61" s="486">
        <v>0</v>
      </c>
      <c r="GB61" s="486">
        <v>0</v>
      </c>
      <c r="GC61" s="486">
        <v>0</v>
      </c>
      <c r="GD61" s="486">
        <v>0</v>
      </c>
      <c r="GE61" s="486">
        <v>0</v>
      </c>
      <c r="GF61" s="486">
        <v>0</v>
      </c>
      <c r="GG61" s="486">
        <v>0</v>
      </c>
      <c r="GH61" s="486">
        <v>0</v>
      </c>
      <c r="GI61" s="486">
        <v>0</v>
      </c>
      <c r="GJ61" s="486">
        <v>0</v>
      </c>
      <c r="GK61" s="486">
        <v>0</v>
      </c>
      <c r="GL61" s="486">
        <v>0</v>
      </c>
      <c r="GM61" s="486">
        <v>0</v>
      </c>
      <c r="GN61" s="486">
        <v>0</v>
      </c>
      <c r="GO61" s="486">
        <v>0</v>
      </c>
      <c r="GP61" s="486">
        <v>0</v>
      </c>
      <c r="GQ61" s="486">
        <v>0</v>
      </c>
      <c r="GR61" s="486">
        <v>0</v>
      </c>
      <c r="GS61" s="486">
        <v>0</v>
      </c>
      <c r="GT61" s="486">
        <v>0</v>
      </c>
      <c r="GU61" s="486">
        <v>0</v>
      </c>
      <c r="GV61" s="486">
        <v>0</v>
      </c>
      <c r="GW61" s="486">
        <v>0</v>
      </c>
      <c r="GX61" s="486">
        <v>0</v>
      </c>
      <c r="GY61" s="486">
        <v>0</v>
      </c>
      <c r="GZ61" s="486">
        <v>0</v>
      </c>
      <c r="HA61" s="486">
        <v>0</v>
      </c>
      <c r="HB61" s="486">
        <v>0</v>
      </c>
      <c r="HC61" s="486">
        <v>0</v>
      </c>
      <c r="HD61" s="486">
        <v>0</v>
      </c>
      <c r="HE61" s="486">
        <v>0</v>
      </c>
      <c r="HF61" s="486">
        <v>0</v>
      </c>
      <c r="HG61" s="486">
        <v>0</v>
      </c>
      <c r="HH61" s="486">
        <v>0</v>
      </c>
      <c r="HI61" s="486">
        <v>0</v>
      </c>
      <c r="HJ61" s="486">
        <v>0</v>
      </c>
      <c r="HK61" s="486">
        <v>0</v>
      </c>
      <c r="HL61" s="486">
        <v>0</v>
      </c>
      <c r="HM61" s="486">
        <v>0</v>
      </c>
      <c r="HN61" s="486">
        <v>0</v>
      </c>
      <c r="HO61" s="486">
        <v>0</v>
      </c>
      <c r="HP61" s="486">
        <v>0</v>
      </c>
      <c r="HQ61" s="486">
        <v>0</v>
      </c>
      <c r="HR61" s="486">
        <v>0</v>
      </c>
      <c r="HS61" s="486">
        <v>0</v>
      </c>
      <c r="HT61" s="486">
        <v>0</v>
      </c>
      <c r="HU61" s="486">
        <v>0</v>
      </c>
      <c r="HV61" s="486">
        <v>0</v>
      </c>
      <c r="HW61" s="486">
        <v>0</v>
      </c>
      <c r="HX61" s="486">
        <v>0</v>
      </c>
      <c r="HY61" s="486">
        <v>0</v>
      </c>
      <c r="HZ61" s="486">
        <v>0</v>
      </c>
      <c r="IA61" s="486">
        <v>0</v>
      </c>
      <c r="IB61" s="486">
        <v>0</v>
      </c>
      <c r="IC61" s="486">
        <v>0</v>
      </c>
      <c r="ID61" s="486">
        <v>0</v>
      </c>
      <c r="IE61" s="486">
        <v>0</v>
      </c>
      <c r="IF61" s="486">
        <v>0</v>
      </c>
      <c r="IG61" s="486">
        <v>0</v>
      </c>
      <c r="IH61" s="486">
        <v>0</v>
      </c>
      <c r="II61" s="486">
        <v>0</v>
      </c>
      <c r="IJ61" s="486">
        <v>0</v>
      </c>
    </row>
    <row r="62" spans="1:245" ht="16.5" hidden="1">
      <c r="A62" s="484" t="s">
        <v>720</v>
      </c>
      <c r="B62" s="484" t="s">
        <v>617</v>
      </c>
      <c r="C62" s="484" t="s">
        <v>721</v>
      </c>
      <c r="D62" s="485"/>
      <c r="E62" s="484" t="s">
        <v>721</v>
      </c>
      <c r="F62" s="484" t="s">
        <v>26</v>
      </c>
      <c r="G62" s="485"/>
      <c r="H62" s="486">
        <v>68</v>
      </c>
      <c r="I62" s="471" t="str">
        <f t="shared" si="1"/>
        <v>AIJ100268</v>
      </c>
      <c r="J62" s="486">
        <v>395</v>
      </c>
      <c r="L62" s="484" t="s">
        <v>720</v>
      </c>
      <c r="M62" s="484" t="s">
        <v>617</v>
      </c>
      <c r="N62" s="484" t="s">
        <v>26</v>
      </c>
      <c r="O62" s="486">
        <v>27</v>
      </c>
      <c r="P62" s="471" t="str">
        <f t="shared" si="2"/>
        <v>AIJ100227</v>
      </c>
      <c r="Q62" s="486">
        <v>0</v>
      </c>
      <c r="R62" s="486">
        <v>4</v>
      </c>
      <c r="S62" s="486">
        <v>8</v>
      </c>
      <c r="T62" s="486">
        <v>12</v>
      </c>
      <c r="U62" s="486">
        <v>17</v>
      </c>
      <c r="V62" s="486">
        <v>21</v>
      </c>
      <c r="W62" s="486">
        <v>26</v>
      </c>
      <c r="X62" s="486">
        <v>32</v>
      </c>
      <c r="Y62" s="486">
        <v>35</v>
      </c>
      <c r="Z62" s="486">
        <v>0</v>
      </c>
      <c r="AA62" s="486">
        <v>0</v>
      </c>
      <c r="AB62" s="486">
        <v>0</v>
      </c>
      <c r="AC62" s="486">
        <v>0</v>
      </c>
      <c r="AD62" s="486">
        <v>0</v>
      </c>
      <c r="AE62" s="486">
        <v>0</v>
      </c>
      <c r="AF62" s="486">
        <v>0</v>
      </c>
      <c r="AG62" s="486">
        <v>0</v>
      </c>
      <c r="AH62" s="486">
        <v>0</v>
      </c>
      <c r="AI62" s="486">
        <v>0</v>
      </c>
      <c r="AJ62" s="486">
        <v>0</v>
      </c>
      <c r="AK62" s="486">
        <v>0</v>
      </c>
      <c r="AL62" s="486">
        <v>0</v>
      </c>
      <c r="AM62" s="486">
        <v>0</v>
      </c>
      <c r="AN62" s="486">
        <v>0</v>
      </c>
      <c r="AO62" s="486">
        <v>0</v>
      </c>
      <c r="AP62" s="486">
        <v>0</v>
      </c>
      <c r="AQ62" s="486">
        <v>0</v>
      </c>
      <c r="AR62" s="486">
        <v>0</v>
      </c>
      <c r="AS62" s="486">
        <v>0</v>
      </c>
      <c r="AT62" s="486">
        <v>0</v>
      </c>
      <c r="AU62" s="486">
        <v>0</v>
      </c>
      <c r="AV62" s="486">
        <v>0</v>
      </c>
      <c r="AW62" s="486">
        <v>0</v>
      </c>
      <c r="AX62" s="486">
        <v>0</v>
      </c>
      <c r="AY62" s="486">
        <v>0</v>
      </c>
      <c r="AZ62" s="486">
        <v>0</v>
      </c>
      <c r="BA62" s="486">
        <v>0</v>
      </c>
      <c r="BB62" s="486">
        <v>0</v>
      </c>
      <c r="BC62" s="486">
        <v>0</v>
      </c>
      <c r="BD62" s="486">
        <v>0</v>
      </c>
      <c r="BE62" s="486">
        <v>0</v>
      </c>
      <c r="BF62" s="486">
        <v>0</v>
      </c>
      <c r="BG62" s="486">
        <v>0</v>
      </c>
      <c r="BH62" s="486">
        <v>0</v>
      </c>
      <c r="BI62" s="486">
        <v>0</v>
      </c>
      <c r="BJ62" s="486">
        <v>0</v>
      </c>
      <c r="BK62" s="486">
        <v>0</v>
      </c>
      <c r="BL62" s="486">
        <v>0</v>
      </c>
      <c r="BM62" s="486">
        <v>0</v>
      </c>
      <c r="BN62" s="486">
        <v>0</v>
      </c>
      <c r="BO62" s="486">
        <v>0</v>
      </c>
      <c r="BP62" s="486">
        <v>0</v>
      </c>
      <c r="BQ62" s="486">
        <v>0</v>
      </c>
      <c r="BR62" s="486">
        <v>0</v>
      </c>
      <c r="BS62" s="486">
        <v>0</v>
      </c>
      <c r="BT62" s="486">
        <v>0</v>
      </c>
      <c r="BU62" s="486">
        <v>0</v>
      </c>
      <c r="BV62" s="486">
        <v>0</v>
      </c>
      <c r="BW62" s="486">
        <v>0</v>
      </c>
      <c r="BX62" s="486">
        <v>0</v>
      </c>
      <c r="BY62" s="486">
        <v>0</v>
      </c>
      <c r="BZ62" s="486">
        <v>0</v>
      </c>
      <c r="CA62" s="486">
        <v>0</v>
      </c>
      <c r="CB62" s="486">
        <v>0</v>
      </c>
      <c r="CC62" s="486">
        <v>0</v>
      </c>
      <c r="CD62" s="486">
        <v>0</v>
      </c>
      <c r="CE62" s="486">
        <v>0</v>
      </c>
      <c r="CF62" s="486">
        <v>0</v>
      </c>
      <c r="CG62" s="486">
        <v>0</v>
      </c>
      <c r="CH62" s="486">
        <v>0</v>
      </c>
      <c r="CI62" s="486">
        <v>0</v>
      </c>
      <c r="CJ62" s="486">
        <v>0</v>
      </c>
      <c r="CK62" s="486">
        <v>0</v>
      </c>
      <c r="CL62" s="486">
        <v>0</v>
      </c>
      <c r="CM62" s="486">
        <v>0</v>
      </c>
      <c r="CN62" s="486">
        <v>0</v>
      </c>
      <c r="CO62" s="486">
        <v>0</v>
      </c>
      <c r="CP62" s="486">
        <v>0</v>
      </c>
      <c r="CQ62" s="486">
        <v>0</v>
      </c>
      <c r="CR62" s="486">
        <v>0</v>
      </c>
      <c r="CS62" s="486">
        <v>0</v>
      </c>
      <c r="CT62" s="486">
        <v>0</v>
      </c>
      <c r="CU62" s="486">
        <v>0</v>
      </c>
      <c r="CV62" s="486">
        <v>0</v>
      </c>
      <c r="CW62" s="486">
        <v>0</v>
      </c>
      <c r="CX62" s="486">
        <v>0</v>
      </c>
      <c r="CY62" s="486">
        <v>0</v>
      </c>
      <c r="CZ62" s="486">
        <v>0</v>
      </c>
      <c r="DA62" s="486">
        <v>0</v>
      </c>
      <c r="DB62" s="486">
        <v>0</v>
      </c>
      <c r="DC62" s="486">
        <v>0</v>
      </c>
      <c r="DD62" s="486">
        <v>0</v>
      </c>
      <c r="DE62" s="486">
        <v>0</v>
      </c>
      <c r="DF62" s="486">
        <v>0</v>
      </c>
      <c r="DG62" s="486">
        <v>0</v>
      </c>
      <c r="DH62" s="486">
        <v>0</v>
      </c>
      <c r="DI62" s="486">
        <v>0</v>
      </c>
      <c r="DJ62" s="486">
        <v>0</v>
      </c>
      <c r="DK62" s="486">
        <v>0</v>
      </c>
      <c r="DL62" s="486">
        <v>0</v>
      </c>
      <c r="DM62" s="486">
        <v>0</v>
      </c>
      <c r="DN62" s="486">
        <v>0</v>
      </c>
      <c r="DO62" s="486">
        <v>0</v>
      </c>
      <c r="DP62" s="486">
        <v>0</v>
      </c>
      <c r="DQ62" s="486">
        <v>0</v>
      </c>
      <c r="DR62" s="486">
        <v>0</v>
      </c>
      <c r="DS62" s="486">
        <v>0</v>
      </c>
      <c r="DT62" s="486">
        <v>0</v>
      </c>
      <c r="DU62" s="486">
        <v>0</v>
      </c>
      <c r="DV62" s="486">
        <v>0</v>
      </c>
      <c r="DW62" s="486">
        <v>0</v>
      </c>
      <c r="DX62" s="477"/>
      <c r="DY62" s="484" t="s">
        <v>720</v>
      </c>
      <c r="DZ62" s="484" t="s">
        <v>617</v>
      </c>
      <c r="EA62" s="484" t="s">
        <v>26</v>
      </c>
      <c r="EB62" s="486">
        <v>27</v>
      </c>
      <c r="EC62" s="471" t="str">
        <f t="shared" si="0"/>
        <v>AIJ100227</v>
      </c>
      <c r="ED62" s="486">
        <v>10000</v>
      </c>
      <c r="EE62" s="486">
        <v>10000</v>
      </c>
      <c r="EF62" s="486">
        <v>10000</v>
      </c>
      <c r="EG62" s="486">
        <v>10000</v>
      </c>
      <c r="EH62" s="486">
        <v>10000</v>
      </c>
      <c r="EI62" s="486">
        <v>10000</v>
      </c>
      <c r="EJ62" s="486">
        <v>10000</v>
      </c>
      <c r="EK62" s="486">
        <v>10000</v>
      </c>
      <c r="EL62" s="486">
        <v>10000</v>
      </c>
      <c r="EM62" s="486">
        <v>10000</v>
      </c>
      <c r="EN62" s="486">
        <v>0</v>
      </c>
      <c r="EO62" s="486">
        <v>0</v>
      </c>
      <c r="EP62" s="486">
        <v>0</v>
      </c>
      <c r="EQ62" s="486">
        <v>0</v>
      </c>
      <c r="ER62" s="486">
        <v>0</v>
      </c>
      <c r="ES62" s="486">
        <v>0</v>
      </c>
      <c r="ET62" s="486">
        <v>0</v>
      </c>
      <c r="EU62" s="486">
        <v>0</v>
      </c>
      <c r="EV62" s="486">
        <v>0</v>
      </c>
      <c r="EW62" s="486">
        <v>0</v>
      </c>
      <c r="EX62" s="486">
        <v>0</v>
      </c>
      <c r="EY62" s="486">
        <v>0</v>
      </c>
      <c r="EZ62" s="486">
        <v>0</v>
      </c>
      <c r="FA62" s="486">
        <v>0</v>
      </c>
      <c r="FB62" s="486">
        <v>0</v>
      </c>
      <c r="FC62" s="486">
        <v>0</v>
      </c>
      <c r="FD62" s="486">
        <v>0</v>
      </c>
      <c r="FE62" s="486">
        <v>0</v>
      </c>
      <c r="FF62" s="486">
        <v>0</v>
      </c>
      <c r="FG62" s="486">
        <v>0</v>
      </c>
      <c r="FH62" s="486">
        <v>0</v>
      </c>
      <c r="FI62" s="486">
        <v>0</v>
      </c>
      <c r="FJ62" s="486">
        <v>0</v>
      </c>
      <c r="FK62" s="486">
        <v>0</v>
      </c>
      <c r="FL62" s="486">
        <v>0</v>
      </c>
      <c r="FM62" s="486">
        <v>0</v>
      </c>
      <c r="FN62" s="486">
        <v>0</v>
      </c>
      <c r="FO62" s="486">
        <v>0</v>
      </c>
      <c r="FP62" s="486">
        <v>0</v>
      </c>
      <c r="FQ62" s="486">
        <v>0</v>
      </c>
      <c r="FR62" s="486">
        <v>0</v>
      </c>
      <c r="FS62" s="486">
        <v>0</v>
      </c>
      <c r="FT62" s="486">
        <v>0</v>
      </c>
      <c r="FU62" s="486">
        <v>0</v>
      </c>
      <c r="FV62" s="486">
        <v>0</v>
      </c>
      <c r="FW62" s="486">
        <v>0</v>
      </c>
      <c r="FX62" s="486">
        <v>0</v>
      </c>
      <c r="FY62" s="486">
        <v>0</v>
      </c>
      <c r="FZ62" s="486">
        <v>0</v>
      </c>
      <c r="GA62" s="486">
        <v>0</v>
      </c>
      <c r="GB62" s="486">
        <v>0</v>
      </c>
      <c r="GC62" s="486">
        <v>0</v>
      </c>
      <c r="GD62" s="486">
        <v>0</v>
      </c>
      <c r="GE62" s="486">
        <v>0</v>
      </c>
      <c r="GF62" s="486">
        <v>0</v>
      </c>
      <c r="GG62" s="486">
        <v>0</v>
      </c>
      <c r="GH62" s="486">
        <v>0</v>
      </c>
      <c r="GI62" s="486">
        <v>0</v>
      </c>
      <c r="GJ62" s="486">
        <v>0</v>
      </c>
      <c r="GK62" s="486">
        <v>0</v>
      </c>
      <c r="GL62" s="486">
        <v>0</v>
      </c>
      <c r="GM62" s="486">
        <v>0</v>
      </c>
      <c r="GN62" s="486">
        <v>0</v>
      </c>
      <c r="GO62" s="486">
        <v>0</v>
      </c>
      <c r="GP62" s="486">
        <v>0</v>
      </c>
      <c r="GQ62" s="486">
        <v>0</v>
      </c>
      <c r="GR62" s="486">
        <v>0</v>
      </c>
      <c r="GS62" s="486">
        <v>0</v>
      </c>
      <c r="GT62" s="486">
        <v>0</v>
      </c>
      <c r="GU62" s="486">
        <v>0</v>
      </c>
      <c r="GV62" s="486">
        <v>0</v>
      </c>
      <c r="GW62" s="486">
        <v>0</v>
      </c>
      <c r="GX62" s="486">
        <v>0</v>
      </c>
      <c r="GY62" s="486">
        <v>0</v>
      </c>
      <c r="GZ62" s="486">
        <v>0</v>
      </c>
      <c r="HA62" s="486">
        <v>0</v>
      </c>
      <c r="HB62" s="486">
        <v>0</v>
      </c>
      <c r="HC62" s="486">
        <v>0</v>
      </c>
      <c r="HD62" s="486">
        <v>0</v>
      </c>
      <c r="HE62" s="486">
        <v>0</v>
      </c>
      <c r="HF62" s="486">
        <v>0</v>
      </c>
      <c r="HG62" s="486">
        <v>0</v>
      </c>
      <c r="HH62" s="486">
        <v>0</v>
      </c>
      <c r="HI62" s="486">
        <v>0</v>
      </c>
      <c r="HJ62" s="486">
        <v>0</v>
      </c>
      <c r="HK62" s="486">
        <v>0</v>
      </c>
      <c r="HL62" s="486">
        <v>0</v>
      </c>
      <c r="HM62" s="486">
        <v>0</v>
      </c>
      <c r="HN62" s="486">
        <v>0</v>
      </c>
      <c r="HO62" s="486">
        <v>0</v>
      </c>
      <c r="HP62" s="486">
        <v>0</v>
      </c>
      <c r="HQ62" s="486">
        <v>0</v>
      </c>
      <c r="HR62" s="486">
        <v>0</v>
      </c>
      <c r="HS62" s="486">
        <v>0</v>
      </c>
      <c r="HT62" s="486">
        <v>0</v>
      </c>
      <c r="HU62" s="486">
        <v>0</v>
      </c>
      <c r="HV62" s="486">
        <v>0</v>
      </c>
      <c r="HW62" s="486">
        <v>0</v>
      </c>
      <c r="HX62" s="486">
        <v>0</v>
      </c>
      <c r="HY62" s="486">
        <v>0</v>
      </c>
      <c r="HZ62" s="486">
        <v>0</v>
      </c>
      <c r="IA62" s="486">
        <v>0</v>
      </c>
      <c r="IB62" s="486">
        <v>0</v>
      </c>
      <c r="IC62" s="486">
        <v>0</v>
      </c>
      <c r="ID62" s="486">
        <v>0</v>
      </c>
      <c r="IE62" s="486">
        <v>0</v>
      </c>
      <c r="IF62" s="486">
        <v>0</v>
      </c>
      <c r="IG62" s="486">
        <v>0</v>
      </c>
      <c r="IH62" s="486">
        <v>0</v>
      </c>
      <c r="II62" s="486">
        <v>0</v>
      </c>
      <c r="IJ62" s="486">
        <v>0</v>
      </c>
    </row>
    <row r="63" spans="1:245" ht="16.5" hidden="1">
      <c r="A63" s="484" t="s">
        <v>720</v>
      </c>
      <c r="B63" s="484" t="s">
        <v>617</v>
      </c>
      <c r="C63" s="484" t="s">
        <v>721</v>
      </c>
      <c r="D63" s="485"/>
      <c r="E63" s="484" t="s">
        <v>721</v>
      </c>
      <c r="F63" s="484" t="s">
        <v>26</v>
      </c>
      <c r="G63" s="485"/>
      <c r="H63" s="486">
        <v>69</v>
      </c>
      <c r="I63" s="471" t="str">
        <f t="shared" si="1"/>
        <v>AIJ100269</v>
      </c>
      <c r="J63" s="486">
        <v>430</v>
      </c>
      <c r="L63" s="484" t="s">
        <v>720</v>
      </c>
      <c r="M63" s="484" t="s">
        <v>617</v>
      </c>
      <c r="N63" s="484" t="s">
        <v>26</v>
      </c>
      <c r="O63" s="486">
        <v>28</v>
      </c>
      <c r="P63" s="471" t="str">
        <f t="shared" si="2"/>
        <v>AIJ100228</v>
      </c>
      <c r="Q63" s="486">
        <v>0</v>
      </c>
      <c r="R63" s="486">
        <v>5</v>
      </c>
      <c r="S63" s="486">
        <v>8</v>
      </c>
      <c r="T63" s="486">
        <v>13</v>
      </c>
      <c r="U63" s="486">
        <v>18</v>
      </c>
      <c r="V63" s="486">
        <v>22</v>
      </c>
      <c r="W63" s="486">
        <v>27</v>
      </c>
      <c r="X63" s="486">
        <v>32</v>
      </c>
      <c r="Y63" s="486">
        <v>36</v>
      </c>
      <c r="Z63" s="486">
        <v>0</v>
      </c>
      <c r="AA63" s="486">
        <v>0</v>
      </c>
      <c r="AB63" s="486">
        <v>0</v>
      </c>
      <c r="AC63" s="486">
        <v>0</v>
      </c>
      <c r="AD63" s="486">
        <v>0</v>
      </c>
      <c r="AE63" s="486">
        <v>0</v>
      </c>
      <c r="AF63" s="486">
        <v>0</v>
      </c>
      <c r="AG63" s="486">
        <v>0</v>
      </c>
      <c r="AH63" s="486">
        <v>0</v>
      </c>
      <c r="AI63" s="486">
        <v>0</v>
      </c>
      <c r="AJ63" s="486">
        <v>0</v>
      </c>
      <c r="AK63" s="486">
        <v>0</v>
      </c>
      <c r="AL63" s="486">
        <v>0</v>
      </c>
      <c r="AM63" s="486">
        <v>0</v>
      </c>
      <c r="AN63" s="486">
        <v>0</v>
      </c>
      <c r="AO63" s="486">
        <v>0</v>
      </c>
      <c r="AP63" s="486">
        <v>0</v>
      </c>
      <c r="AQ63" s="486">
        <v>0</v>
      </c>
      <c r="AR63" s="486">
        <v>0</v>
      </c>
      <c r="AS63" s="486">
        <v>0</v>
      </c>
      <c r="AT63" s="486">
        <v>0</v>
      </c>
      <c r="AU63" s="486">
        <v>0</v>
      </c>
      <c r="AV63" s="486">
        <v>0</v>
      </c>
      <c r="AW63" s="486">
        <v>0</v>
      </c>
      <c r="AX63" s="486">
        <v>0</v>
      </c>
      <c r="AY63" s="486">
        <v>0</v>
      </c>
      <c r="AZ63" s="486">
        <v>0</v>
      </c>
      <c r="BA63" s="486">
        <v>0</v>
      </c>
      <c r="BB63" s="486">
        <v>0</v>
      </c>
      <c r="BC63" s="486">
        <v>0</v>
      </c>
      <c r="BD63" s="486">
        <v>0</v>
      </c>
      <c r="BE63" s="486">
        <v>0</v>
      </c>
      <c r="BF63" s="486">
        <v>0</v>
      </c>
      <c r="BG63" s="486">
        <v>0</v>
      </c>
      <c r="BH63" s="486">
        <v>0</v>
      </c>
      <c r="BI63" s="486">
        <v>0</v>
      </c>
      <c r="BJ63" s="486">
        <v>0</v>
      </c>
      <c r="BK63" s="486">
        <v>0</v>
      </c>
      <c r="BL63" s="486">
        <v>0</v>
      </c>
      <c r="BM63" s="486">
        <v>0</v>
      </c>
      <c r="BN63" s="486">
        <v>0</v>
      </c>
      <c r="BO63" s="486">
        <v>0</v>
      </c>
      <c r="BP63" s="486">
        <v>0</v>
      </c>
      <c r="BQ63" s="486">
        <v>0</v>
      </c>
      <c r="BR63" s="486">
        <v>0</v>
      </c>
      <c r="BS63" s="486">
        <v>0</v>
      </c>
      <c r="BT63" s="486">
        <v>0</v>
      </c>
      <c r="BU63" s="486">
        <v>0</v>
      </c>
      <c r="BV63" s="486">
        <v>0</v>
      </c>
      <c r="BW63" s="486">
        <v>0</v>
      </c>
      <c r="BX63" s="486">
        <v>0</v>
      </c>
      <c r="BY63" s="486">
        <v>0</v>
      </c>
      <c r="BZ63" s="486">
        <v>0</v>
      </c>
      <c r="CA63" s="486">
        <v>0</v>
      </c>
      <c r="CB63" s="486">
        <v>0</v>
      </c>
      <c r="CC63" s="486">
        <v>0</v>
      </c>
      <c r="CD63" s="486">
        <v>0</v>
      </c>
      <c r="CE63" s="486">
        <v>0</v>
      </c>
      <c r="CF63" s="486">
        <v>0</v>
      </c>
      <c r="CG63" s="486">
        <v>0</v>
      </c>
      <c r="CH63" s="486">
        <v>0</v>
      </c>
      <c r="CI63" s="486">
        <v>0</v>
      </c>
      <c r="CJ63" s="486">
        <v>0</v>
      </c>
      <c r="CK63" s="486">
        <v>0</v>
      </c>
      <c r="CL63" s="486">
        <v>0</v>
      </c>
      <c r="CM63" s="486">
        <v>0</v>
      </c>
      <c r="CN63" s="486">
        <v>0</v>
      </c>
      <c r="CO63" s="486">
        <v>0</v>
      </c>
      <c r="CP63" s="486">
        <v>0</v>
      </c>
      <c r="CQ63" s="486">
        <v>0</v>
      </c>
      <c r="CR63" s="486">
        <v>0</v>
      </c>
      <c r="CS63" s="486">
        <v>0</v>
      </c>
      <c r="CT63" s="486">
        <v>0</v>
      </c>
      <c r="CU63" s="486">
        <v>0</v>
      </c>
      <c r="CV63" s="486">
        <v>0</v>
      </c>
      <c r="CW63" s="486">
        <v>0</v>
      </c>
      <c r="CX63" s="486">
        <v>0</v>
      </c>
      <c r="CY63" s="486">
        <v>0</v>
      </c>
      <c r="CZ63" s="486">
        <v>0</v>
      </c>
      <c r="DA63" s="486">
        <v>0</v>
      </c>
      <c r="DB63" s="486">
        <v>0</v>
      </c>
      <c r="DC63" s="486">
        <v>0</v>
      </c>
      <c r="DD63" s="486">
        <v>0</v>
      </c>
      <c r="DE63" s="486">
        <v>0</v>
      </c>
      <c r="DF63" s="486">
        <v>0</v>
      </c>
      <c r="DG63" s="486">
        <v>0</v>
      </c>
      <c r="DH63" s="486">
        <v>0</v>
      </c>
      <c r="DI63" s="486">
        <v>0</v>
      </c>
      <c r="DJ63" s="486">
        <v>0</v>
      </c>
      <c r="DK63" s="486">
        <v>0</v>
      </c>
      <c r="DL63" s="486">
        <v>0</v>
      </c>
      <c r="DM63" s="486">
        <v>0</v>
      </c>
      <c r="DN63" s="486">
        <v>0</v>
      </c>
      <c r="DO63" s="486">
        <v>0</v>
      </c>
      <c r="DP63" s="486">
        <v>0</v>
      </c>
      <c r="DQ63" s="486">
        <v>0</v>
      </c>
      <c r="DR63" s="486">
        <v>0</v>
      </c>
      <c r="DS63" s="486">
        <v>0</v>
      </c>
      <c r="DT63" s="486">
        <v>0</v>
      </c>
      <c r="DU63" s="486">
        <v>0</v>
      </c>
      <c r="DV63" s="486">
        <v>0</v>
      </c>
      <c r="DW63" s="486">
        <v>0</v>
      </c>
      <c r="DX63" s="477"/>
      <c r="DY63" s="484" t="s">
        <v>720</v>
      </c>
      <c r="DZ63" s="484" t="s">
        <v>617</v>
      </c>
      <c r="EA63" s="484" t="s">
        <v>26</v>
      </c>
      <c r="EB63" s="486">
        <v>28</v>
      </c>
      <c r="EC63" s="471" t="str">
        <f t="shared" si="0"/>
        <v>AIJ100228</v>
      </c>
      <c r="ED63" s="486">
        <v>10000</v>
      </c>
      <c r="EE63" s="486">
        <v>10000</v>
      </c>
      <c r="EF63" s="486">
        <v>10000</v>
      </c>
      <c r="EG63" s="486">
        <v>10000</v>
      </c>
      <c r="EH63" s="486">
        <v>10000</v>
      </c>
      <c r="EI63" s="486">
        <v>10000</v>
      </c>
      <c r="EJ63" s="486">
        <v>10000</v>
      </c>
      <c r="EK63" s="486">
        <v>10000</v>
      </c>
      <c r="EL63" s="486">
        <v>10000</v>
      </c>
      <c r="EM63" s="486">
        <v>10000</v>
      </c>
      <c r="EN63" s="486">
        <v>0</v>
      </c>
      <c r="EO63" s="486">
        <v>0</v>
      </c>
      <c r="EP63" s="486">
        <v>0</v>
      </c>
      <c r="EQ63" s="486">
        <v>0</v>
      </c>
      <c r="ER63" s="486">
        <v>0</v>
      </c>
      <c r="ES63" s="486">
        <v>0</v>
      </c>
      <c r="ET63" s="486">
        <v>0</v>
      </c>
      <c r="EU63" s="486">
        <v>0</v>
      </c>
      <c r="EV63" s="486">
        <v>0</v>
      </c>
      <c r="EW63" s="486">
        <v>0</v>
      </c>
      <c r="EX63" s="486">
        <v>0</v>
      </c>
      <c r="EY63" s="486">
        <v>0</v>
      </c>
      <c r="EZ63" s="486">
        <v>0</v>
      </c>
      <c r="FA63" s="486">
        <v>0</v>
      </c>
      <c r="FB63" s="486">
        <v>0</v>
      </c>
      <c r="FC63" s="486">
        <v>0</v>
      </c>
      <c r="FD63" s="486">
        <v>0</v>
      </c>
      <c r="FE63" s="486">
        <v>0</v>
      </c>
      <c r="FF63" s="486">
        <v>0</v>
      </c>
      <c r="FG63" s="486">
        <v>0</v>
      </c>
      <c r="FH63" s="486">
        <v>0</v>
      </c>
      <c r="FI63" s="486">
        <v>0</v>
      </c>
      <c r="FJ63" s="486">
        <v>0</v>
      </c>
      <c r="FK63" s="486">
        <v>0</v>
      </c>
      <c r="FL63" s="486">
        <v>0</v>
      </c>
      <c r="FM63" s="486">
        <v>0</v>
      </c>
      <c r="FN63" s="486">
        <v>0</v>
      </c>
      <c r="FO63" s="486">
        <v>0</v>
      </c>
      <c r="FP63" s="486">
        <v>0</v>
      </c>
      <c r="FQ63" s="486">
        <v>0</v>
      </c>
      <c r="FR63" s="486">
        <v>0</v>
      </c>
      <c r="FS63" s="486">
        <v>0</v>
      </c>
      <c r="FT63" s="486">
        <v>0</v>
      </c>
      <c r="FU63" s="486">
        <v>0</v>
      </c>
      <c r="FV63" s="486">
        <v>0</v>
      </c>
      <c r="FW63" s="486">
        <v>0</v>
      </c>
      <c r="FX63" s="486">
        <v>0</v>
      </c>
      <c r="FY63" s="486">
        <v>0</v>
      </c>
      <c r="FZ63" s="486">
        <v>0</v>
      </c>
      <c r="GA63" s="486">
        <v>0</v>
      </c>
      <c r="GB63" s="486">
        <v>0</v>
      </c>
      <c r="GC63" s="486">
        <v>0</v>
      </c>
      <c r="GD63" s="486">
        <v>0</v>
      </c>
      <c r="GE63" s="486">
        <v>0</v>
      </c>
      <c r="GF63" s="486">
        <v>0</v>
      </c>
      <c r="GG63" s="486">
        <v>0</v>
      </c>
      <c r="GH63" s="486">
        <v>0</v>
      </c>
      <c r="GI63" s="486">
        <v>0</v>
      </c>
      <c r="GJ63" s="486">
        <v>0</v>
      </c>
      <c r="GK63" s="486">
        <v>0</v>
      </c>
      <c r="GL63" s="486">
        <v>0</v>
      </c>
      <c r="GM63" s="486">
        <v>0</v>
      </c>
      <c r="GN63" s="486">
        <v>0</v>
      </c>
      <c r="GO63" s="486">
        <v>0</v>
      </c>
      <c r="GP63" s="486">
        <v>0</v>
      </c>
      <c r="GQ63" s="486">
        <v>0</v>
      </c>
      <c r="GR63" s="486">
        <v>0</v>
      </c>
      <c r="GS63" s="486">
        <v>0</v>
      </c>
      <c r="GT63" s="486">
        <v>0</v>
      </c>
      <c r="GU63" s="486">
        <v>0</v>
      </c>
      <c r="GV63" s="486">
        <v>0</v>
      </c>
      <c r="GW63" s="486">
        <v>0</v>
      </c>
      <c r="GX63" s="486">
        <v>0</v>
      </c>
      <c r="GY63" s="486">
        <v>0</v>
      </c>
      <c r="GZ63" s="486">
        <v>0</v>
      </c>
      <c r="HA63" s="486">
        <v>0</v>
      </c>
      <c r="HB63" s="486">
        <v>0</v>
      </c>
      <c r="HC63" s="486">
        <v>0</v>
      </c>
      <c r="HD63" s="486">
        <v>0</v>
      </c>
      <c r="HE63" s="486">
        <v>0</v>
      </c>
      <c r="HF63" s="486">
        <v>0</v>
      </c>
      <c r="HG63" s="486">
        <v>0</v>
      </c>
      <c r="HH63" s="486">
        <v>0</v>
      </c>
      <c r="HI63" s="486">
        <v>0</v>
      </c>
      <c r="HJ63" s="486">
        <v>0</v>
      </c>
      <c r="HK63" s="486">
        <v>0</v>
      </c>
      <c r="HL63" s="486">
        <v>0</v>
      </c>
      <c r="HM63" s="486">
        <v>0</v>
      </c>
      <c r="HN63" s="486">
        <v>0</v>
      </c>
      <c r="HO63" s="486">
        <v>0</v>
      </c>
      <c r="HP63" s="486">
        <v>0</v>
      </c>
      <c r="HQ63" s="486">
        <v>0</v>
      </c>
      <c r="HR63" s="486">
        <v>0</v>
      </c>
      <c r="HS63" s="486">
        <v>0</v>
      </c>
      <c r="HT63" s="486">
        <v>0</v>
      </c>
      <c r="HU63" s="486">
        <v>0</v>
      </c>
      <c r="HV63" s="486">
        <v>0</v>
      </c>
      <c r="HW63" s="486">
        <v>0</v>
      </c>
      <c r="HX63" s="486">
        <v>0</v>
      </c>
      <c r="HY63" s="486">
        <v>0</v>
      </c>
      <c r="HZ63" s="486">
        <v>0</v>
      </c>
      <c r="IA63" s="486">
        <v>0</v>
      </c>
      <c r="IB63" s="486">
        <v>0</v>
      </c>
      <c r="IC63" s="486">
        <v>0</v>
      </c>
      <c r="ID63" s="486">
        <v>0</v>
      </c>
      <c r="IE63" s="486">
        <v>0</v>
      </c>
      <c r="IF63" s="486">
        <v>0</v>
      </c>
      <c r="IG63" s="486">
        <v>0</v>
      </c>
      <c r="IH63" s="486">
        <v>0</v>
      </c>
      <c r="II63" s="486">
        <v>0</v>
      </c>
      <c r="IJ63" s="486">
        <v>0</v>
      </c>
    </row>
    <row r="64" spans="1:245" ht="16.5" hidden="1">
      <c r="A64" s="484" t="s">
        <v>720</v>
      </c>
      <c r="B64" s="484" t="s">
        <v>617</v>
      </c>
      <c r="C64" s="484" t="s">
        <v>721</v>
      </c>
      <c r="D64" s="485"/>
      <c r="E64" s="484" t="s">
        <v>721</v>
      </c>
      <c r="F64" s="484" t="s">
        <v>26</v>
      </c>
      <c r="G64" s="485"/>
      <c r="H64" s="486">
        <v>70</v>
      </c>
      <c r="I64" s="471" t="str">
        <f t="shared" si="1"/>
        <v>AIJ100270</v>
      </c>
      <c r="J64" s="486">
        <v>465</v>
      </c>
      <c r="L64" s="484" t="s">
        <v>720</v>
      </c>
      <c r="M64" s="484" t="s">
        <v>617</v>
      </c>
      <c r="N64" s="484" t="s">
        <v>26</v>
      </c>
      <c r="O64" s="486">
        <v>29</v>
      </c>
      <c r="P64" s="471" t="str">
        <f t="shared" si="2"/>
        <v>AIJ100229</v>
      </c>
      <c r="Q64" s="486">
        <v>0</v>
      </c>
      <c r="R64" s="486">
        <v>5</v>
      </c>
      <c r="S64" s="486">
        <v>9</v>
      </c>
      <c r="T64" s="486">
        <v>14</v>
      </c>
      <c r="U64" s="486">
        <v>18</v>
      </c>
      <c r="V64" s="486">
        <v>22</v>
      </c>
      <c r="W64" s="486">
        <v>28</v>
      </c>
      <c r="X64" s="486">
        <v>33</v>
      </c>
      <c r="Y64" s="486">
        <v>37</v>
      </c>
      <c r="Z64" s="486">
        <v>0</v>
      </c>
      <c r="AA64" s="486">
        <v>0</v>
      </c>
      <c r="AB64" s="486">
        <v>0</v>
      </c>
      <c r="AC64" s="486">
        <v>0</v>
      </c>
      <c r="AD64" s="486">
        <v>0</v>
      </c>
      <c r="AE64" s="486">
        <v>0</v>
      </c>
      <c r="AF64" s="486">
        <v>0</v>
      </c>
      <c r="AG64" s="486">
        <v>0</v>
      </c>
      <c r="AH64" s="486">
        <v>0</v>
      </c>
      <c r="AI64" s="486">
        <v>0</v>
      </c>
      <c r="AJ64" s="486">
        <v>0</v>
      </c>
      <c r="AK64" s="486">
        <v>0</v>
      </c>
      <c r="AL64" s="486">
        <v>0</v>
      </c>
      <c r="AM64" s="486">
        <v>0</v>
      </c>
      <c r="AN64" s="486">
        <v>0</v>
      </c>
      <c r="AO64" s="486">
        <v>0</v>
      </c>
      <c r="AP64" s="486">
        <v>0</v>
      </c>
      <c r="AQ64" s="486">
        <v>0</v>
      </c>
      <c r="AR64" s="486">
        <v>0</v>
      </c>
      <c r="AS64" s="486">
        <v>0</v>
      </c>
      <c r="AT64" s="486">
        <v>0</v>
      </c>
      <c r="AU64" s="486">
        <v>0</v>
      </c>
      <c r="AV64" s="486">
        <v>0</v>
      </c>
      <c r="AW64" s="486">
        <v>0</v>
      </c>
      <c r="AX64" s="486">
        <v>0</v>
      </c>
      <c r="AY64" s="486">
        <v>0</v>
      </c>
      <c r="AZ64" s="486">
        <v>0</v>
      </c>
      <c r="BA64" s="486">
        <v>0</v>
      </c>
      <c r="BB64" s="486">
        <v>0</v>
      </c>
      <c r="BC64" s="486">
        <v>0</v>
      </c>
      <c r="BD64" s="486">
        <v>0</v>
      </c>
      <c r="BE64" s="486">
        <v>0</v>
      </c>
      <c r="BF64" s="486">
        <v>0</v>
      </c>
      <c r="BG64" s="486">
        <v>0</v>
      </c>
      <c r="BH64" s="486">
        <v>0</v>
      </c>
      <c r="BI64" s="486">
        <v>0</v>
      </c>
      <c r="BJ64" s="486">
        <v>0</v>
      </c>
      <c r="BK64" s="486">
        <v>0</v>
      </c>
      <c r="BL64" s="486">
        <v>0</v>
      </c>
      <c r="BM64" s="486">
        <v>0</v>
      </c>
      <c r="BN64" s="486">
        <v>0</v>
      </c>
      <c r="BO64" s="486">
        <v>0</v>
      </c>
      <c r="BP64" s="486">
        <v>0</v>
      </c>
      <c r="BQ64" s="486">
        <v>0</v>
      </c>
      <c r="BR64" s="486">
        <v>0</v>
      </c>
      <c r="BS64" s="486">
        <v>0</v>
      </c>
      <c r="BT64" s="486">
        <v>0</v>
      </c>
      <c r="BU64" s="486">
        <v>0</v>
      </c>
      <c r="BV64" s="486">
        <v>0</v>
      </c>
      <c r="BW64" s="486">
        <v>0</v>
      </c>
      <c r="BX64" s="486">
        <v>0</v>
      </c>
      <c r="BY64" s="486">
        <v>0</v>
      </c>
      <c r="BZ64" s="486">
        <v>0</v>
      </c>
      <c r="CA64" s="486">
        <v>0</v>
      </c>
      <c r="CB64" s="486">
        <v>0</v>
      </c>
      <c r="CC64" s="486">
        <v>0</v>
      </c>
      <c r="CD64" s="486">
        <v>0</v>
      </c>
      <c r="CE64" s="486">
        <v>0</v>
      </c>
      <c r="CF64" s="486">
        <v>0</v>
      </c>
      <c r="CG64" s="486">
        <v>0</v>
      </c>
      <c r="CH64" s="486">
        <v>0</v>
      </c>
      <c r="CI64" s="486">
        <v>0</v>
      </c>
      <c r="CJ64" s="486">
        <v>0</v>
      </c>
      <c r="CK64" s="486">
        <v>0</v>
      </c>
      <c r="CL64" s="486">
        <v>0</v>
      </c>
      <c r="CM64" s="486">
        <v>0</v>
      </c>
      <c r="CN64" s="486">
        <v>0</v>
      </c>
      <c r="CO64" s="486">
        <v>0</v>
      </c>
      <c r="CP64" s="486">
        <v>0</v>
      </c>
      <c r="CQ64" s="486">
        <v>0</v>
      </c>
      <c r="CR64" s="486">
        <v>0</v>
      </c>
      <c r="CS64" s="486">
        <v>0</v>
      </c>
      <c r="CT64" s="486">
        <v>0</v>
      </c>
      <c r="CU64" s="486">
        <v>0</v>
      </c>
      <c r="CV64" s="486">
        <v>0</v>
      </c>
      <c r="CW64" s="486">
        <v>0</v>
      </c>
      <c r="CX64" s="486">
        <v>0</v>
      </c>
      <c r="CY64" s="486">
        <v>0</v>
      </c>
      <c r="CZ64" s="486">
        <v>0</v>
      </c>
      <c r="DA64" s="486">
        <v>0</v>
      </c>
      <c r="DB64" s="486">
        <v>0</v>
      </c>
      <c r="DC64" s="486">
        <v>0</v>
      </c>
      <c r="DD64" s="486">
        <v>0</v>
      </c>
      <c r="DE64" s="486">
        <v>0</v>
      </c>
      <c r="DF64" s="486">
        <v>0</v>
      </c>
      <c r="DG64" s="486">
        <v>0</v>
      </c>
      <c r="DH64" s="486">
        <v>0</v>
      </c>
      <c r="DI64" s="486">
        <v>0</v>
      </c>
      <c r="DJ64" s="486">
        <v>0</v>
      </c>
      <c r="DK64" s="486">
        <v>0</v>
      </c>
      <c r="DL64" s="486">
        <v>0</v>
      </c>
      <c r="DM64" s="486">
        <v>0</v>
      </c>
      <c r="DN64" s="486">
        <v>0</v>
      </c>
      <c r="DO64" s="486">
        <v>0</v>
      </c>
      <c r="DP64" s="486">
        <v>0</v>
      </c>
      <c r="DQ64" s="486">
        <v>0</v>
      </c>
      <c r="DR64" s="486">
        <v>0</v>
      </c>
      <c r="DS64" s="486">
        <v>0</v>
      </c>
      <c r="DT64" s="486">
        <v>0</v>
      </c>
      <c r="DU64" s="486">
        <v>0</v>
      </c>
      <c r="DV64" s="486">
        <v>0</v>
      </c>
      <c r="DW64" s="486">
        <v>0</v>
      </c>
      <c r="DX64" s="477"/>
      <c r="DY64" s="484" t="s">
        <v>720</v>
      </c>
      <c r="DZ64" s="484" t="s">
        <v>617</v>
      </c>
      <c r="EA64" s="484" t="s">
        <v>26</v>
      </c>
      <c r="EB64" s="486">
        <v>29</v>
      </c>
      <c r="EC64" s="471" t="str">
        <f t="shared" si="0"/>
        <v>AIJ100229</v>
      </c>
      <c r="ED64" s="486">
        <v>10000</v>
      </c>
      <c r="EE64" s="486">
        <v>10000</v>
      </c>
      <c r="EF64" s="486">
        <v>10000</v>
      </c>
      <c r="EG64" s="486">
        <v>10000</v>
      </c>
      <c r="EH64" s="486">
        <v>10000</v>
      </c>
      <c r="EI64" s="486">
        <v>10000</v>
      </c>
      <c r="EJ64" s="486">
        <v>10000</v>
      </c>
      <c r="EK64" s="486">
        <v>10000</v>
      </c>
      <c r="EL64" s="486">
        <v>10000</v>
      </c>
      <c r="EM64" s="486">
        <v>10000</v>
      </c>
      <c r="EN64" s="486">
        <v>0</v>
      </c>
      <c r="EO64" s="486">
        <v>0</v>
      </c>
      <c r="EP64" s="486">
        <v>0</v>
      </c>
      <c r="EQ64" s="486">
        <v>0</v>
      </c>
      <c r="ER64" s="486">
        <v>0</v>
      </c>
      <c r="ES64" s="486">
        <v>0</v>
      </c>
      <c r="ET64" s="486">
        <v>0</v>
      </c>
      <c r="EU64" s="486">
        <v>0</v>
      </c>
      <c r="EV64" s="486">
        <v>0</v>
      </c>
      <c r="EW64" s="486">
        <v>0</v>
      </c>
      <c r="EX64" s="486">
        <v>0</v>
      </c>
      <c r="EY64" s="486">
        <v>0</v>
      </c>
      <c r="EZ64" s="486">
        <v>0</v>
      </c>
      <c r="FA64" s="486">
        <v>0</v>
      </c>
      <c r="FB64" s="486">
        <v>0</v>
      </c>
      <c r="FC64" s="486">
        <v>0</v>
      </c>
      <c r="FD64" s="486">
        <v>0</v>
      </c>
      <c r="FE64" s="486">
        <v>0</v>
      </c>
      <c r="FF64" s="486">
        <v>0</v>
      </c>
      <c r="FG64" s="486">
        <v>0</v>
      </c>
      <c r="FH64" s="486">
        <v>0</v>
      </c>
      <c r="FI64" s="486">
        <v>0</v>
      </c>
      <c r="FJ64" s="486">
        <v>0</v>
      </c>
      <c r="FK64" s="486">
        <v>0</v>
      </c>
      <c r="FL64" s="486">
        <v>0</v>
      </c>
      <c r="FM64" s="486">
        <v>0</v>
      </c>
      <c r="FN64" s="486">
        <v>0</v>
      </c>
      <c r="FO64" s="486">
        <v>0</v>
      </c>
      <c r="FP64" s="486">
        <v>0</v>
      </c>
      <c r="FQ64" s="486">
        <v>0</v>
      </c>
      <c r="FR64" s="486">
        <v>0</v>
      </c>
      <c r="FS64" s="486">
        <v>0</v>
      </c>
      <c r="FT64" s="486">
        <v>0</v>
      </c>
      <c r="FU64" s="486">
        <v>0</v>
      </c>
      <c r="FV64" s="486">
        <v>0</v>
      </c>
      <c r="FW64" s="486">
        <v>0</v>
      </c>
      <c r="FX64" s="486">
        <v>0</v>
      </c>
      <c r="FY64" s="486">
        <v>0</v>
      </c>
      <c r="FZ64" s="486">
        <v>0</v>
      </c>
      <c r="GA64" s="486">
        <v>0</v>
      </c>
      <c r="GB64" s="486">
        <v>0</v>
      </c>
      <c r="GC64" s="486">
        <v>0</v>
      </c>
      <c r="GD64" s="486">
        <v>0</v>
      </c>
      <c r="GE64" s="486">
        <v>0</v>
      </c>
      <c r="GF64" s="486">
        <v>0</v>
      </c>
      <c r="GG64" s="486">
        <v>0</v>
      </c>
      <c r="GH64" s="486">
        <v>0</v>
      </c>
      <c r="GI64" s="486">
        <v>0</v>
      </c>
      <c r="GJ64" s="486">
        <v>0</v>
      </c>
      <c r="GK64" s="486">
        <v>0</v>
      </c>
      <c r="GL64" s="486">
        <v>0</v>
      </c>
      <c r="GM64" s="486">
        <v>0</v>
      </c>
      <c r="GN64" s="486">
        <v>0</v>
      </c>
      <c r="GO64" s="486">
        <v>0</v>
      </c>
      <c r="GP64" s="486">
        <v>0</v>
      </c>
      <c r="GQ64" s="486">
        <v>0</v>
      </c>
      <c r="GR64" s="486">
        <v>0</v>
      </c>
      <c r="GS64" s="486">
        <v>0</v>
      </c>
      <c r="GT64" s="486">
        <v>0</v>
      </c>
      <c r="GU64" s="486">
        <v>0</v>
      </c>
      <c r="GV64" s="486">
        <v>0</v>
      </c>
      <c r="GW64" s="486">
        <v>0</v>
      </c>
      <c r="GX64" s="486">
        <v>0</v>
      </c>
      <c r="GY64" s="486">
        <v>0</v>
      </c>
      <c r="GZ64" s="486">
        <v>0</v>
      </c>
      <c r="HA64" s="486">
        <v>0</v>
      </c>
      <c r="HB64" s="486">
        <v>0</v>
      </c>
      <c r="HC64" s="486">
        <v>0</v>
      </c>
      <c r="HD64" s="486">
        <v>0</v>
      </c>
      <c r="HE64" s="486">
        <v>0</v>
      </c>
      <c r="HF64" s="486">
        <v>0</v>
      </c>
      <c r="HG64" s="486">
        <v>0</v>
      </c>
      <c r="HH64" s="486">
        <v>0</v>
      </c>
      <c r="HI64" s="486">
        <v>0</v>
      </c>
      <c r="HJ64" s="486">
        <v>0</v>
      </c>
      <c r="HK64" s="486">
        <v>0</v>
      </c>
      <c r="HL64" s="486">
        <v>0</v>
      </c>
      <c r="HM64" s="486">
        <v>0</v>
      </c>
      <c r="HN64" s="486">
        <v>0</v>
      </c>
      <c r="HO64" s="486">
        <v>0</v>
      </c>
      <c r="HP64" s="486">
        <v>0</v>
      </c>
      <c r="HQ64" s="486">
        <v>0</v>
      </c>
      <c r="HR64" s="486">
        <v>0</v>
      </c>
      <c r="HS64" s="486">
        <v>0</v>
      </c>
      <c r="HT64" s="486">
        <v>0</v>
      </c>
      <c r="HU64" s="486">
        <v>0</v>
      </c>
      <c r="HV64" s="486">
        <v>0</v>
      </c>
      <c r="HW64" s="486">
        <v>0</v>
      </c>
      <c r="HX64" s="486">
        <v>0</v>
      </c>
      <c r="HY64" s="486">
        <v>0</v>
      </c>
      <c r="HZ64" s="486">
        <v>0</v>
      </c>
      <c r="IA64" s="486">
        <v>0</v>
      </c>
      <c r="IB64" s="486">
        <v>0</v>
      </c>
      <c r="IC64" s="486">
        <v>0</v>
      </c>
      <c r="ID64" s="486">
        <v>0</v>
      </c>
      <c r="IE64" s="486">
        <v>0</v>
      </c>
      <c r="IF64" s="486">
        <v>0</v>
      </c>
      <c r="IG64" s="486">
        <v>0</v>
      </c>
      <c r="IH64" s="486">
        <v>0</v>
      </c>
      <c r="II64" s="486">
        <v>0</v>
      </c>
      <c r="IJ64" s="486">
        <v>0</v>
      </c>
    </row>
    <row r="65" spans="1:244" ht="16.5" hidden="1">
      <c r="A65" s="484" t="s">
        <v>720</v>
      </c>
      <c r="B65" s="484" t="s">
        <v>617</v>
      </c>
      <c r="C65" s="484" t="s">
        <v>721</v>
      </c>
      <c r="D65" s="485"/>
      <c r="E65" s="484" t="s">
        <v>721</v>
      </c>
      <c r="F65" s="484" t="s">
        <v>26</v>
      </c>
      <c r="G65" s="485"/>
      <c r="H65" s="486">
        <v>71</v>
      </c>
      <c r="I65" s="471" t="str">
        <f t="shared" si="1"/>
        <v>AIJ100271</v>
      </c>
      <c r="J65" s="486">
        <v>500</v>
      </c>
      <c r="L65" s="484" t="s">
        <v>720</v>
      </c>
      <c r="M65" s="484" t="s">
        <v>617</v>
      </c>
      <c r="N65" s="484" t="s">
        <v>26</v>
      </c>
      <c r="O65" s="486">
        <v>30</v>
      </c>
      <c r="P65" s="471" t="str">
        <f t="shared" si="2"/>
        <v>AIJ100230</v>
      </c>
      <c r="Q65" s="486">
        <v>0</v>
      </c>
      <c r="R65" s="486">
        <v>5</v>
      </c>
      <c r="S65" s="486">
        <v>9</v>
      </c>
      <c r="T65" s="486">
        <v>14</v>
      </c>
      <c r="U65" s="486">
        <v>19</v>
      </c>
      <c r="V65" s="486">
        <v>23</v>
      </c>
      <c r="W65" s="486">
        <v>29</v>
      </c>
      <c r="X65" s="486">
        <v>34</v>
      </c>
      <c r="Y65" s="486">
        <v>38</v>
      </c>
      <c r="Z65" s="486">
        <v>0</v>
      </c>
      <c r="AA65" s="486">
        <v>0</v>
      </c>
      <c r="AB65" s="486">
        <v>0</v>
      </c>
      <c r="AC65" s="486">
        <v>0</v>
      </c>
      <c r="AD65" s="486">
        <v>0</v>
      </c>
      <c r="AE65" s="486">
        <v>0</v>
      </c>
      <c r="AF65" s="486">
        <v>0</v>
      </c>
      <c r="AG65" s="486">
        <v>0</v>
      </c>
      <c r="AH65" s="486">
        <v>0</v>
      </c>
      <c r="AI65" s="486">
        <v>0</v>
      </c>
      <c r="AJ65" s="486">
        <v>0</v>
      </c>
      <c r="AK65" s="486">
        <v>0</v>
      </c>
      <c r="AL65" s="486">
        <v>0</v>
      </c>
      <c r="AM65" s="486">
        <v>0</v>
      </c>
      <c r="AN65" s="486">
        <v>0</v>
      </c>
      <c r="AO65" s="486">
        <v>0</v>
      </c>
      <c r="AP65" s="486">
        <v>0</v>
      </c>
      <c r="AQ65" s="486">
        <v>0</v>
      </c>
      <c r="AR65" s="486">
        <v>0</v>
      </c>
      <c r="AS65" s="486">
        <v>0</v>
      </c>
      <c r="AT65" s="486">
        <v>0</v>
      </c>
      <c r="AU65" s="486">
        <v>0</v>
      </c>
      <c r="AV65" s="486">
        <v>0</v>
      </c>
      <c r="AW65" s="486">
        <v>0</v>
      </c>
      <c r="AX65" s="486">
        <v>0</v>
      </c>
      <c r="AY65" s="486">
        <v>0</v>
      </c>
      <c r="AZ65" s="486">
        <v>0</v>
      </c>
      <c r="BA65" s="486">
        <v>0</v>
      </c>
      <c r="BB65" s="486">
        <v>0</v>
      </c>
      <c r="BC65" s="486">
        <v>0</v>
      </c>
      <c r="BD65" s="486">
        <v>0</v>
      </c>
      <c r="BE65" s="486">
        <v>0</v>
      </c>
      <c r="BF65" s="486">
        <v>0</v>
      </c>
      <c r="BG65" s="486">
        <v>0</v>
      </c>
      <c r="BH65" s="486">
        <v>0</v>
      </c>
      <c r="BI65" s="486">
        <v>0</v>
      </c>
      <c r="BJ65" s="486">
        <v>0</v>
      </c>
      <c r="BK65" s="486">
        <v>0</v>
      </c>
      <c r="BL65" s="486">
        <v>0</v>
      </c>
      <c r="BM65" s="486">
        <v>0</v>
      </c>
      <c r="BN65" s="486">
        <v>0</v>
      </c>
      <c r="BO65" s="486">
        <v>0</v>
      </c>
      <c r="BP65" s="486">
        <v>0</v>
      </c>
      <c r="BQ65" s="486">
        <v>0</v>
      </c>
      <c r="BR65" s="486">
        <v>0</v>
      </c>
      <c r="BS65" s="486">
        <v>0</v>
      </c>
      <c r="BT65" s="486">
        <v>0</v>
      </c>
      <c r="BU65" s="486">
        <v>0</v>
      </c>
      <c r="BV65" s="486">
        <v>0</v>
      </c>
      <c r="BW65" s="486">
        <v>0</v>
      </c>
      <c r="BX65" s="486">
        <v>0</v>
      </c>
      <c r="BY65" s="486">
        <v>0</v>
      </c>
      <c r="BZ65" s="486">
        <v>0</v>
      </c>
      <c r="CA65" s="486">
        <v>0</v>
      </c>
      <c r="CB65" s="486">
        <v>0</v>
      </c>
      <c r="CC65" s="486">
        <v>0</v>
      </c>
      <c r="CD65" s="486">
        <v>0</v>
      </c>
      <c r="CE65" s="486">
        <v>0</v>
      </c>
      <c r="CF65" s="486">
        <v>0</v>
      </c>
      <c r="CG65" s="486">
        <v>0</v>
      </c>
      <c r="CH65" s="486">
        <v>0</v>
      </c>
      <c r="CI65" s="486">
        <v>0</v>
      </c>
      <c r="CJ65" s="486">
        <v>0</v>
      </c>
      <c r="CK65" s="486">
        <v>0</v>
      </c>
      <c r="CL65" s="486">
        <v>0</v>
      </c>
      <c r="CM65" s="486">
        <v>0</v>
      </c>
      <c r="CN65" s="486">
        <v>0</v>
      </c>
      <c r="CO65" s="486">
        <v>0</v>
      </c>
      <c r="CP65" s="486">
        <v>0</v>
      </c>
      <c r="CQ65" s="486">
        <v>0</v>
      </c>
      <c r="CR65" s="486">
        <v>0</v>
      </c>
      <c r="CS65" s="486">
        <v>0</v>
      </c>
      <c r="CT65" s="486">
        <v>0</v>
      </c>
      <c r="CU65" s="486">
        <v>0</v>
      </c>
      <c r="CV65" s="486">
        <v>0</v>
      </c>
      <c r="CW65" s="486">
        <v>0</v>
      </c>
      <c r="CX65" s="486">
        <v>0</v>
      </c>
      <c r="CY65" s="486">
        <v>0</v>
      </c>
      <c r="CZ65" s="486">
        <v>0</v>
      </c>
      <c r="DA65" s="486">
        <v>0</v>
      </c>
      <c r="DB65" s="486">
        <v>0</v>
      </c>
      <c r="DC65" s="486">
        <v>0</v>
      </c>
      <c r="DD65" s="486">
        <v>0</v>
      </c>
      <c r="DE65" s="486">
        <v>0</v>
      </c>
      <c r="DF65" s="486">
        <v>0</v>
      </c>
      <c r="DG65" s="486">
        <v>0</v>
      </c>
      <c r="DH65" s="486">
        <v>0</v>
      </c>
      <c r="DI65" s="486">
        <v>0</v>
      </c>
      <c r="DJ65" s="486">
        <v>0</v>
      </c>
      <c r="DK65" s="486">
        <v>0</v>
      </c>
      <c r="DL65" s="486">
        <v>0</v>
      </c>
      <c r="DM65" s="486">
        <v>0</v>
      </c>
      <c r="DN65" s="486">
        <v>0</v>
      </c>
      <c r="DO65" s="486">
        <v>0</v>
      </c>
      <c r="DP65" s="486">
        <v>0</v>
      </c>
      <c r="DQ65" s="486">
        <v>0</v>
      </c>
      <c r="DR65" s="486">
        <v>0</v>
      </c>
      <c r="DS65" s="486">
        <v>0</v>
      </c>
      <c r="DT65" s="486">
        <v>0</v>
      </c>
      <c r="DU65" s="486">
        <v>0</v>
      </c>
      <c r="DV65" s="486">
        <v>0</v>
      </c>
      <c r="DW65" s="486">
        <v>0</v>
      </c>
      <c r="DX65" s="477"/>
      <c r="DY65" s="484" t="s">
        <v>720</v>
      </c>
      <c r="DZ65" s="484" t="s">
        <v>617</v>
      </c>
      <c r="EA65" s="484" t="s">
        <v>26</v>
      </c>
      <c r="EB65" s="486">
        <v>30</v>
      </c>
      <c r="EC65" s="471" t="str">
        <f t="shared" si="0"/>
        <v>AIJ100230</v>
      </c>
      <c r="ED65" s="486">
        <v>10000</v>
      </c>
      <c r="EE65" s="486">
        <v>10000</v>
      </c>
      <c r="EF65" s="486">
        <v>10000</v>
      </c>
      <c r="EG65" s="486">
        <v>10000</v>
      </c>
      <c r="EH65" s="486">
        <v>10000</v>
      </c>
      <c r="EI65" s="486">
        <v>10000</v>
      </c>
      <c r="EJ65" s="486">
        <v>10000</v>
      </c>
      <c r="EK65" s="486">
        <v>10000</v>
      </c>
      <c r="EL65" s="486">
        <v>10000</v>
      </c>
      <c r="EM65" s="486">
        <v>10000</v>
      </c>
      <c r="EN65" s="486">
        <v>0</v>
      </c>
      <c r="EO65" s="486">
        <v>0</v>
      </c>
      <c r="EP65" s="486">
        <v>0</v>
      </c>
      <c r="EQ65" s="486">
        <v>0</v>
      </c>
      <c r="ER65" s="486">
        <v>0</v>
      </c>
      <c r="ES65" s="486">
        <v>0</v>
      </c>
      <c r="ET65" s="486">
        <v>0</v>
      </c>
      <c r="EU65" s="486">
        <v>0</v>
      </c>
      <c r="EV65" s="486">
        <v>0</v>
      </c>
      <c r="EW65" s="486">
        <v>0</v>
      </c>
      <c r="EX65" s="486">
        <v>0</v>
      </c>
      <c r="EY65" s="486">
        <v>0</v>
      </c>
      <c r="EZ65" s="486">
        <v>0</v>
      </c>
      <c r="FA65" s="486">
        <v>0</v>
      </c>
      <c r="FB65" s="486">
        <v>0</v>
      </c>
      <c r="FC65" s="486">
        <v>0</v>
      </c>
      <c r="FD65" s="486">
        <v>0</v>
      </c>
      <c r="FE65" s="486">
        <v>0</v>
      </c>
      <c r="FF65" s="486">
        <v>0</v>
      </c>
      <c r="FG65" s="486">
        <v>0</v>
      </c>
      <c r="FH65" s="486">
        <v>0</v>
      </c>
      <c r="FI65" s="486">
        <v>0</v>
      </c>
      <c r="FJ65" s="486">
        <v>0</v>
      </c>
      <c r="FK65" s="486">
        <v>0</v>
      </c>
      <c r="FL65" s="486">
        <v>0</v>
      </c>
      <c r="FM65" s="486">
        <v>0</v>
      </c>
      <c r="FN65" s="486">
        <v>0</v>
      </c>
      <c r="FO65" s="486">
        <v>0</v>
      </c>
      <c r="FP65" s="486">
        <v>0</v>
      </c>
      <c r="FQ65" s="486">
        <v>0</v>
      </c>
      <c r="FR65" s="486">
        <v>0</v>
      </c>
      <c r="FS65" s="486">
        <v>0</v>
      </c>
      <c r="FT65" s="486">
        <v>0</v>
      </c>
      <c r="FU65" s="486">
        <v>0</v>
      </c>
      <c r="FV65" s="486">
        <v>0</v>
      </c>
      <c r="FW65" s="486">
        <v>0</v>
      </c>
      <c r="FX65" s="486">
        <v>0</v>
      </c>
      <c r="FY65" s="486">
        <v>0</v>
      </c>
      <c r="FZ65" s="486">
        <v>0</v>
      </c>
      <c r="GA65" s="486">
        <v>0</v>
      </c>
      <c r="GB65" s="486">
        <v>0</v>
      </c>
      <c r="GC65" s="486">
        <v>0</v>
      </c>
      <c r="GD65" s="486">
        <v>0</v>
      </c>
      <c r="GE65" s="486">
        <v>0</v>
      </c>
      <c r="GF65" s="486">
        <v>0</v>
      </c>
      <c r="GG65" s="486">
        <v>0</v>
      </c>
      <c r="GH65" s="486">
        <v>0</v>
      </c>
      <c r="GI65" s="486">
        <v>0</v>
      </c>
      <c r="GJ65" s="486">
        <v>0</v>
      </c>
      <c r="GK65" s="486">
        <v>0</v>
      </c>
      <c r="GL65" s="486">
        <v>0</v>
      </c>
      <c r="GM65" s="486">
        <v>0</v>
      </c>
      <c r="GN65" s="486">
        <v>0</v>
      </c>
      <c r="GO65" s="486">
        <v>0</v>
      </c>
      <c r="GP65" s="486">
        <v>0</v>
      </c>
      <c r="GQ65" s="486">
        <v>0</v>
      </c>
      <c r="GR65" s="486">
        <v>0</v>
      </c>
      <c r="GS65" s="486">
        <v>0</v>
      </c>
      <c r="GT65" s="486">
        <v>0</v>
      </c>
      <c r="GU65" s="486">
        <v>0</v>
      </c>
      <c r="GV65" s="486">
        <v>0</v>
      </c>
      <c r="GW65" s="486">
        <v>0</v>
      </c>
      <c r="GX65" s="486">
        <v>0</v>
      </c>
      <c r="GY65" s="486">
        <v>0</v>
      </c>
      <c r="GZ65" s="486">
        <v>0</v>
      </c>
      <c r="HA65" s="486">
        <v>0</v>
      </c>
      <c r="HB65" s="486">
        <v>0</v>
      </c>
      <c r="HC65" s="486">
        <v>0</v>
      </c>
      <c r="HD65" s="486">
        <v>0</v>
      </c>
      <c r="HE65" s="486">
        <v>0</v>
      </c>
      <c r="HF65" s="486">
        <v>0</v>
      </c>
      <c r="HG65" s="486">
        <v>0</v>
      </c>
      <c r="HH65" s="486">
        <v>0</v>
      </c>
      <c r="HI65" s="486">
        <v>0</v>
      </c>
      <c r="HJ65" s="486">
        <v>0</v>
      </c>
      <c r="HK65" s="486">
        <v>0</v>
      </c>
      <c r="HL65" s="486">
        <v>0</v>
      </c>
      <c r="HM65" s="486">
        <v>0</v>
      </c>
      <c r="HN65" s="486">
        <v>0</v>
      </c>
      <c r="HO65" s="486">
        <v>0</v>
      </c>
      <c r="HP65" s="486">
        <v>0</v>
      </c>
      <c r="HQ65" s="486">
        <v>0</v>
      </c>
      <c r="HR65" s="486">
        <v>0</v>
      </c>
      <c r="HS65" s="486">
        <v>0</v>
      </c>
      <c r="HT65" s="486">
        <v>0</v>
      </c>
      <c r="HU65" s="486">
        <v>0</v>
      </c>
      <c r="HV65" s="486">
        <v>0</v>
      </c>
      <c r="HW65" s="486">
        <v>0</v>
      </c>
      <c r="HX65" s="486">
        <v>0</v>
      </c>
      <c r="HY65" s="486">
        <v>0</v>
      </c>
      <c r="HZ65" s="486">
        <v>0</v>
      </c>
      <c r="IA65" s="486">
        <v>0</v>
      </c>
      <c r="IB65" s="486">
        <v>0</v>
      </c>
      <c r="IC65" s="486">
        <v>0</v>
      </c>
      <c r="ID65" s="486">
        <v>0</v>
      </c>
      <c r="IE65" s="486">
        <v>0</v>
      </c>
      <c r="IF65" s="486">
        <v>0</v>
      </c>
      <c r="IG65" s="486">
        <v>0</v>
      </c>
      <c r="IH65" s="486">
        <v>0</v>
      </c>
      <c r="II65" s="486">
        <v>0</v>
      </c>
      <c r="IJ65" s="486">
        <v>0</v>
      </c>
    </row>
    <row r="66" spans="1:244" ht="16.5" hidden="1">
      <c r="A66" s="484" t="s">
        <v>720</v>
      </c>
      <c r="B66" s="484" t="s">
        <v>617</v>
      </c>
      <c r="C66" s="484" t="s">
        <v>721</v>
      </c>
      <c r="D66" s="485"/>
      <c r="E66" s="484" t="s">
        <v>721</v>
      </c>
      <c r="F66" s="484" t="s">
        <v>25</v>
      </c>
      <c r="G66" s="485"/>
      <c r="H66" s="486">
        <v>15</v>
      </c>
      <c r="I66" s="471" t="str">
        <f t="shared" ref="I66:I116" si="3">B66&amp;TEXT(F66,"00")&amp;TEXT(H66,"00")</f>
        <v>AIJ100115</v>
      </c>
      <c r="J66" s="486">
        <v>50</v>
      </c>
      <c r="L66" s="484" t="s">
        <v>720</v>
      </c>
      <c r="M66" s="484" t="s">
        <v>617</v>
      </c>
      <c r="N66" s="484" t="s">
        <v>26</v>
      </c>
      <c r="O66" s="486">
        <v>31</v>
      </c>
      <c r="P66" s="471" t="str">
        <f t="shared" ref="P66:P97" si="4">M66&amp;TEXT(N66,"00")&amp;TEXT(O66,"00")</f>
        <v>AIJ100231</v>
      </c>
      <c r="Q66" s="486">
        <v>0</v>
      </c>
      <c r="R66" s="486">
        <v>5</v>
      </c>
      <c r="S66" s="486">
        <v>10</v>
      </c>
      <c r="T66" s="486">
        <v>14</v>
      </c>
      <c r="U66" s="486">
        <v>19</v>
      </c>
      <c r="V66" s="486">
        <v>24</v>
      </c>
      <c r="W66" s="486">
        <v>30</v>
      </c>
      <c r="X66" s="486">
        <v>35</v>
      </c>
      <c r="Y66" s="486">
        <v>39</v>
      </c>
      <c r="Z66" s="486">
        <v>0</v>
      </c>
      <c r="AA66" s="486">
        <v>0</v>
      </c>
      <c r="AB66" s="486">
        <v>0</v>
      </c>
      <c r="AC66" s="486">
        <v>0</v>
      </c>
      <c r="AD66" s="486">
        <v>0</v>
      </c>
      <c r="AE66" s="486">
        <v>0</v>
      </c>
      <c r="AF66" s="486">
        <v>0</v>
      </c>
      <c r="AG66" s="486">
        <v>0</v>
      </c>
      <c r="AH66" s="486">
        <v>0</v>
      </c>
      <c r="AI66" s="486">
        <v>0</v>
      </c>
      <c r="AJ66" s="486">
        <v>0</v>
      </c>
      <c r="AK66" s="486">
        <v>0</v>
      </c>
      <c r="AL66" s="486">
        <v>0</v>
      </c>
      <c r="AM66" s="486">
        <v>0</v>
      </c>
      <c r="AN66" s="486">
        <v>0</v>
      </c>
      <c r="AO66" s="486">
        <v>0</v>
      </c>
      <c r="AP66" s="486">
        <v>0</v>
      </c>
      <c r="AQ66" s="486">
        <v>0</v>
      </c>
      <c r="AR66" s="486">
        <v>0</v>
      </c>
      <c r="AS66" s="486">
        <v>0</v>
      </c>
      <c r="AT66" s="486">
        <v>0</v>
      </c>
      <c r="AU66" s="486">
        <v>0</v>
      </c>
      <c r="AV66" s="486">
        <v>0</v>
      </c>
      <c r="AW66" s="486">
        <v>0</v>
      </c>
      <c r="AX66" s="486">
        <v>0</v>
      </c>
      <c r="AY66" s="486">
        <v>0</v>
      </c>
      <c r="AZ66" s="486">
        <v>0</v>
      </c>
      <c r="BA66" s="486">
        <v>0</v>
      </c>
      <c r="BB66" s="486">
        <v>0</v>
      </c>
      <c r="BC66" s="486">
        <v>0</v>
      </c>
      <c r="BD66" s="486">
        <v>0</v>
      </c>
      <c r="BE66" s="486">
        <v>0</v>
      </c>
      <c r="BF66" s="486">
        <v>0</v>
      </c>
      <c r="BG66" s="486">
        <v>0</v>
      </c>
      <c r="BH66" s="486">
        <v>0</v>
      </c>
      <c r="BI66" s="486">
        <v>0</v>
      </c>
      <c r="BJ66" s="486">
        <v>0</v>
      </c>
      <c r="BK66" s="486">
        <v>0</v>
      </c>
      <c r="BL66" s="486">
        <v>0</v>
      </c>
      <c r="BM66" s="486">
        <v>0</v>
      </c>
      <c r="BN66" s="486">
        <v>0</v>
      </c>
      <c r="BO66" s="486">
        <v>0</v>
      </c>
      <c r="BP66" s="486">
        <v>0</v>
      </c>
      <c r="BQ66" s="486">
        <v>0</v>
      </c>
      <c r="BR66" s="486">
        <v>0</v>
      </c>
      <c r="BS66" s="486">
        <v>0</v>
      </c>
      <c r="BT66" s="486">
        <v>0</v>
      </c>
      <c r="BU66" s="486">
        <v>0</v>
      </c>
      <c r="BV66" s="486">
        <v>0</v>
      </c>
      <c r="BW66" s="486">
        <v>0</v>
      </c>
      <c r="BX66" s="486">
        <v>0</v>
      </c>
      <c r="BY66" s="486">
        <v>0</v>
      </c>
      <c r="BZ66" s="486">
        <v>0</v>
      </c>
      <c r="CA66" s="486">
        <v>0</v>
      </c>
      <c r="CB66" s="486">
        <v>0</v>
      </c>
      <c r="CC66" s="486">
        <v>0</v>
      </c>
      <c r="CD66" s="486">
        <v>0</v>
      </c>
      <c r="CE66" s="486">
        <v>0</v>
      </c>
      <c r="CF66" s="486">
        <v>0</v>
      </c>
      <c r="CG66" s="486">
        <v>0</v>
      </c>
      <c r="CH66" s="486">
        <v>0</v>
      </c>
      <c r="CI66" s="486">
        <v>0</v>
      </c>
      <c r="CJ66" s="486">
        <v>0</v>
      </c>
      <c r="CK66" s="486">
        <v>0</v>
      </c>
      <c r="CL66" s="486">
        <v>0</v>
      </c>
      <c r="CM66" s="486">
        <v>0</v>
      </c>
      <c r="CN66" s="486">
        <v>0</v>
      </c>
      <c r="CO66" s="486">
        <v>0</v>
      </c>
      <c r="CP66" s="486">
        <v>0</v>
      </c>
      <c r="CQ66" s="486">
        <v>0</v>
      </c>
      <c r="CR66" s="486">
        <v>0</v>
      </c>
      <c r="CS66" s="486">
        <v>0</v>
      </c>
      <c r="CT66" s="486">
        <v>0</v>
      </c>
      <c r="CU66" s="486">
        <v>0</v>
      </c>
      <c r="CV66" s="486">
        <v>0</v>
      </c>
      <c r="CW66" s="486">
        <v>0</v>
      </c>
      <c r="CX66" s="486">
        <v>0</v>
      </c>
      <c r="CY66" s="486">
        <v>0</v>
      </c>
      <c r="CZ66" s="486">
        <v>0</v>
      </c>
      <c r="DA66" s="486">
        <v>0</v>
      </c>
      <c r="DB66" s="486">
        <v>0</v>
      </c>
      <c r="DC66" s="486">
        <v>0</v>
      </c>
      <c r="DD66" s="486">
        <v>0</v>
      </c>
      <c r="DE66" s="486">
        <v>0</v>
      </c>
      <c r="DF66" s="486">
        <v>0</v>
      </c>
      <c r="DG66" s="486">
        <v>0</v>
      </c>
      <c r="DH66" s="486">
        <v>0</v>
      </c>
      <c r="DI66" s="486">
        <v>0</v>
      </c>
      <c r="DJ66" s="486">
        <v>0</v>
      </c>
      <c r="DK66" s="486">
        <v>0</v>
      </c>
      <c r="DL66" s="486">
        <v>0</v>
      </c>
      <c r="DM66" s="486">
        <v>0</v>
      </c>
      <c r="DN66" s="486">
        <v>0</v>
      </c>
      <c r="DO66" s="486">
        <v>0</v>
      </c>
      <c r="DP66" s="486">
        <v>0</v>
      </c>
      <c r="DQ66" s="486">
        <v>0</v>
      </c>
      <c r="DR66" s="486">
        <v>0</v>
      </c>
      <c r="DS66" s="486">
        <v>0</v>
      </c>
      <c r="DT66" s="486">
        <v>0</v>
      </c>
      <c r="DU66" s="486">
        <v>0</v>
      </c>
      <c r="DV66" s="486">
        <v>0</v>
      </c>
      <c r="DW66" s="486">
        <v>0</v>
      </c>
      <c r="DX66" s="477"/>
      <c r="DY66" s="484" t="s">
        <v>720</v>
      </c>
      <c r="DZ66" s="484" t="s">
        <v>617</v>
      </c>
      <c r="EA66" s="484" t="s">
        <v>26</v>
      </c>
      <c r="EB66" s="486">
        <v>31</v>
      </c>
      <c r="EC66" s="471" t="str">
        <f t="shared" si="0"/>
        <v>AIJ100231</v>
      </c>
      <c r="ED66" s="486">
        <v>10000</v>
      </c>
      <c r="EE66" s="486">
        <v>10000</v>
      </c>
      <c r="EF66" s="486">
        <v>10000</v>
      </c>
      <c r="EG66" s="486">
        <v>10000</v>
      </c>
      <c r="EH66" s="486">
        <v>10000</v>
      </c>
      <c r="EI66" s="486">
        <v>10000</v>
      </c>
      <c r="EJ66" s="486">
        <v>10000</v>
      </c>
      <c r="EK66" s="486">
        <v>10000</v>
      </c>
      <c r="EL66" s="486">
        <v>10000</v>
      </c>
      <c r="EM66" s="486">
        <v>10000</v>
      </c>
      <c r="EN66" s="486">
        <v>0</v>
      </c>
      <c r="EO66" s="486">
        <v>0</v>
      </c>
      <c r="EP66" s="486">
        <v>0</v>
      </c>
      <c r="EQ66" s="486">
        <v>0</v>
      </c>
      <c r="ER66" s="486">
        <v>0</v>
      </c>
      <c r="ES66" s="486">
        <v>0</v>
      </c>
      <c r="ET66" s="486">
        <v>0</v>
      </c>
      <c r="EU66" s="486">
        <v>0</v>
      </c>
      <c r="EV66" s="486">
        <v>0</v>
      </c>
      <c r="EW66" s="486">
        <v>0</v>
      </c>
      <c r="EX66" s="486">
        <v>0</v>
      </c>
      <c r="EY66" s="486">
        <v>0</v>
      </c>
      <c r="EZ66" s="486">
        <v>0</v>
      </c>
      <c r="FA66" s="486">
        <v>0</v>
      </c>
      <c r="FB66" s="486">
        <v>0</v>
      </c>
      <c r="FC66" s="486">
        <v>0</v>
      </c>
      <c r="FD66" s="486">
        <v>0</v>
      </c>
      <c r="FE66" s="486">
        <v>0</v>
      </c>
      <c r="FF66" s="486">
        <v>0</v>
      </c>
      <c r="FG66" s="486">
        <v>0</v>
      </c>
      <c r="FH66" s="486">
        <v>0</v>
      </c>
      <c r="FI66" s="486">
        <v>0</v>
      </c>
      <c r="FJ66" s="486">
        <v>0</v>
      </c>
      <c r="FK66" s="486">
        <v>0</v>
      </c>
      <c r="FL66" s="486">
        <v>0</v>
      </c>
      <c r="FM66" s="486">
        <v>0</v>
      </c>
      <c r="FN66" s="486">
        <v>0</v>
      </c>
      <c r="FO66" s="486">
        <v>0</v>
      </c>
      <c r="FP66" s="486">
        <v>0</v>
      </c>
      <c r="FQ66" s="486">
        <v>0</v>
      </c>
      <c r="FR66" s="486">
        <v>0</v>
      </c>
      <c r="FS66" s="486">
        <v>0</v>
      </c>
      <c r="FT66" s="486">
        <v>0</v>
      </c>
      <c r="FU66" s="486">
        <v>0</v>
      </c>
      <c r="FV66" s="486">
        <v>0</v>
      </c>
      <c r="FW66" s="486">
        <v>0</v>
      </c>
      <c r="FX66" s="486">
        <v>0</v>
      </c>
      <c r="FY66" s="486">
        <v>0</v>
      </c>
      <c r="FZ66" s="486">
        <v>0</v>
      </c>
      <c r="GA66" s="486">
        <v>0</v>
      </c>
      <c r="GB66" s="486">
        <v>0</v>
      </c>
      <c r="GC66" s="486">
        <v>0</v>
      </c>
      <c r="GD66" s="486">
        <v>0</v>
      </c>
      <c r="GE66" s="486">
        <v>0</v>
      </c>
      <c r="GF66" s="486">
        <v>0</v>
      </c>
      <c r="GG66" s="486">
        <v>0</v>
      </c>
      <c r="GH66" s="486">
        <v>0</v>
      </c>
      <c r="GI66" s="486">
        <v>0</v>
      </c>
      <c r="GJ66" s="486">
        <v>0</v>
      </c>
      <c r="GK66" s="486">
        <v>0</v>
      </c>
      <c r="GL66" s="486">
        <v>0</v>
      </c>
      <c r="GM66" s="486">
        <v>0</v>
      </c>
      <c r="GN66" s="486">
        <v>0</v>
      </c>
      <c r="GO66" s="486">
        <v>0</v>
      </c>
      <c r="GP66" s="486">
        <v>0</v>
      </c>
      <c r="GQ66" s="486">
        <v>0</v>
      </c>
      <c r="GR66" s="486">
        <v>0</v>
      </c>
      <c r="GS66" s="486">
        <v>0</v>
      </c>
      <c r="GT66" s="486">
        <v>0</v>
      </c>
      <c r="GU66" s="486">
        <v>0</v>
      </c>
      <c r="GV66" s="486">
        <v>0</v>
      </c>
      <c r="GW66" s="486">
        <v>0</v>
      </c>
      <c r="GX66" s="486">
        <v>0</v>
      </c>
      <c r="GY66" s="486">
        <v>0</v>
      </c>
      <c r="GZ66" s="486">
        <v>0</v>
      </c>
      <c r="HA66" s="486">
        <v>0</v>
      </c>
      <c r="HB66" s="486">
        <v>0</v>
      </c>
      <c r="HC66" s="486">
        <v>0</v>
      </c>
      <c r="HD66" s="486">
        <v>0</v>
      </c>
      <c r="HE66" s="486">
        <v>0</v>
      </c>
      <c r="HF66" s="486">
        <v>0</v>
      </c>
      <c r="HG66" s="486">
        <v>0</v>
      </c>
      <c r="HH66" s="486">
        <v>0</v>
      </c>
      <c r="HI66" s="486">
        <v>0</v>
      </c>
      <c r="HJ66" s="486">
        <v>0</v>
      </c>
      <c r="HK66" s="486">
        <v>0</v>
      </c>
      <c r="HL66" s="486">
        <v>0</v>
      </c>
      <c r="HM66" s="486">
        <v>0</v>
      </c>
      <c r="HN66" s="486">
        <v>0</v>
      </c>
      <c r="HO66" s="486">
        <v>0</v>
      </c>
      <c r="HP66" s="486">
        <v>0</v>
      </c>
      <c r="HQ66" s="486">
        <v>0</v>
      </c>
      <c r="HR66" s="486">
        <v>0</v>
      </c>
      <c r="HS66" s="486">
        <v>0</v>
      </c>
      <c r="HT66" s="486">
        <v>0</v>
      </c>
      <c r="HU66" s="486">
        <v>0</v>
      </c>
      <c r="HV66" s="486">
        <v>0</v>
      </c>
      <c r="HW66" s="486">
        <v>0</v>
      </c>
      <c r="HX66" s="486">
        <v>0</v>
      </c>
      <c r="HY66" s="486">
        <v>0</v>
      </c>
      <c r="HZ66" s="486">
        <v>0</v>
      </c>
      <c r="IA66" s="486">
        <v>0</v>
      </c>
      <c r="IB66" s="486">
        <v>0</v>
      </c>
      <c r="IC66" s="486">
        <v>0</v>
      </c>
      <c r="ID66" s="486">
        <v>0</v>
      </c>
      <c r="IE66" s="486">
        <v>0</v>
      </c>
      <c r="IF66" s="486">
        <v>0</v>
      </c>
      <c r="IG66" s="486">
        <v>0</v>
      </c>
      <c r="IH66" s="486">
        <v>0</v>
      </c>
      <c r="II66" s="486">
        <v>0</v>
      </c>
      <c r="IJ66" s="486">
        <v>0</v>
      </c>
    </row>
    <row r="67" spans="1:244" ht="16.5" hidden="1">
      <c r="A67" s="484" t="s">
        <v>720</v>
      </c>
      <c r="B67" s="484" t="s">
        <v>617</v>
      </c>
      <c r="C67" s="484" t="s">
        <v>721</v>
      </c>
      <c r="D67" s="485"/>
      <c r="E67" s="484" t="s">
        <v>721</v>
      </c>
      <c r="F67" s="484" t="s">
        <v>25</v>
      </c>
      <c r="G67" s="485"/>
      <c r="H67" s="486">
        <v>16</v>
      </c>
      <c r="I67" s="471" t="str">
        <f t="shared" si="3"/>
        <v>AIJ100116</v>
      </c>
      <c r="J67" s="486">
        <v>51</v>
      </c>
      <c r="L67" s="484" t="s">
        <v>720</v>
      </c>
      <c r="M67" s="484" t="s">
        <v>617</v>
      </c>
      <c r="N67" s="484" t="s">
        <v>26</v>
      </c>
      <c r="O67" s="486">
        <v>32</v>
      </c>
      <c r="P67" s="471" t="str">
        <f t="shared" si="4"/>
        <v>AIJ100232</v>
      </c>
      <c r="Q67" s="486">
        <v>0</v>
      </c>
      <c r="R67" s="486">
        <v>5</v>
      </c>
      <c r="S67" s="486">
        <v>10</v>
      </c>
      <c r="T67" s="486">
        <v>14</v>
      </c>
      <c r="U67" s="486">
        <v>20</v>
      </c>
      <c r="V67" s="486">
        <v>25</v>
      </c>
      <c r="W67" s="486">
        <v>31</v>
      </c>
      <c r="X67" s="486">
        <v>36</v>
      </c>
      <c r="Y67" s="486">
        <v>40</v>
      </c>
      <c r="Z67" s="486">
        <v>0</v>
      </c>
      <c r="AA67" s="486">
        <v>0</v>
      </c>
      <c r="AB67" s="486">
        <v>0</v>
      </c>
      <c r="AC67" s="486">
        <v>0</v>
      </c>
      <c r="AD67" s="486">
        <v>0</v>
      </c>
      <c r="AE67" s="486">
        <v>0</v>
      </c>
      <c r="AF67" s="486">
        <v>0</v>
      </c>
      <c r="AG67" s="486">
        <v>0</v>
      </c>
      <c r="AH67" s="486">
        <v>0</v>
      </c>
      <c r="AI67" s="486">
        <v>0</v>
      </c>
      <c r="AJ67" s="486">
        <v>0</v>
      </c>
      <c r="AK67" s="486">
        <v>0</v>
      </c>
      <c r="AL67" s="486">
        <v>0</v>
      </c>
      <c r="AM67" s="486">
        <v>0</v>
      </c>
      <c r="AN67" s="486">
        <v>0</v>
      </c>
      <c r="AO67" s="486">
        <v>0</v>
      </c>
      <c r="AP67" s="486">
        <v>0</v>
      </c>
      <c r="AQ67" s="486">
        <v>0</v>
      </c>
      <c r="AR67" s="486">
        <v>0</v>
      </c>
      <c r="AS67" s="486">
        <v>0</v>
      </c>
      <c r="AT67" s="486">
        <v>0</v>
      </c>
      <c r="AU67" s="486">
        <v>0</v>
      </c>
      <c r="AV67" s="486">
        <v>0</v>
      </c>
      <c r="AW67" s="486">
        <v>0</v>
      </c>
      <c r="AX67" s="486">
        <v>0</v>
      </c>
      <c r="AY67" s="486">
        <v>0</v>
      </c>
      <c r="AZ67" s="486">
        <v>0</v>
      </c>
      <c r="BA67" s="486">
        <v>0</v>
      </c>
      <c r="BB67" s="486">
        <v>0</v>
      </c>
      <c r="BC67" s="486">
        <v>0</v>
      </c>
      <c r="BD67" s="486">
        <v>0</v>
      </c>
      <c r="BE67" s="486">
        <v>0</v>
      </c>
      <c r="BF67" s="486">
        <v>0</v>
      </c>
      <c r="BG67" s="486">
        <v>0</v>
      </c>
      <c r="BH67" s="486">
        <v>0</v>
      </c>
      <c r="BI67" s="486">
        <v>0</v>
      </c>
      <c r="BJ67" s="486">
        <v>0</v>
      </c>
      <c r="BK67" s="486">
        <v>0</v>
      </c>
      <c r="BL67" s="486">
        <v>0</v>
      </c>
      <c r="BM67" s="486">
        <v>0</v>
      </c>
      <c r="BN67" s="486">
        <v>0</v>
      </c>
      <c r="BO67" s="486">
        <v>0</v>
      </c>
      <c r="BP67" s="486">
        <v>0</v>
      </c>
      <c r="BQ67" s="486">
        <v>0</v>
      </c>
      <c r="BR67" s="486">
        <v>0</v>
      </c>
      <c r="BS67" s="486">
        <v>0</v>
      </c>
      <c r="BT67" s="486">
        <v>0</v>
      </c>
      <c r="BU67" s="486">
        <v>0</v>
      </c>
      <c r="BV67" s="486">
        <v>0</v>
      </c>
      <c r="BW67" s="486">
        <v>0</v>
      </c>
      <c r="BX67" s="486">
        <v>0</v>
      </c>
      <c r="BY67" s="486">
        <v>0</v>
      </c>
      <c r="BZ67" s="486">
        <v>0</v>
      </c>
      <c r="CA67" s="486">
        <v>0</v>
      </c>
      <c r="CB67" s="486">
        <v>0</v>
      </c>
      <c r="CC67" s="486">
        <v>0</v>
      </c>
      <c r="CD67" s="486">
        <v>0</v>
      </c>
      <c r="CE67" s="486">
        <v>0</v>
      </c>
      <c r="CF67" s="486">
        <v>0</v>
      </c>
      <c r="CG67" s="486">
        <v>0</v>
      </c>
      <c r="CH67" s="486">
        <v>0</v>
      </c>
      <c r="CI67" s="486">
        <v>0</v>
      </c>
      <c r="CJ67" s="486">
        <v>0</v>
      </c>
      <c r="CK67" s="486">
        <v>0</v>
      </c>
      <c r="CL67" s="486">
        <v>0</v>
      </c>
      <c r="CM67" s="486">
        <v>0</v>
      </c>
      <c r="CN67" s="486">
        <v>0</v>
      </c>
      <c r="CO67" s="486">
        <v>0</v>
      </c>
      <c r="CP67" s="486">
        <v>0</v>
      </c>
      <c r="CQ67" s="486">
        <v>0</v>
      </c>
      <c r="CR67" s="486">
        <v>0</v>
      </c>
      <c r="CS67" s="486">
        <v>0</v>
      </c>
      <c r="CT67" s="486">
        <v>0</v>
      </c>
      <c r="CU67" s="486">
        <v>0</v>
      </c>
      <c r="CV67" s="486">
        <v>0</v>
      </c>
      <c r="CW67" s="486">
        <v>0</v>
      </c>
      <c r="CX67" s="486">
        <v>0</v>
      </c>
      <c r="CY67" s="486">
        <v>0</v>
      </c>
      <c r="CZ67" s="486">
        <v>0</v>
      </c>
      <c r="DA67" s="486">
        <v>0</v>
      </c>
      <c r="DB67" s="486">
        <v>0</v>
      </c>
      <c r="DC67" s="486">
        <v>0</v>
      </c>
      <c r="DD67" s="486">
        <v>0</v>
      </c>
      <c r="DE67" s="486">
        <v>0</v>
      </c>
      <c r="DF67" s="486">
        <v>0</v>
      </c>
      <c r="DG67" s="486">
        <v>0</v>
      </c>
      <c r="DH67" s="486">
        <v>0</v>
      </c>
      <c r="DI67" s="486">
        <v>0</v>
      </c>
      <c r="DJ67" s="486">
        <v>0</v>
      </c>
      <c r="DK67" s="486">
        <v>0</v>
      </c>
      <c r="DL67" s="486">
        <v>0</v>
      </c>
      <c r="DM67" s="486">
        <v>0</v>
      </c>
      <c r="DN67" s="486">
        <v>0</v>
      </c>
      <c r="DO67" s="486">
        <v>0</v>
      </c>
      <c r="DP67" s="486">
        <v>0</v>
      </c>
      <c r="DQ67" s="486">
        <v>0</v>
      </c>
      <c r="DR67" s="486">
        <v>0</v>
      </c>
      <c r="DS67" s="486">
        <v>0</v>
      </c>
      <c r="DT67" s="486">
        <v>0</v>
      </c>
      <c r="DU67" s="486">
        <v>0</v>
      </c>
      <c r="DV67" s="486">
        <v>0</v>
      </c>
      <c r="DW67" s="486">
        <v>0</v>
      </c>
      <c r="DX67" s="477"/>
      <c r="DY67" s="484" t="s">
        <v>720</v>
      </c>
      <c r="DZ67" s="484" t="s">
        <v>617</v>
      </c>
      <c r="EA67" s="484" t="s">
        <v>26</v>
      </c>
      <c r="EB67" s="486">
        <v>32</v>
      </c>
      <c r="EC67" s="471" t="str">
        <f t="shared" si="0"/>
        <v>AIJ100232</v>
      </c>
      <c r="ED67" s="486">
        <v>10000</v>
      </c>
      <c r="EE67" s="486">
        <v>10000</v>
      </c>
      <c r="EF67" s="486">
        <v>10000</v>
      </c>
      <c r="EG67" s="486">
        <v>10000</v>
      </c>
      <c r="EH67" s="486">
        <v>10000</v>
      </c>
      <c r="EI67" s="486">
        <v>10000</v>
      </c>
      <c r="EJ67" s="486">
        <v>10000</v>
      </c>
      <c r="EK67" s="486">
        <v>10000</v>
      </c>
      <c r="EL67" s="486">
        <v>10000</v>
      </c>
      <c r="EM67" s="486">
        <v>10000</v>
      </c>
      <c r="EN67" s="486">
        <v>0</v>
      </c>
      <c r="EO67" s="486">
        <v>0</v>
      </c>
      <c r="EP67" s="486">
        <v>0</v>
      </c>
      <c r="EQ67" s="486">
        <v>0</v>
      </c>
      <c r="ER67" s="486">
        <v>0</v>
      </c>
      <c r="ES67" s="486">
        <v>0</v>
      </c>
      <c r="ET67" s="486">
        <v>0</v>
      </c>
      <c r="EU67" s="486">
        <v>0</v>
      </c>
      <c r="EV67" s="486">
        <v>0</v>
      </c>
      <c r="EW67" s="486">
        <v>0</v>
      </c>
      <c r="EX67" s="486">
        <v>0</v>
      </c>
      <c r="EY67" s="486">
        <v>0</v>
      </c>
      <c r="EZ67" s="486">
        <v>0</v>
      </c>
      <c r="FA67" s="486">
        <v>0</v>
      </c>
      <c r="FB67" s="486">
        <v>0</v>
      </c>
      <c r="FC67" s="486">
        <v>0</v>
      </c>
      <c r="FD67" s="486">
        <v>0</v>
      </c>
      <c r="FE67" s="486">
        <v>0</v>
      </c>
      <c r="FF67" s="486">
        <v>0</v>
      </c>
      <c r="FG67" s="486">
        <v>0</v>
      </c>
      <c r="FH67" s="486">
        <v>0</v>
      </c>
      <c r="FI67" s="486">
        <v>0</v>
      </c>
      <c r="FJ67" s="486">
        <v>0</v>
      </c>
      <c r="FK67" s="486">
        <v>0</v>
      </c>
      <c r="FL67" s="486">
        <v>0</v>
      </c>
      <c r="FM67" s="486">
        <v>0</v>
      </c>
      <c r="FN67" s="486">
        <v>0</v>
      </c>
      <c r="FO67" s="486">
        <v>0</v>
      </c>
      <c r="FP67" s="486">
        <v>0</v>
      </c>
      <c r="FQ67" s="486">
        <v>0</v>
      </c>
      <c r="FR67" s="486">
        <v>0</v>
      </c>
      <c r="FS67" s="486">
        <v>0</v>
      </c>
      <c r="FT67" s="486">
        <v>0</v>
      </c>
      <c r="FU67" s="486">
        <v>0</v>
      </c>
      <c r="FV67" s="486">
        <v>0</v>
      </c>
      <c r="FW67" s="486">
        <v>0</v>
      </c>
      <c r="FX67" s="486">
        <v>0</v>
      </c>
      <c r="FY67" s="486">
        <v>0</v>
      </c>
      <c r="FZ67" s="486">
        <v>0</v>
      </c>
      <c r="GA67" s="486">
        <v>0</v>
      </c>
      <c r="GB67" s="486">
        <v>0</v>
      </c>
      <c r="GC67" s="486">
        <v>0</v>
      </c>
      <c r="GD67" s="486">
        <v>0</v>
      </c>
      <c r="GE67" s="486">
        <v>0</v>
      </c>
      <c r="GF67" s="486">
        <v>0</v>
      </c>
      <c r="GG67" s="486">
        <v>0</v>
      </c>
      <c r="GH67" s="486">
        <v>0</v>
      </c>
      <c r="GI67" s="486">
        <v>0</v>
      </c>
      <c r="GJ67" s="486">
        <v>0</v>
      </c>
      <c r="GK67" s="486">
        <v>0</v>
      </c>
      <c r="GL67" s="486">
        <v>0</v>
      </c>
      <c r="GM67" s="486">
        <v>0</v>
      </c>
      <c r="GN67" s="486">
        <v>0</v>
      </c>
      <c r="GO67" s="486">
        <v>0</v>
      </c>
      <c r="GP67" s="486">
        <v>0</v>
      </c>
      <c r="GQ67" s="486">
        <v>0</v>
      </c>
      <c r="GR67" s="486">
        <v>0</v>
      </c>
      <c r="GS67" s="486">
        <v>0</v>
      </c>
      <c r="GT67" s="486">
        <v>0</v>
      </c>
      <c r="GU67" s="486">
        <v>0</v>
      </c>
      <c r="GV67" s="486">
        <v>0</v>
      </c>
      <c r="GW67" s="486">
        <v>0</v>
      </c>
      <c r="GX67" s="486">
        <v>0</v>
      </c>
      <c r="GY67" s="486">
        <v>0</v>
      </c>
      <c r="GZ67" s="486">
        <v>0</v>
      </c>
      <c r="HA67" s="486">
        <v>0</v>
      </c>
      <c r="HB67" s="486">
        <v>0</v>
      </c>
      <c r="HC67" s="486">
        <v>0</v>
      </c>
      <c r="HD67" s="486">
        <v>0</v>
      </c>
      <c r="HE67" s="486">
        <v>0</v>
      </c>
      <c r="HF67" s="486">
        <v>0</v>
      </c>
      <c r="HG67" s="486">
        <v>0</v>
      </c>
      <c r="HH67" s="486">
        <v>0</v>
      </c>
      <c r="HI67" s="486">
        <v>0</v>
      </c>
      <c r="HJ67" s="486">
        <v>0</v>
      </c>
      <c r="HK67" s="486">
        <v>0</v>
      </c>
      <c r="HL67" s="486">
        <v>0</v>
      </c>
      <c r="HM67" s="486">
        <v>0</v>
      </c>
      <c r="HN67" s="486">
        <v>0</v>
      </c>
      <c r="HO67" s="486">
        <v>0</v>
      </c>
      <c r="HP67" s="486">
        <v>0</v>
      </c>
      <c r="HQ67" s="486">
        <v>0</v>
      </c>
      <c r="HR67" s="486">
        <v>0</v>
      </c>
      <c r="HS67" s="486">
        <v>0</v>
      </c>
      <c r="HT67" s="486">
        <v>0</v>
      </c>
      <c r="HU67" s="486">
        <v>0</v>
      </c>
      <c r="HV67" s="486">
        <v>0</v>
      </c>
      <c r="HW67" s="486">
        <v>0</v>
      </c>
      <c r="HX67" s="486">
        <v>0</v>
      </c>
      <c r="HY67" s="486">
        <v>0</v>
      </c>
      <c r="HZ67" s="486">
        <v>0</v>
      </c>
      <c r="IA67" s="486">
        <v>0</v>
      </c>
      <c r="IB67" s="486">
        <v>0</v>
      </c>
      <c r="IC67" s="486">
        <v>0</v>
      </c>
      <c r="ID67" s="486">
        <v>0</v>
      </c>
      <c r="IE67" s="486">
        <v>0</v>
      </c>
      <c r="IF67" s="486">
        <v>0</v>
      </c>
      <c r="IG67" s="486">
        <v>0</v>
      </c>
      <c r="IH67" s="486">
        <v>0</v>
      </c>
      <c r="II67" s="486">
        <v>0</v>
      </c>
      <c r="IJ67" s="486">
        <v>0</v>
      </c>
    </row>
    <row r="68" spans="1:244" ht="16.5" hidden="1">
      <c r="A68" s="484" t="s">
        <v>720</v>
      </c>
      <c r="B68" s="484" t="s">
        <v>617</v>
      </c>
      <c r="C68" s="484" t="s">
        <v>721</v>
      </c>
      <c r="D68" s="485"/>
      <c r="E68" s="484" t="s">
        <v>721</v>
      </c>
      <c r="F68" s="484" t="s">
        <v>25</v>
      </c>
      <c r="G68" s="485"/>
      <c r="H68" s="486">
        <v>17</v>
      </c>
      <c r="I68" s="471" t="str">
        <f t="shared" si="3"/>
        <v>AIJ100117</v>
      </c>
      <c r="J68" s="486">
        <v>52</v>
      </c>
      <c r="L68" s="484" t="s">
        <v>720</v>
      </c>
      <c r="M68" s="484" t="s">
        <v>617</v>
      </c>
      <c r="N68" s="484" t="s">
        <v>26</v>
      </c>
      <c r="O68" s="486">
        <v>33</v>
      </c>
      <c r="P68" s="471" t="str">
        <f t="shared" si="4"/>
        <v>AIJ100233</v>
      </c>
      <c r="Q68" s="486">
        <v>0</v>
      </c>
      <c r="R68" s="486">
        <v>5</v>
      </c>
      <c r="S68" s="486">
        <v>11</v>
      </c>
      <c r="T68" s="486">
        <v>15</v>
      </c>
      <c r="U68" s="486">
        <v>21</v>
      </c>
      <c r="V68" s="486">
        <v>26</v>
      </c>
      <c r="W68" s="486">
        <v>31</v>
      </c>
      <c r="X68" s="486">
        <v>37</v>
      </c>
      <c r="Y68" s="486">
        <v>41</v>
      </c>
      <c r="Z68" s="486">
        <v>0</v>
      </c>
      <c r="AA68" s="486">
        <v>0</v>
      </c>
      <c r="AB68" s="486">
        <v>0</v>
      </c>
      <c r="AC68" s="486">
        <v>0</v>
      </c>
      <c r="AD68" s="486">
        <v>0</v>
      </c>
      <c r="AE68" s="486">
        <v>0</v>
      </c>
      <c r="AF68" s="486">
        <v>0</v>
      </c>
      <c r="AG68" s="486">
        <v>0</v>
      </c>
      <c r="AH68" s="486">
        <v>0</v>
      </c>
      <c r="AI68" s="486">
        <v>0</v>
      </c>
      <c r="AJ68" s="486">
        <v>0</v>
      </c>
      <c r="AK68" s="486">
        <v>0</v>
      </c>
      <c r="AL68" s="486">
        <v>0</v>
      </c>
      <c r="AM68" s="486">
        <v>0</v>
      </c>
      <c r="AN68" s="486">
        <v>0</v>
      </c>
      <c r="AO68" s="486">
        <v>0</v>
      </c>
      <c r="AP68" s="486">
        <v>0</v>
      </c>
      <c r="AQ68" s="486">
        <v>0</v>
      </c>
      <c r="AR68" s="486">
        <v>0</v>
      </c>
      <c r="AS68" s="486">
        <v>0</v>
      </c>
      <c r="AT68" s="486">
        <v>0</v>
      </c>
      <c r="AU68" s="486">
        <v>0</v>
      </c>
      <c r="AV68" s="486">
        <v>0</v>
      </c>
      <c r="AW68" s="486">
        <v>0</v>
      </c>
      <c r="AX68" s="486">
        <v>0</v>
      </c>
      <c r="AY68" s="486">
        <v>0</v>
      </c>
      <c r="AZ68" s="486">
        <v>0</v>
      </c>
      <c r="BA68" s="486">
        <v>0</v>
      </c>
      <c r="BB68" s="486">
        <v>0</v>
      </c>
      <c r="BC68" s="486">
        <v>0</v>
      </c>
      <c r="BD68" s="486">
        <v>0</v>
      </c>
      <c r="BE68" s="486">
        <v>0</v>
      </c>
      <c r="BF68" s="486">
        <v>0</v>
      </c>
      <c r="BG68" s="486">
        <v>0</v>
      </c>
      <c r="BH68" s="486">
        <v>0</v>
      </c>
      <c r="BI68" s="486">
        <v>0</v>
      </c>
      <c r="BJ68" s="486">
        <v>0</v>
      </c>
      <c r="BK68" s="486">
        <v>0</v>
      </c>
      <c r="BL68" s="486">
        <v>0</v>
      </c>
      <c r="BM68" s="486">
        <v>0</v>
      </c>
      <c r="BN68" s="486">
        <v>0</v>
      </c>
      <c r="BO68" s="486">
        <v>0</v>
      </c>
      <c r="BP68" s="486">
        <v>0</v>
      </c>
      <c r="BQ68" s="486">
        <v>0</v>
      </c>
      <c r="BR68" s="486">
        <v>0</v>
      </c>
      <c r="BS68" s="486">
        <v>0</v>
      </c>
      <c r="BT68" s="486">
        <v>0</v>
      </c>
      <c r="BU68" s="486">
        <v>0</v>
      </c>
      <c r="BV68" s="486">
        <v>0</v>
      </c>
      <c r="BW68" s="486">
        <v>0</v>
      </c>
      <c r="BX68" s="486">
        <v>0</v>
      </c>
      <c r="BY68" s="486">
        <v>0</v>
      </c>
      <c r="BZ68" s="486">
        <v>0</v>
      </c>
      <c r="CA68" s="486">
        <v>0</v>
      </c>
      <c r="CB68" s="486">
        <v>0</v>
      </c>
      <c r="CC68" s="486">
        <v>0</v>
      </c>
      <c r="CD68" s="486">
        <v>0</v>
      </c>
      <c r="CE68" s="486">
        <v>0</v>
      </c>
      <c r="CF68" s="486">
        <v>0</v>
      </c>
      <c r="CG68" s="486">
        <v>0</v>
      </c>
      <c r="CH68" s="486">
        <v>0</v>
      </c>
      <c r="CI68" s="486">
        <v>0</v>
      </c>
      <c r="CJ68" s="486">
        <v>0</v>
      </c>
      <c r="CK68" s="486">
        <v>0</v>
      </c>
      <c r="CL68" s="486">
        <v>0</v>
      </c>
      <c r="CM68" s="486">
        <v>0</v>
      </c>
      <c r="CN68" s="486">
        <v>0</v>
      </c>
      <c r="CO68" s="486">
        <v>0</v>
      </c>
      <c r="CP68" s="486">
        <v>0</v>
      </c>
      <c r="CQ68" s="486">
        <v>0</v>
      </c>
      <c r="CR68" s="486">
        <v>0</v>
      </c>
      <c r="CS68" s="486">
        <v>0</v>
      </c>
      <c r="CT68" s="486">
        <v>0</v>
      </c>
      <c r="CU68" s="486">
        <v>0</v>
      </c>
      <c r="CV68" s="486">
        <v>0</v>
      </c>
      <c r="CW68" s="486">
        <v>0</v>
      </c>
      <c r="CX68" s="486">
        <v>0</v>
      </c>
      <c r="CY68" s="486">
        <v>0</v>
      </c>
      <c r="CZ68" s="486">
        <v>0</v>
      </c>
      <c r="DA68" s="486">
        <v>0</v>
      </c>
      <c r="DB68" s="486">
        <v>0</v>
      </c>
      <c r="DC68" s="486">
        <v>0</v>
      </c>
      <c r="DD68" s="486">
        <v>0</v>
      </c>
      <c r="DE68" s="486">
        <v>0</v>
      </c>
      <c r="DF68" s="486">
        <v>0</v>
      </c>
      <c r="DG68" s="486">
        <v>0</v>
      </c>
      <c r="DH68" s="486">
        <v>0</v>
      </c>
      <c r="DI68" s="486">
        <v>0</v>
      </c>
      <c r="DJ68" s="486">
        <v>0</v>
      </c>
      <c r="DK68" s="486">
        <v>0</v>
      </c>
      <c r="DL68" s="486">
        <v>0</v>
      </c>
      <c r="DM68" s="486">
        <v>0</v>
      </c>
      <c r="DN68" s="486">
        <v>0</v>
      </c>
      <c r="DO68" s="486">
        <v>0</v>
      </c>
      <c r="DP68" s="486">
        <v>0</v>
      </c>
      <c r="DQ68" s="486">
        <v>0</v>
      </c>
      <c r="DR68" s="486">
        <v>0</v>
      </c>
      <c r="DS68" s="486">
        <v>0</v>
      </c>
      <c r="DT68" s="486">
        <v>0</v>
      </c>
      <c r="DU68" s="486">
        <v>0</v>
      </c>
      <c r="DV68" s="486">
        <v>0</v>
      </c>
      <c r="DW68" s="486">
        <v>0</v>
      </c>
      <c r="DX68" s="477"/>
      <c r="DY68" s="484" t="s">
        <v>720</v>
      </c>
      <c r="DZ68" s="484" t="s">
        <v>617</v>
      </c>
      <c r="EA68" s="484" t="s">
        <v>26</v>
      </c>
      <c r="EB68" s="486">
        <v>33</v>
      </c>
      <c r="EC68" s="471" t="str">
        <f t="shared" si="0"/>
        <v>AIJ100233</v>
      </c>
      <c r="ED68" s="486">
        <v>10000</v>
      </c>
      <c r="EE68" s="486">
        <v>10000</v>
      </c>
      <c r="EF68" s="486">
        <v>10000</v>
      </c>
      <c r="EG68" s="486">
        <v>10000</v>
      </c>
      <c r="EH68" s="486">
        <v>10000</v>
      </c>
      <c r="EI68" s="486">
        <v>10000</v>
      </c>
      <c r="EJ68" s="486">
        <v>10000</v>
      </c>
      <c r="EK68" s="486">
        <v>10000</v>
      </c>
      <c r="EL68" s="486">
        <v>10000</v>
      </c>
      <c r="EM68" s="486">
        <v>10000</v>
      </c>
      <c r="EN68" s="486">
        <v>0</v>
      </c>
      <c r="EO68" s="486">
        <v>0</v>
      </c>
      <c r="EP68" s="486">
        <v>0</v>
      </c>
      <c r="EQ68" s="486">
        <v>0</v>
      </c>
      <c r="ER68" s="486">
        <v>0</v>
      </c>
      <c r="ES68" s="486">
        <v>0</v>
      </c>
      <c r="ET68" s="486">
        <v>0</v>
      </c>
      <c r="EU68" s="486">
        <v>0</v>
      </c>
      <c r="EV68" s="486">
        <v>0</v>
      </c>
      <c r="EW68" s="486">
        <v>0</v>
      </c>
      <c r="EX68" s="486">
        <v>0</v>
      </c>
      <c r="EY68" s="486">
        <v>0</v>
      </c>
      <c r="EZ68" s="486">
        <v>0</v>
      </c>
      <c r="FA68" s="486">
        <v>0</v>
      </c>
      <c r="FB68" s="486">
        <v>0</v>
      </c>
      <c r="FC68" s="486">
        <v>0</v>
      </c>
      <c r="FD68" s="486">
        <v>0</v>
      </c>
      <c r="FE68" s="486">
        <v>0</v>
      </c>
      <c r="FF68" s="486">
        <v>0</v>
      </c>
      <c r="FG68" s="486">
        <v>0</v>
      </c>
      <c r="FH68" s="486">
        <v>0</v>
      </c>
      <c r="FI68" s="486">
        <v>0</v>
      </c>
      <c r="FJ68" s="486">
        <v>0</v>
      </c>
      <c r="FK68" s="486">
        <v>0</v>
      </c>
      <c r="FL68" s="486">
        <v>0</v>
      </c>
      <c r="FM68" s="486">
        <v>0</v>
      </c>
      <c r="FN68" s="486">
        <v>0</v>
      </c>
      <c r="FO68" s="486">
        <v>0</v>
      </c>
      <c r="FP68" s="486">
        <v>0</v>
      </c>
      <c r="FQ68" s="486">
        <v>0</v>
      </c>
      <c r="FR68" s="486">
        <v>0</v>
      </c>
      <c r="FS68" s="486">
        <v>0</v>
      </c>
      <c r="FT68" s="486">
        <v>0</v>
      </c>
      <c r="FU68" s="486">
        <v>0</v>
      </c>
      <c r="FV68" s="486">
        <v>0</v>
      </c>
      <c r="FW68" s="486">
        <v>0</v>
      </c>
      <c r="FX68" s="486">
        <v>0</v>
      </c>
      <c r="FY68" s="486">
        <v>0</v>
      </c>
      <c r="FZ68" s="486">
        <v>0</v>
      </c>
      <c r="GA68" s="486">
        <v>0</v>
      </c>
      <c r="GB68" s="486">
        <v>0</v>
      </c>
      <c r="GC68" s="486">
        <v>0</v>
      </c>
      <c r="GD68" s="486">
        <v>0</v>
      </c>
      <c r="GE68" s="486">
        <v>0</v>
      </c>
      <c r="GF68" s="486">
        <v>0</v>
      </c>
      <c r="GG68" s="486">
        <v>0</v>
      </c>
      <c r="GH68" s="486">
        <v>0</v>
      </c>
      <c r="GI68" s="486">
        <v>0</v>
      </c>
      <c r="GJ68" s="486">
        <v>0</v>
      </c>
      <c r="GK68" s="486">
        <v>0</v>
      </c>
      <c r="GL68" s="486">
        <v>0</v>
      </c>
      <c r="GM68" s="486">
        <v>0</v>
      </c>
      <c r="GN68" s="486">
        <v>0</v>
      </c>
      <c r="GO68" s="486">
        <v>0</v>
      </c>
      <c r="GP68" s="486">
        <v>0</v>
      </c>
      <c r="GQ68" s="486">
        <v>0</v>
      </c>
      <c r="GR68" s="486">
        <v>0</v>
      </c>
      <c r="GS68" s="486">
        <v>0</v>
      </c>
      <c r="GT68" s="486">
        <v>0</v>
      </c>
      <c r="GU68" s="486">
        <v>0</v>
      </c>
      <c r="GV68" s="486">
        <v>0</v>
      </c>
      <c r="GW68" s="486">
        <v>0</v>
      </c>
      <c r="GX68" s="486">
        <v>0</v>
      </c>
      <c r="GY68" s="486">
        <v>0</v>
      </c>
      <c r="GZ68" s="486">
        <v>0</v>
      </c>
      <c r="HA68" s="486">
        <v>0</v>
      </c>
      <c r="HB68" s="486">
        <v>0</v>
      </c>
      <c r="HC68" s="486">
        <v>0</v>
      </c>
      <c r="HD68" s="486">
        <v>0</v>
      </c>
      <c r="HE68" s="486">
        <v>0</v>
      </c>
      <c r="HF68" s="486">
        <v>0</v>
      </c>
      <c r="HG68" s="486">
        <v>0</v>
      </c>
      <c r="HH68" s="486">
        <v>0</v>
      </c>
      <c r="HI68" s="486">
        <v>0</v>
      </c>
      <c r="HJ68" s="486">
        <v>0</v>
      </c>
      <c r="HK68" s="486">
        <v>0</v>
      </c>
      <c r="HL68" s="486">
        <v>0</v>
      </c>
      <c r="HM68" s="486">
        <v>0</v>
      </c>
      <c r="HN68" s="486">
        <v>0</v>
      </c>
      <c r="HO68" s="486">
        <v>0</v>
      </c>
      <c r="HP68" s="486">
        <v>0</v>
      </c>
      <c r="HQ68" s="486">
        <v>0</v>
      </c>
      <c r="HR68" s="486">
        <v>0</v>
      </c>
      <c r="HS68" s="486">
        <v>0</v>
      </c>
      <c r="HT68" s="486">
        <v>0</v>
      </c>
      <c r="HU68" s="486">
        <v>0</v>
      </c>
      <c r="HV68" s="486">
        <v>0</v>
      </c>
      <c r="HW68" s="486">
        <v>0</v>
      </c>
      <c r="HX68" s="486">
        <v>0</v>
      </c>
      <c r="HY68" s="486">
        <v>0</v>
      </c>
      <c r="HZ68" s="486">
        <v>0</v>
      </c>
      <c r="IA68" s="486">
        <v>0</v>
      </c>
      <c r="IB68" s="486">
        <v>0</v>
      </c>
      <c r="IC68" s="486">
        <v>0</v>
      </c>
      <c r="ID68" s="486">
        <v>0</v>
      </c>
      <c r="IE68" s="486">
        <v>0</v>
      </c>
      <c r="IF68" s="486">
        <v>0</v>
      </c>
      <c r="IG68" s="486">
        <v>0</v>
      </c>
      <c r="IH68" s="486">
        <v>0</v>
      </c>
      <c r="II68" s="486">
        <v>0</v>
      </c>
      <c r="IJ68" s="486">
        <v>0</v>
      </c>
    </row>
    <row r="69" spans="1:244" ht="16.5" hidden="1">
      <c r="A69" s="484" t="s">
        <v>720</v>
      </c>
      <c r="B69" s="484" t="s">
        <v>617</v>
      </c>
      <c r="C69" s="484" t="s">
        <v>721</v>
      </c>
      <c r="D69" s="485"/>
      <c r="E69" s="484" t="s">
        <v>721</v>
      </c>
      <c r="F69" s="484" t="s">
        <v>25</v>
      </c>
      <c r="G69" s="485"/>
      <c r="H69" s="486">
        <v>18</v>
      </c>
      <c r="I69" s="471" t="str">
        <f t="shared" si="3"/>
        <v>AIJ100118</v>
      </c>
      <c r="J69" s="486">
        <v>53</v>
      </c>
      <c r="L69" s="484" t="s">
        <v>720</v>
      </c>
      <c r="M69" s="484" t="s">
        <v>617</v>
      </c>
      <c r="N69" s="484" t="s">
        <v>26</v>
      </c>
      <c r="O69" s="486">
        <v>34</v>
      </c>
      <c r="P69" s="471" t="str">
        <f t="shared" si="4"/>
        <v>AIJ100234</v>
      </c>
      <c r="Q69" s="486">
        <v>0</v>
      </c>
      <c r="R69" s="486">
        <v>5</v>
      </c>
      <c r="S69" s="486">
        <v>11</v>
      </c>
      <c r="T69" s="486">
        <v>16</v>
      </c>
      <c r="U69" s="486">
        <v>22</v>
      </c>
      <c r="V69" s="486">
        <v>26</v>
      </c>
      <c r="W69" s="486">
        <v>32</v>
      </c>
      <c r="X69" s="486">
        <v>38</v>
      </c>
      <c r="Y69" s="486">
        <v>41</v>
      </c>
      <c r="Z69" s="486">
        <v>0</v>
      </c>
      <c r="AA69" s="486">
        <v>0</v>
      </c>
      <c r="AB69" s="486">
        <v>0</v>
      </c>
      <c r="AC69" s="486">
        <v>0</v>
      </c>
      <c r="AD69" s="486">
        <v>0</v>
      </c>
      <c r="AE69" s="486">
        <v>0</v>
      </c>
      <c r="AF69" s="486">
        <v>0</v>
      </c>
      <c r="AG69" s="486">
        <v>0</v>
      </c>
      <c r="AH69" s="486">
        <v>0</v>
      </c>
      <c r="AI69" s="486">
        <v>0</v>
      </c>
      <c r="AJ69" s="486">
        <v>0</v>
      </c>
      <c r="AK69" s="486">
        <v>0</v>
      </c>
      <c r="AL69" s="486">
        <v>0</v>
      </c>
      <c r="AM69" s="486">
        <v>0</v>
      </c>
      <c r="AN69" s="486">
        <v>0</v>
      </c>
      <c r="AO69" s="486">
        <v>0</v>
      </c>
      <c r="AP69" s="486">
        <v>0</v>
      </c>
      <c r="AQ69" s="486">
        <v>0</v>
      </c>
      <c r="AR69" s="486">
        <v>0</v>
      </c>
      <c r="AS69" s="486">
        <v>0</v>
      </c>
      <c r="AT69" s="486">
        <v>0</v>
      </c>
      <c r="AU69" s="486">
        <v>0</v>
      </c>
      <c r="AV69" s="486">
        <v>0</v>
      </c>
      <c r="AW69" s="486">
        <v>0</v>
      </c>
      <c r="AX69" s="486">
        <v>0</v>
      </c>
      <c r="AY69" s="486">
        <v>0</v>
      </c>
      <c r="AZ69" s="486">
        <v>0</v>
      </c>
      <c r="BA69" s="486">
        <v>0</v>
      </c>
      <c r="BB69" s="486">
        <v>0</v>
      </c>
      <c r="BC69" s="486">
        <v>0</v>
      </c>
      <c r="BD69" s="486">
        <v>0</v>
      </c>
      <c r="BE69" s="486">
        <v>0</v>
      </c>
      <c r="BF69" s="486">
        <v>0</v>
      </c>
      <c r="BG69" s="486">
        <v>0</v>
      </c>
      <c r="BH69" s="486">
        <v>0</v>
      </c>
      <c r="BI69" s="486">
        <v>0</v>
      </c>
      <c r="BJ69" s="486">
        <v>0</v>
      </c>
      <c r="BK69" s="486">
        <v>0</v>
      </c>
      <c r="BL69" s="486">
        <v>0</v>
      </c>
      <c r="BM69" s="486">
        <v>0</v>
      </c>
      <c r="BN69" s="486">
        <v>0</v>
      </c>
      <c r="BO69" s="486">
        <v>0</v>
      </c>
      <c r="BP69" s="486">
        <v>0</v>
      </c>
      <c r="BQ69" s="486">
        <v>0</v>
      </c>
      <c r="BR69" s="486">
        <v>0</v>
      </c>
      <c r="BS69" s="486">
        <v>0</v>
      </c>
      <c r="BT69" s="486">
        <v>0</v>
      </c>
      <c r="BU69" s="486">
        <v>0</v>
      </c>
      <c r="BV69" s="486">
        <v>0</v>
      </c>
      <c r="BW69" s="486">
        <v>0</v>
      </c>
      <c r="BX69" s="486">
        <v>0</v>
      </c>
      <c r="BY69" s="486">
        <v>0</v>
      </c>
      <c r="BZ69" s="486">
        <v>0</v>
      </c>
      <c r="CA69" s="486">
        <v>0</v>
      </c>
      <c r="CB69" s="486">
        <v>0</v>
      </c>
      <c r="CC69" s="486">
        <v>0</v>
      </c>
      <c r="CD69" s="486">
        <v>0</v>
      </c>
      <c r="CE69" s="486">
        <v>0</v>
      </c>
      <c r="CF69" s="486">
        <v>0</v>
      </c>
      <c r="CG69" s="486">
        <v>0</v>
      </c>
      <c r="CH69" s="486">
        <v>0</v>
      </c>
      <c r="CI69" s="486">
        <v>0</v>
      </c>
      <c r="CJ69" s="486">
        <v>0</v>
      </c>
      <c r="CK69" s="486">
        <v>0</v>
      </c>
      <c r="CL69" s="486">
        <v>0</v>
      </c>
      <c r="CM69" s="486">
        <v>0</v>
      </c>
      <c r="CN69" s="486">
        <v>0</v>
      </c>
      <c r="CO69" s="486">
        <v>0</v>
      </c>
      <c r="CP69" s="486">
        <v>0</v>
      </c>
      <c r="CQ69" s="486">
        <v>0</v>
      </c>
      <c r="CR69" s="486">
        <v>0</v>
      </c>
      <c r="CS69" s="486">
        <v>0</v>
      </c>
      <c r="CT69" s="486">
        <v>0</v>
      </c>
      <c r="CU69" s="486">
        <v>0</v>
      </c>
      <c r="CV69" s="486">
        <v>0</v>
      </c>
      <c r="CW69" s="486">
        <v>0</v>
      </c>
      <c r="CX69" s="486">
        <v>0</v>
      </c>
      <c r="CY69" s="486">
        <v>0</v>
      </c>
      <c r="CZ69" s="486">
        <v>0</v>
      </c>
      <c r="DA69" s="486">
        <v>0</v>
      </c>
      <c r="DB69" s="486">
        <v>0</v>
      </c>
      <c r="DC69" s="486">
        <v>0</v>
      </c>
      <c r="DD69" s="486">
        <v>0</v>
      </c>
      <c r="DE69" s="486">
        <v>0</v>
      </c>
      <c r="DF69" s="486">
        <v>0</v>
      </c>
      <c r="DG69" s="486">
        <v>0</v>
      </c>
      <c r="DH69" s="486">
        <v>0</v>
      </c>
      <c r="DI69" s="486">
        <v>0</v>
      </c>
      <c r="DJ69" s="486">
        <v>0</v>
      </c>
      <c r="DK69" s="486">
        <v>0</v>
      </c>
      <c r="DL69" s="486">
        <v>0</v>
      </c>
      <c r="DM69" s="486">
        <v>0</v>
      </c>
      <c r="DN69" s="486">
        <v>0</v>
      </c>
      <c r="DO69" s="486">
        <v>0</v>
      </c>
      <c r="DP69" s="486">
        <v>0</v>
      </c>
      <c r="DQ69" s="486">
        <v>0</v>
      </c>
      <c r="DR69" s="486">
        <v>0</v>
      </c>
      <c r="DS69" s="486">
        <v>0</v>
      </c>
      <c r="DT69" s="486">
        <v>0</v>
      </c>
      <c r="DU69" s="486">
        <v>0</v>
      </c>
      <c r="DV69" s="486">
        <v>0</v>
      </c>
      <c r="DW69" s="486">
        <v>0</v>
      </c>
      <c r="DX69" s="477"/>
      <c r="DY69" s="484" t="s">
        <v>720</v>
      </c>
      <c r="DZ69" s="484" t="s">
        <v>617</v>
      </c>
      <c r="EA69" s="484" t="s">
        <v>26</v>
      </c>
      <c r="EB69" s="486">
        <v>34</v>
      </c>
      <c r="EC69" s="471" t="str">
        <f t="shared" si="0"/>
        <v>AIJ100234</v>
      </c>
      <c r="ED69" s="486">
        <v>10000</v>
      </c>
      <c r="EE69" s="486">
        <v>10000</v>
      </c>
      <c r="EF69" s="486">
        <v>10000</v>
      </c>
      <c r="EG69" s="486">
        <v>10000</v>
      </c>
      <c r="EH69" s="486">
        <v>10000</v>
      </c>
      <c r="EI69" s="486">
        <v>10000</v>
      </c>
      <c r="EJ69" s="486">
        <v>10000</v>
      </c>
      <c r="EK69" s="486">
        <v>10000</v>
      </c>
      <c r="EL69" s="486">
        <v>10000</v>
      </c>
      <c r="EM69" s="486">
        <v>10000</v>
      </c>
      <c r="EN69" s="486">
        <v>0</v>
      </c>
      <c r="EO69" s="486">
        <v>0</v>
      </c>
      <c r="EP69" s="486">
        <v>0</v>
      </c>
      <c r="EQ69" s="486">
        <v>0</v>
      </c>
      <c r="ER69" s="486">
        <v>0</v>
      </c>
      <c r="ES69" s="486">
        <v>0</v>
      </c>
      <c r="ET69" s="486">
        <v>0</v>
      </c>
      <c r="EU69" s="486">
        <v>0</v>
      </c>
      <c r="EV69" s="486">
        <v>0</v>
      </c>
      <c r="EW69" s="486">
        <v>0</v>
      </c>
      <c r="EX69" s="486">
        <v>0</v>
      </c>
      <c r="EY69" s="486">
        <v>0</v>
      </c>
      <c r="EZ69" s="486">
        <v>0</v>
      </c>
      <c r="FA69" s="486">
        <v>0</v>
      </c>
      <c r="FB69" s="486">
        <v>0</v>
      </c>
      <c r="FC69" s="486">
        <v>0</v>
      </c>
      <c r="FD69" s="486">
        <v>0</v>
      </c>
      <c r="FE69" s="486">
        <v>0</v>
      </c>
      <c r="FF69" s="486">
        <v>0</v>
      </c>
      <c r="FG69" s="486">
        <v>0</v>
      </c>
      <c r="FH69" s="486">
        <v>0</v>
      </c>
      <c r="FI69" s="486">
        <v>0</v>
      </c>
      <c r="FJ69" s="486">
        <v>0</v>
      </c>
      <c r="FK69" s="486">
        <v>0</v>
      </c>
      <c r="FL69" s="486">
        <v>0</v>
      </c>
      <c r="FM69" s="486">
        <v>0</v>
      </c>
      <c r="FN69" s="486">
        <v>0</v>
      </c>
      <c r="FO69" s="486">
        <v>0</v>
      </c>
      <c r="FP69" s="486">
        <v>0</v>
      </c>
      <c r="FQ69" s="486">
        <v>0</v>
      </c>
      <c r="FR69" s="486">
        <v>0</v>
      </c>
      <c r="FS69" s="486">
        <v>0</v>
      </c>
      <c r="FT69" s="486">
        <v>0</v>
      </c>
      <c r="FU69" s="486">
        <v>0</v>
      </c>
      <c r="FV69" s="486">
        <v>0</v>
      </c>
      <c r="FW69" s="486">
        <v>0</v>
      </c>
      <c r="FX69" s="486">
        <v>0</v>
      </c>
      <c r="FY69" s="486">
        <v>0</v>
      </c>
      <c r="FZ69" s="486">
        <v>0</v>
      </c>
      <c r="GA69" s="486">
        <v>0</v>
      </c>
      <c r="GB69" s="486">
        <v>0</v>
      </c>
      <c r="GC69" s="486">
        <v>0</v>
      </c>
      <c r="GD69" s="486">
        <v>0</v>
      </c>
      <c r="GE69" s="486">
        <v>0</v>
      </c>
      <c r="GF69" s="486">
        <v>0</v>
      </c>
      <c r="GG69" s="486">
        <v>0</v>
      </c>
      <c r="GH69" s="486">
        <v>0</v>
      </c>
      <c r="GI69" s="486">
        <v>0</v>
      </c>
      <c r="GJ69" s="486">
        <v>0</v>
      </c>
      <c r="GK69" s="486">
        <v>0</v>
      </c>
      <c r="GL69" s="486">
        <v>0</v>
      </c>
      <c r="GM69" s="486">
        <v>0</v>
      </c>
      <c r="GN69" s="486">
        <v>0</v>
      </c>
      <c r="GO69" s="486">
        <v>0</v>
      </c>
      <c r="GP69" s="486">
        <v>0</v>
      </c>
      <c r="GQ69" s="486">
        <v>0</v>
      </c>
      <c r="GR69" s="486">
        <v>0</v>
      </c>
      <c r="GS69" s="486">
        <v>0</v>
      </c>
      <c r="GT69" s="486">
        <v>0</v>
      </c>
      <c r="GU69" s="486">
        <v>0</v>
      </c>
      <c r="GV69" s="486">
        <v>0</v>
      </c>
      <c r="GW69" s="486">
        <v>0</v>
      </c>
      <c r="GX69" s="486">
        <v>0</v>
      </c>
      <c r="GY69" s="486">
        <v>0</v>
      </c>
      <c r="GZ69" s="486">
        <v>0</v>
      </c>
      <c r="HA69" s="486">
        <v>0</v>
      </c>
      <c r="HB69" s="486">
        <v>0</v>
      </c>
      <c r="HC69" s="486">
        <v>0</v>
      </c>
      <c r="HD69" s="486">
        <v>0</v>
      </c>
      <c r="HE69" s="486">
        <v>0</v>
      </c>
      <c r="HF69" s="486">
        <v>0</v>
      </c>
      <c r="HG69" s="486">
        <v>0</v>
      </c>
      <c r="HH69" s="486">
        <v>0</v>
      </c>
      <c r="HI69" s="486">
        <v>0</v>
      </c>
      <c r="HJ69" s="486">
        <v>0</v>
      </c>
      <c r="HK69" s="486">
        <v>0</v>
      </c>
      <c r="HL69" s="486">
        <v>0</v>
      </c>
      <c r="HM69" s="486">
        <v>0</v>
      </c>
      <c r="HN69" s="486">
        <v>0</v>
      </c>
      <c r="HO69" s="486">
        <v>0</v>
      </c>
      <c r="HP69" s="486">
        <v>0</v>
      </c>
      <c r="HQ69" s="486">
        <v>0</v>
      </c>
      <c r="HR69" s="486">
        <v>0</v>
      </c>
      <c r="HS69" s="486">
        <v>0</v>
      </c>
      <c r="HT69" s="486">
        <v>0</v>
      </c>
      <c r="HU69" s="486">
        <v>0</v>
      </c>
      <c r="HV69" s="486">
        <v>0</v>
      </c>
      <c r="HW69" s="486">
        <v>0</v>
      </c>
      <c r="HX69" s="486">
        <v>0</v>
      </c>
      <c r="HY69" s="486">
        <v>0</v>
      </c>
      <c r="HZ69" s="486">
        <v>0</v>
      </c>
      <c r="IA69" s="486">
        <v>0</v>
      </c>
      <c r="IB69" s="486">
        <v>0</v>
      </c>
      <c r="IC69" s="486">
        <v>0</v>
      </c>
      <c r="ID69" s="486">
        <v>0</v>
      </c>
      <c r="IE69" s="486">
        <v>0</v>
      </c>
      <c r="IF69" s="486">
        <v>0</v>
      </c>
      <c r="IG69" s="486">
        <v>0</v>
      </c>
      <c r="IH69" s="486">
        <v>0</v>
      </c>
      <c r="II69" s="486">
        <v>0</v>
      </c>
      <c r="IJ69" s="486">
        <v>0</v>
      </c>
    </row>
    <row r="70" spans="1:244" ht="16.5" hidden="1">
      <c r="A70" s="484" t="s">
        <v>720</v>
      </c>
      <c r="B70" s="484" t="s">
        <v>617</v>
      </c>
      <c r="C70" s="484" t="s">
        <v>721</v>
      </c>
      <c r="D70" s="485"/>
      <c r="E70" s="484" t="s">
        <v>721</v>
      </c>
      <c r="F70" s="484" t="s">
        <v>25</v>
      </c>
      <c r="G70" s="485"/>
      <c r="H70" s="486">
        <v>19</v>
      </c>
      <c r="I70" s="471" t="str">
        <f t="shared" si="3"/>
        <v>AIJ100119</v>
      </c>
      <c r="J70" s="486">
        <v>54</v>
      </c>
      <c r="L70" s="484" t="s">
        <v>720</v>
      </c>
      <c r="M70" s="484" t="s">
        <v>617</v>
      </c>
      <c r="N70" s="484" t="s">
        <v>26</v>
      </c>
      <c r="O70" s="486">
        <v>35</v>
      </c>
      <c r="P70" s="471" t="str">
        <f t="shared" si="4"/>
        <v>AIJ100235</v>
      </c>
      <c r="Q70" s="486">
        <v>0</v>
      </c>
      <c r="R70" s="486">
        <v>6</v>
      </c>
      <c r="S70" s="486">
        <v>11</v>
      </c>
      <c r="T70" s="486">
        <v>17</v>
      </c>
      <c r="U70" s="486">
        <v>22</v>
      </c>
      <c r="V70" s="486">
        <v>27</v>
      </c>
      <c r="W70" s="486">
        <v>33</v>
      </c>
      <c r="X70" s="486">
        <v>39</v>
      </c>
      <c r="Y70" s="486">
        <v>42</v>
      </c>
      <c r="Z70" s="486">
        <v>0</v>
      </c>
      <c r="AA70" s="486">
        <v>0</v>
      </c>
      <c r="AB70" s="486">
        <v>0</v>
      </c>
      <c r="AC70" s="486">
        <v>0</v>
      </c>
      <c r="AD70" s="486">
        <v>0</v>
      </c>
      <c r="AE70" s="486">
        <v>0</v>
      </c>
      <c r="AF70" s="486">
        <v>0</v>
      </c>
      <c r="AG70" s="486">
        <v>0</v>
      </c>
      <c r="AH70" s="486">
        <v>0</v>
      </c>
      <c r="AI70" s="486">
        <v>0</v>
      </c>
      <c r="AJ70" s="486">
        <v>0</v>
      </c>
      <c r="AK70" s="486">
        <v>0</v>
      </c>
      <c r="AL70" s="486">
        <v>0</v>
      </c>
      <c r="AM70" s="486">
        <v>0</v>
      </c>
      <c r="AN70" s="486">
        <v>0</v>
      </c>
      <c r="AO70" s="486">
        <v>0</v>
      </c>
      <c r="AP70" s="486">
        <v>0</v>
      </c>
      <c r="AQ70" s="486">
        <v>0</v>
      </c>
      <c r="AR70" s="486">
        <v>0</v>
      </c>
      <c r="AS70" s="486">
        <v>0</v>
      </c>
      <c r="AT70" s="486">
        <v>0</v>
      </c>
      <c r="AU70" s="486">
        <v>0</v>
      </c>
      <c r="AV70" s="486">
        <v>0</v>
      </c>
      <c r="AW70" s="486">
        <v>0</v>
      </c>
      <c r="AX70" s="486">
        <v>0</v>
      </c>
      <c r="AY70" s="486">
        <v>0</v>
      </c>
      <c r="AZ70" s="486">
        <v>0</v>
      </c>
      <c r="BA70" s="486">
        <v>0</v>
      </c>
      <c r="BB70" s="486">
        <v>0</v>
      </c>
      <c r="BC70" s="486">
        <v>0</v>
      </c>
      <c r="BD70" s="486">
        <v>0</v>
      </c>
      <c r="BE70" s="486">
        <v>0</v>
      </c>
      <c r="BF70" s="486">
        <v>0</v>
      </c>
      <c r="BG70" s="486">
        <v>0</v>
      </c>
      <c r="BH70" s="486">
        <v>0</v>
      </c>
      <c r="BI70" s="486">
        <v>0</v>
      </c>
      <c r="BJ70" s="486">
        <v>0</v>
      </c>
      <c r="BK70" s="486">
        <v>0</v>
      </c>
      <c r="BL70" s="486">
        <v>0</v>
      </c>
      <c r="BM70" s="486">
        <v>0</v>
      </c>
      <c r="BN70" s="486">
        <v>0</v>
      </c>
      <c r="BO70" s="486">
        <v>0</v>
      </c>
      <c r="BP70" s="486">
        <v>0</v>
      </c>
      <c r="BQ70" s="486">
        <v>0</v>
      </c>
      <c r="BR70" s="486">
        <v>0</v>
      </c>
      <c r="BS70" s="486">
        <v>0</v>
      </c>
      <c r="BT70" s="486">
        <v>0</v>
      </c>
      <c r="BU70" s="486">
        <v>0</v>
      </c>
      <c r="BV70" s="486">
        <v>0</v>
      </c>
      <c r="BW70" s="486">
        <v>0</v>
      </c>
      <c r="BX70" s="486">
        <v>0</v>
      </c>
      <c r="BY70" s="486">
        <v>0</v>
      </c>
      <c r="BZ70" s="486">
        <v>0</v>
      </c>
      <c r="CA70" s="486">
        <v>0</v>
      </c>
      <c r="CB70" s="486">
        <v>0</v>
      </c>
      <c r="CC70" s="486">
        <v>0</v>
      </c>
      <c r="CD70" s="486">
        <v>0</v>
      </c>
      <c r="CE70" s="486">
        <v>0</v>
      </c>
      <c r="CF70" s="486">
        <v>0</v>
      </c>
      <c r="CG70" s="486">
        <v>0</v>
      </c>
      <c r="CH70" s="486">
        <v>0</v>
      </c>
      <c r="CI70" s="486">
        <v>0</v>
      </c>
      <c r="CJ70" s="486">
        <v>0</v>
      </c>
      <c r="CK70" s="486">
        <v>0</v>
      </c>
      <c r="CL70" s="486">
        <v>0</v>
      </c>
      <c r="CM70" s="486">
        <v>0</v>
      </c>
      <c r="CN70" s="486">
        <v>0</v>
      </c>
      <c r="CO70" s="486">
        <v>0</v>
      </c>
      <c r="CP70" s="486">
        <v>0</v>
      </c>
      <c r="CQ70" s="486">
        <v>0</v>
      </c>
      <c r="CR70" s="486">
        <v>0</v>
      </c>
      <c r="CS70" s="486">
        <v>0</v>
      </c>
      <c r="CT70" s="486">
        <v>0</v>
      </c>
      <c r="CU70" s="486">
        <v>0</v>
      </c>
      <c r="CV70" s="486">
        <v>0</v>
      </c>
      <c r="CW70" s="486">
        <v>0</v>
      </c>
      <c r="CX70" s="486">
        <v>0</v>
      </c>
      <c r="CY70" s="486">
        <v>0</v>
      </c>
      <c r="CZ70" s="486">
        <v>0</v>
      </c>
      <c r="DA70" s="486">
        <v>0</v>
      </c>
      <c r="DB70" s="486">
        <v>0</v>
      </c>
      <c r="DC70" s="486">
        <v>0</v>
      </c>
      <c r="DD70" s="486">
        <v>0</v>
      </c>
      <c r="DE70" s="486">
        <v>0</v>
      </c>
      <c r="DF70" s="486">
        <v>0</v>
      </c>
      <c r="DG70" s="486">
        <v>0</v>
      </c>
      <c r="DH70" s="486">
        <v>0</v>
      </c>
      <c r="DI70" s="486">
        <v>0</v>
      </c>
      <c r="DJ70" s="486">
        <v>0</v>
      </c>
      <c r="DK70" s="486">
        <v>0</v>
      </c>
      <c r="DL70" s="486">
        <v>0</v>
      </c>
      <c r="DM70" s="486">
        <v>0</v>
      </c>
      <c r="DN70" s="486">
        <v>0</v>
      </c>
      <c r="DO70" s="486">
        <v>0</v>
      </c>
      <c r="DP70" s="486">
        <v>0</v>
      </c>
      <c r="DQ70" s="486">
        <v>0</v>
      </c>
      <c r="DR70" s="486">
        <v>0</v>
      </c>
      <c r="DS70" s="486">
        <v>0</v>
      </c>
      <c r="DT70" s="486">
        <v>0</v>
      </c>
      <c r="DU70" s="486">
        <v>0</v>
      </c>
      <c r="DV70" s="486">
        <v>0</v>
      </c>
      <c r="DW70" s="486">
        <v>0</v>
      </c>
      <c r="DX70" s="477"/>
      <c r="DY70" s="484" t="s">
        <v>720</v>
      </c>
      <c r="DZ70" s="484" t="s">
        <v>617</v>
      </c>
      <c r="EA70" s="484" t="s">
        <v>26</v>
      </c>
      <c r="EB70" s="486">
        <v>35</v>
      </c>
      <c r="EC70" s="471" t="str">
        <f t="shared" si="0"/>
        <v>AIJ100235</v>
      </c>
      <c r="ED70" s="486">
        <v>10000</v>
      </c>
      <c r="EE70" s="486">
        <v>10000</v>
      </c>
      <c r="EF70" s="486">
        <v>10000</v>
      </c>
      <c r="EG70" s="486">
        <v>10000</v>
      </c>
      <c r="EH70" s="486">
        <v>10000</v>
      </c>
      <c r="EI70" s="486">
        <v>10000</v>
      </c>
      <c r="EJ70" s="486">
        <v>10000</v>
      </c>
      <c r="EK70" s="486">
        <v>10000</v>
      </c>
      <c r="EL70" s="486">
        <v>10000</v>
      </c>
      <c r="EM70" s="486">
        <v>10000</v>
      </c>
      <c r="EN70" s="486">
        <v>0</v>
      </c>
      <c r="EO70" s="486">
        <v>0</v>
      </c>
      <c r="EP70" s="486">
        <v>0</v>
      </c>
      <c r="EQ70" s="486">
        <v>0</v>
      </c>
      <c r="ER70" s="486">
        <v>0</v>
      </c>
      <c r="ES70" s="486">
        <v>0</v>
      </c>
      <c r="ET70" s="486">
        <v>0</v>
      </c>
      <c r="EU70" s="486">
        <v>0</v>
      </c>
      <c r="EV70" s="486">
        <v>0</v>
      </c>
      <c r="EW70" s="486">
        <v>0</v>
      </c>
      <c r="EX70" s="486">
        <v>0</v>
      </c>
      <c r="EY70" s="486">
        <v>0</v>
      </c>
      <c r="EZ70" s="486">
        <v>0</v>
      </c>
      <c r="FA70" s="486">
        <v>0</v>
      </c>
      <c r="FB70" s="486">
        <v>0</v>
      </c>
      <c r="FC70" s="486">
        <v>0</v>
      </c>
      <c r="FD70" s="486">
        <v>0</v>
      </c>
      <c r="FE70" s="486">
        <v>0</v>
      </c>
      <c r="FF70" s="486">
        <v>0</v>
      </c>
      <c r="FG70" s="486">
        <v>0</v>
      </c>
      <c r="FH70" s="486">
        <v>0</v>
      </c>
      <c r="FI70" s="486">
        <v>0</v>
      </c>
      <c r="FJ70" s="486">
        <v>0</v>
      </c>
      <c r="FK70" s="486">
        <v>0</v>
      </c>
      <c r="FL70" s="486">
        <v>0</v>
      </c>
      <c r="FM70" s="486">
        <v>0</v>
      </c>
      <c r="FN70" s="486">
        <v>0</v>
      </c>
      <c r="FO70" s="486">
        <v>0</v>
      </c>
      <c r="FP70" s="486">
        <v>0</v>
      </c>
      <c r="FQ70" s="486">
        <v>0</v>
      </c>
      <c r="FR70" s="486">
        <v>0</v>
      </c>
      <c r="FS70" s="486">
        <v>0</v>
      </c>
      <c r="FT70" s="486">
        <v>0</v>
      </c>
      <c r="FU70" s="486">
        <v>0</v>
      </c>
      <c r="FV70" s="486">
        <v>0</v>
      </c>
      <c r="FW70" s="486">
        <v>0</v>
      </c>
      <c r="FX70" s="486">
        <v>0</v>
      </c>
      <c r="FY70" s="486">
        <v>0</v>
      </c>
      <c r="FZ70" s="486">
        <v>0</v>
      </c>
      <c r="GA70" s="486">
        <v>0</v>
      </c>
      <c r="GB70" s="486">
        <v>0</v>
      </c>
      <c r="GC70" s="486">
        <v>0</v>
      </c>
      <c r="GD70" s="486">
        <v>0</v>
      </c>
      <c r="GE70" s="486">
        <v>0</v>
      </c>
      <c r="GF70" s="486">
        <v>0</v>
      </c>
      <c r="GG70" s="486">
        <v>0</v>
      </c>
      <c r="GH70" s="486">
        <v>0</v>
      </c>
      <c r="GI70" s="486">
        <v>0</v>
      </c>
      <c r="GJ70" s="486">
        <v>0</v>
      </c>
      <c r="GK70" s="486">
        <v>0</v>
      </c>
      <c r="GL70" s="486">
        <v>0</v>
      </c>
      <c r="GM70" s="486">
        <v>0</v>
      </c>
      <c r="GN70" s="486">
        <v>0</v>
      </c>
      <c r="GO70" s="486">
        <v>0</v>
      </c>
      <c r="GP70" s="486">
        <v>0</v>
      </c>
      <c r="GQ70" s="486">
        <v>0</v>
      </c>
      <c r="GR70" s="486">
        <v>0</v>
      </c>
      <c r="GS70" s="486">
        <v>0</v>
      </c>
      <c r="GT70" s="486">
        <v>0</v>
      </c>
      <c r="GU70" s="486">
        <v>0</v>
      </c>
      <c r="GV70" s="486">
        <v>0</v>
      </c>
      <c r="GW70" s="486">
        <v>0</v>
      </c>
      <c r="GX70" s="486">
        <v>0</v>
      </c>
      <c r="GY70" s="486">
        <v>0</v>
      </c>
      <c r="GZ70" s="486">
        <v>0</v>
      </c>
      <c r="HA70" s="486">
        <v>0</v>
      </c>
      <c r="HB70" s="486">
        <v>0</v>
      </c>
      <c r="HC70" s="486">
        <v>0</v>
      </c>
      <c r="HD70" s="486">
        <v>0</v>
      </c>
      <c r="HE70" s="486">
        <v>0</v>
      </c>
      <c r="HF70" s="486">
        <v>0</v>
      </c>
      <c r="HG70" s="486">
        <v>0</v>
      </c>
      <c r="HH70" s="486">
        <v>0</v>
      </c>
      <c r="HI70" s="486">
        <v>0</v>
      </c>
      <c r="HJ70" s="486">
        <v>0</v>
      </c>
      <c r="HK70" s="486">
        <v>0</v>
      </c>
      <c r="HL70" s="486">
        <v>0</v>
      </c>
      <c r="HM70" s="486">
        <v>0</v>
      </c>
      <c r="HN70" s="486">
        <v>0</v>
      </c>
      <c r="HO70" s="486">
        <v>0</v>
      </c>
      <c r="HP70" s="486">
        <v>0</v>
      </c>
      <c r="HQ70" s="486">
        <v>0</v>
      </c>
      <c r="HR70" s="486">
        <v>0</v>
      </c>
      <c r="HS70" s="486">
        <v>0</v>
      </c>
      <c r="HT70" s="486">
        <v>0</v>
      </c>
      <c r="HU70" s="486">
        <v>0</v>
      </c>
      <c r="HV70" s="486">
        <v>0</v>
      </c>
      <c r="HW70" s="486">
        <v>0</v>
      </c>
      <c r="HX70" s="486">
        <v>0</v>
      </c>
      <c r="HY70" s="486">
        <v>0</v>
      </c>
      <c r="HZ70" s="486">
        <v>0</v>
      </c>
      <c r="IA70" s="486">
        <v>0</v>
      </c>
      <c r="IB70" s="486">
        <v>0</v>
      </c>
      <c r="IC70" s="486">
        <v>0</v>
      </c>
      <c r="ID70" s="486">
        <v>0</v>
      </c>
      <c r="IE70" s="486">
        <v>0</v>
      </c>
      <c r="IF70" s="486">
        <v>0</v>
      </c>
      <c r="IG70" s="486">
        <v>0</v>
      </c>
      <c r="IH70" s="486">
        <v>0</v>
      </c>
      <c r="II70" s="486">
        <v>0</v>
      </c>
      <c r="IJ70" s="486">
        <v>0</v>
      </c>
    </row>
    <row r="71" spans="1:244" ht="16.5" hidden="1">
      <c r="A71" s="484" t="s">
        <v>720</v>
      </c>
      <c r="B71" s="484" t="s">
        <v>617</v>
      </c>
      <c r="C71" s="484" t="s">
        <v>721</v>
      </c>
      <c r="D71" s="485"/>
      <c r="E71" s="484" t="s">
        <v>721</v>
      </c>
      <c r="F71" s="484" t="s">
        <v>25</v>
      </c>
      <c r="G71" s="485"/>
      <c r="H71" s="486">
        <v>20</v>
      </c>
      <c r="I71" s="471" t="str">
        <f t="shared" si="3"/>
        <v>AIJ100120</v>
      </c>
      <c r="J71" s="486">
        <v>55</v>
      </c>
      <c r="L71" s="484" t="s">
        <v>720</v>
      </c>
      <c r="M71" s="484" t="s">
        <v>617</v>
      </c>
      <c r="N71" s="484" t="s">
        <v>26</v>
      </c>
      <c r="O71" s="486">
        <v>36</v>
      </c>
      <c r="P71" s="471" t="str">
        <f t="shared" si="4"/>
        <v>AIJ100236</v>
      </c>
      <c r="Q71" s="486">
        <v>0</v>
      </c>
      <c r="R71" s="486">
        <v>6</v>
      </c>
      <c r="S71" s="486">
        <v>11</v>
      </c>
      <c r="T71" s="486">
        <v>17</v>
      </c>
      <c r="U71" s="486">
        <v>23</v>
      </c>
      <c r="V71" s="486">
        <v>28</v>
      </c>
      <c r="W71" s="486">
        <v>34</v>
      </c>
      <c r="X71" s="486">
        <v>40</v>
      </c>
      <c r="Y71" s="486">
        <v>43</v>
      </c>
      <c r="Z71" s="486">
        <v>0</v>
      </c>
      <c r="AA71" s="486">
        <v>0</v>
      </c>
      <c r="AB71" s="486">
        <v>0</v>
      </c>
      <c r="AC71" s="486">
        <v>0</v>
      </c>
      <c r="AD71" s="486">
        <v>0</v>
      </c>
      <c r="AE71" s="486">
        <v>0</v>
      </c>
      <c r="AF71" s="486">
        <v>0</v>
      </c>
      <c r="AG71" s="486">
        <v>0</v>
      </c>
      <c r="AH71" s="486">
        <v>0</v>
      </c>
      <c r="AI71" s="486">
        <v>0</v>
      </c>
      <c r="AJ71" s="486">
        <v>0</v>
      </c>
      <c r="AK71" s="486">
        <v>0</v>
      </c>
      <c r="AL71" s="486">
        <v>0</v>
      </c>
      <c r="AM71" s="486">
        <v>0</v>
      </c>
      <c r="AN71" s="486">
        <v>0</v>
      </c>
      <c r="AO71" s="486">
        <v>0</v>
      </c>
      <c r="AP71" s="486">
        <v>0</v>
      </c>
      <c r="AQ71" s="486">
        <v>0</v>
      </c>
      <c r="AR71" s="486">
        <v>0</v>
      </c>
      <c r="AS71" s="486">
        <v>0</v>
      </c>
      <c r="AT71" s="486">
        <v>0</v>
      </c>
      <c r="AU71" s="486">
        <v>0</v>
      </c>
      <c r="AV71" s="486">
        <v>0</v>
      </c>
      <c r="AW71" s="486">
        <v>0</v>
      </c>
      <c r="AX71" s="486">
        <v>0</v>
      </c>
      <c r="AY71" s="486">
        <v>0</v>
      </c>
      <c r="AZ71" s="486">
        <v>0</v>
      </c>
      <c r="BA71" s="486">
        <v>0</v>
      </c>
      <c r="BB71" s="486">
        <v>0</v>
      </c>
      <c r="BC71" s="486">
        <v>0</v>
      </c>
      <c r="BD71" s="486">
        <v>0</v>
      </c>
      <c r="BE71" s="486">
        <v>0</v>
      </c>
      <c r="BF71" s="486">
        <v>0</v>
      </c>
      <c r="BG71" s="486">
        <v>0</v>
      </c>
      <c r="BH71" s="486">
        <v>0</v>
      </c>
      <c r="BI71" s="486">
        <v>0</v>
      </c>
      <c r="BJ71" s="486">
        <v>0</v>
      </c>
      <c r="BK71" s="486">
        <v>0</v>
      </c>
      <c r="BL71" s="486">
        <v>0</v>
      </c>
      <c r="BM71" s="486">
        <v>0</v>
      </c>
      <c r="BN71" s="486">
        <v>0</v>
      </c>
      <c r="BO71" s="486">
        <v>0</v>
      </c>
      <c r="BP71" s="486">
        <v>0</v>
      </c>
      <c r="BQ71" s="486">
        <v>0</v>
      </c>
      <c r="BR71" s="486">
        <v>0</v>
      </c>
      <c r="BS71" s="486">
        <v>0</v>
      </c>
      <c r="BT71" s="486">
        <v>0</v>
      </c>
      <c r="BU71" s="486">
        <v>0</v>
      </c>
      <c r="BV71" s="486">
        <v>0</v>
      </c>
      <c r="BW71" s="486">
        <v>0</v>
      </c>
      <c r="BX71" s="486">
        <v>0</v>
      </c>
      <c r="BY71" s="486">
        <v>0</v>
      </c>
      <c r="BZ71" s="486">
        <v>0</v>
      </c>
      <c r="CA71" s="486">
        <v>0</v>
      </c>
      <c r="CB71" s="486">
        <v>0</v>
      </c>
      <c r="CC71" s="486">
        <v>0</v>
      </c>
      <c r="CD71" s="486">
        <v>0</v>
      </c>
      <c r="CE71" s="486">
        <v>0</v>
      </c>
      <c r="CF71" s="486">
        <v>0</v>
      </c>
      <c r="CG71" s="486">
        <v>0</v>
      </c>
      <c r="CH71" s="486">
        <v>0</v>
      </c>
      <c r="CI71" s="486">
        <v>0</v>
      </c>
      <c r="CJ71" s="486">
        <v>0</v>
      </c>
      <c r="CK71" s="486">
        <v>0</v>
      </c>
      <c r="CL71" s="486">
        <v>0</v>
      </c>
      <c r="CM71" s="486">
        <v>0</v>
      </c>
      <c r="CN71" s="486">
        <v>0</v>
      </c>
      <c r="CO71" s="486">
        <v>0</v>
      </c>
      <c r="CP71" s="486">
        <v>0</v>
      </c>
      <c r="CQ71" s="486">
        <v>0</v>
      </c>
      <c r="CR71" s="486">
        <v>0</v>
      </c>
      <c r="CS71" s="486">
        <v>0</v>
      </c>
      <c r="CT71" s="486">
        <v>0</v>
      </c>
      <c r="CU71" s="486">
        <v>0</v>
      </c>
      <c r="CV71" s="486">
        <v>0</v>
      </c>
      <c r="CW71" s="486">
        <v>0</v>
      </c>
      <c r="CX71" s="486">
        <v>0</v>
      </c>
      <c r="CY71" s="486">
        <v>0</v>
      </c>
      <c r="CZ71" s="486">
        <v>0</v>
      </c>
      <c r="DA71" s="486">
        <v>0</v>
      </c>
      <c r="DB71" s="486">
        <v>0</v>
      </c>
      <c r="DC71" s="486">
        <v>0</v>
      </c>
      <c r="DD71" s="486">
        <v>0</v>
      </c>
      <c r="DE71" s="486">
        <v>0</v>
      </c>
      <c r="DF71" s="486">
        <v>0</v>
      </c>
      <c r="DG71" s="486">
        <v>0</v>
      </c>
      <c r="DH71" s="486">
        <v>0</v>
      </c>
      <c r="DI71" s="486">
        <v>0</v>
      </c>
      <c r="DJ71" s="486">
        <v>0</v>
      </c>
      <c r="DK71" s="486">
        <v>0</v>
      </c>
      <c r="DL71" s="486">
        <v>0</v>
      </c>
      <c r="DM71" s="486">
        <v>0</v>
      </c>
      <c r="DN71" s="486">
        <v>0</v>
      </c>
      <c r="DO71" s="486">
        <v>0</v>
      </c>
      <c r="DP71" s="486">
        <v>0</v>
      </c>
      <c r="DQ71" s="486">
        <v>0</v>
      </c>
      <c r="DR71" s="486">
        <v>0</v>
      </c>
      <c r="DS71" s="486">
        <v>0</v>
      </c>
      <c r="DT71" s="486">
        <v>0</v>
      </c>
      <c r="DU71" s="486">
        <v>0</v>
      </c>
      <c r="DV71" s="486">
        <v>0</v>
      </c>
      <c r="DW71" s="486">
        <v>0</v>
      </c>
      <c r="DX71" s="477"/>
      <c r="DY71" s="484" t="s">
        <v>720</v>
      </c>
      <c r="DZ71" s="484" t="s">
        <v>617</v>
      </c>
      <c r="EA71" s="484" t="s">
        <v>26</v>
      </c>
      <c r="EB71" s="486">
        <v>36</v>
      </c>
      <c r="EC71" s="471" t="str">
        <f t="shared" si="0"/>
        <v>AIJ100236</v>
      </c>
      <c r="ED71" s="486">
        <v>10000</v>
      </c>
      <c r="EE71" s="486">
        <v>10000</v>
      </c>
      <c r="EF71" s="486">
        <v>10000</v>
      </c>
      <c r="EG71" s="486">
        <v>10000</v>
      </c>
      <c r="EH71" s="486">
        <v>10000</v>
      </c>
      <c r="EI71" s="486">
        <v>10000</v>
      </c>
      <c r="EJ71" s="486">
        <v>10000</v>
      </c>
      <c r="EK71" s="486">
        <v>10000</v>
      </c>
      <c r="EL71" s="486">
        <v>10000</v>
      </c>
      <c r="EM71" s="486">
        <v>10000</v>
      </c>
      <c r="EN71" s="486">
        <v>0</v>
      </c>
      <c r="EO71" s="486">
        <v>0</v>
      </c>
      <c r="EP71" s="486">
        <v>0</v>
      </c>
      <c r="EQ71" s="486">
        <v>0</v>
      </c>
      <c r="ER71" s="486">
        <v>0</v>
      </c>
      <c r="ES71" s="486">
        <v>0</v>
      </c>
      <c r="ET71" s="486">
        <v>0</v>
      </c>
      <c r="EU71" s="486">
        <v>0</v>
      </c>
      <c r="EV71" s="486">
        <v>0</v>
      </c>
      <c r="EW71" s="486">
        <v>0</v>
      </c>
      <c r="EX71" s="486">
        <v>0</v>
      </c>
      <c r="EY71" s="486">
        <v>0</v>
      </c>
      <c r="EZ71" s="486">
        <v>0</v>
      </c>
      <c r="FA71" s="486">
        <v>0</v>
      </c>
      <c r="FB71" s="486">
        <v>0</v>
      </c>
      <c r="FC71" s="486">
        <v>0</v>
      </c>
      <c r="FD71" s="486">
        <v>0</v>
      </c>
      <c r="FE71" s="486">
        <v>0</v>
      </c>
      <c r="FF71" s="486">
        <v>0</v>
      </c>
      <c r="FG71" s="486">
        <v>0</v>
      </c>
      <c r="FH71" s="486">
        <v>0</v>
      </c>
      <c r="FI71" s="486">
        <v>0</v>
      </c>
      <c r="FJ71" s="486">
        <v>0</v>
      </c>
      <c r="FK71" s="486">
        <v>0</v>
      </c>
      <c r="FL71" s="486">
        <v>0</v>
      </c>
      <c r="FM71" s="486">
        <v>0</v>
      </c>
      <c r="FN71" s="486">
        <v>0</v>
      </c>
      <c r="FO71" s="486">
        <v>0</v>
      </c>
      <c r="FP71" s="486">
        <v>0</v>
      </c>
      <c r="FQ71" s="486">
        <v>0</v>
      </c>
      <c r="FR71" s="486">
        <v>0</v>
      </c>
      <c r="FS71" s="486">
        <v>0</v>
      </c>
      <c r="FT71" s="486">
        <v>0</v>
      </c>
      <c r="FU71" s="486">
        <v>0</v>
      </c>
      <c r="FV71" s="486">
        <v>0</v>
      </c>
      <c r="FW71" s="486">
        <v>0</v>
      </c>
      <c r="FX71" s="486">
        <v>0</v>
      </c>
      <c r="FY71" s="486">
        <v>0</v>
      </c>
      <c r="FZ71" s="486">
        <v>0</v>
      </c>
      <c r="GA71" s="486">
        <v>0</v>
      </c>
      <c r="GB71" s="486">
        <v>0</v>
      </c>
      <c r="GC71" s="486">
        <v>0</v>
      </c>
      <c r="GD71" s="486">
        <v>0</v>
      </c>
      <c r="GE71" s="486">
        <v>0</v>
      </c>
      <c r="GF71" s="486">
        <v>0</v>
      </c>
      <c r="GG71" s="486">
        <v>0</v>
      </c>
      <c r="GH71" s="486">
        <v>0</v>
      </c>
      <c r="GI71" s="486">
        <v>0</v>
      </c>
      <c r="GJ71" s="486">
        <v>0</v>
      </c>
      <c r="GK71" s="486">
        <v>0</v>
      </c>
      <c r="GL71" s="486">
        <v>0</v>
      </c>
      <c r="GM71" s="486">
        <v>0</v>
      </c>
      <c r="GN71" s="486">
        <v>0</v>
      </c>
      <c r="GO71" s="486">
        <v>0</v>
      </c>
      <c r="GP71" s="486">
        <v>0</v>
      </c>
      <c r="GQ71" s="486">
        <v>0</v>
      </c>
      <c r="GR71" s="486">
        <v>0</v>
      </c>
      <c r="GS71" s="486">
        <v>0</v>
      </c>
      <c r="GT71" s="486">
        <v>0</v>
      </c>
      <c r="GU71" s="486">
        <v>0</v>
      </c>
      <c r="GV71" s="486">
        <v>0</v>
      </c>
      <c r="GW71" s="486">
        <v>0</v>
      </c>
      <c r="GX71" s="486">
        <v>0</v>
      </c>
      <c r="GY71" s="486">
        <v>0</v>
      </c>
      <c r="GZ71" s="486">
        <v>0</v>
      </c>
      <c r="HA71" s="486">
        <v>0</v>
      </c>
      <c r="HB71" s="486">
        <v>0</v>
      </c>
      <c r="HC71" s="486">
        <v>0</v>
      </c>
      <c r="HD71" s="486">
        <v>0</v>
      </c>
      <c r="HE71" s="486">
        <v>0</v>
      </c>
      <c r="HF71" s="486">
        <v>0</v>
      </c>
      <c r="HG71" s="486">
        <v>0</v>
      </c>
      <c r="HH71" s="486">
        <v>0</v>
      </c>
      <c r="HI71" s="486">
        <v>0</v>
      </c>
      <c r="HJ71" s="486">
        <v>0</v>
      </c>
      <c r="HK71" s="486">
        <v>0</v>
      </c>
      <c r="HL71" s="486">
        <v>0</v>
      </c>
      <c r="HM71" s="486">
        <v>0</v>
      </c>
      <c r="HN71" s="486">
        <v>0</v>
      </c>
      <c r="HO71" s="486">
        <v>0</v>
      </c>
      <c r="HP71" s="486">
        <v>0</v>
      </c>
      <c r="HQ71" s="486">
        <v>0</v>
      </c>
      <c r="HR71" s="486">
        <v>0</v>
      </c>
      <c r="HS71" s="486">
        <v>0</v>
      </c>
      <c r="HT71" s="486">
        <v>0</v>
      </c>
      <c r="HU71" s="486">
        <v>0</v>
      </c>
      <c r="HV71" s="486">
        <v>0</v>
      </c>
      <c r="HW71" s="486">
        <v>0</v>
      </c>
      <c r="HX71" s="486">
        <v>0</v>
      </c>
      <c r="HY71" s="486">
        <v>0</v>
      </c>
      <c r="HZ71" s="486">
        <v>0</v>
      </c>
      <c r="IA71" s="486">
        <v>0</v>
      </c>
      <c r="IB71" s="486">
        <v>0</v>
      </c>
      <c r="IC71" s="486">
        <v>0</v>
      </c>
      <c r="ID71" s="486">
        <v>0</v>
      </c>
      <c r="IE71" s="486">
        <v>0</v>
      </c>
      <c r="IF71" s="486">
        <v>0</v>
      </c>
      <c r="IG71" s="486">
        <v>0</v>
      </c>
      <c r="IH71" s="486">
        <v>0</v>
      </c>
      <c r="II71" s="486">
        <v>0</v>
      </c>
      <c r="IJ71" s="486">
        <v>0</v>
      </c>
    </row>
    <row r="72" spans="1:244" ht="16.5" hidden="1">
      <c r="A72" s="484" t="s">
        <v>720</v>
      </c>
      <c r="B72" s="484" t="s">
        <v>617</v>
      </c>
      <c r="C72" s="484" t="s">
        <v>721</v>
      </c>
      <c r="D72" s="485"/>
      <c r="E72" s="484" t="s">
        <v>721</v>
      </c>
      <c r="F72" s="484" t="s">
        <v>25</v>
      </c>
      <c r="G72" s="485"/>
      <c r="H72" s="486">
        <v>21</v>
      </c>
      <c r="I72" s="471" t="str">
        <f t="shared" si="3"/>
        <v>AIJ100121</v>
      </c>
      <c r="J72" s="486">
        <v>56</v>
      </c>
      <c r="L72" s="484" t="s">
        <v>720</v>
      </c>
      <c r="M72" s="484" t="s">
        <v>617</v>
      </c>
      <c r="N72" s="484" t="s">
        <v>26</v>
      </c>
      <c r="O72" s="486">
        <v>37</v>
      </c>
      <c r="P72" s="471" t="str">
        <f t="shared" si="4"/>
        <v>AIJ100237</v>
      </c>
      <c r="Q72" s="486">
        <v>0</v>
      </c>
      <c r="R72" s="486">
        <v>6</v>
      </c>
      <c r="S72" s="486">
        <v>12</v>
      </c>
      <c r="T72" s="486">
        <v>17</v>
      </c>
      <c r="U72" s="486">
        <v>24</v>
      </c>
      <c r="V72" s="486">
        <v>29</v>
      </c>
      <c r="W72" s="486">
        <v>36</v>
      </c>
      <c r="X72" s="486">
        <v>42</v>
      </c>
      <c r="Y72" s="486">
        <v>45</v>
      </c>
      <c r="Z72" s="486">
        <v>0</v>
      </c>
      <c r="AA72" s="486">
        <v>0</v>
      </c>
      <c r="AB72" s="486">
        <v>0</v>
      </c>
      <c r="AC72" s="486">
        <v>0</v>
      </c>
      <c r="AD72" s="486">
        <v>0</v>
      </c>
      <c r="AE72" s="486">
        <v>0</v>
      </c>
      <c r="AF72" s="486">
        <v>0</v>
      </c>
      <c r="AG72" s="486">
        <v>0</v>
      </c>
      <c r="AH72" s="486">
        <v>0</v>
      </c>
      <c r="AI72" s="486">
        <v>0</v>
      </c>
      <c r="AJ72" s="486">
        <v>0</v>
      </c>
      <c r="AK72" s="486">
        <v>0</v>
      </c>
      <c r="AL72" s="486">
        <v>0</v>
      </c>
      <c r="AM72" s="486">
        <v>0</v>
      </c>
      <c r="AN72" s="486">
        <v>0</v>
      </c>
      <c r="AO72" s="486">
        <v>0</v>
      </c>
      <c r="AP72" s="486">
        <v>0</v>
      </c>
      <c r="AQ72" s="486">
        <v>0</v>
      </c>
      <c r="AR72" s="486">
        <v>0</v>
      </c>
      <c r="AS72" s="486">
        <v>0</v>
      </c>
      <c r="AT72" s="486">
        <v>0</v>
      </c>
      <c r="AU72" s="486">
        <v>0</v>
      </c>
      <c r="AV72" s="486">
        <v>0</v>
      </c>
      <c r="AW72" s="486">
        <v>0</v>
      </c>
      <c r="AX72" s="486">
        <v>0</v>
      </c>
      <c r="AY72" s="486">
        <v>0</v>
      </c>
      <c r="AZ72" s="486">
        <v>0</v>
      </c>
      <c r="BA72" s="486">
        <v>0</v>
      </c>
      <c r="BB72" s="486">
        <v>0</v>
      </c>
      <c r="BC72" s="486">
        <v>0</v>
      </c>
      <c r="BD72" s="486">
        <v>0</v>
      </c>
      <c r="BE72" s="486">
        <v>0</v>
      </c>
      <c r="BF72" s="486">
        <v>0</v>
      </c>
      <c r="BG72" s="486">
        <v>0</v>
      </c>
      <c r="BH72" s="486">
        <v>0</v>
      </c>
      <c r="BI72" s="486">
        <v>0</v>
      </c>
      <c r="BJ72" s="486">
        <v>0</v>
      </c>
      <c r="BK72" s="486">
        <v>0</v>
      </c>
      <c r="BL72" s="486">
        <v>0</v>
      </c>
      <c r="BM72" s="486">
        <v>0</v>
      </c>
      <c r="BN72" s="486">
        <v>0</v>
      </c>
      <c r="BO72" s="486">
        <v>0</v>
      </c>
      <c r="BP72" s="486">
        <v>0</v>
      </c>
      <c r="BQ72" s="486">
        <v>0</v>
      </c>
      <c r="BR72" s="486">
        <v>0</v>
      </c>
      <c r="BS72" s="486">
        <v>0</v>
      </c>
      <c r="BT72" s="486">
        <v>0</v>
      </c>
      <c r="BU72" s="486">
        <v>0</v>
      </c>
      <c r="BV72" s="486">
        <v>0</v>
      </c>
      <c r="BW72" s="486">
        <v>0</v>
      </c>
      <c r="BX72" s="486">
        <v>0</v>
      </c>
      <c r="BY72" s="486">
        <v>0</v>
      </c>
      <c r="BZ72" s="486">
        <v>0</v>
      </c>
      <c r="CA72" s="486">
        <v>0</v>
      </c>
      <c r="CB72" s="486">
        <v>0</v>
      </c>
      <c r="CC72" s="486">
        <v>0</v>
      </c>
      <c r="CD72" s="486">
        <v>0</v>
      </c>
      <c r="CE72" s="486">
        <v>0</v>
      </c>
      <c r="CF72" s="486">
        <v>0</v>
      </c>
      <c r="CG72" s="486">
        <v>0</v>
      </c>
      <c r="CH72" s="486">
        <v>0</v>
      </c>
      <c r="CI72" s="486">
        <v>0</v>
      </c>
      <c r="CJ72" s="486">
        <v>0</v>
      </c>
      <c r="CK72" s="486">
        <v>0</v>
      </c>
      <c r="CL72" s="486">
        <v>0</v>
      </c>
      <c r="CM72" s="486">
        <v>0</v>
      </c>
      <c r="CN72" s="486">
        <v>0</v>
      </c>
      <c r="CO72" s="486">
        <v>0</v>
      </c>
      <c r="CP72" s="486">
        <v>0</v>
      </c>
      <c r="CQ72" s="486">
        <v>0</v>
      </c>
      <c r="CR72" s="486">
        <v>0</v>
      </c>
      <c r="CS72" s="486">
        <v>0</v>
      </c>
      <c r="CT72" s="486">
        <v>0</v>
      </c>
      <c r="CU72" s="486">
        <v>0</v>
      </c>
      <c r="CV72" s="486">
        <v>0</v>
      </c>
      <c r="CW72" s="486">
        <v>0</v>
      </c>
      <c r="CX72" s="486">
        <v>0</v>
      </c>
      <c r="CY72" s="486">
        <v>0</v>
      </c>
      <c r="CZ72" s="486">
        <v>0</v>
      </c>
      <c r="DA72" s="486">
        <v>0</v>
      </c>
      <c r="DB72" s="486">
        <v>0</v>
      </c>
      <c r="DC72" s="486">
        <v>0</v>
      </c>
      <c r="DD72" s="486">
        <v>0</v>
      </c>
      <c r="DE72" s="486">
        <v>0</v>
      </c>
      <c r="DF72" s="486">
        <v>0</v>
      </c>
      <c r="DG72" s="486">
        <v>0</v>
      </c>
      <c r="DH72" s="486">
        <v>0</v>
      </c>
      <c r="DI72" s="486">
        <v>0</v>
      </c>
      <c r="DJ72" s="486">
        <v>0</v>
      </c>
      <c r="DK72" s="486">
        <v>0</v>
      </c>
      <c r="DL72" s="486">
        <v>0</v>
      </c>
      <c r="DM72" s="486">
        <v>0</v>
      </c>
      <c r="DN72" s="486">
        <v>0</v>
      </c>
      <c r="DO72" s="486">
        <v>0</v>
      </c>
      <c r="DP72" s="486">
        <v>0</v>
      </c>
      <c r="DQ72" s="486">
        <v>0</v>
      </c>
      <c r="DR72" s="486">
        <v>0</v>
      </c>
      <c r="DS72" s="486">
        <v>0</v>
      </c>
      <c r="DT72" s="486">
        <v>0</v>
      </c>
      <c r="DU72" s="486">
        <v>0</v>
      </c>
      <c r="DV72" s="486">
        <v>0</v>
      </c>
      <c r="DW72" s="486">
        <v>0</v>
      </c>
      <c r="DX72" s="477"/>
      <c r="DY72" s="484" t="s">
        <v>720</v>
      </c>
      <c r="DZ72" s="484" t="s">
        <v>617</v>
      </c>
      <c r="EA72" s="484" t="s">
        <v>26</v>
      </c>
      <c r="EB72" s="486">
        <v>37</v>
      </c>
      <c r="EC72" s="471" t="str">
        <f t="shared" si="0"/>
        <v>AIJ100237</v>
      </c>
      <c r="ED72" s="486">
        <v>10000</v>
      </c>
      <c r="EE72" s="486">
        <v>10000</v>
      </c>
      <c r="EF72" s="486">
        <v>10000</v>
      </c>
      <c r="EG72" s="486">
        <v>10000</v>
      </c>
      <c r="EH72" s="486">
        <v>10000</v>
      </c>
      <c r="EI72" s="486">
        <v>10000</v>
      </c>
      <c r="EJ72" s="486">
        <v>10000</v>
      </c>
      <c r="EK72" s="486">
        <v>10000</v>
      </c>
      <c r="EL72" s="486">
        <v>10000</v>
      </c>
      <c r="EM72" s="486">
        <v>10000</v>
      </c>
      <c r="EN72" s="486">
        <v>0</v>
      </c>
      <c r="EO72" s="486">
        <v>0</v>
      </c>
      <c r="EP72" s="486">
        <v>0</v>
      </c>
      <c r="EQ72" s="486">
        <v>0</v>
      </c>
      <c r="ER72" s="486">
        <v>0</v>
      </c>
      <c r="ES72" s="486">
        <v>0</v>
      </c>
      <c r="ET72" s="486">
        <v>0</v>
      </c>
      <c r="EU72" s="486">
        <v>0</v>
      </c>
      <c r="EV72" s="486">
        <v>0</v>
      </c>
      <c r="EW72" s="486">
        <v>0</v>
      </c>
      <c r="EX72" s="486">
        <v>0</v>
      </c>
      <c r="EY72" s="486">
        <v>0</v>
      </c>
      <c r="EZ72" s="486">
        <v>0</v>
      </c>
      <c r="FA72" s="486">
        <v>0</v>
      </c>
      <c r="FB72" s="486">
        <v>0</v>
      </c>
      <c r="FC72" s="486">
        <v>0</v>
      </c>
      <c r="FD72" s="486">
        <v>0</v>
      </c>
      <c r="FE72" s="486">
        <v>0</v>
      </c>
      <c r="FF72" s="486">
        <v>0</v>
      </c>
      <c r="FG72" s="486">
        <v>0</v>
      </c>
      <c r="FH72" s="486">
        <v>0</v>
      </c>
      <c r="FI72" s="486">
        <v>0</v>
      </c>
      <c r="FJ72" s="486">
        <v>0</v>
      </c>
      <c r="FK72" s="486">
        <v>0</v>
      </c>
      <c r="FL72" s="486">
        <v>0</v>
      </c>
      <c r="FM72" s="486">
        <v>0</v>
      </c>
      <c r="FN72" s="486">
        <v>0</v>
      </c>
      <c r="FO72" s="486">
        <v>0</v>
      </c>
      <c r="FP72" s="486">
        <v>0</v>
      </c>
      <c r="FQ72" s="486">
        <v>0</v>
      </c>
      <c r="FR72" s="486">
        <v>0</v>
      </c>
      <c r="FS72" s="486">
        <v>0</v>
      </c>
      <c r="FT72" s="486">
        <v>0</v>
      </c>
      <c r="FU72" s="486">
        <v>0</v>
      </c>
      <c r="FV72" s="486">
        <v>0</v>
      </c>
      <c r="FW72" s="486">
        <v>0</v>
      </c>
      <c r="FX72" s="486">
        <v>0</v>
      </c>
      <c r="FY72" s="486">
        <v>0</v>
      </c>
      <c r="FZ72" s="486">
        <v>0</v>
      </c>
      <c r="GA72" s="486">
        <v>0</v>
      </c>
      <c r="GB72" s="486">
        <v>0</v>
      </c>
      <c r="GC72" s="486">
        <v>0</v>
      </c>
      <c r="GD72" s="486">
        <v>0</v>
      </c>
      <c r="GE72" s="486">
        <v>0</v>
      </c>
      <c r="GF72" s="486">
        <v>0</v>
      </c>
      <c r="GG72" s="486">
        <v>0</v>
      </c>
      <c r="GH72" s="486">
        <v>0</v>
      </c>
      <c r="GI72" s="486">
        <v>0</v>
      </c>
      <c r="GJ72" s="486">
        <v>0</v>
      </c>
      <c r="GK72" s="486">
        <v>0</v>
      </c>
      <c r="GL72" s="486">
        <v>0</v>
      </c>
      <c r="GM72" s="486">
        <v>0</v>
      </c>
      <c r="GN72" s="486">
        <v>0</v>
      </c>
      <c r="GO72" s="486">
        <v>0</v>
      </c>
      <c r="GP72" s="486">
        <v>0</v>
      </c>
      <c r="GQ72" s="486">
        <v>0</v>
      </c>
      <c r="GR72" s="486">
        <v>0</v>
      </c>
      <c r="GS72" s="486">
        <v>0</v>
      </c>
      <c r="GT72" s="486">
        <v>0</v>
      </c>
      <c r="GU72" s="486">
        <v>0</v>
      </c>
      <c r="GV72" s="486">
        <v>0</v>
      </c>
      <c r="GW72" s="486">
        <v>0</v>
      </c>
      <c r="GX72" s="486">
        <v>0</v>
      </c>
      <c r="GY72" s="486">
        <v>0</v>
      </c>
      <c r="GZ72" s="486">
        <v>0</v>
      </c>
      <c r="HA72" s="486">
        <v>0</v>
      </c>
      <c r="HB72" s="486">
        <v>0</v>
      </c>
      <c r="HC72" s="486">
        <v>0</v>
      </c>
      <c r="HD72" s="486">
        <v>0</v>
      </c>
      <c r="HE72" s="486">
        <v>0</v>
      </c>
      <c r="HF72" s="486">
        <v>0</v>
      </c>
      <c r="HG72" s="486">
        <v>0</v>
      </c>
      <c r="HH72" s="486">
        <v>0</v>
      </c>
      <c r="HI72" s="486">
        <v>0</v>
      </c>
      <c r="HJ72" s="486">
        <v>0</v>
      </c>
      <c r="HK72" s="486">
        <v>0</v>
      </c>
      <c r="HL72" s="486">
        <v>0</v>
      </c>
      <c r="HM72" s="486">
        <v>0</v>
      </c>
      <c r="HN72" s="486">
        <v>0</v>
      </c>
      <c r="HO72" s="486">
        <v>0</v>
      </c>
      <c r="HP72" s="486">
        <v>0</v>
      </c>
      <c r="HQ72" s="486">
        <v>0</v>
      </c>
      <c r="HR72" s="486">
        <v>0</v>
      </c>
      <c r="HS72" s="486">
        <v>0</v>
      </c>
      <c r="HT72" s="486">
        <v>0</v>
      </c>
      <c r="HU72" s="486">
        <v>0</v>
      </c>
      <c r="HV72" s="486">
        <v>0</v>
      </c>
      <c r="HW72" s="486">
        <v>0</v>
      </c>
      <c r="HX72" s="486">
        <v>0</v>
      </c>
      <c r="HY72" s="486">
        <v>0</v>
      </c>
      <c r="HZ72" s="486">
        <v>0</v>
      </c>
      <c r="IA72" s="486">
        <v>0</v>
      </c>
      <c r="IB72" s="486">
        <v>0</v>
      </c>
      <c r="IC72" s="486">
        <v>0</v>
      </c>
      <c r="ID72" s="486">
        <v>0</v>
      </c>
      <c r="IE72" s="486">
        <v>0</v>
      </c>
      <c r="IF72" s="486">
        <v>0</v>
      </c>
      <c r="IG72" s="486">
        <v>0</v>
      </c>
      <c r="IH72" s="486">
        <v>0</v>
      </c>
      <c r="II72" s="486">
        <v>0</v>
      </c>
      <c r="IJ72" s="486">
        <v>0</v>
      </c>
    </row>
    <row r="73" spans="1:244" ht="16.5" hidden="1">
      <c r="A73" s="484" t="s">
        <v>720</v>
      </c>
      <c r="B73" s="484" t="s">
        <v>617</v>
      </c>
      <c r="C73" s="484" t="s">
        <v>721</v>
      </c>
      <c r="D73" s="485"/>
      <c r="E73" s="484" t="s">
        <v>721</v>
      </c>
      <c r="F73" s="484" t="s">
        <v>25</v>
      </c>
      <c r="G73" s="485"/>
      <c r="H73" s="486">
        <v>22</v>
      </c>
      <c r="I73" s="471" t="str">
        <f t="shared" si="3"/>
        <v>AIJ100122</v>
      </c>
      <c r="J73" s="486">
        <v>57</v>
      </c>
      <c r="L73" s="484" t="s">
        <v>720</v>
      </c>
      <c r="M73" s="484" t="s">
        <v>617</v>
      </c>
      <c r="N73" s="484" t="s">
        <v>26</v>
      </c>
      <c r="O73" s="486">
        <v>38</v>
      </c>
      <c r="P73" s="471" t="str">
        <f t="shared" si="4"/>
        <v>AIJ100238</v>
      </c>
      <c r="Q73" s="486">
        <v>0</v>
      </c>
      <c r="R73" s="486">
        <v>7</v>
      </c>
      <c r="S73" s="486">
        <v>13</v>
      </c>
      <c r="T73" s="486">
        <v>19</v>
      </c>
      <c r="U73" s="486">
        <v>26</v>
      </c>
      <c r="V73" s="486">
        <v>30</v>
      </c>
      <c r="W73" s="486">
        <v>37</v>
      </c>
      <c r="X73" s="486">
        <v>44</v>
      </c>
      <c r="Y73" s="486">
        <v>47</v>
      </c>
      <c r="Z73" s="486">
        <v>0</v>
      </c>
      <c r="AA73" s="486">
        <v>0</v>
      </c>
      <c r="AB73" s="486">
        <v>0</v>
      </c>
      <c r="AC73" s="486">
        <v>0</v>
      </c>
      <c r="AD73" s="486">
        <v>0</v>
      </c>
      <c r="AE73" s="486">
        <v>0</v>
      </c>
      <c r="AF73" s="486">
        <v>0</v>
      </c>
      <c r="AG73" s="486">
        <v>0</v>
      </c>
      <c r="AH73" s="486">
        <v>0</v>
      </c>
      <c r="AI73" s="486">
        <v>0</v>
      </c>
      <c r="AJ73" s="486">
        <v>0</v>
      </c>
      <c r="AK73" s="486">
        <v>0</v>
      </c>
      <c r="AL73" s="486">
        <v>0</v>
      </c>
      <c r="AM73" s="486">
        <v>0</v>
      </c>
      <c r="AN73" s="486">
        <v>0</v>
      </c>
      <c r="AO73" s="486">
        <v>0</v>
      </c>
      <c r="AP73" s="486">
        <v>0</v>
      </c>
      <c r="AQ73" s="486">
        <v>0</v>
      </c>
      <c r="AR73" s="486">
        <v>0</v>
      </c>
      <c r="AS73" s="486">
        <v>0</v>
      </c>
      <c r="AT73" s="486">
        <v>0</v>
      </c>
      <c r="AU73" s="486">
        <v>0</v>
      </c>
      <c r="AV73" s="486">
        <v>0</v>
      </c>
      <c r="AW73" s="486">
        <v>0</v>
      </c>
      <c r="AX73" s="486">
        <v>0</v>
      </c>
      <c r="AY73" s="486">
        <v>0</v>
      </c>
      <c r="AZ73" s="486">
        <v>0</v>
      </c>
      <c r="BA73" s="486">
        <v>0</v>
      </c>
      <c r="BB73" s="486">
        <v>0</v>
      </c>
      <c r="BC73" s="486">
        <v>0</v>
      </c>
      <c r="BD73" s="486">
        <v>0</v>
      </c>
      <c r="BE73" s="486">
        <v>0</v>
      </c>
      <c r="BF73" s="486">
        <v>0</v>
      </c>
      <c r="BG73" s="486">
        <v>0</v>
      </c>
      <c r="BH73" s="486">
        <v>0</v>
      </c>
      <c r="BI73" s="486">
        <v>0</v>
      </c>
      <c r="BJ73" s="486">
        <v>0</v>
      </c>
      <c r="BK73" s="486">
        <v>0</v>
      </c>
      <c r="BL73" s="486">
        <v>0</v>
      </c>
      <c r="BM73" s="486">
        <v>0</v>
      </c>
      <c r="BN73" s="486">
        <v>0</v>
      </c>
      <c r="BO73" s="486">
        <v>0</v>
      </c>
      <c r="BP73" s="486">
        <v>0</v>
      </c>
      <c r="BQ73" s="486">
        <v>0</v>
      </c>
      <c r="BR73" s="486">
        <v>0</v>
      </c>
      <c r="BS73" s="486">
        <v>0</v>
      </c>
      <c r="BT73" s="486">
        <v>0</v>
      </c>
      <c r="BU73" s="486">
        <v>0</v>
      </c>
      <c r="BV73" s="486">
        <v>0</v>
      </c>
      <c r="BW73" s="486">
        <v>0</v>
      </c>
      <c r="BX73" s="486">
        <v>0</v>
      </c>
      <c r="BY73" s="486">
        <v>0</v>
      </c>
      <c r="BZ73" s="486">
        <v>0</v>
      </c>
      <c r="CA73" s="486">
        <v>0</v>
      </c>
      <c r="CB73" s="486">
        <v>0</v>
      </c>
      <c r="CC73" s="486">
        <v>0</v>
      </c>
      <c r="CD73" s="486">
        <v>0</v>
      </c>
      <c r="CE73" s="486">
        <v>0</v>
      </c>
      <c r="CF73" s="486">
        <v>0</v>
      </c>
      <c r="CG73" s="486">
        <v>0</v>
      </c>
      <c r="CH73" s="486">
        <v>0</v>
      </c>
      <c r="CI73" s="486">
        <v>0</v>
      </c>
      <c r="CJ73" s="486">
        <v>0</v>
      </c>
      <c r="CK73" s="486">
        <v>0</v>
      </c>
      <c r="CL73" s="486">
        <v>0</v>
      </c>
      <c r="CM73" s="486">
        <v>0</v>
      </c>
      <c r="CN73" s="486">
        <v>0</v>
      </c>
      <c r="CO73" s="486">
        <v>0</v>
      </c>
      <c r="CP73" s="486">
        <v>0</v>
      </c>
      <c r="CQ73" s="486">
        <v>0</v>
      </c>
      <c r="CR73" s="486">
        <v>0</v>
      </c>
      <c r="CS73" s="486">
        <v>0</v>
      </c>
      <c r="CT73" s="486">
        <v>0</v>
      </c>
      <c r="CU73" s="486">
        <v>0</v>
      </c>
      <c r="CV73" s="486">
        <v>0</v>
      </c>
      <c r="CW73" s="486">
        <v>0</v>
      </c>
      <c r="CX73" s="486">
        <v>0</v>
      </c>
      <c r="CY73" s="486">
        <v>0</v>
      </c>
      <c r="CZ73" s="486">
        <v>0</v>
      </c>
      <c r="DA73" s="486">
        <v>0</v>
      </c>
      <c r="DB73" s="486">
        <v>0</v>
      </c>
      <c r="DC73" s="486">
        <v>0</v>
      </c>
      <c r="DD73" s="486">
        <v>0</v>
      </c>
      <c r="DE73" s="486">
        <v>0</v>
      </c>
      <c r="DF73" s="486">
        <v>0</v>
      </c>
      <c r="DG73" s="486">
        <v>0</v>
      </c>
      <c r="DH73" s="486">
        <v>0</v>
      </c>
      <c r="DI73" s="486">
        <v>0</v>
      </c>
      <c r="DJ73" s="486">
        <v>0</v>
      </c>
      <c r="DK73" s="486">
        <v>0</v>
      </c>
      <c r="DL73" s="486">
        <v>0</v>
      </c>
      <c r="DM73" s="486">
        <v>0</v>
      </c>
      <c r="DN73" s="486">
        <v>0</v>
      </c>
      <c r="DO73" s="486">
        <v>0</v>
      </c>
      <c r="DP73" s="486">
        <v>0</v>
      </c>
      <c r="DQ73" s="486">
        <v>0</v>
      </c>
      <c r="DR73" s="486">
        <v>0</v>
      </c>
      <c r="DS73" s="486">
        <v>0</v>
      </c>
      <c r="DT73" s="486">
        <v>0</v>
      </c>
      <c r="DU73" s="486">
        <v>0</v>
      </c>
      <c r="DV73" s="486">
        <v>0</v>
      </c>
      <c r="DW73" s="486">
        <v>0</v>
      </c>
      <c r="DX73" s="477"/>
      <c r="DY73" s="484" t="s">
        <v>720</v>
      </c>
      <c r="DZ73" s="484" t="s">
        <v>617</v>
      </c>
      <c r="EA73" s="484" t="s">
        <v>26</v>
      </c>
      <c r="EB73" s="486">
        <v>38</v>
      </c>
      <c r="EC73" s="471" t="str">
        <f t="shared" si="0"/>
        <v>AIJ100238</v>
      </c>
      <c r="ED73" s="486">
        <v>10000</v>
      </c>
      <c r="EE73" s="486">
        <v>10000</v>
      </c>
      <c r="EF73" s="486">
        <v>10000</v>
      </c>
      <c r="EG73" s="486">
        <v>10000</v>
      </c>
      <c r="EH73" s="486">
        <v>10000</v>
      </c>
      <c r="EI73" s="486">
        <v>10000</v>
      </c>
      <c r="EJ73" s="486">
        <v>10000</v>
      </c>
      <c r="EK73" s="486">
        <v>10000</v>
      </c>
      <c r="EL73" s="486">
        <v>10000</v>
      </c>
      <c r="EM73" s="486">
        <v>10000</v>
      </c>
      <c r="EN73" s="486">
        <v>0</v>
      </c>
      <c r="EO73" s="486">
        <v>0</v>
      </c>
      <c r="EP73" s="486">
        <v>0</v>
      </c>
      <c r="EQ73" s="486">
        <v>0</v>
      </c>
      <c r="ER73" s="486">
        <v>0</v>
      </c>
      <c r="ES73" s="486">
        <v>0</v>
      </c>
      <c r="ET73" s="486">
        <v>0</v>
      </c>
      <c r="EU73" s="486">
        <v>0</v>
      </c>
      <c r="EV73" s="486">
        <v>0</v>
      </c>
      <c r="EW73" s="486">
        <v>0</v>
      </c>
      <c r="EX73" s="486">
        <v>0</v>
      </c>
      <c r="EY73" s="486">
        <v>0</v>
      </c>
      <c r="EZ73" s="486">
        <v>0</v>
      </c>
      <c r="FA73" s="486">
        <v>0</v>
      </c>
      <c r="FB73" s="486">
        <v>0</v>
      </c>
      <c r="FC73" s="486">
        <v>0</v>
      </c>
      <c r="FD73" s="486">
        <v>0</v>
      </c>
      <c r="FE73" s="486">
        <v>0</v>
      </c>
      <c r="FF73" s="486">
        <v>0</v>
      </c>
      <c r="FG73" s="486">
        <v>0</v>
      </c>
      <c r="FH73" s="486">
        <v>0</v>
      </c>
      <c r="FI73" s="486">
        <v>0</v>
      </c>
      <c r="FJ73" s="486">
        <v>0</v>
      </c>
      <c r="FK73" s="486">
        <v>0</v>
      </c>
      <c r="FL73" s="486">
        <v>0</v>
      </c>
      <c r="FM73" s="486">
        <v>0</v>
      </c>
      <c r="FN73" s="486">
        <v>0</v>
      </c>
      <c r="FO73" s="486">
        <v>0</v>
      </c>
      <c r="FP73" s="486">
        <v>0</v>
      </c>
      <c r="FQ73" s="486">
        <v>0</v>
      </c>
      <c r="FR73" s="486">
        <v>0</v>
      </c>
      <c r="FS73" s="486">
        <v>0</v>
      </c>
      <c r="FT73" s="486">
        <v>0</v>
      </c>
      <c r="FU73" s="486">
        <v>0</v>
      </c>
      <c r="FV73" s="486">
        <v>0</v>
      </c>
      <c r="FW73" s="486">
        <v>0</v>
      </c>
      <c r="FX73" s="486">
        <v>0</v>
      </c>
      <c r="FY73" s="486">
        <v>0</v>
      </c>
      <c r="FZ73" s="486">
        <v>0</v>
      </c>
      <c r="GA73" s="486">
        <v>0</v>
      </c>
      <c r="GB73" s="486">
        <v>0</v>
      </c>
      <c r="GC73" s="486">
        <v>0</v>
      </c>
      <c r="GD73" s="486">
        <v>0</v>
      </c>
      <c r="GE73" s="486">
        <v>0</v>
      </c>
      <c r="GF73" s="486">
        <v>0</v>
      </c>
      <c r="GG73" s="486">
        <v>0</v>
      </c>
      <c r="GH73" s="486">
        <v>0</v>
      </c>
      <c r="GI73" s="486">
        <v>0</v>
      </c>
      <c r="GJ73" s="486">
        <v>0</v>
      </c>
      <c r="GK73" s="486">
        <v>0</v>
      </c>
      <c r="GL73" s="486">
        <v>0</v>
      </c>
      <c r="GM73" s="486">
        <v>0</v>
      </c>
      <c r="GN73" s="486">
        <v>0</v>
      </c>
      <c r="GO73" s="486">
        <v>0</v>
      </c>
      <c r="GP73" s="486">
        <v>0</v>
      </c>
      <c r="GQ73" s="486">
        <v>0</v>
      </c>
      <c r="GR73" s="486">
        <v>0</v>
      </c>
      <c r="GS73" s="486">
        <v>0</v>
      </c>
      <c r="GT73" s="486">
        <v>0</v>
      </c>
      <c r="GU73" s="486">
        <v>0</v>
      </c>
      <c r="GV73" s="486">
        <v>0</v>
      </c>
      <c r="GW73" s="486">
        <v>0</v>
      </c>
      <c r="GX73" s="486">
        <v>0</v>
      </c>
      <c r="GY73" s="486">
        <v>0</v>
      </c>
      <c r="GZ73" s="486">
        <v>0</v>
      </c>
      <c r="HA73" s="486">
        <v>0</v>
      </c>
      <c r="HB73" s="486">
        <v>0</v>
      </c>
      <c r="HC73" s="486">
        <v>0</v>
      </c>
      <c r="HD73" s="486">
        <v>0</v>
      </c>
      <c r="HE73" s="486">
        <v>0</v>
      </c>
      <c r="HF73" s="486">
        <v>0</v>
      </c>
      <c r="HG73" s="486">
        <v>0</v>
      </c>
      <c r="HH73" s="486">
        <v>0</v>
      </c>
      <c r="HI73" s="486">
        <v>0</v>
      </c>
      <c r="HJ73" s="486">
        <v>0</v>
      </c>
      <c r="HK73" s="486">
        <v>0</v>
      </c>
      <c r="HL73" s="486">
        <v>0</v>
      </c>
      <c r="HM73" s="486">
        <v>0</v>
      </c>
      <c r="HN73" s="486">
        <v>0</v>
      </c>
      <c r="HO73" s="486">
        <v>0</v>
      </c>
      <c r="HP73" s="486">
        <v>0</v>
      </c>
      <c r="HQ73" s="486">
        <v>0</v>
      </c>
      <c r="HR73" s="486">
        <v>0</v>
      </c>
      <c r="HS73" s="486">
        <v>0</v>
      </c>
      <c r="HT73" s="486">
        <v>0</v>
      </c>
      <c r="HU73" s="486">
        <v>0</v>
      </c>
      <c r="HV73" s="486">
        <v>0</v>
      </c>
      <c r="HW73" s="486">
        <v>0</v>
      </c>
      <c r="HX73" s="486">
        <v>0</v>
      </c>
      <c r="HY73" s="486">
        <v>0</v>
      </c>
      <c r="HZ73" s="486">
        <v>0</v>
      </c>
      <c r="IA73" s="486">
        <v>0</v>
      </c>
      <c r="IB73" s="486">
        <v>0</v>
      </c>
      <c r="IC73" s="486">
        <v>0</v>
      </c>
      <c r="ID73" s="486">
        <v>0</v>
      </c>
      <c r="IE73" s="486">
        <v>0</v>
      </c>
      <c r="IF73" s="486">
        <v>0</v>
      </c>
      <c r="IG73" s="486">
        <v>0</v>
      </c>
      <c r="IH73" s="486">
        <v>0</v>
      </c>
      <c r="II73" s="486">
        <v>0</v>
      </c>
      <c r="IJ73" s="486">
        <v>0</v>
      </c>
    </row>
    <row r="74" spans="1:244" ht="16.5" hidden="1">
      <c r="A74" s="484" t="s">
        <v>720</v>
      </c>
      <c r="B74" s="484" t="s">
        <v>617</v>
      </c>
      <c r="C74" s="484" t="s">
        <v>721</v>
      </c>
      <c r="D74" s="485"/>
      <c r="E74" s="484" t="s">
        <v>721</v>
      </c>
      <c r="F74" s="484" t="s">
        <v>25</v>
      </c>
      <c r="G74" s="485"/>
      <c r="H74" s="486">
        <v>23</v>
      </c>
      <c r="I74" s="471" t="str">
        <f t="shared" si="3"/>
        <v>AIJ100123</v>
      </c>
      <c r="J74" s="486">
        <v>58</v>
      </c>
      <c r="L74" s="484" t="s">
        <v>720</v>
      </c>
      <c r="M74" s="484" t="s">
        <v>617</v>
      </c>
      <c r="N74" s="484" t="s">
        <v>26</v>
      </c>
      <c r="O74" s="486">
        <v>39</v>
      </c>
      <c r="P74" s="471" t="str">
        <f t="shared" si="4"/>
        <v>AIJ100239</v>
      </c>
      <c r="Q74" s="486">
        <v>0</v>
      </c>
      <c r="R74" s="486">
        <v>7</v>
      </c>
      <c r="S74" s="486">
        <v>14</v>
      </c>
      <c r="T74" s="486">
        <v>20</v>
      </c>
      <c r="U74" s="486">
        <v>27</v>
      </c>
      <c r="V74" s="486">
        <v>33</v>
      </c>
      <c r="W74" s="486">
        <v>39</v>
      </c>
      <c r="X74" s="486">
        <v>46</v>
      </c>
      <c r="Y74" s="486">
        <v>49</v>
      </c>
      <c r="Z74" s="486">
        <v>0</v>
      </c>
      <c r="AA74" s="486">
        <v>0</v>
      </c>
      <c r="AB74" s="486">
        <v>0</v>
      </c>
      <c r="AC74" s="486">
        <v>0</v>
      </c>
      <c r="AD74" s="486">
        <v>0</v>
      </c>
      <c r="AE74" s="486">
        <v>0</v>
      </c>
      <c r="AF74" s="486">
        <v>0</v>
      </c>
      <c r="AG74" s="486">
        <v>0</v>
      </c>
      <c r="AH74" s="486">
        <v>0</v>
      </c>
      <c r="AI74" s="486">
        <v>0</v>
      </c>
      <c r="AJ74" s="486">
        <v>0</v>
      </c>
      <c r="AK74" s="486">
        <v>0</v>
      </c>
      <c r="AL74" s="486">
        <v>0</v>
      </c>
      <c r="AM74" s="486">
        <v>0</v>
      </c>
      <c r="AN74" s="486">
        <v>0</v>
      </c>
      <c r="AO74" s="486">
        <v>0</v>
      </c>
      <c r="AP74" s="486">
        <v>0</v>
      </c>
      <c r="AQ74" s="486">
        <v>0</v>
      </c>
      <c r="AR74" s="486">
        <v>0</v>
      </c>
      <c r="AS74" s="486">
        <v>0</v>
      </c>
      <c r="AT74" s="486">
        <v>0</v>
      </c>
      <c r="AU74" s="486">
        <v>0</v>
      </c>
      <c r="AV74" s="486">
        <v>0</v>
      </c>
      <c r="AW74" s="486">
        <v>0</v>
      </c>
      <c r="AX74" s="486">
        <v>0</v>
      </c>
      <c r="AY74" s="486">
        <v>0</v>
      </c>
      <c r="AZ74" s="486">
        <v>0</v>
      </c>
      <c r="BA74" s="486">
        <v>0</v>
      </c>
      <c r="BB74" s="486">
        <v>0</v>
      </c>
      <c r="BC74" s="486">
        <v>0</v>
      </c>
      <c r="BD74" s="486">
        <v>0</v>
      </c>
      <c r="BE74" s="486">
        <v>0</v>
      </c>
      <c r="BF74" s="486">
        <v>0</v>
      </c>
      <c r="BG74" s="486">
        <v>0</v>
      </c>
      <c r="BH74" s="486">
        <v>0</v>
      </c>
      <c r="BI74" s="486">
        <v>0</v>
      </c>
      <c r="BJ74" s="486">
        <v>0</v>
      </c>
      <c r="BK74" s="486">
        <v>0</v>
      </c>
      <c r="BL74" s="486">
        <v>0</v>
      </c>
      <c r="BM74" s="486">
        <v>0</v>
      </c>
      <c r="BN74" s="486">
        <v>0</v>
      </c>
      <c r="BO74" s="486">
        <v>0</v>
      </c>
      <c r="BP74" s="486">
        <v>0</v>
      </c>
      <c r="BQ74" s="486">
        <v>0</v>
      </c>
      <c r="BR74" s="486">
        <v>0</v>
      </c>
      <c r="BS74" s="486">
        <v>0</v>
      </c>
      <c r="BT74" s="486">
        <v>0</v>
      </c>
      <c r="BU74" s="486">
        <v>0</v>
      </c>
      <c r="BV74" s="486">
        <v>0</v>
      </c>
      <c r="BW74" s="486">
        <v>0</v>
      </c>
      <c r="BX74" s="486">
        <v>0</v>
      </c>
      <c r="BY74" s="486">
        <v>0</v>
      </c>
      <c r="BZ74" s="486">
        <v>0</v>
      </c>
      <c r="CA74" s="486">
        <v>0</v>
      </c>
      <c r="CB74" s="486">
        <v>0</v>
      </c>
      <c r="CC74" s="486">
        <v>0</v>
      </c>
      <c r="CD74" s="486">
        <v>0</v>
      </c>
      <c r="CE74" s="486">
        <v>0</v>
      </c>
      <c r="CF74" s="486">
        <v>0</v>
      </c>
      <c r="CG74" s="486">
        <v>0</v>
      </c>
      <c r="CH74" s="486">
        <v>0</v>
      </c>
      <c r="CI74" s="486">
        <v>0</v>
      </c>
      <c r="CJ74" s="486">
        <v>0</v>
      </c>
      <c r="CK74" s="486">
        <v>0</v>
      </c>
      <c r="CL74" s="486">
        <v>0</v>
      </c>
      <c r="CM74" s="486">
        <v>0</v>
      </c>
      <c r="CN74" s="486">
        <v>0</v>
      </c>
      <c r="CO74" s="486">
        <v>0</v>
      </c>
      <c r="CP74" s="486">
        <v>0</v>
      </c>
      <c r="CQ74" s="486">
        <v>0</v>
      </c>
      <c r="CR74" s="486">
        <v>0</v>
      </c>
      <c r="CS74" s="486">
        <v>0</v>
      </c>
      <c r="CT74" s="486">
        <v>0</v>
      </c>
      <c r="CU74" s="486">
        <v>0</v>
      </c>
      <c r="CV74" s="486">
        <v>0</v>
      </c>
      <c r="CW74" s="486">
        <v>0</v>
      </c>
      <c r="CX74" s="486">
        <v>0</v>
      </c>
      <c r="CY74" s="486">
        <v>0</v>
      </c>
      <c r="CZ74" s="486">
        <v>0</v>
      </c>
      <c r="DA74" s="486">
        <v>0</v>
      </c>
      <c r="DB74" s="486">
        <v>0</v>
      </c>
      <c r="DC74" s="486">
        <v>0</v>
      </c>
      <c r="DD74" s="486">
        <v>0</v>
      </c>
      <c r="DE74" s="486">
        <v>0</v>
      </c>
      <c r="DF74" s="486">
        <v>0</v>
      </c>
      <c r="DG74" s="486">
        <v>0</v>
      </c>
      <c r="DH74" s="486">
        <v>0</v>
      </c>
      <c r="DI74" s="486">
        <v>0</v>
      </c>
      <c r="DJ74" s="486">
        <v>0</v>
      </c>
      <c r="DK74" s="486">
        <v>0</v>
      </c>
      <c r="DL74" s="486">
        <v>0</v>
      </c>
      <c r="DM74" s="486">
        <v>0</v>
      </c>
      <c r="DN74" s="486">
        <v>0</v>
      </c>
      <c r="DO74" s="486">
        <v>0</v>
      </c>
      <c r="DP74" s="486">
        <v>0</v>
      </c>
      <c r="DQ74" s="486">
        <v>0</v>
      </c>
      <c r="DR74" s="486">
        <v>0</v>
      </c>
      <c r="DS74" s="486">
        <v>0</v>
      </c>
      <c r="DT74" s="486">
        <v>0</v>
      </c>
      <c r="DU74" s="486">
        <v>0</v>
      </c>
      <c r="DV74" s="486">
        <v>0</v>
      </c>
      <c r="DW74" s="486">
        <v>0</v>
      </c>
      <c r="DX74" s="477"/>
      <c r="DY74" s="484" t="s">
        <v>720</v>
      </c>
      <c r="DZ74" s="484" t="s">
        <v>617</v>
      </c>
      <c r="EA74" s="484" t="s">
        <v>26</v>
      </c>
      <c r="EB74" s="486">
        <v>39</v>
      </c>
      <c r="EC74" s="471" t="str">
        <f t="shared" si="0"/>
        <v>AIJ100239</v>
      </c>
      <c r="ED74" s="486">
        <v>10000</v>
      </c>
      <c r="EE74" s="486">
        <v>10000</v>
      </c>
      <c r="EF74" s="486">
        <v>10000</v>
      </c>
      <c r="EG74" s="486">
        <v>10000</v>
      </c>
      <c r="EH74" s="486">
        <v>10000</v>
      </c>
      <c r="EI74" s="486">
        <v>10000</v>
      </c>
      <c r="EJ74" s="486">
        <v>10000</v>
      </c>
      <c r="EK74" s="486">
        <v>10000</v>
      </c>
      <c r="EL74" s="486">
        <v>10000</v>
      </c>
      <c r="EM74" s="486">
        <v>10000</v>
      </c>
      <c r="EN74" s="486">
        <v>0</v>
      </c>
      <c r="EO74" s="486">
        <v>0</v>
      </c>
      <c r="EP74" s="486">
        <v>0</v>
      </c>
      <c r="EQ74" s="486">
        <v>0</v>
      </c>
      <c r="ER74" s="486">
        <v>0</v>
      </c>
      <c r="ES74" s="486">
        <v>0</v>
      </c>
      <c r="ET74" s="486">
        <v>0</v>
      </c>
      <c r="EU74" s="486">
        <v>0</v>
      </c>
      <c r="EV74" s="486">
        <v>0</v>
      </c>
      <c r="EW74" s="486">
        <v>0</v>
      </c>
      <c r="EX74" s="486">
        <v>0</v>
      </c>
      <c r="EY74" s="486">
        <v>0</v>
      </c>
      <c r="EZ74" s="486">
        <v>0</v>
      </c>
      <c r="FA74" s="486">
        <v>0</v>
      </c>
      <c r="FB74" s="486">
        <v>0</v>
      </c>
      <c r="FC74" s="486">
        <v>0</v>
      </c>
      <c r="FD74" s="486">
        <v>0</v>
      </c>
      <c r="FE74" s="486">
        <v>0</v>
      </c>
      <c r="FF74" s="486">
        <v>0</v>
      </c>
      <c r="FG74" s="486">
        <v>0</v>
      </c>
      <c r="FH74" s="486">
        <v>0</v>
      </c>
      <c r="FI74" s="486">
        <v>0</v>
      </c>
      <c r="FJ74" s="486">
        <v>0</v>
      </c>
      <c r="FK74" s="486">
        <v>0</v>
      </c>
      <c r="FL74" s="486">
        <v>0</v>
      </c>
      <c r="FM74" s="486">
        <v>0</v>
      </c>
      <c r="FN74" s="486">
        <v>0</v>
      </c>
      <c r="FO74" s="486">
        <v>0</v>
      </c>
      <c r="FP74" s="486">
        <v>0</v>
      </c>
      <c r="FQ74" s="486">
        <v>0</v>
      </c>
      <c r="FR74" s="486">
        <v>0</v>
      </c>
      <c r="FS74" s="486">
        <v>0</v>
      </c>
      <c r="FT74" s="486">
        <v>0</v>
      </c>
      <c r="FU74" s="486">
        <v>0</v>
      </c>
      <c r="FV74" s="486">
        <v>0</v>
      </c>
      <c r="FW74" s="486">
        <v>0</v>
      </c>
      <c r="FX74" s="486">
        <v>0</v>
      </c>
      <c r="FY74" s="486">
        <v>0</v>
      </c>
      <c r="FZ74" s="486">
        <v>0</v>
      </c>
      <c r="GA74" s="486">
        <v>0</v>
      </c>
      <c r="GB74" s="486">
        <v>0</v>
      </c>
      <c r="GC74" s="486">
        <v>0</v>
      </c>
      <c r="GD74" s="486">
        <v>0</v>
      </c>
      <c r="GE74" s="486">
        <v>0</v>
      </c>
      <c r="GF74" s="486">
        <v>0</v>
      </c>
      <c r="GG74" s="486">
        <v>0</v>
      </c>
      <c r="GH74" s="486">
        <v>0</v>
      </c>
      <c r="GI74" s="486">
        <v>0</v>
      </c>
      <c r="GJ74" s="486">
        <v>0</v>
      </c>
      <c r="GK74" s="486">
        <v>0</v>
      </c>
      <c r="GL74" s="486">
        <v>0</v>
      </c>
      <c r="GM74" s="486">
        <v>0</v>
      </c>
      <c r="GN74" s="486">
        <v>0</v>
      </c>
      <c r="GO74" s="486">
        <v>0</v>
      </c>
      <c r="GP74" s="486">
        <v>0</v>
      </c>
      <c r="GQ74" s="486">
        <v>0</v>
      </c>
      <c r="GR74" s="486">
        <v>0</v>
      </c>
      <c r="GS74" s="486">
        <v>0</v>
      </c>
      <c r="GT74" s="486">
        <v>0</v>
      </c>
      <c r="GU74" s="486">
        <v>0</v>
      </c>
      <c r="GV74" s="486">
        <v>0</v>
      </c>
      <c r="GW74" s="486">
        <v>0</v>
      </c>
      <c r="GX74" s="486">
        <v>0</v>
      </c>
      <c r="GY74" s="486">
        <v>0</v>
      </c>
      <c r="GZ74" s="486">
        <v>0</v>
      </c>
      <c r="HA74" s="486">
        <v>0</v>
      </c>
      <c r="HB74" s="486">
        <v>0</v>
      </c>
      <c r="HC74" s="486">
        <v>0</v>
      </c>
      <c r="HD74" s="486">
        <v>0</v>
      </c>
      <c r="HE74" s="486">
        <v>0</v>
      </c>
      <c r="HF74" s="486">
        <v>0</v>
      </c>
      <c r="HG74" s="486">
        <v>0</v>
      </c>
      <c r="HH74" s="486">
        <v>0</v>
      </c>
      <c r="HI74" s="486">
        <v>0</v>
      </c>
      <c r="HJ74" s="486">
        <v>0</v>
      </c>
      <c r="HK74" s="486">
        <v>0</v>
      </c>
      <c r="HL74" s="486">
        <v>0</v>
      </c>
      <c r="HM74" s="486">
        <v>0</v>
      </c>
      <c r="HN74" s="486">
        <v>0</v>
      </c>
      <c r="HO74" s="486">
        <v>0</v>
      </c>
      <c r="HP74" s="486">
        <v>0</v>
      </c>
      <c r="HQ74" s="486">
        <v>0</v>
      </c>
      <c r="HR74" s="486">
        <v>0</v>
      </c>
      <c r="HS74" s="486">
        <v>0</v>
      </c>
      <c r="HT74" s="486">
        <v>0</v>
      </c>
      <c r="HU74" s="486">
        <v>0</v>
      </c>
      <c r="HV74" s="486">
        <v>0</v>
      </c>
      <c r="HW74" s="486">
        <v>0</v>
      </c>
      <c r="HX74" s="486">
        <v>0</v>
      </c>
      <c r="HY74" s="486">
        <v>0</v>
      </c>
      <c r="HZ74" s="486">
        <v>0</v>
      </c>
      <c r="IA74" s="486">
        <v>0</v>
      </c>
      <c r="IB74" s="486">
        <v>0</v>
      </c>
      <c r="IC74" s="486">
        <v>0</v>
      </c>
      <c r="ID74" s="486">
        <v>0</v>
      </c>
      <c r="IE74" s="486">
        <v>0</v>
      </c>
      <c r="IF74" s="486">
        <v>0</v>
      </c>
      <c r="IG74" s="486">
        <v>0</v>
      </c>
      <c r="IH74" s="486">
        <v>0</v>
      </c>
      <c r="II74" s="486">
        <v>0</v>
      </c>
      <c r="IJ74" s="486">
        <v>0</v>
      </c>
    </row>
    <row r="75" spans="1:244" ht="16.5" hidden="1">
      <c r="A75" s="484" t="s">
        <v>720</v>
      </c>
      <c r="B75" s="484" t="s">
        <v>617</v>
      </c>
      <c r="C75" s="484" t="s">
        <v>721</v>
      </c>
      <c r="D75" s="485"/>
      <c r="E75" s="484" t="s">
        <v>721</v>
      </c>
      <c r="F75" s="484" t="s">
        <v>25</v>
      </c>
      <c r="G75" s="485"/>
      <c r="H75" s="486">
        <v>24</v>
      </c>
      <c r="I75" s="471" t="str">
        <f t="shared" si="3"/>
        <v>AIJ100124</v>
      </c>
      <c r="J75" s="486">
        <v>59</v>
      </c>
      <c r="L75" s="484" t="s">
        <v>720</v>
      </c>
      <c r="M75" s="484" t="s">
        <v>617</v>
      </c>
      <c r="N75" s="484" t="s">
        <v>26</v>
      </c>
      <c r="O75" s="486">
        <v>40</v>
      </c>
      <c r="P75" s="471" t="str">
        <f t="shared" si="4"/>
        <v>AIJ100240</v>
      </c>
      <c r="Q75" s="486">
        <v>0</v>
      </c>
      <c r="R75" s="486">
        <v>8</v>
      </c>
      <c r="S75" s="486">
        <v>14</v>
      </c>
      <c r="T75" s="486">
        <v>21</v>
      </c>
      <c r="U75" s="486">
        <v>29</v>
      </c>
      <c r="V75" s="486">
        <v>34</v>
      </c>
      <c r="W75" s="486">
        <v>42</v>
      </c>
      <c r="X75" s="486">
        <v>48</v>
      </c>
      <c r="Y75" s="486">
        <v>50</v>
      </c>
      <c r="Z75" s="486">
        <v>0</v>
      </c>
      <c r="AA75" s="486">
        <v>0</v>
      </c>
      <c r="AB75" s="486">
        <v>0</v>
      </c>
      <c r="AC75" s="486">
        <v>0</v>
      </c>
      <c r="AD75" s="486">
        <v>0</v>
      </c>
      <c r="AE75" s="486">
        <v>0</v>
      </c>
      <c r="AF75" s="486">
        <v>0</v>
      </c>
      <c r="AG75" s="486">
        <v>0</v>
      </c>
      <c r="AH75" s="486">
        <v>0</v>
      </c>
      <c r="AI75" s="486">
        <v>0</v>
      </c>
      <c r="AJ75" s="486">
        <v>0</v>
      </c>
      <c r="AK75" s="486">
        <v>0</v>
      </c>
      <c r="AL75" s="486">
        <v>0</v>
      </c>
      <c r="AM75" s="486">
        <v>0</v>
      </c>
      <c r="AN75" s="486">
        <v>0</v>
      </c>
      <c r="AO75" s="486">
        <v>0</v>
      </c>
      <c r="AP75" s="486">
        <v>0</v>
      </c>
      <c r="AQ75" s="486">
        <v>0</v>
      </c>
      <c r="AR75" s="486">
        <v>0</v>
      </c>
      <c r="AS75" s="486">
        <v>0</v>
      </c>
      <c r="AT75" s="486">
        <v>0</v>
      </c>
      <c r="AU75" s="486">
        <v>0</v>
      </c>
      <c r="AV75" s="486">
        <v>0</v>
      </c>
      <c r="AW75" s="486">
        <v>0</v>
      </c>
      <c r="AX75" s="486">
        <v>0</v>
      </c>
      <c r="AY75" s="486">
        <v>0</v>
      </c>
      <c r="AZ75" s="486">
        <v>0</v>
      </c>
      <c r="BA75" s="486">
        <v>0</v>
      </c>
      <c r="BB75" s="486">
        <v>0</v>
      </c>
      <c r="BC75" s="486">
        <v>0</v>
      </c>
      <c r="BD75" s="486">
        <v>0</v>
      </c>
      <c r="BE75" s="486">
        <v>0</v>
      </c>
      <c r="BF75" s="486">
        <v>0</v>
      </c>
      <c r="BG75" s="486">
        <v>0</v>
      </c>
      <c r="BH75" s="486">
        <v>0</v>
      </c>
      <c r="BI75" s="486">
        <v>0</v>
      </c>
      <c r="BJ75" s="486">
        <v>0</v>
      </c>
      <c r="BK75" s="486">
        <v>0</v>
      </c>
      <c r="BL75" s="486">
        <v>0</v>
      </c>
      <c r="BM75" s="486">
        <v>0</v>
      </c>
      <c r="BN75" s="486">
        <v>0</v>
      </c>
      <c r="BO75" s="486">
        <v>0</v>
      </c>
      <c r="BP75" s="486">
        <v>0</v>
      </c>
      <c r="BQ75" s="486">
        <v>0</v>
      </c>
      <c r="BR75" s="486">
        <v>0</v>
      </c>
      <c r="BS75" s="486">
        <v>0</v>
      </c>
      <c r="BT75" s="486">
        <v>0</v>
      </c>
      <c r="BU75" s="486">
        <v>0</v>
      </c>
      <c r="BV75" s="486">
        <v>0</v>
      </c>
      <c r="BW75" s="486">
        <v>0</v>
      </c>
      <c r="BX75" s="486">
        <v>0</v>
      </c>
      <c r="BY75" s="486">
        <v>0</v>
      </c>
      <c r="BZ75" s="486">
        <v>0</v>
      </c>
      <c r="CA75" s="486">
        <v>0</v>
      </c>
      <c r="CB75" s="486">
        <v>0</v>
      </c>
      <c r="CC75" s="486">
        <v>0</v>
      </c>
      <c r="CD75" s="486">
        <v>0</v>
      </c>
      <c r="CE75" s="486">
        <v>0</v>
      </c>
      <c r="CF75" s="486">
        <v>0</v>
      </c>
      <c r="CG75" s="486">
        <v>0</v>
      </c>
      <c r="CH75" s="486">
        <v>0</v>
      </c>
      <c r="CI75" s="486">
        <v>0</v>
      </c>
      <c r="CJ75" s="486">
        <v>0</v>
      </c>
      <c r="CK75" s="486">
        <v>0</v>
      </c>
      <c r="CL75" s="486">
        <v>0</v>
      </c>
      <c r="CM75" s="486">
        <v>0</v>
      </c>
      <c r="CN75" s="486">
        <v>0</v>
      </c>
      <c r="CO75" s="486">
        <v>0</v>
      </c>
      <c r="CP75" s="486">
        <v>0</v>
      </c>
      <c r="CQ75" s="486">
        <v>0</v>
      </c>
      <c r="CR75" s="486">
        <v>0</v>
      </c>
      <c r="CS75" s="486">
        <v>0</v>
      </c>
      <c r="CT75" s="486">
        <v>0</v>
      </c>
      <c r="CU75" s="486">
        <v>0</v>
      </c>
      <c r="CV75" s="486">
        <v>0</v>
      </c>
      <c r="CW75" s="486">
        <v>0</v>
      </c>
      <c r="CX75" s="486">
        <v>0</v>
      </c>
      <c r="CY75" s="486">
        <v>0</v>
      </c>
      <c r="CZ75" s="486">
        <v>0</v>
      </c>
      <c r="DA75" s="486">
        <v>0</v>
      </c>
      <c r="DB75" s="486">
        <v>0</v>
      </c>
      <c r="DC75" s="486">
        <v>0</v>
      </c>
      <c r="DD75" s="486">
        <v>0</v>
      </c>
      <c r="DE75" s="486">
        <v>0</v>
      </c>
      <c r="DF75" s="486">
        <v>0</v>
      </c>
      <c r="DG75" s="486">
        <v>0</v>
      </c>
      <c r="DH75" s="486">
        <v>0</v>
      </c>
      <c r="DI75" s="486">
        <v>0</v>
      </c>
      <c r="DJ75" s="486">
        <v>0</v>
      </c>
      <c r="DK75" s="486">
        <v>0</v>
      </c>
      <c r="DL75" s="486">
        <v>0</v>
      </c>
      <c r="DM75" s="486">
        <v>0</v>
      </c>
      <c r="DN75" s="486">
        <v>0</v>
      </c>
      <c r="DO75" s="486">
        <v>0</v>
      </c>
      <c r="DP75" s="486">
        <v>0</v>
      </c>
      <c r="DQ75" s="486">
        <v>0</v>
      </c>
      <c r="DR75" s="486">
        <v>0</v>
      </c>
      <c r="DS75" s="486">
        <v>0</v>
      </c>
      <c r="DT75" s="486">
        <v>0</v>
      </c>
      <c r="DU75" s="486">
        <v>0</v>
      </c>
      <c r="DV75" s="486">
        <v>0</v>
      </c>
      <c r="DW75" s="486">
        <v>0</v>
      </c>
      <c r="DX75" s="477"/>
      <c r="DY75" s="484" t="s">
        <v>720</v>
      </c>
      <c r="DZ75" s="484" t="s">
        <v>617</v>
      </c>
      <c r="EA75" s="484" t="s">
        <v>26</v>
      </c>
      <c r="EB75" s="486">
        <v>40</v>
      </c>
      <c r="EC75" s="471" t="str">
        <f t="shared" si="0"/>
        <v>AIJ100240</v>
      </c>
      <c r="ED75" s="486">
        <v>10000</v>
      </c>
      <c r="EE75" s="486">
        <v>10000</v>
      </c>
      <c r="EF75" s="486">
        <v>10000</v>
      </c>
      <c r="EG75" s="486">
        <v>10000</v>
      </c>
      <c r="EH75" s="486">
        <v>10000</v>
      </c>
      <c r="EI75" s="486">
        <v>10000</v>
      </c>
      <c r="EJ75" s="486">
        <v>10000</v>
      </c>
      <c r="EK75" s="486">
        <v>10000</v>
      </c>
      <c r="EL75" s="486">
        <v>10000</v>
      </c>
      <c r="EM75" s="486">
        <v>10000</v>
      </c>
      <c r="EN75" s="486">
        <v>0</v>
      </c>
      <c r="EO75" s="486">
        <v>0</v>
      </c>
      <c r="EP75" s="486">
        <v>0</v>
      </c>
      <c r="EQ75" s="486">
        <v>0</v>
      </c>
      <c r="ER75" s="486">
        <v>0</v>
      </c>
      <c r="ES75" s="486">
        <v>0</v>
      </c>
      <c r="ET75" s="486">
        <v>0</v>
      </c>
      <c r="EU75" s="486">
        <v>0</v>
      </c>
      <c r="EV75" s="486">
        <v>0</v>
      </c>
      <c r="EW75" s="486">
        <v>0</v>
      </c>
      <c r="EX75" s="486">
        <v>0</v>
      </c>
      <c r="EY75" s="486">
        <v>0</v>
      </c>
      <c r="EZ75" s="486">
        <v>0</v>
      </c>
      <c r="FA75" s="486">
        <v>0</v>
      </c>
      <c r="FB75" s="486">
        <v>0</v>
      </c>
      <c r="FC75" s="486">
        <v>0</v>
      </c>
      <c r="FD75" s="486">
        <v>0</v>
      </c>
      <c r="FE75" s="486">
        <v>0</v>
      </c>
      <c r="FF75" s="486">
        <v>0</v>
      </c>
      <c r="FG75" s="486">
        <v>0</v>
      </c>
      <c r="FH75" s="486">
        <v>0</v>
      </c>
      <c r="FI75" s="486">
        <v>0</v>
      </c>
      <c r="FJ75" s="486">
        <v>0</v>
      </c>
      <c r="FK75" s="486">
        <v>0</v>
      </c>
      <c r="FL75" s="486">
        <v>0</v>
      </c>
      <c r="FM75" s="486">
        <v>0</v>
      </c>
      <c r="FN75" s="486">
        <v>0</v>
      </c>
      <c r="FO75" s="486">
        <v>0</v>
      </c>
      <c r="FP75" s="486">
        <v>0</v>
      </c>
      <c r="FQ75" s="486">
        <v>0</v>
      </c>
      <c r="FR75" s="486">
        <v>0</v>
      </c>
      <c r="FS75" s="486">
        <v>0</v>
      </c>
      <c r="FT75" s="486">
        <v>0</v>
      </c>
      <c r="FU75" s="486">
        <v>0</v>
      </c>
      <c r="FV75" s="486">
        <v>0</v>
      </c>
      <c r="FW75" s="486">
        <v>0</v>
      </c>
      <c r="FX75" s="486">
        <v>0</v>
      </c>
      <c r="FY75" s="486">
        <v>0</v>
      </c>
      <c r="FZ75" s="486">
        <v>0</v>
      </c>
      <c r="GA75" s="486">
        <v>0</v>
      </c>
      <c r="GB75" s="486">
        <v>0</v>
      </c>
      <c r="GC75" s="486">
        <v>0</v>
      </c>
      <c r="GD75" s="486">
        <v>0</v>
      </c>
      <c r="GE75" s="486">
        <v>0</v>
      </c>
      <c r="GF75" s="486">
        <v>0</v>
      </c>
      <c r="GG75" s="486">
        <v>0</v>
      </c>
      <c r="GH75" s="486">
        <v>0</v>
      </c>
      <c r="GI75" s="486">
        <v>0</v>
      </c>
      <c r="GJ75" s="486">
        <v>0</v>
      </c>
      <c r="GK75" s="486">
        <v>0</v>
      </c>
      <c r="GL75" s="486">
        <v>0</v>
      </c>
      <c r="GM75" s="486">
        <v>0</v>
      </c>
      <c r="GN75" s="486">
        <v>0</v>
      </c>
      <c r="GO75" s="486">
        <v>0</v>
      </c>
      <c r="GP75" s="486">
        <v>0</v>
      </c>
      <c r="GQ75" s="486">
        <v>0</v>
      </c>
      <c r="GR75" s="486">
        <v>0</v>
      </c>
      <c r="GS75" s="486">
        <v>0</v>
      </c>
      <c r="GT75" s="486">
        <v>0</v>
      </c>
      <c r="GU75" s="486">
        <v>0</v>
      </c>
      <c r="GV75" s="486">
        <v>0</v>
      </c>
      <c r="GW75" s="486">
        <v>0</v>
      </c>
      <c r="GX75" s="486">
        <v>0</v>
      </c>
      <c r="GY75" s="486">
        <v>0</v>
      </c>
      <c r="GZ75" s="486">
        <v>0</v>
      </c>
      <c r="HA75" s="486">
        <v>0</v>
      </c>
      <c r="HB75" s="486">
        <v>0</v>
      </c>
      <c r="HC75" s="486">
        <v>0</v>
      </c>
      <c r="HD75" s="486">
        <v>0</v>
      </c>
      <c r="HE75" s="486">
        <v>0</v>
      </c>
      <c r="HF75" s="486">
        <v>0</v>
      </c>
      <c r="HG75" s="486">
        <v>0</v>
      </c>
      <c r="HH75" s="486">
        <v>0</v>
      </c>
      <c r="HI75" s="486">
        <v>0</v>
      </c>
      <c r="HJ75" s="486">
        <v>0</v>
      </c>
      <c r="HK75" s="486">
        <v>0</v>
      </c>
      <c r="HL75" s="486">
        <v>0</v>
      </c>
      <c r="HM75" s="486">
        <v>0</v>
      </c>
      <c r="HN75" s="486">
        <v>0</v>
      </c>
      <c r="HO75" s="486">
        <v>0</v>
      </c>
      <c r="HP75" s="486">
        <v>0</v>
      </c>
      <c r="HQ75" s="486">
        <v>0</v>
      </c>
      <c r="HR75" s="486">
        <v>0</v>
      </c>
      <c r="HS75" s="486">
        <v>0</v>
      </c>
      <c r="HT75" s="486">
        <v>0</v>
      </c>
      <c r="HU75" s="486">
        <v>0</v>
      </c>
      <c r="HV75" s="486">
        <v>0</v>
      </c>
      <c r="HW75" s="486">
        <v>0</v>
      </c>
      <c r="HX75" s="486">
        <v>0</v>
      </c>
      <c r="HY75" s="486">
        <v>0</v>
      </c>
      <c r="HZ75" s="486">
        <v>0</v>
      </c>
      <c r="IA75" s="486">
        <v>0</v>
      </c>
      <c r="IB75" s="486">
        <v>0</v>
      </c>
      <c r="IC75" s="486">
        <v>0</v>
      </c>
      <c r="ID75" s="486">
        <v>0</v>
      </c>
      <c r="IE75" s="486">
        <v>0</v>
      </c>
      <c r="IF75" s="486">
        <v>0</v>
      </c>
      <c r="IG75" s="486">
        <v>0</v>
      </c>
      <c r="IH75" s="486">
        <v>0</v>
      </c>
      <c r="II75" s="486">
        <v>0</v>
      </c>
      <c r="IJ75" s="486">
        <v>0</v>
      </c>
    </row>
    <row r="76" spans="1:244" ht="16.5" hidden="1">
      <c r="A76" s="484" t="s">
        <v>720</v>
      </c>
      <c r="B76" s="484" t="s">
        <v>617</v>
      </c>
      <c r="C76" s="484" t="s">
        <v>721</v>
      </c>
      <c r="D76" s="485"/>
      <c r="E76" s="484" t="s">
        <v>721</v>
      </c>
      <c r="F76" s="484" t="s">
        <v>25</v>
      </c>
      <c r="G76" s="485"/>
      <c r="H76" s="486">
        <v>25</v>
      </c>
      <c r="I76" s="471" t="str">
        <f t="shared" si="3"/>
        <v>AIJ100125</v>
      </c>
      <c r="J76" s="486">
        <v>60</v>
      </c>
      <c r="L76" s="484" t="s">
        <v>720</v>
      </c>
      <c r="M76" s="484" t="s">
        <v>617</v>
      </c>
      <c r="N76" s="484" t="s">
        <v>26</v>
      </c>
      <c r="O76" s="486">
        <v>41</v>
      </c>
      <c r="P76" s="471" t="str">
        <f t="shared" si="4"/>
        <v>AIJ100241</v>
      </c>
      <c r="Q76" s="486">
        <v>0</v>
      </c>
      <c r="R76" s="486">
        <v>8</v>
      </c>
      <c r="S76" s="486">
        <v>16</v>
      </c>
      <c r="T76" s="486">
        <v>23</v>
      </c>
      <c r="U76" s="486">
        <v>30</v>
      </c>
      <c r="V76" s="486">
        <v>36</v>
      </c>
      <c r="W76" s="486">
        <v>43</v>
      </c>
      <c r="X76" s="486">
        <v>50</v>
      </c>
      <c r="Y76" s="486">
        <v>52</v>
      </c>
      <c r="Z76" s="486">
        <v>0</v>
      </c>
      <c r="AA76" s="486">
        <v>0</v>
      </c>
      <c r="AB76" s="486">
        <v>0</v>
      </c>
      <c r="AC76" s="486">
        <v>0</v>
      </c>
      <c r="AD76" s="486">
        <v>0</v>
      </c>
      <c r="AE76" s="486">
        <v>0</v>
      </c>
      <c r="AF76" s="486">
        <v>0</v>
      </c>
      <c r="AG76" s="486">
        <v>0</v>
      </c>
      <c r="AH76" s="486">
        <v>0</v>
      </c>
      <c r="AI76" s="486">
        <v>0</v>
      </c>
      <c r="AJ76" s="486">
        <v>0</v>
      </c>
      <c r="AK76" s="486">
        <v>0</v>
      </c>
      <c r="AL76" s="486">
        <v>0</v>
      </c>
      <c r="AM76" s="486">
        <v>0</v>
      </c>
      <c r="AN76" s="486">
        <v>0</v>
      </c>
      <c r="AO76" s="486">
        <v>0</v>
      </c>
      <c r="AP76" s="486">
        <v>0</v>
      </c>
      <c r="AQ76" s="486">
        <v>0</v>
      </c>
      <c r="AR76" s="486">
        <v>0</v>
      </c>
      <c r="AS76" s="486">
        <v>0</v>
      </c>
      <c r="AT76" s="486">
        <v>0</v>
      </c>
      <c r="AU76" s="486">
        <v>0</v>
      </c>
      <c r="AV76" s="486">
        <v>0</v>
      </c>
      <c r="AW76" s="486">
        <v>0</v>
      </c>
      <c r="AX76" s="486">
        <v>0</v>
      </c>
      <c r="AY76" s="486">
        <v>0</v>
      </c>
      <c r="AZ76" s="486">
        <v>0</v>
      </c>
      <c r="BA76" s="486">
        <v>0</v>
      </c>
      <c r="BB76" s="486">
        <v>0</v>
      </c>
      <c r="BC76" s="486">
        <v>0</v>
      </c>
      <c r="BD76" s="486">
        <v>0</v>
      </c>
      <c r="BE76" s="486">
        <v>0</v>
      </c>
      <c r="BF76" s="486">
        <v>0</v>
      </c>
      <c r="BG76" s="486">
        <v>0</v>
      </c>
      <c r="BH76" s="486">
        <v>0</v>
      </c>
      <c r="BI76" s="486">
        <v>0</v>
      </c>
      <c r="BJ76" s="486">
        <v>0</v>
      </c>
      <c r="BK76" s="486">
        <v>0</v>
      </c>
      <c r="BL76" s="486">
        <v>0</v>
      </c>
      <c r="BM76" s="486">
        <v>0</v>
      </c>
      <c r="BN76" s="486">
        <v>0</v>
      </c>
      <c r="BO76" s="486">
        <v>0</v>
      </c>
      <c r="BP76" s="486">
        <v>0</v>
      </c>
      <c r="BQ76" s="486">
        <v>0</v>
      </c>
      <c r="BR76" s="486">
        <v>0</v>
      </c>
      <c r="BS76" s="486">
        <v>0</v>
      </c>
      <c r="BT76" s="486">
        <v>0</v>
      </c>
      <c r="BU76" s="486">
        <v>0</v>
      </c>
      <c r="BV76" s="486">
        <v>0</v>
      </c>
      <c r="BW76" s="486">
        <v>0</v>
      </c>
      <c r="BX76" s="486">
        <v>0</v>
      </c>
      <c r="BY76" s="486">
        <v>0</v>
      </c>
      <c r="BZ76" s="486">
        <v>0</v>
      </c>
      <c r="CA76" s="486">
        <v>0</v>
      </c>
      <c r="CB76" s="486">
        <v>0</v>
      </c>
      <c r="CC76" s="486">
        <v>0</v>
      </c>
      <c r="CD76" s="486">
        <v>0</v>
      </c>
      <c r="CE76" s="486">
        <v>0</v>
      </c>
      <c r="CF76" s="486">
        <v>0</v>
      </c>
      <c r="CG76" s="486">
        <v>0</v>
      </c>
      <c r="CH76" s="486">
        <v>0</v>
      </c>
      <c r="CI76" s="486">
        <v>0</v>
      </c>
      <c r="CJ76" s="486">
        <v>0</v>
      </c>
      <c r="CK76" s="486">
        <v>0</v>
      </c>
      <c r="CL76" s="486">
        <v>0</v>
      </c>
      <c r="CM76" s="486">
        <v>0</v>
      </c>
      <c r="CN76" s="486">
        <v>0</v>
      </c>
      <c r="CO76" s="486">
        <v>0</v>
      </c>
      <c r="CP76" s="486">
        <v>0</v>
      </c>
      <c r="CQ76" s="486">
        <v>0</v>
      </c>
      <c r="CR76" s="486">
        <v>0</v>
      </c>
      <c r="CS76" s="486">
        <v>0</v>
      </c>
      <c r="CT76" s="486">
        <v>0</v>
      </c>
      <c r="CU76" s="486">
        <v>0</v>
      </c>
      <c r="CV76" s="486">
        <v>0</v>
      </c>
      <c r="CW76" s="486">
        <v>0</v>
      </c>
      <c r="CX76" s="486">
        <v>0</v>
      </c>
      <c r="CY76" s="486">
        <v>0</v>
      </c>
      <c r="CZ76" s="486">
        <v>0</v>
      </c>
      <c r="DA76" s="486">
        <v>0</v>
      </c>
      <c r="DB76" s="486">
        <v>0</v>
      </c>
      <c r="DC76" s="486">
        <v>0</v>
      </c>
      <c r="DD76" s="486">
        <v>0</v>
      </c>
      <c r="DE76" s="486">
        <v>0</v>
      </c>
      <c r="DF76" s="486">
        <v>0</v>
      </c>
      <c r="DG76" s="486">
        <v>0</v>
      </c>
      <c r="DH76" s="486">
        <v>0</v>
      </c>
      <c r="DI76" s="486">
        <v>0</v>
      </c>
      <c r="DJ76" s="486">
        <v>0</v>
      </c>
      <c r="DK76" s="486">
        <v>0</v>
      </c>
      <c r="DL76" s="486">
        <v>0</v>
      </c>
      <c r="DM76" s="486">
        <v>0</v>
      </c>
      <c r="DN76" s="486">
        <v>0</v>
      </c>
      <c r="DO76" s="486">
        <v>0</v>
      </c>
      <c r="DP76" s="486">
        <v>0</v>
      </c>
      <c r="DQ76" s="486">
        <v>0</v>
      </c>
      <c r="DR76" s="486">
        <v>0</v>
      </c>
      <c r="DS76" s="486">
        <v>0</v>
      </c>
      <c r="DT76" s="486">
        <v>0</v>
      </c>
      <c r="DU76" s="486">
        <v>0</v>
      </c>
      <c r="DV76" s="486">
        <v>0</v>
      </c>
      <c r="DW76" s="486">
        <v>0</v>
      </c>
      <c r="DX76" s="477"/>
      <c r="DY76" s="484" t="s">
        <v>720</v>
      </c>
      <c r="DZ76" s="484" t="s">
        <v>617</v>
      </c>
      <c r="EA76" s="484" t="s">
        <v>26</v>
      </c>
      <c r="EB76" s="486">
        <v>41</v>
      </c>
      <c r="EC76" s="471" t="str">
        <f t="shared" si="0"/>
        <v>AIJ100241</v>
      </c>
      <c r="ED76" s="486">
        <v>10000</v>
      </c>
      <c r="EE76" s="486">
        <v>10000</v>
      </c>
      <c r="EF76" s="486">
        <v>10000</v>
      </c>
      <c r="EG76" s="486">
        <v>10000</v>
      </c>
      <c r="EH76" s="486">
        <v>10000</v>
      </c>
      <c r="EI76" s="486">
        <v>10000</v>
      </c>
      <c r="EJ76" s="486">
        <v>10000</v>
      </c>
      <c r="EK76" s="486">
        <v>10000</v>
      </c>
      <c r="EL76" s="486">
        <v>10000</v>
      </c>
      <c r="EM76" s="486">
        <v>10000</v>
      </c>
      <c r="EN76" s="486">
        <v>0</v>
      </c>
      <c r="EO76" s="486">
        <v>0</v>
      </c>
      <c r="EP76" s="486">
        <v>0</v>
      </c>
      <c r="EQ76" s="486">
        <v>0</v>
      </c>
      <c r="ER76" s="486">
        <v>0</v>
      </c>
      <c r="ES76" s="486">
        <v>0</v>
      </c>
      <c r="ET76" s="486">
        <v>0</v>
      </c>
      <c r="EU76" s="486">
        <v>0</v>
      </c>
      <c r="EV76" s="486">
        <v>0</v>
      </c>
      <c r="EW76" s="486">
        <v>0</v>
      </c>
      <c r="EX76" s="486">
        <v>0</v>
      </c>
      <c r="EY76" s="486">
        <v>0</v>
      </c>
      <c r="EZ76" s="486">
        <v>0</v>
      </c>
      <c r="FA76" s="486">
        <v>0</v>
      </c>
      <c r="FB76" s="486">
        <v>0</v>
      </c>
      <c r="FC76" s="486">
        <v>0</v>
      </c>
      <c r="FD76" s="486">
        <v>0</v>
      </c>
      <c r="FE76" s="486">
        <v>0</v>
      </c>
      <c r="FF76" s="486">
        <v>0</v>
      </c>
      <c r="FG76" s="486">
        <v>0</v>
      </c>
      <c r="FH76" s="486">
        <v>0</v>
      </c>
      <c r="FI76" s="486">
        <v>0</v>
      </c>
      <c r="FJ76" s="486">
        <v>0</v>
      </c>
      <c r="FK76" s="486">
        <v>0</v>
      </c>
      <c r="FL76" s="486">
        <v>0</v>
      </c>
      <c r="FM76" s="486">
        <v>0</v>
      </c>
      <c r="FN76" s="486">
        <v>0</v>
      </c>
      <c r="FO76" s="486">
        <v>0</v>
      </c>
      <c r="FP76" s="486">
        <v>0</v>
      </c>
      <c r="FQ76" s="486">
        <v>0</v>
      </c>
      <c r="FR76" s="486">
        <v>0</v>
      </c>
      <c r="FS76" s="486">
        <v>0</v>
      </c>
      <c r="FT76" s="486">
        <v>0</v>
      </c>
      <c r="FU76" s="486">
        <v>0</v>
      </c>
      <c r="FV76" s="486">
        <v>0</v>
      </c>
      <c r="FW76" s="486">
        <v>0</v>
      </c>
      <c r="FX76" s="486">
        <v>0</v>
      </c>
      <c r="FY76" s="486">
        <v>0</v>
      </c>
      <c r="FZ76" s="486">
        <v>0</v>
      </c>
      <c r="GA76" s="486">
        <v>0</v>
      </c>
      <c r="GB76" s="486">
        <v>0</v>
      </c>
      <c r="GC76" s="486">
        <v>0</v>
      </c>
      <c r="GD76" s="486">
        <v>0</v>
      </c>
      <c r="GE76" s="486">
        <v>0</v>
      </c>
      <c r="GF76" s="486">
        <v>0</v>
      </c>
      <c r="GG76" s="486">
        <v>0</v>
      </c>
      <c r="GH76" s="486">
        <v>0</v>
      </c>
      <c r="GI76" s="486">
        <v>0</v>
      </c>
      <c r="GJ76" s="486">
        <v>0</v>
      </c>
      <c r="GK76" s="486">
        <v>0</v>
      </c>
      <c r="GL76" s="486">
        <v>0</v>
      </c>
      <c r="GM76" s="486">
        <v>0</v>
      </c>
      <c r="GN76" s="486">
        <v>0</v>
      </c>
      <c r="GO76" s="486">
        <v>0</v>
      </c>
      <c r="GP76" s="486">
        <v>0</v>
      </c>
      <c r="GQ76" s="486">
        <v>0</v>
      </c>
      <c r="GR76" s="486">
        <v>0</v>
      </c>
      <c r="GS76" s="486">
        <v>0</v>
      </c>
      <c r="GT76" s="486">
        <v>0</v>
      </c>
      <c r="GU76" s="486">
        <v>0</v>
      </c>
      <c r="GV76" s="486">
        <v>0</v>
      </c>
      <c r="GW76" s="486">
        <v>0</v>
      </c>
      <c r="GX76" s="486">
        <v>0</v>
      </c>
      <c r="GY76" s="486">
        <v>0</v>
      </c>
      <c r="GZ76" s="486">
        <v>0</v>
      </c>
      <c r="HA76" s="486">
        <v>0</v>
      </c>
      <c r="HB76" s="486">
        <v>0</v>
      </c>
      <c r="HC76" s="486">
        <v>0</v>
      </c>
      <c r="HD76" s="486">
        <v>0</v>
      </c>
      <c r="HE76" s="486">
        <v>0</v>
      </c>
      <c r="HF76" s="486">
        <v>0</v>
      </c>
      <c r="HG76" s="486">
        <v>0</v>
      </c>
      <c r="HH76" s="486">
        <v>0</v>
      </c>
      <c r="HI76" s="486">
        <v>0</v>
      </c>
      <c r="HJ76" s="486">
        <v>0</v>
      </c>
      <c r="HK76" s="486">
        <v>0</v>
      </c>
      <c r="HL76" s="486">
        <v>0</v>
      </c>
      <c r="HM76" s="486">
        <v>0</v>
      </c>
      <c r="HN76" s="486">
        <v>0</v>
      </c>
      <c r="HO76" s="486">
        <v>0</v>
      </c>
      <c r="HP76" s="486">
        <v>0</v>
      </c>
      <c r="HQ76" s="486">
        <v>0</v>
      </c>
      <c r="HR76" s="486">
        <v>0</v>
      </c>
      <c r="HS76" s="486">
        <v>0</v>
      </c>
      <c r="HT76" s="486">
        <v>0</v>
      </c>
      <c r="HU76" s="486">
        <v>0</v>
      </c>
      <c r="HV76" s="486">
        <v>0</v>
      </c>
      <c r="HW76" s="486">
        <v>0</v>
      </c>
      <c r="HX76" s="486">
        <v>0</v>
      </c>
      <c r="HY76" s="486">
        <v>0</v>
      </c>
      <c r="HZ76" s="486">
        <v>0</v>
      </c>
      <c r="IA76" s="486">
        <v>0</v>
      </c>
      <c r="IB76" s="486">
        <v>0</v>
      </c>
      <c r="IC76" s="486">
        <v>0</v>
      </c>
      <c r="ID76" s="486">
        <v>0</v>
      </c>
      <c r="IE76" s="486">
        <v>0</v>
      </c>
      <c r="IF76" s="486">
        <v>0</v>
      </c>
      <c r="IG76" s="486">
        <v>0</v>
      </c>
      <c r="IH76" s="486">
        <v>0</v>
      </c>
      <c r="II76" s="486">
        <v>0</v>
      </c>
      <c r="IJ76" s="486">
        <v>0</v>
      </c>
    </row>
    <row r="77" spans="1:244" ht="16.5" hidden="1">
      <c r="A77" s="484" t="s">
        <v>720</v>
      </c>
      <c r="B77" s="484" t="s">
        <v>617</v>
      </c>
      <c r="C77" s="484" t="s">
        <v>721</v>
      </c>
      <c r="D77" s="485"/>
      <c r="E77" s="484" t="s">
        <v>721</v>
      </c>
      <c r="F77" s="484" t="s">
        <v>25</v>
      </c>
      <c r="G77" s="485"/>
      <c r="H77" s="486">
        <v>26</v>
      </c>
      <c r="I77" s="471" t="str">
        <f t="shared" si="3"/>
        <v>AIJ100126</v>
      </c>
      <c r="J77" s="486">
        <v>61</v>
      </c>
      <c r="L77" s="484" t="s">
        <v>720</v>
      </c>
      <c r="M77" s="484" t="s">
        <v>617</v>
      </c>
      <c r="N77" s="484" t="s">
        <v>26</v>
      </c>
      <c r="O77" s="486">
        <v>42</v>
      </c>
      <c r="P77" s="471" t="str">
        <f t="shared" si="4"/>
        <v>AIJ100242</v>
      </c>
      <c r="Q77" s="486">
        <v>0</v>
      </c>
      <c r="R77" s="486">
        <v>9</v>
      </c>
      <c r="S77" s="486">
        <v>17</v>
      </c>
      <c r="T77" s="486">
        <v>24</v>
      </c>
      <c r="U77" s="486">
        <v>33</v>
      </c>
      <c r="V77" s="486">
        <v>38</v>
      </c>
      <c r="W77" s="486">
        <v>46</v>
      </c>
      <c r="X77" s="486">
        <v>53</v>
      </c>
      <c r="Y77" s="486">
        <v>55</v>
      </c>
      <c r="Z77" s="486">
        <v>0</v>
      </c>
      <c r="AA77" s="486">
        <v>0</v>
      </c>
      <c r="AB77" s="486">
        <v>0</v>
      </c>
      <c r="AC77" s="486">
        <v>0</v>
      </c>
      <c r="AD77" s="486">
        <v>0</v>
      </c>
      <c r="AE77" s="486">
        <v>0</v>
      </c>
      <c r="AF77" s="486">
        <v>0</v>
      </c>
      <c r="AG77" s="486">
        <v>0</v>
      </c>
      <c r="AH77" s="486">
        <v>0</v>
      </c>
      <c r="AI77" s="486">
        <v>0</v>
      </c>
      <c r="AJ77" s="486">
        <v>0</v>
      </c>
      <c r="AK77" s="486">
        <v>0</v>
      </c>
      <c r="AL77" s="486">
        <v>0</v>
      </c>
      <c r="AM77" s="486">
        <v>0</v>
      </c>
      <c r="AN77" s="486">
        <v>0</v>
      </c>
      <c r="AO77" s="486">
        <v>0</v>
      </c>
      <c r="AP77" s="486">
        <v>0</v>
      </c>
      <c r="AQ77" s="486">
        <v>0</v>
      </c>
      <c r="AR77" s="486">
        <v>0</v>
      </c>
      <c r="AS77" s="486">
        <v>0</v>
      </c>
      <c r="AT77" s="486">
        <v>0</v>
      </c>
      <c r="AU77" s="486">
        <v>0</v>
      </c>
      <c r="AV77" s="486">
        <v>0</v>
      </c>
      <c r="AW77" s="486">
        <v>0</v>
      </c>
      <c r="AX77" s="486">
        <v>0</v>
      </c>
      <c r="AY77" s="486">
        <v>0</v>
      </c>
      <c r="AZ77" s="486">
        <v>0</v>
      </c>
      <c r="BA77" s="486">
        <v>0</v>
      </c>
      <c r="BB77" s="486">
        <v>0</v>
      </c>
      <c r="BC77" s="486">
        <v>0</v>
      </c>
      <c r="BD77" s="486">
        <v>0</v>
      </c>
      <c r="BE77" s="486">
        <v>0</v>
      </c>
      <c r="BF77" s="486">
        <v>0</v>
      </c>
      <c r="BG77" s="486">
        <v>0</v>
      </c>
      <c r="BH77" s="486">
        <v>0</v>
      </c>
      <c r="BI77" s="486">
        <v>0</v>
      </c>
      <c r="BJ77" s="486">
        <v>0</v>
      </c>
      <c r="BK77" s="486">
        <v>0</v>
      </c>
      <c r="BL77" s="486">
        <v>0</v>
      </c>
      <c r="BM77" s="486">
        <v>0</v>
      </c>
      <c r="BN77" s="486">
        <v>0</v>
      </c>
      <c r="BO77" s="486">
        <v>0</v>
      </c>
      <c r="BP77" s="486">
        <v>0</v>
      </c>
      <c r="BQ77" s="486">
        <v>0</v>
      </c>
      <c r="BR77" s="486">
        <v>0</v>
      </c>
      <c r="BS77" s="486">
        <v>0</v>
      </c>
      <c r="BT77" s="486">
        <v>0</v>
      </c>
      <c r="BU77" s="486">
        <v>0</v>
      </c>
      <c r="BV77" s="486">
        <v>0</v>
      </c>
      <c r="BW77" s="486">
        <v>0</v>
      </c>
      <c r="BX77" s="486">
        <v>0</v>
      </c>
      <c r="BY77" s="486">
        <v>0</v>
      </c>
      <c r="BZ77" s="486">
        <v>0</v>
      </c>
      <c r="CA77" s="486">
        <v>0</v>
      </c>
      <c r="CB77" s="486">
        <v>0</v>
      </c>
      <c r="CC77" s="486">
        <v>0</v>
      </c>
      <c r="CD77" s="486">
        <v>0</v>
      </c>
      <c r="CE77" s="486">
        <v>0</v>
      </c>
      <c r="CF77" s="486">
        <v>0</v>
      </c>
      <c r="CG77" s="486">
        <v>0</v>
      </c>
      <c r="CH77" s="486">
        <v>0</v>
      </c>
      <c r="CI77" s="486">
        <v>0</v>
      </c>
      <c r="CJ77" s="486">
        <v>0</v>
      </c>
      <c r="CK77" s="486">
        <v>0</v>
      </c>
      <c r="CL77" s="486">
        <v>0</v>
      </c>
      <c r="CM77" s="486">
        <v>0</v>
      </c>
      <c r="CN77" s="486">
        <v>0</v>
      </c>
      <c r="CO77" s="486">
        <v>0</v>
      </c>
      <c r="CP77" s="486">
        <v>0</v>
      </c>
      <c r="CQ77" s="486">
        <v>0</v>
      </c>
      <c r="CR77" s="486">
        <v>0</v>
      </c>
      <c r="CS77" s="486">
        <v>0</v>
      </c>
      <c r="CT77" s="486">
        <v>0</v>
      </c>
      <c r="CU77" s="486">
        <v>0</v>
      </c>
      <c r="CV77" s="486">
        <v>0</v>
      </c>
      <c r="CW77" s="486">
        <v>0</v>
      </c>
      <c r="CX77" s="486">
        <v>0</v>
      </c>
      <c r="CY77" s="486">
        <v>0</v>
      </c>
      <c r="CZ77" s="486">
        <v>0</v>
      </c>
      <c r="DA77" s="486">
        <v>0</v>
      </c>
      <c r="DB77" s="486">
        <v>0</v>
      </c>
      <c r="DC77" s="486">
        <v>0</v>
      </c>
      <c r="DD77" s="486">
        <v>0</v>
      </c>
      <c r="DE77" s="486">
        <v>0</v>
      </c>
      <c r="DF77" s="486">
        <v>0</v>
      </c>
      <c r="DG77" s="486">
        <v>0</v>
      </c>
      <c r="DH77" s="486">
        <v>0</v>
      </c>
      <c r="DI77" s="486">
        <v>0</v>
      </c>
      <c r="DJ77" s="486">
        <v>0</v>
      </c>
      <c r="DK77" s="486">
        <v>0</v>
      </c>
      <c r="DL77" s="486">
        <v>0</v>
      </c>
      <c r="DM77" s="486">
        <v>0</v>
      </c>
      <c r="DN77" s="486">
        <v>0</v>
      </c>
      <c r="DO77" s="486">
        <v>0</v>
      </c>
      <c r="DP77" s="486">
        <v>0</v>
      </c>
      <c r="DQ77" s="486">
        <v>0</v>
      </c>
      <c r="DR77" s="486">
        <v>0</v>
      </c>
      <c r="DS77" s="486">
        <v>0</v>
      </c>
      <c r="DT77" s="486">
        <v>0</v>
      </c>
      <c r="DU77" s="486">
        <v>0</v>
      </c>
      <c r="DV77" s="486">
        <v>0</v>
      </c>
      <c r="DW77" s="486">
        <v>0</v>
      </c>
      <c r="DX77" s="477"/>
      <c r="DY77" s="484" t="s">
        <v>720</v>
      </c>
      <c r="DZ77" s="484" t="s">
        <v>617</v>
      </c>
      <c r="EA77" s="484" t="s">
        <v>26</v>
      </c>
      <c r="EB77" s="486">
        <v>42</v>
      </c>
      <c r="EC77" s="471" t="str">
        <f t="shared" si="0"/>
        <v>AIJ100242</v>
      </c>
      <c r="ED77" s="486">
        <v>10000</v>
      </c>
      <c r="EE77" s="486">
        <v>10000</v>
      </c>
      <c r="EF77" s="486">
        <v>10000</v>
      </c>
      <c r="EG77" s="486">
        <v>10000</v>
      </c>
      <c r="EH77" s="486">
        <v>10000</v>
      </c>
      <c r="EI77" s="486">
        <v>10000</v>
      </c>
      <c r="EJ77" s="486">
        <v>10000</v>
      </c>
      <c r="EK77" s="486">
        <v>10000</v>
      </c>
      <c r="EL77" s="486">
        <v>10000</v>
      </c>
      <c r="EM77" s="486">
        <v>10000</v>
      </c>
      <c r="EN77" s="486">
        <v>0</v>
      </c>
      <c r="EO77" s="486">
        <v>0</v>
      </c>
      <c r="EP77" s="486">
        <v>0</v>
      </c>
      <c r="EQ77" s="486">
        <v>0</v>
      </c>
      <c r="ER77" s="486">
        <v>0</v>
      </c>
      <c r="ES77" s="486">
        <v>0</v>
      </c>
      <c r="ET77" s="486">
        <v>0</v>
      </c>
      <c r="EU77" s="486">
        <v>0</v>
      </c>
      <c r="EV77" s="486">
        <v>0</v>
      </c>
      <c r="EW77" s="486">
        <v>0</v>
      </c>
      <c r="EX77" s="486">
        <v>0</v>
      </c>
      <c r="EY77" s="486">
        <v>0</v>
      </c>
      <c r="EZ77" s="486">
        <v>0</v>
      </c>
      <c r="FA77" s="486">
        <v>0</v>
      </c>
      <c r="FB77" s="486">
        <v>0</v>
      </c>
      <c r="FC77" s="486">
        <v>0</v>
      </c>
      <c r="FD77" s="486">
        <v>0</v>
      </c>
      <c r="FE77" s="486">
        <v>0</v>
      </c>
      <c r="FF77" s="486">
        <v>0</v>
      </c>
      <c r="FG77" s="486">
        <v>0</v>
      </c>
      <c r="FH77" s="486">
        <v>0</v>
      </c>
      <c r="FI77" s="486">
        <v>0</v>
      </c>
      <c r="FJ77" s="486">
        <v>0</v>
      </c>
      <c r="FK77" s="486">
        <v>0</v>
      </c>
      <c r="FL77" s="486">
        <v>0</v>
      </c>
      <c r="FM77" s="486">
        <v>0</v>
      </c>
      <c r="FN77" s="486">
        <v>0</v>
      </c>
      <c r="FO77" s="486">
        <v>0</v>
      </c>
      <c r="FP77" s="486">
        <v>0</v>
      </c>
      <c r="FQ77" s="486">
        <v>0</v>
      </c>
      <c r="FR77" s="486">
        <v>0</v>
      </c>
      <c r="FS77" s="486">
        <v>0</v>
      </c>
      <c r="FT77" s="486">
        <v>0</v>
      </c>
      <c r="FU77" s="486">
        <v>0</v>
      </c>
      <c r="FV77" s="486">
        <v>0</v>
      </c>
      <c r="FW77" s="486">
        <v>0</v>
      </c>
      <c r="FX77" s="486">
        <v>0</v>
      </c>
      <c r="FY77" s="486">
        <v>0</v>
      </c>
      <c r="FZ77" s="486">
        <v>0</v>
      </c>
      <c r="GA77" s="486">
        <v>0</v>
      </c>
      <c r="GB77" s="486">
        <v>0</v>
      </c>
      <c r="GC77" s="486">
        <v>0</v>
      </c>
      <c r="GD77" s="486">
        <v>0</v>
      </c>
      <c r="GE77" s="486">
        <v>0</v>
      </c>
      <c r="GF77" s="486">
        <v>0</v>
      </c>
      <c r="GG77" s="486">
        <v>0</v>
      </c>
      <c r="GH77" s="486">
        <v>0</v>
      </c>
      <c r="GI77" s="486">
        <v>0</v>
      </c>
      <c r="GJ77" s="486">
        <v>0</v>
      </c>
      <c r="GK77" s="486">
        <v>0</v>
      </c>
      <c r="GL77" s="486">
        <v>0</v>
      </c>
      <c r="GM77" s="486">
        <v>0</v>
      </c>
      <c r="GN77" s="486">
        <v>0</v>
      </c>
      <c r="GO77" s="486">
        <v>0</v>
      </c>
      <c r="GP77" s="486">
        <v>0</v>
      </c>
      <c r="GQ77" s="486">
        <v>0</v>
      </c>
      <c r="GR77" s="486">
        <v>0</v>
      </c>
      <c r="GS77" s="486">
        <v>0</v>
      </c>
      <c r="GT77" s="486">
        <v>0</v>
      </c>
      <c r="GU77" s="486">
        <v>0</v>
      </c>
      <c r="GV77" s="486">
        <v>0</v>
      </c>
      <c r="GW77" s="486">
        <v>0</v>
      </c>
      <c r="GX77" s="486">
        <v>0</v>
      </c>
      <c r="GY77" s="486">
        <v>0</v>
      </c>
      <c r="GZ77" s="486">
        <v>0</v>
      </c>
      <c r="HA77" s="486">
        <v>0</v>
      </c>
      <c r="HB77" s="486">
        <v>0</v>
      </c>
      <c r="HC77" s="486">
        <v>0</v>
      </c>
      <c r="HD77" s="486">
        <v>0</v>
      </c>
      <c r="HE77" s="486">
        <v>0</v>
      </c>
      <c r="HF77" s="486">
        <v>0</v>
      </c>
      <c r="HG77" s="486">
        <v>0</v>
      </c>
      <c r="HH77" s="486">
        <v>0</v>
      </c>
      <c r="HI77" s="486">
        <v>0</v>
      </c>
      <c r="HJ77" s="486">
        <v>0</v>
      </c>
      <c r="HK77" s="486">
        <v>0</v>
      </c>
      <c r="HL77" s="486">
        <v>0</v>
      </c>
      <c r="HM77" s="486">
        <v>0</v>
      </c>
      <c r="HN77" s="486">
        <v>0</v>
      </c>
      <c r="HO77" s="486">
        <v>0</v>
      </c>
      <c r="HP77" s="486">
        <v>0</v>
      </c>
      <c r="HQ77" s="486">
        <v>0</v>
      </c>
      <c r="HR77" s="486">
        <v>0</v>
      </c>
      <c r="HS77" s="486">
        <v>0</v>
      </c>
      <c r="HT77" s="486">
        <v>0</v>
      </c>
      <c r="HU77" s="486">
        <v>0</v>
      </c>
      <c r="HV77" s="486">
        <v>0</v>
      </c>
      <c r="HW77" s="486">
        <v>0</v>
      </c>
      <c r="HX77" s="486">
        <v>0</v>
      </c>
      <c r="HY77" s="486">
        <v>0</v>
      </c>
      <c r="HZ77" s="486">
        <v>0</v>
      </c>
      <c r="IA77" s="486">
        <v>0</v>
      </c>
      <c r="IB77" s="486">
        <v>0</v>
      </c>
      <c r="IC77" s="486">
        <v>0</v>
      </c>
      <c r="ID77" s="486">
        <v>0</v>
      </c>
      <c r="IE77" s="486">
        <v>0</v>
      </c>
      <c r="IF77" s="486">
        <v>0</v>
      </c>
      <c r="IG77" s="486">
        <v>0</v>
      </c>
      <c r="IH77" s="486">
        <v>0</v>
      </c>
      <c r="II77" s="486">
        <v>0</v>
      </c>
      <c r="IJ77" s="486">
        <v>0</v>
      </c>
    </row>
    <row r="78" spans="1:244" ht="16.5" hidden="1">
      <c r="A78" s="484" t="s">
        <v>720</v>
      </c>
      <c r="B78" s="484" t="s">
        <v>617</v>
      </c>
      <c r="C78" s="484" t="s">
        <v>721</v>
      </c>
      <c r="D78" s="485"/>
      <c r="E78" s="484" t="s">
        <v>721</v>
      </c>
      <c r="F78" s="484" t="s">
        <v>25</v>
      </c>
      <c r="G78" s="485"/>
      <c r="H78" s="486">
        <v>27</v>
      </c>
      <c r="I78" s="471" t="str">
        <f t="shared" si="3"/>
        <v>AIJ100127</v>
      </c>
      <c r="J78" s="486">
        <v>62</v>
      </c>
      <c r="L78" s="484" t="s">
        <v>720</v>
      </c>
      <c r="M78" s="484" t="s">
        <v>617</v>
      </c>
      <c r="N78" s="484" t="s">
        <v>26</v>
      </c>
      <c r="O78" s="486">
        <v>43</v>
      </c>
      <c r="P78" s="471" t="str">
        <f t="shared" si="4"/>
        <v>AIJ100243</v>
      </c>
      <c r="Q78" s="486">
        <v>0</v>
      </c>
      <c r="R78" s="486">
        <v>9</v>
      </c>
      <c r="S78" s="486">
        <v>18</v>
      </c>
      <c r="T78" s="486">
        <v>26</v>
      </c>
      <c r="U78" s="486">
        <v>34</v>
      </c>
      <c r="V78" s="486">
        <v>41</v>
      </c>
      <c r="W78" s="486">
        <v>48</v>
      </c>
      <c r="X78" s="486">
        <v>56</v>
      </c>
      <c r="Y78" s="486">
        <v>58</v>
      </c>
      <c r="Z78" s="486">
        <v>0</v>
      </c>
      <c r="AA78" s="486">
        <v>0</v>
      </c>
      <c r="AB78" s="486">
        <v>0</v>
      </c>
      <c r="AC78" s="486">
        <v>0</v>
      </c>
      <c r="AD78" s="486">
        <v>0</v>
      </c>
      <c r="AE78" s="486">
        <v>0</v>
      </c>
      <c r="AF78" s="486">
        <v>0</v>
      </c>
      <c r="AG78" s="486">
        <v>0</v>
      </c>
      <c r="AH78" s="486">
        <v>0</v>
      </c>
      <c r="AI78" s="486">
        <v>0</v>
      </c>
      <c r="AJ78" s="486">
        <v>0</v>
      </c>
      <c r="AK78" s="486">
        <v>0</v>
      </c>
      <c r="AL78" s="486">
        <v>0</v>
      </c>
      <c r="AM78" s="486">
        <v>0</v>
      </c>
      <c r="AN78" s="486">
        <v>0</v>
      </c>
      <c r="AO78" s="486">
        <v>0</v>
      </c>
      <c r="AP78" s="486">
        <v>0</v>
      </c>
      <c r="AQ78" s="486">
        <v>0</v>
      </c>
      <c r="AR78" s="486">
        <v>0</v>
      </c>
      <c r="AS78" s="486">
        <v>0</v>
      </c>
      <c r="AT78" s="486">
        <v>0</v>
      </c>
      <c r="AU78" s="486">
        <v>0</v>
      </c>
      <c r="AV78" s="486">
        <v>0</v>
      </c>
      <c r="AW78" s="486">
        <v>0</v>
      </c>
      <c r="AX78" s="486">
        <v>0</v>
      </c>
      <c r="AY78" s="486">
        <v>0</v>
      </c>
      <c r="AZ78" s="486">
        <v>0</v>
      </c>
      <c r="BA78" s="486">
        <v>0</v>
      </c>
      <c r="BB78" s="486">
        <v>0</v>
      </c>
      <c r="BC78" s="486">
        <v>0</v>
      </c>
      <c r="BD78" s="486">
        <v>0</v>
      </c>
      <c r="BE78" s="486">
        <v>0</v>
      </c>
      <c r="BF78" s="486">
        <v>0</v>
      </c>
      <c r="BG78" s="486">
        <v>0</v>
      </c>
      <c r="BH78" s="486">
        <v>0</v>
      </c>
      <c r="BI78" s="486">
        <v>0</v>
      </c>
      <c r="BJ78" s="486">
        <v>0</v>
      </c>
      <c r="BK78" s="486">
        <v>0</v>
      </c>
      <c r="BL78" s="486">
        <v>0</v>
      </c>
      <c r="BM78" s="486">
        <v>0</v>
      </c>
      <c r="BN78" s="486">
        <v>0</v>
      </c>
      <c r="BO78" s="486">
        <v>0</v>
      </c>
      <c r="BP78" s="486">
        <v>0</v>
      </c>
      <c r="BQ78" s="486">
        <v>0</v>
      </c>
      <c r="BR78" s="486">
        <v>0</v>
      </c>
      <c r="BS78" s="486">
        <v>0</v>
      </c>
      <c r="BT78" s="486">
        <v>0</v>
      </c>
      <c r="BU78" s="486">
        <v>0</v>
      </c>
      <c r="BV78" s="486">
        <v>0</v>
      </c>
      <c r="BW78" s="486">
        <v>0</v>
      </c>
      <c r="BX78" s="486">
        <v>0</v>
      </c>
      <c r="BY78" s="486">
        <v>0</v>
      </c>
      <c r="BZ78" s="486">
        <v>0</v>
      </c>
      <c r="CA78" s="486">
        <v>0</v>
      </c>
      <c r="CB78" s="486">
        <v>0</v>
      </c>
      <c r="CC78" s="486">
        <v>0</v>
      </c>
      <c r="CD78" s="486">
        <v>0</v>
      </c>
      <c r="CE78" s="486">
        <v>0</v>
      </c>
      <c r="CF78" s="486">
        <v>0</v>
      </c>
      <c r="CG78" s="486">
        <v>0</v>
      </c>
      <c r="CH78" s="486">
        <v>0</v>
      </c>
      <c r="CI78" s="486">
        <v>0</v>
      </c>
      <c r="CJ78" s="486">
        <v>0</v>
      </c>
      <c r="CK78" s="486">
        <v>0</v>
      </c>
      <c r="CL78" s="486">
        <v>0</v>
      </c>
      <c r="CM78" s="486">
        <v>0</v>
      </c>
      <c r="CN78" s="486">
        <v>0</v>
      </c>
      <c r="CO78" s="486">
        <v>0</v>
      </c>
      <c r="CP78" s="486">
        <v>0</v>
      </c>
      <c r="CQ78" s="486">
        <v>0</v>
      </c>
      <c r="CR78" s="486">
        <v>0</v>
      </c>
      <c r="CS78" s="486">
        <v>0</v>
      </c>
      <c r="CT78" s="486">
        <v>0</v>
      </c>
      <c r="CU78" s="486">
        <v>0</v>
      </c>
      <c r="CV78" s="486">
        <v>0</v>
      </c>
      <c r="CW78" s="486">
        <v>0</v>
      </c>
      <c r="CX78" s="486">
        <v>0</v>
      </c>
      <c r="CY78" s="486">
        <v>0</v>
      </c>
      <c r="CZ78" s="486">
        <v>0</v>
      </c>
      <c r="DA78" s="486">
        <v>0</v>
      </c>
      <c r="DB78" s="486">
        <v>0</v>
      </c>
      <c r="DC78" s="486">
        <v>0</v>
      </c>
      <c r="DD78" s="486">
        <v>0</v>
      </c>
      <c r="DE78" s="486">
        <v>0</v>
      </c>
      <c r="DF78" s="486">
        <v>0</v>
      </c>
      <c r="DG78" s="486">
        <v>0</v>
      </c>
      <c r="DH78" s="486">
        <v>0</v>
      </c>
      <c r="DI78" s="486">
        <v>0</v>
      </c>
      <c r="DJ78" s="486">
        <v>0</v>
      </c>
      <c r="DK78" s="486">
        <v>0</v>
      </c>
      <c r="DL78" s="486">
        <v>0</v>
      </c>
      <c r="DM78" s="486">
        <v>0</v>
      </c>
      <c r="DN78" s="486">
        <v>0</v>
      </c>
      <c r="DO78" s="486">
        <v>0</v>
      </c>
      <c r="DP78" s="486">
        <v>0</v>
      </c>
      <c r="DQ78" s="486">
        <v>0</v>
      </c>
      <c r="DR78" s="486">
        <v>0</v>
      </c>
      <c r="DS78" s="486">
        <v>0</v>
      </c>
      <c r="DT78" s="486">
        <v>0</v>
      </c>
      <c r="DU78" s="486">
        <v>0</v>
      </c>
      <c r="DV78" s="486">
        <v>0</v>
      </c>
      <c r="DW78" s="486">
        <v>0</v>
      </c>
      <c r="DX78" s="477"/>
      <c r="DY78" s="484" t="s">
        <v>720</v>
      </c>
      <c r="DZ78" s="484" t="s">
        <v>617</v>
      </c>
      <c r="EA78" s="484" t="s">
        <v>26</v>
      </c>
      <c r="EB78" s="486">
        <v>43</v>
      </c>
      <c r="EC78" s="471" t="str">
        <f t="shared" si="0"/>
        <v>AIJ100243</v>
      </c>
      <c r="ED78" s="486">
        <v>10000</v>
      </c>
      <c r="EE78" s="486">
        <v>10000</v>
      </c>
      <c r="EF78" s="486">
        <v>10000</v>
      </c>
      <c r="EG78" s="486">
        <v>10000</v>
      </c>
      <c r="EH78" s="486">
        <v>10000</v>
      </c>
      <c r="EI78" s="486">
        <v>10000</v>
      </c>
      <c r="EJ78" s="486">
        <v>10000</v>
      </c>
      <c r="EK78" s="486">
        <v>10000</v>
      </c>
      <c r="EL78" s="486">
        <v>10000</v>
      </c>
      <c r="EM78" s="486">
        <v>10000</v>
      </c>
      <c r="EN78" s="486">
        <v>0</v>
      </c>
      <c r="EO78" s="486">
        <v>0</v>
      </c>
      <c r="EP78" s="486">
        <v>0</v>
      </c>
      <c r="EQ78" s="486">
        <v>0</v>
      </c>
      <c r="ER78" s="486">
        <v>0</v>
      </c>
      <c r="ES78" s="486">
        <v>0</v>
      </c>
      <c r="ET78" s="486">
        <v>0</v>
      </c>
      <c r="EU78" s="486">
        <v>0</v>
      </c>
      <c r="EV78" s="486">
        <v>0</v>
      </c>
      <c r="EW78" s="486">
        <v>0</v>
      </c>
      <c r="EX78" s="486">
        <v>0</v>
      </c>
      <c r="EY78" s="486">
        <v>0</v>
      </c>
      <c r="EZ78" s="486">
        <v>0</v>
      </c>
      <c r="FA78" s="486">
        <v>0</v>
      </c>
      <c r="FB78" s="486">
        <v>0</v>
      </c>
      <c r="FC78" s="486">
        <v>0</v>
      </c>
      <c r="FD78" s="486">
        <v>0</v>
      </c>
      <c r="FE78" s="486">
        <v>0</v>
      </c>
      <c r="FF78" s="486">
        <v>0</v>
      </c>
      <c r="FG78" s="486">
        <v>0</v>
      </c>
      <c r="FH78" s="486">
        <v>0</v>
      </c>
      <c r="FI78" s="486">
        <v>0</v>
      </c>
      <c r="FJ78" s="486">
        <v>0</v>
      </c>
      <c r="FK78" s="486">
        <v>0</v>
      </c>
      <c r="FL78" s="486">
        <v>0</v>
      </c>
      <c r="FM78" s="486">
        <v>0</v>
      </c>
      <c r="FN78" s="486">
        <v>0</v>
      </c>
      <c r="FO78" s="486">
        <v>0</v>
      </c>
      <c r="FP78" s="486">
        <v>0</v>
      </c>
      <c r="FQ78" s="486">
        <v>0</v>
      </c>
      <c r="FR78" s="486">
        <v>0</v>
      </c>
      <c r="FS78" s="486">
        <v>0</v>
      </c>
      <c r="FT78" s="486">
        <v>0</v>
      </c>
      <c r="FU78" s="486">
        <v>0</v>
      </c>
      <c r="FV78" s="486">
        <v>0</v>
      </c>
      <c r="FW78" s="486">
        <v>0</v>
      </c>
      <c r="FX78" s="486">
        <v>0</v>
      </c>
      <c r="FY78" s="486">
        <v>0</v>
      </c>
      <c r="FZ78" s="486">
        <v>0</v>
      </c>
      <c r="GA78" s="486">
        <v>0</v>
      </c>
      <c r="GB78" s="486">
        <v>0</v>
      </c>
      <c r="GC78" s="486">
        <v>0</v>
      </c>
      <c r="GD78" s="486">
        <v>0</v>
      </c>
      <c r="GE78" s="486">
        <v>0</v>
      </c>
      <c r="GF78" s="486">
        <v>0</v>
      </c>
      <c r="GG78" s="486">
        <v>0</v>
      </c>
      <c r="GH78" s="486">
        <v>0</v>
      </c>
      <c r="GI78" s="486">
        <v>0</v>
      </c>
      <c r="GJ78" s="486">
        <v>0</v>
      </c>
      <c r="GK78" s="486">
        <v>0</v>
      </c>
      <c r="GL78" s="486">
        <v>0</v>
      </c>
      <c r="GM78" s="486">
        <v>0</v>
      </c>
      <c r="GN78" s="486">
        <v>0</v>
      </c>
      <c r="GO78" s="486">
        <v>0</v>
      </c>
      <c r="GP78" s="486">
        <v>0</v>
      </c>
      <c r="GQ78" s="486">
        <v>0</v>
      </c>
      <c r="GR78" s="486">
        <v>0</v>
      </c>
      <c r="GS78" s="486">
        <v>0</v>
      </c>
      <c r="GT78" s="486">
        <v>0</v>
      </c>
      <c r="GU78" s="486">
        <v>0</v>
      </c>
      <c r="GV78" s="486">
        <v>0</v>
      </c>
      <c r="GW78" s="486">
        <v>0</v>
      </c>
      <c r="GX78" s="486">
        <v>0</v>
      </c>
      <c r="GY78" s="486">
        <v>0</v>
      </c>
      <c r="GZ78" s="486">
        <v>0</v>
      </c>
      <c r="HA78" s="486">
        <v>0</v>
      </c>
      <c r="HB78" s="486">
        <v>0</v>
      </c>
      <c r="HC78" s="486">
        <v>0</v>
      </c>
      <c r="HD78" s="486">
        <v>0</v>
      </c>
      <c r="HE78" s="486">
        <v>0</v>
      </c>
      <c r="HF78" s="486">
        <v>0</v>
      </c>
      <c r="HG78" s="486">
        <v>0</v>
      </c>
      <c r="HH78" s="486">
        <v>0</v>
      </c>
      <c r="HI78" s="486">
        <v>0</v>
      </c>
      <c r="HJ78" s="486">
        <v>0</v>
      </c>
      <c r="HK78" s="486">
        <v>0</v>
      </c>
      <c r="HL78" s="486">
        <v>0</v>
      </c>
      <c r="HM78" s="486">
        <v>0</v>
      </c>
      <c r="HN78" s="486">
        <v>0</v>
      </c>
      <c r="HO78" s="486">
        <v>0</v>
      </c>
      <c r="HP78" s="486">
        <v>0</v>
      </c>
      <c r="HQ78" s="486">
        <v>0</v>
      </c>
      <c r="HR78" s="486">
        <v>0</v>
      </c>
      <c r="HS78" s="486">
        <v>0</v>
      </c>
      <c r="HT78" s="486">
        <v>0</v>
      </c>
      <c r="HU78" s="486">
        <v>0</v>
      </c>
      <c r="HV78" s="486">
        <v>0</v>
      </c>
      <c r="HW78" s="486">
        <v>0</v>
      </c>
      <c r="HX78" s="486">
        <v>0</v>
      </c>
      <c r="HY78" s="486">
        <v>0</v>
      </c>
      <c r="HZ78" s="486">
        <v>0</v>
      </c>
      <c r="IA78" s="486">
        <v>0</v>
      </c>
      <c r="IB78" s="486">
        <v>0</v>
      </c>
      <c r="IC78" s="486">
        <v>0</v>
      </c>
      <c r="ID78" s="486">
        <v>0</v>
      </c>
      <c r="IE78" s="486">
        <v>0</v>
      </c>
      <c r="IF78" s="486">
        <v>0</v>
      </c>
      <c r="IG78" s="486">
        <v>0</v>
      </c>
      <c r="IH78" s="486">
        <v>0</v>
      </c>
      <c r="II78" s="486">
        <v>0</v>
      </c>
      <c r="IJ78" s="486">
        <v>0</v>
      </c>
    </row>
    <row r="79" spans="1:244" ht="16.5" hidden="1">
      <c r="A79" s="484" t="s">
        <v>720</v>
      </c>
      <c r="B79" s="484" t="s">
        <v>617</v>
      </c>
      <c r="C79" s="484" t="s">
        <v>721</v>
      </c>
      <c r="D79" s="485"/>
      <c r="E79" s="484" t="s">
        <v>721</v>
      </c>
      <c r="F79" s="484" t="s">
        <v>25</v>
      </c>
      <c r="G79" s="485"/>
      <c r="H79" s="486">
        <v>28</v>
      </c>
      <c r="I79" s="471" t="str">
        <f t="shared" si="3"/>
        <v>AIJ100128</v>
      </c>
      <c r="J79" s="486">
        <v>63</v>
      </c>
      <c r="L79" s="484" t="s">
        <v>720</v>
      </c>
      <c r="M79" s="484" t="s">
        <v>617</v>
      </c>
      <c r="N79" s="484" t="s">
        <v>26</v>
      </c>
      <c r="O79" s="486">
        <v>44</v>
      </c>
      <c r="P79" s="471" t="str">
        <f t="shared" si="4"/>
        <v>AIJ100244</v>
      </c>
      <c r="Q79" s="486">
        <v>0</v>
      </c>
      <c r="R79" s="486">
        <v>10</v>
      </c>
      <c r="S79" s="486">
        <v>19</v>
      </c>
      <c r="T79" s="486">
        <v>27</v>
      </c>
      <c r="U79" s="486">
        <v>37</v>
      </c>
      <c r="V79" s="486">
        <v>43</v>
      </c>
      <c r="W79" s="486">
        <v>51</v>
      </c>
      <c r="X79" s="486">
        <v>58</v>
      </c>
      <c r="Y79" s="486">
        <v>60</v>
      </c>
      <c r="Z79" s="486">
        <v>0</v>
      </c>
      <c r="AA79" s="486">
        <v>0</v>
      </c>
      <c r="AB79" s="486">
        <v>0</v>
      </c>
      <c r="AC79" s="486">
        <v>0</v>
      </c>
      <c r="AD79" s="486">
        <v>0</v>
      </c>
      <c r="AE79" s="486">
        <v>0</v>
      </c>
      <c r="AF79" s="486">
        <v>0</v>
      </c>
      <c r="AG79" s="486">
        <v>0</v>
      </c>
      <c r="AH79" s="486">
        <v>0</v>
      </c>
      <c r="AI79" s="486">
        <v>0</v>
      </c>
      <c r="AJ79" s="486">
        <v>0</v>
      </c>
      <c r="AK79" s="486">
        <v>0</v>
      </c>
      <c r="AL79" s="486">
        <v>0</v>
      </c>
      <c r="AM79" s="486">
        <v>0</v>
      </c>
      <c r="AN79" s="486">
        <v>0</v>
      </c>
      <c r="AO79" s="486">
        <v>0</v>
      </c>
      <c r="AP79" s="486">
        <v>0</v>
      </c>
      <c r="AQ79" s="486">
        <v>0</v>
      </c>
      <c r="AR79" s="486">
        <v>0</v>
      </c>
      <c r="AS79" s="486">
        <v>0</v>
      </c>
      <c r="AT79" s="486">
        <v>0</v>
      </c>
      <c r="AU79" s="486">
        <v>0</v>
      </c>
      <c r="AV79" s="486">
        <v>0</v>
      </c>
      <c r="AW79" s="486">
        <v>0</v>
      </c>
      <c r="AX79" s="486">
        <v>0</v>
      </c>
      <c r="AY79" s="486">
        <v>0</v>
      </c>
      <c r="AZ79" s="486">
        <v>0</v>
      </c>
      <c r="BA79" s="486">
        <v>0</v>
      </c>
      <c r="BB79" s="486">
        <v>0</v>
      </c>
      <c r="BC79" s="486">
        <v>0</v>
      </c>
      <c r="BD79" s="486">
        <v>0</v>
      </c>
      <c r="BE79" s="486">
        <v>0</v>
      </c>
      <c r="BF79" s="486">
        <v>0</v>
      </c>
      <c r="BG79" s="486">
        <v>0</v>
      </c>
      <c r="BH79" s="486">
        <v>0</v>
      </c>
      <c r="BI79" s="486">
        <v>0</v>
      </c>
      <c r="BJ79" s="486">
        <v>0</v>
      </c>
      <c r="BK79" s="486">
        <v>0</v>
      </c>
      <c r="BL79" s="486">
        <v>0</v>
      </c>
      <c r="BM79" s="486">
        <v>0</v>
      </c>
      <c r="BN79" s="486">
        <v>0</v>
      </c>
      <c r="BO79" s="486">
        <v>0</v>
      </c>
      <c r="BP79" s="486">
        <v>0</v>
      </c>
      <c r="BQ79" s="486">
        <v>0</v>
      </c>
      <c r="BR79" s="486">
        <v>0</v>
      </c>
      <c r="BS79" s="486">
        <v>0</v>
      </c>
      <c r="BT79" s="486">
        <v>0</v>
      </c>
      <c r="BU79" s="486">
        <v>0</v>
      </c>
      <c r="BV79" s="486">
        <v>0</v>
      </c>
      <c r="BW79" s="486">
        <v>0</v>
      </c>
      <c r="BX79" s="486">
        <v>0</v>
      </c>
      <c r="BY79" s="486">
        <v>0</v>
      </c>
      <c r="BZ79" s="486">
        <v>0</v>
      </c>
      <c r="CA79" s="486">
        <v>0</v>
      </c>
      <c r="CB79" s="486">
        <v>0</v>
      </c>
      <c r="CC79" s="486">
        <v>0</v>
      </c>
      <c r="CD79" s="486">
        <v>0</v>
      </c>
      <c r="CE79" s="486">
        <v>0</v>
      </c>
      <c r="CF79" s="486">
        <v>0</v>
      </c>
      <c r="CG79" s="486">
        <v>0</v>
      </c>
      <c r="CH79" s="486">
        <v>0</v>
      </c>
      <c r="CI79" s="486">
        <v>0</v>
      </c>
      <c r="CJ79" s="486">
        <v>0</v>
      </c>
      <c r="CK79" s="486">
        <v>0</v>
      </c>
      <c r="CL79" s="486">
        <v>0</v>
      </c>
      <c r="CM79" s="486">
        <v>0</v>
      </c>
      <c r="CN79" s="486">
        <v>0</v>
      </c>
      <c r="CO79" s="486">
        <v>0</v>
      </c>
      <c r="CP79" s="486">
        <v>0</v>
      </c>
      <c r="CQ79" s="486">
        <v>0</v>
      </c>
      <c r="CR79" s="486">
        <v>0</v>
      </c>
      <c r="CS79" s="486">
        <v>0</v>
      </c>
      <c r="CT79" s="486">
        <v>0</v>
      </c>
      <c r="CU79" s="486">
        <v>0</v>
      </c>
      <c r="CV79" s="486">
        <v>0</v>
      </c>
      <c r="CW79" s="486">
        <v>0</v>
      </c>
      <c r="CX79" s="486">
        <v>0</v>
      </c>
      <c r="CY79" s="486">
        <v>0</v>
      </c>
      <c r="CZ79" s="486">
        <v>0</v>
      </c>
      <c r="DA79" s="486">
        <v>0</v>
      </c>
      <c r="DB79" s="486">
        <v>0</v>
      </c>
      <c r="DC79" s="486">
        <v>0</v>
      </c>
      <c r="DD79" s="486">
        <v>0</v>
      </c>
      <c r="DE79" s="486">
        <v>0</v>
      </c>
      <c r="DF79" s="486">
        <v>0</v>
      </c>
      <c r="DG79" s="486">
        <v>0</v>
      </c>
      <c r="DH79" s="486">
        <v>0</v>
      </c>
      <c r="DI79" s="486">
        <v>0</v>
      </c>
      <c r="DJ79" s="486">
        <v>0</v>
      </c>
      <c r="DK79" s="486">
        <v>0</v>
      </c>
      <c r="DL79" s="486">
        <v>0</v>
      </c>
      <c r="DM79" s="486">
        <v>0</v>
      </c>
      <c r="DN79" s="486">
        <v>0</v>
      </c>
      <c r="DO79" s="486">
        <v>0</v>
      </c>
      <c r="DP79" s="486">
        <v>0</v>
      </c>
      <c r="DQ79" s="486">
        <v>0</v>
      </c>
      <c r="DR79" s="486">
        <v>0</v>
      </c>
      <c r="DS79" s="486">
        <v>0</v>
      </c>
      <c r="DT79" s="486">
        <v>0</v>
      </c>
      <c r="DU79" s="486">
        <v>0</v>
      </c>
      <c r="DV79" s="486">
        <v>0</v>
      </c>
      <c r="DW79" s="486">
        <v>0</v>
      </c>
      <c r="DX79" s="477"/>
      <c r="DY79" s="484" t="s">
        <v>720</v>
      </c>
      <c r="DZ79" s="484" t="s">
        <v>617</v>
      </c>
      <c r="EA79" s="484" t="s">
        <v>26</v>
      </c>
      <c r="EB79" s="486">
        <v>44</v>
      </c>
      <c r="EC79" s="471" t="str">
        <f t="shared" si="0"/>
        <v>AIJ100244</v>
      </c>
      <c r="ED79" s="486">
        <v>10000</v>
      </c>
      <c r="EE79" s="486">
        <v>10000</v>
      </c>
      <c r="EF79" s="486">
        <v>10000</v>
      </c>
      <c r="EG79" s="486">
        <v>10000</v>
      </c>
      <c r="EH79" s="486">
        <v>10000</v>
      </c>
      <c r="EI79" s="486">
        <v>10000</v>
      </c>
      <c r="EJ79" s="486">
        <v>10000</v>
      </c>
      <c r="EK79" s="486">
        <v>10000</v>
      </c>
      <c r="EL79" s="486">
        <v>10000</v>
      </c>
      <c r="EM79" s="486">
        <v>10000</v>
      </c>
      <c r="EN79" s="486">
        <v>0</v>
      </c>
      <c r="EO79" s="486">
        <v>0</v>
      </c>
      <c r="EP79" s="486">
        <v>0</v>
      </c>
      <c r="EQ79" s="486">
        <v>0</v>
      </c>
      <c r="ER79" s="486">
        <v>0</v>
      </c>
      <c r="ES79" s="486">
        <v>0</v>
      </c>
      <c r="ET79" s="486">
        <v>0</v>
      </c>
      <c r="EU79" s="486">
        <v>0</v>
      </c>
      <c r="EV79" s="486">
        <v>0</v>
      </c>
      <c r="EW79" s="486">
        <v>0</v>
      </c>
      <c r="EX79" s="486">
        <v>0</v>
      </c>
      <c r="EY79" s="486">
        <v>0</v>
      </c>
      <c r="EZ79" s="486">
        <v>0</v>
      </c>
      <c r="FA79" s="486">
        <v>0</v>
      </c>
      <c r="FB79" s="486">
        <v>0</v>
      </c>
      <c r="FC79" s="486">
        <v>0</v>
      </c>
      <c r="FD79" s="486">
        <v>0</v>
      </c>
      <c r="FE79" s="486">
        <v>0</v>
      </c>
      <c r="FF79" s="486">
        <v>0</v>
      </c>
      <c r="FG79" s="486">
        <v>0</v>
      </c>
      <c r="FH79" s="486">
        <v>0</v>
      </c>
      <c r="FI79" s="486">
        <v>0</v>
      </c>
      <c r="FJ79" s="486">
        <v>0</v>
      </c>
      <c r="FK79" s="486">
        <v>0</v>
      </c>
      <c r="FL79" s="486">
        <v>0</v>
      </c>
      <c r="FM79" s="486">
        <v>0</v>
      </c>
      <c r="FN79" s="486">
        <v>0</v>
      </c>
      <c r="FO79" s="486">
        <v>0</v>
      </c>
      <c r="FP79" s="486">
        <v>0</v>
      </c>
      <c r="FQ79" s="486">
        <v>0</v>
      </c>
      <c r="FR79" s="486">
        <v>0</v>
      </c>
      <c r="FS79" s="486">
        <v>0</v>
      </c>
      <c r="FT79" s="486">
        <v>0</v>
      </c>
      <c r="FU79" s="486">
        <v>0</v>
      </c>
      <c r="FV79" s="486">
        <v>0</v>
      </c>
      <c r="FW79" s="486">
        <v>0</v>
      </c>
      <c r="FX79" s="486">
        <v>0</v>
      </c>
      <c r="FY79" s="486">
        <v>0</v>
      </c>
      <c r="FZ79" s="486">
        <v>0</v>
      </c>
      <c r="GA79" s="486">
        <v>0</v>
      </c>
      <c r="GB79" s="486">
        <v>0</v>
      </c>
      <c r="GC79" s="486">
        <v>0</v>
      </c>
      <c r="GD79" s="486">
        <v>0</v>
      </c>
      <c r="GE79" s="486">
        <v>0</v>
      </c>
      <c r="GF79" s="486">
        <v>0</v>
      </c>
      <c r="GG79" s="486">
        <v>0</v>
      </c>
      <c r="GH79" s="486">
        <v>0</v>
      </c>
      <c r="GI79" s="486">
        <v>0</v>
      </c>
      <c r="GJ79" s="486">
        <v>0</v>
      </c>
      <c r="GK79" s="486">
        <v>0</v>
      </c>
      <c r="GL79" s="486">
        <v>0</v>
      </c>
      <c r="GM79" s="486">
        <v>0</v>
      </c>
      <c r="GN79" s="486">
        <v>0</v>
      </c>
      <c r="GO79" s="486">
        <v>0</v>
      </c>
      <c r="GP79" s="486">
        <v>0</v>
      </c>
      <c r="GQ79" s="486">
        <v>0</v>
      </c>
      <c r="GR79" s="486">
        <v>0</v>
      </c>
      <c r="GS79" s="486">
        <v>0</v>
      </c>
      <c r="GT79" s="486">
        <v>0</v>
      </c>
      <c r="GU79" s="486">
        <v>0</v>
      </c>
      <c r="GV79" s="486">
        <v>0</v>
      </c>
      <c r="GW79" s="486">
        <v>0</v>
      </c>
      <c r="GX79" s="486">
        <v>0</v>
      </c>
      <c r="GY79" s="486">
        <v>0</v>
      </c>
      <c r="GZ79" s="486">
        <v>0</v>
      </c>
      <c r="HA79" s="486">
        <v>0</v>
      </c>
      <c r="HB79" s="486">
        <v>0</v>
      </c>
      <c r="HC79" s="486">
        <v>0</v>
      </c>
      <c r="HD79" s="486">
        <v>0</v>
      </c>
      <c r="HE79" s="486">
        <v>0</v>
      </c>
      <c r="HF79" s="486">
        <v>0</v>
      </c>
      <c r="HG79" s="486">
        <v>0</v>
      </c>
      <c r="HH79" s="486">
        <v>0</v>
      </c>
      <c r="HI79" s="486">
        <v>0</v>
      </c>
      <c r="HJ79" s="486">
        <v>0</v>
      </c>
      <c r="HK79" s="486">
        <v>0</v>
      </c>
      <c r="HL79" s="486">
        <v>0</v>
      </c>
      <c r="HM79" s="486">
        <v>0</v>
      </c>
      <c r="HN79" s="486">
        <v>0</v>
      </c>
      <c r="HO79" s="486">
        <v>0</v>
      </c>
      <c r="HP79" s="486">
        <v>0</v>
      </c>
      <c r="HQ79" s="486">
        <v>0</v>
      </c>
      <c r="HR79" s="486">
        <v>0</v>
      </c>
      <c r="HS79" s="486">
        <v>0</v>
      </c>
      <c r="HT79" s="486">
        <v>0</v>
      </c>
      <c r="HU79" s="486">
        <v>0</v>
      </c>
      <c r="HV79" s="486">
        <v>0</v>
      </c>
      <c r="HW79" s="486">
        <v>0</v>
      </c>
      <c r="HX79" s="486">
        <v>0</v>
      </c>
      <c r="HY79" s="486">
        <v>0</v>
      </c>
      <c r="HZ79" s="486">
        <v>0</v>
      </c>
      <c r="IA79" s="486">
        <v>0</v>
      </c>
      <c r="IB79" s="486">
        <v>0</v>
      </c>
      <c r="IC79" s="486">
        <v>0</v>
      </c>
      <c r="ID79" s="486">
        <v>0</v>
      </c>
      <c r="IE79" s="486">
        <v>0</v>
      </c>
      <c r="IF79" s="486">
        <v>0</v>
      </c>
      <c r="IG79" s="486">
        <v>0</v>
      </c>
      <c r="IH79" s="486">
        <v>0</v>
      </c>
      <c r="II79" s="486">
        <v>0</v>
      </c>
      <c r="IJ79" s="486">
        <v>0</v>
      </c>
    </row>
    <row r="80" spans="1:244" ht="16.5" hidden="1">
      <c r="A80" s="484" t="s">
        <v>720</v>
      </c>
      <c r="B80" s="484" t="s">
        <v>617</v>
      </c>
      <c r="C80" s="484" t="s">
        <v>721</v>
      </c>
      <c r="D80" s="485"/>
      <c r="E80" s="484" t="s">
        <v>721</v>
      </c>
      <c r="F80" s="484" t="s">
        <v>25</v>
      </c>
      <c r="G80" s="485"/>
      <c r="H80" s="486">
        <v>29</v>
      </c>
      <c r="I80" s="471" t="str">
        <f t="shared" si="3"/>
        <v>AIJ100129</v>
      </c>
      <c r="J80" s="486">
        <v>65</v>
      </c>
      <c r="L80" s="484" t="s">
        <v>720</v>
      </c>
      <c r="M80" s="484" t="s">
        <v>617</v>
      </c>
      <c r="N80" s="484" t="s">
        <v>26</v>
      </c>
      <c r="O80" s="486">
        <v>45</v>
      </c>
      <c r="P80" s="471" t="str">
        <f t="shared" si="4"/>
        <v>AIJ100245</v>
      </c>
      <c r="Q80" s="486">
        <v>0</v>
      </c>
      <c r="R80" s="486">
        <v>11</v>
      </c>
      <c r="S80" s="486">
        <v>20</v>
      </c>
      <c r="T80" s="486">
        <v>29</v>
      </c>
      <c r="U80" s="486">
        <v>38</v>
      </c>
      <c r="V80" s="486">
        <v>45</v>
      </c>
      <c r="W80" s="486">
        <v>54</v>
      </c>
      <c r="X80" s="486">
        <v>60</v>
      </c>
      <c r="Y80" s="486">
        <v>62</v>
      </c>
      <c r="Z80" s="486">
        <v>0</v>
      </c>
      <c r="AA80" s="486">
        <v>0</v>
      </c>
      <c r="AB80" s="486">
        <v>0</v>
      </c>
      <c r="AC80" s="486">
        <v>0</v>
      </c>
      <c r="AD80" s="486">
        <v>0</v>
      </c>
      <c r="AE80" s="486">
        <v>0</v>
      </c>
      <c r="AF80" s="486">
        <v>0</v>
      </c>
      <c r="AG80" s="486">
        <v>0</v>
      </c>
      <c r="AH80" s="486">
        <v>0</v>
      </c>
      <c r="AI80" s="486">
        <v>0</v>
      </c>
      <c r="AJ80" s="486">
        <v>0</v>
      </c>
      <c r="AK80" s="486">
        <v>0</v>
      </c>
      <c r="AL80" s="486">
        <v>0</v>
      </c>
      <c r="AM80" s="486">
        <v>0</v>
      </c>
      <c r="AN80" s="486">
        <v>0</v>
      </c>
      <c r="AO80" s="486">
        <v>0</v>
      </c>
      <c r="AP80" s="486">
        <v>0</v>
      </c>
      <c r="AQ80" s="486">
        <v>0</v>
      </c>
      <c r="AR80" s="486">
        <v>0</v>
      </c>
      <c r="AS80" s="486">
        <v>0</v>
      </c>
      <c r="AT80" s="486">
        <v>0</v>
      </c>
      <c r="AU80" s="486">
        <v>0</v>
      </c>
      <c r="AV80" s="486">
        <v>0</v>
      </c>
      <c r="AW80" s="486">
        <v>0</v>
      </c>
      <c r="AX80" s="486">
        <v>0</v>
      </c>
      <c r="AY80" s="486">
        <v>0</v>
      </c>
      <c r="AZ80" s="486">
        <v>0</v>
      </c>
      <c r="BA80" s="486">
        <v>0</v>
      </c>
      <c r="BB80" s="486">
        <v>0</v>
      </c>
      <c r="BC80" s="486">
        <v>0</v>
      </c>
      <c r="BD80" s="486">
        <v>0</v>
      </c>
      <c r="BE80" s="486">
        <v>0</v>
      </c>
      <c r="BF80" s="486">
        <v>0</v>
      </c>
      <c r="BG80" s="486">
        <v>0</v>
      </c>
      <c r="BH80" s="486">
        <v>0</v>
      </c>
      <c r="BI80" s="486">
        <v>0</v>
      </c>
      <c r="BJ80" s="486">
        <v>0</v>
      </c>
      <c r="BK80" s="486">
        <v>0</v>
      </c>
      <c r="BL80" s="486">
        <v>0</v>
      </c>
      <c r="BM80" s="486">
        <v>0</v>
      </c>
      <c r="BN80" s="486">
        <v>0</v>
      </c>
      <c r="BO80" s="486">
        <v>0</v>
      </c>
      <c r="BP80" s="486">
        <v>0</v>
      </c>
      <c r="BQ80" s="486">
        <v>0</v>
      </c>
      <c r="BR80" s="486">
        <v>0</v>
      </c>
      <c r="BS80" s="486">
        <v>0</v>
      </c>
      <c r="BT80" s="486">
        <v>0</v>
      </c>
      <c r="BU80" s="486">
        <v>0</v>
      </c>
      <c r="BV80" s="486">
        <v>0</v>
      </c>
      <c r="BW80" s="486">
        <v>0</v>
      </c>
      <c r="BX80" s="486">
        <v>0</v>
      </c>
      <c r="BY80" s="486">
        <v>0</v>
      </c>
      <c r="BZ80" s="486">
        <v>0</v>
      </c>
      <c r="CA80" s="486">
        <v>0</v>
      </c>
      <c r="CB80" s="486">
        <v>0</v>
      </c>
      <c r="CC80" s="486">
        <v>0</v>
      </c>
      <c r="CD80" s="486">
        <v>0</v>
      </c>
      <c r="CE80" s="486">
        <v>0</v>
      </c>
      <c r="CF80" s="486">
        <v>0</v>
      </c>
      <c r="CG80" s="486">
        <v>0</v>
      </c>
      <c r="CH80" s="486">
        <v>0</v>
      </c>
      <c r="CI80" s="486">
        <v>0</v>
      </c>
      <c r="CJ80" s="486">
        <v>0</v>
      </c>
      <c r="CK80" s="486">
        <v>0</v>
      </c>
      <c r="CL80" s="486">
        <v>0</v>
      </c>
      <c r="CM80" s="486">
        <v>0</v>
      </c>
      <c r="CN80" s="486">
        <v>0</v>
      </c>
      <c r="CO80" s="486">
        <v>0</v>
      </c>
      <c r="CP80" s="486">
        <v>0</v>
      </c>
      <c r="CQ80" s="486">
        <v>0</v>
      </c>
      <c r="CR80" s="486">
        <v>0</v>
      </c>
      <c r="CS80" s="486">
        <v>0</v>
      </c>
      <c r="CT80" s="486">
        <v>0</v>
      </c>
      <c r="CU80" s="486">
        <v>0</v>
      </c>
      <c r="CV80" s="486">
        <v>0</v>
      </c>
      <c r="CW80" s="486">
        <v>0</v>
      </c>
      <c r="CX80" s="486">
        <v>0</v>
      </c>
      <c r="CY80" s="486">
        <v>0</v>
      </c>
      <c r="CZ80" s="486">
        <v>0</v>
      </c>
      <c r="DA80" s="486">
        <v>0</v>
      </c>
      <c r="DB80" s="486">
        <v>0</v>
      </c>
      <c r="DC80" s="486">
        <v>0</v>
      </c>
      <c r="DD80" s="486">
        <v>0</v>
      </c>
      <c r="DE80" s="486">
        <v>0</v>
      </c>
      <c r="DF80" s="486">
        <v>0</v>
      </c>
      <c r="DG80" s="486">
        <v>0</v>
      </c>
      <c r="DH80" s="486">
        <v>0</v>
      </c>
      <c r="DI80" s="486">
        <v>0</v>
      </c>
      <c r="DJ80" s="486">
        <v>0</v>
      </c>
      <c r="DK80" s="486">
        <v>0</v>
      </c>
      <c r="DL80" s="486">
        <v>0</v>
      </c>
      <c r="DM80" s="486">
        <v>0</v>
      </c>
      <c r="DN80" s="486">
        <v>0</v>
      </c>
      <c r="DO80" s="486">
        <v>0</v>
      </c>
      <c r="DP80" s="486">
        <v>0</v>
      </c>
      <c r="DQ80" s="486">
        <v>0</v>
      </c>
      <c r="DR80" s="486">
        <v>0</v>
      </c>
      <c r="DS80" s="486">
        <v>0</v>
      </c>
      <c r="DT80" s="486">
        <v>0</v>
      </c>
      <c r="DU80" s="486">
        <v>0</v>
      </c>
      <c r="DV80" s="486">
        <v>0</v>
      </c>
      <c r="DW80" s="486">
        <v>0</v>
      </c>
      <c r="DX80" s="477"/>
      <c r="DY80" s="484" t="s">
        <v>720</v>
      </c>
      <c r="DZ80" s="484" t="s">
        <v>617</v>
      </c>
      <c r="EA80" s="484" t="s">
        <v>26</v>
      </c>
      <c r="EB80" s="486">
        <v>45</v>
      </c>
      <c r="EC80" s="471" t="str">
        <f t="shared" si="0"/>
        <v>AIJ100245</v>
      </c>
      <c r="ED80" s="486">
        <v>10000</v>
      </c>
      <c r="EE80" s="486">
        <v>10000</v>
      </c>
      <c r="EF80" s="486">
        <v>10000</v>
      </c>
      <c r="EG80" s="486">
        <v>10000</v>
      </c>
      <c r="EH80" s="486">
        <v>10000</v>
      </c>
      <c r="EI80" s="486">
        <v>10000</v>
      </c>
      <c r="EJ80" s="486">
        <v>10000</v>
      </c>
      <c r="EK80" s="486">
        <v>10000</v>
      </c>
      <c r="EL80" s="486">
        <v>10000</v>
      </c>
      <c r="EM80" s="486">
        <v>10000</v>
      </c>
      <c r="EN80" s="486">
        <v>0</v>
      </c>
      <c r="EO80" s="486">
        <v>0</v>
      </c>
      <c r="EP80" s="486">
        <v>0</v>
      </c>
      <c r="EQ80" s="486">
        <v>0</v>
      </c>
      <c r="ER80" s="486">
        <v>0</v>
      </c>
      <c r="ES80" s="486">
        <v>0</v>
      </c>
      <c r="ET80" s="486">
        <v>0</v>
      </c>
      <c r="EU80" s="486">
        <v>0</v>
      </c>
      <c r="EV80" s="486">
        <v>0</v>
      </c>
      <c r="EW80" s="486">
        <v>0</v>
      </c>
      <c r="EX80" s="486">
        <v>0</v>
      </c>
      <c r="EY80" s="486">
        <v>0</v>
      </c>
      <c r="EZ80" s="486">
        <v>0</v>
      </c>
      <c r="FA80" s="486">
        <v>0</v>
      </c>
      <c r="FB80" s="486">
        <v>0</v>
      </c>
      <c r="FC80" s="486">
        <v>0</v>
      </c>
      <c r="FD80" s="486">
        <v>0</v>
      </c>
      <c r="FE80" s="486">
        <v>0</v>
      </c>
      <c r="FF80" s="486">
        <v>0</v>
      </c>
      <c r="FG80" s="486">
        <v>0</v>
      </c>
      <c r="FH80" s="486">
        <v>0</v>
      </c>
      <c r="FI80" s="486">
        <v>0</v>
      </c>
      <c r="FJ80" s="486">
        <v>0</v>
      </c>
      <c r="FK80" s="486">
        <v>0</v>
      </c>
      <c r="FL80" s="486">
        <v>0</v>
      </c>
      <c r="FM80" s="486">
        <v>0</v>
      </c>
      <c r="FN80" s="486">
        <v>0</v>
      </c>
      <c r="FO80" s="486">
        <v>0</v>
      </c>
      <c r="FP80" s="486">
        <v>0</v>
      </c>
      <c r="FQ80" s="486">
        <v>0</v>
      </c>
      <c r="FR80" s="486">
        <v>0</v>
      </c>
      <c r="FS80" s="486">
        <v>0</v>
      </c>
      <c r="FT80" s="486">
        <v>0</v>
      </c>
      <c r="FU80" s="486">
        <v>0</v>
      </c>
      <c r="FV80" s="486">
        <v>0</v>
      </c>
      <c r="FW80" s="486">
        <v>0</v>
      </c>
      <c r="FX80" s="486">
        <v>0</v>
      </c>
      <c r="FY80" s="486">
        <v>0</v>
      </c>
      <c r="FZ80" s="486">
        <v>0</v>
      </c>
      <c r="GA80" s="486">
        <v>0</v>
      </c>
      <c r="GB80" s="486">
        <v>0</v>
      </c>
      <c r="GC80" s="486">
        <v>0</v>
      </c>
      <c r="GD80" s="486">
        <v>0</v>
      </c>
      <c r="GE80" s="486">
        <v>0</v>
      </c>
      <c r="GF80" s="486">
        <v>0</v>
      </c>
      <c r="GG80" s="486">
        <v>0</v>
      </c>
      <c r="GH80" s="486">
        <v>0</v>
      </c>
      <c r="GI80" s="486">
        <v>0</v>
      </c>
      <c r="GJ80" s="486">
        <v>0</v>
      </c>
      <c r="GK80" s="486">
        <v>0</v>
      </c>
      <c r="GL80" s="486">
        <v>0</v>
      </c>
      <c r="GM80" s="486">
        <v>0</v>
      </c>
      <c r="GN80" s="486">
        <v>0</v>
      </c>
      <c r="GO80" s="486">
        <v>0</v>
      </c>
      <c r="GP80" s="486">
        <v>0</v>
      </c>
      <c r="GQ80" s="486">
        <v>0</v>
      </c>
      <c r="GR80" s="486">
        <v>0</v>
      </c>
      <c r="GS80" s="486">
        <v>0</v>
      </c>
      <c r="GT80" s="486">
        <v>0</v>
      </c>
      <c r="GU80" s="486">
        <v>0</v>
      </c>
      <c r="GV80" s="486">
        <v>0</v>
      </c>
      <c r="GW80" s="486">
        <v>0</v>
      </c>
      <c r="GX80" s="486">
        <v>0</v>
      </c>
      <c r="GY80" s="486">
        <v>0</v>
      </c>
      <c r="GZ80" s="486">
        <v>0</v>
      </c>
      <c r="HA80" s="486">
        <v>0</v>
      </c>
      <c r="HB80" s="486">
        <v>0</v>
      </c>
      <c r="HC80" s="486">
        <v>0</v>
      </c>
      <c r="HD80" s="486">
        <v>0</v>
      </c>
      <c r="HE80" s="486">
        <v>0</v>
      </c>
      <c r="HF80" s="486">
        <v>0</v>
      </c>
      <c r="HG80" s="486">
        <v>0</v>
      </c>
      <c r="HH80" s="486">
        <v>0</v>
      </c>
      <c r="HI80" s="486">
        <v>0</v>
      </c>
      <c r="HJ80" s="486">
        <v>0</v>
      </c>
      <c r="HK80" s="486">
        <v>0</v>
      </c>
      <c r="HL80" s="486">
        <v>0</v>
      </c>
      <c r="HM80" s="486">
        <v>0</v>
      </c>
      <c r="HN80" s="486">
        <v>0</v>
      </c>
      <c r="HO80" s="486">
        <v>0</v>
      </c>
      <c r="HP80" s="486">
        <v>0</v>
      </c>
      <c r="HQ80" s="486">
        <v>0</v>
      </c>
      <c r="HR80" s="486">
        <v>0</v>
      </c>
      <c r="HS80" s="486">
        <v>0</v>
      </c>
      <c r="HT80" s="486">
        <v>0</v>
      </c>
      <c r="HU80" s="486">
        <v>0</v>
      </c>
      <c r="HV80" s="486">
        <v>0</v>
      </c>
      <c r="HW80" s="486">
        <v>0</v>
      </c>
      <c r="HX80" s="486">
        <v>0</v>
      </c>
      <c r="HY80" s="486">
        <v>0</v>
      </c>
      <c r="HZ80" s="486">
        <v>0</v>
      </c>
      <c r="IA80" s="486">
        <v>0</v>
      </c>
      <c r="IB80" s="486">
        <v>0</v>
      </c>
      <c r="IC80" s="486">
        <v>0</v>
      </c>
      <c r="ID80" s="486">
        <v>0</v>
      </c>
      <c r="IE80" s="486">
        <v>0</v>
      </c>
      <c r="IF80" s="486">
        <v>0</v>
      </c>
      <c r="IG80" s="486">
        <v>0</v>
      </c>
      <c r="IH80" s="486">
        <v>0</v>
      </c>
      <c r="II80" s="486">
        <v>0</v>
      </c>
      <c r="IJ80" s="486">
        <v>0</v>
      </c>
    </row>
    <row r="81" spans="1:244" ht="16.5" hidden="1">
      <c r="A81" s="484" t="s">
        <v>720</v>
      </c>
      <c r="B81" s="484" t="s">
        <v>617</v>
      </c>
      <c r="C81" s="484" t="s">
        <v>721</v>
      </c>
      <c r="D81" s="485"/>
      <c r="E81" s="484" t="s">
        <v>721</v>
      </c>
      <c r="F81" s="484" t="s">
        <v>25</v>
      </c>
      <c r="G81" s="485"/>
      <c r="H81" s="486">
        <v>30</v>
      </c>
      <c r="I81" s="471" t="str">
        <f t="shared" si="3"/>
        <v>AIJ100130</v>
      </c>
      <c r="J81" s="486">
        <v>67</v>
      </c>
      <c r="L81" s="484" t="s">
        <v>720</v>
      </c>
      <c r="M81" s="484" t="s">
        <v>617</v>
      </c>
      <c r="N81" s="484" t="s">
        <v>26</v>
      </c>
      <c r="O81" s="486">
        <v>46</v>
      </c>
      <c r="P81" s="471" t="str">
        <f t="shared" si="4"/>
        <v>AIJ100246</v>
      </c>
      <c r="Q81" s="486">
        <v>0</v>
      </c>
      <c r="R81" s="486">
        <v>11</v>
      </c>
      <c r="S81" s="486">
        <v>22</v>
      </c>
      <c r="T81" s="486">
        <v>31</v>
      </c>
      <c r="U81" s="486">
        <v>41</v>
      </c>
      <c r="V81" s="486">
        <v>47</v>
      </c>
      <c r="W81" s="486">
        <v>56</v>
      </c>
      <c r="X81" s="486">
        <v>63</v>
      </c>
      <c r="Y81" s="486">
        <v>66</v>
      </c>
      <c r="Z81" s="486">
        <v>0</v>
      </c>
      <c r="AA81" s="486">
        <v>0</v>
      </c>
      <c r="AB81" s="486">
        <v>0</v>
      </c>
      <c r="AC81" s="486">
        <v>0</v>
      </c>
      <c r="AD81" s="486">
        <v>0</v>
      </c>
      <c r="AE81" s="486">
        <v>0</v>
      </c>
      <c r="AF81" s="486">
        <v>0</v>
      </c>
      <c r="AG81" s="486">
        <v>0</v>
      </c>
      <c r="AH81" s="486">
        <v>0</v>
      </c>
      <c r="AI81" s="486">
        <v>0</v>
      </c>
      <c r="AJ81" s="486">
        <v>0</v>
      </c>
      <c r="AK81" s="486">
        <v>0</v>
      </c>
      <c r="AL81" s="486">
        <v>0</v>
      </c>
      <c r="AM81" s="486">
        <v>0</v>
      </c>
      <c r="AN81" s="486">
        <v>0</v>
      </c>
      <c r="AO81" s="486">
        <v>0</v>
      </c>
      <c r="AP81" s="486">
        <v>0</v>
      </c>
      <c r="AQ81" s="486">
        <v>0</v>
      </c>
      <c r="AR81" s="486">
        <v>0</v>
      </c>
      <c r="AS81" s="486">
        <v>0</v>
      </c>
      <c r="AT81" s="486">
        <v>0</v>
      </c>
      <c r="AU81" s="486">
        <v>0</v>
      </c>
      <c r="AV81" s="486">
        <v>0</v>
      </c>
      <c r="AW81" s="486">
        <v>0</v>
      </c>
      <c r="AX81" s="486">
        <v>0</v>
      </c>
      <c r="AY81" s="486">
        <v>0</v>
      </c>
      <c r="AZ81" s="486">
        <v>0</v>
      </c>
      <c r="BA81" s="486">
        <v>0</v>
      </c>
      <c r="BB81" s="486">
        <v>0</v>
      </c>
      <c r="BC81" s="486">
        <v>0</v>
      </c>
      <c r="BD81" s="486">
        <v>0</v>
      </c>
      <c r="BE81" s="486">
        <v>0</v>
      </c>
      <c r="BF81" s="486">
        <v>0</v>
      </c>
      <c r="BG81" s="486">
        <v>0</v>
      </c>
      <c r="BH81" s="486">
        <v>0</v>
      </c>
      <c r="BI81" s="486">
        <v>0</v>
      </c>
      <c r="BJ81" s="486">
        <v>0</v>
      </c>
      <c r="BK81" s="486">
        <v>0</v>
      </c>
      <c r="BL81" s="486">
        <v>0</v>
      </c>
      <c r="BM81" s="486">
        <v>0</v>
      </c>
      <c r="BN81" s="486">
        <v>0</v>
      </c>
      <c r="BO81" s="486">
        <v>0</v>
      </c>
      <c r="BP81" s="486">
        <v>0</v>
      </c>
      <c r="BQ81" s="486">
        <v>0</v>
      </c>
      <c r="BR81" s="486">
        <v>0</v>
      </c>
      <c r="BS81" s="486">
        <v>0</v>
      </c>
      <c r="BT81" s="486">
        <v>0</v>
      </c>
      <c r="BU81" s="486">
        <v>0</v>
      </c>
      <c r="BV81" s="486">
        <v>0</v>
      </c>
      <c r="BW81" s="486">
        <v>0</v>
      </c>
      <c r="BX81" s="486">
        <v>0</v>
      </c>
      <c r="BY81" s="486">
        <v>0</v>
      </c>
      <c r="BZ81" s="486">
        <v>0</v>
      </c>
      <c r="CA81" s="486">
        <v>0</v>
      </c>
      <c r="CB81" s="486">
        <v>0</v>
      </c>
      <c r="CC81" s="486">
        <v>0</v>
      </c>
      <c r="CD81" s="486">
        <v>0</v>
      </c>
      <c r="CE81" s="486">
        <v>0</v>
      </c>
      <c r="CF81" s="486">
        <v>0</v>
      </c>
      <c r="CG81" s="486">
        <v>0</v>
      </c>
      <c r="CH81" s="486">
        <v>0</v>
      </c>
      <c r="CI81" s="486">
        <v>0</v>
      </c>
      <c r="CJ81" s="486">
        <v>0</v>
      </c>
      <c r="CK81" s="486">
        <v>0</v>
      </c>
      <c r="CL81" s="486">
        <v>0</v>
      </c>
      <c r="CM81" s="486">
        <v>0</v>
      </c>
      <c r="CN81" s="486">
        <v>0</v>
      </c>
      <c r="CO81" s="486">
        <v>0</v>
      </c>
      <c r="CP81" s="486">
        <v>0</v>
      </c>
      <c r="CQ81" s="486">
        <v>0</v>
      </c>
      <c r="CR81" s="486">
        <v>0</v>
      </c>
      <c r="CS81" s="486">
        <v>0</v>
      </c>
      <c r="CT81" s="486">
        <v>0</v>
      </c>
      <c r="CU81" s="486">
        <v>0</v>
      </c>
      <c r="CV81" s="486">
        <v>0</v>
      </c>
      <c r="CW81" s="486">
        <v>0</v>
      </c>
      <c r="CX81" s="486">
        <v>0</v>
      </c>
      <c r="CY81" s="486">
        <v>0</v>
      </c>
      <c r="CZ81" s="486">
        <v>0</v>
      </c>
      <c r="DA81" s="486">
        <v>0</v>
      </c>
      <c r="DB81" s="486">
        <v>0</v>
      </c>
      <c r="DC81" s="486">
        <v>0</v>
      </c>
      <c r="DD81" s="486">
        <v>0</v>
      </c>
      <c r="DE81" s="486">
        <v>0</v>
      </c>
      <c r="DF81" s="486">
        <v>0</v>
      </c>
      <c r="DG81" s="486">
        <v>0</v>
      </c>
      <c r="DH81" s="486">
        <v>0</v>
      </c>
      <c r="DI81" s="486">
        <v>0</v>
      </c>
      <c r="DJ81" s="486">
        <v>0</v>
      </c>
      <c r="DK81" s="486">
        <v>0</v>
      </c>
      <c r="DL81" s="486">
        <v>0</v>
      </c>
      <c r="DM81" s="486">
        <v>0</v>
      </c>
      <c r="DN81" s="486">
        <v>0</v>
      </c>
      <c r="DO81" s="486">
        <v>0</v>
      </c>
      <c r="DP81" s="486">
        <v>0</v>
      </c>
      <c r="DQ81" s="486">
        <v>0</v>
      </c>
      <c r="DR81" s="486">
        <v>0</v>
      </c>
      <c r="DS81" s="486">
        <v>0</v>
      </c>
      <c r="DT81" s="486">
        <v>0</v>
      </c>
      <c r="DU81" s="486">
        <v>0</v>
      </c>
      <c r="DV81" s="486">
        <v>0</v>
      </c>
      <c r="DW81" s="486">
        <v>0</v>
      </c>
      <c r="DX81" s="477"/>
      <c r="DY81" s="484" t="s">
        <v>720</v>
      </c>
      <c r="DZ81" s="484" t="s">
        <v>617</v>
      </c>
      <c r="EA81" s="484" t="s">
        <v>26</v>
      </c>
      <c r="EB81" s="486">
        <v>46</v>
      </c>
      <c r="EC81" s="471" t="str">
        <f t="shared" si="0"/>
        <v>AIJ100246</v>
      </c>
      <c r="ED81" s="486">
        <v>10000</v>
      </c>
      <c r="EE81" s="486">
        <v>10000</v>
      </c>
      <c r="EF81" s="486">
        <v>10000</v>
      </c>
      <c r="EG81" s="486">
        <v>10000</v>
      </c>
      <c r="EH81" s="486">
        <v>10000</v>
      </c>
      <c r="EI81" s="486">
        <v>10000</v>
      </c>
      <c r="EJ81" s="486">
        <v>10000</v>
      </c>
      <c r="EK81" s="486">
        <v>10000</v>
      </c>
      <c r="EL81" s="486">
        <v>10000</v>
      </c>
      <c r="EM81" s="486">
        <v>10000</v>
      </c>
      <c r="EN81" s="486">
        <v>0</v>
      </c>
      <c r="EO81" s="486">
        <v>0</v>
      </c>
      <c r="EP81" s="486">
        <v>0</v>
      </c>
      <c r="EQ81" s="486">
        <v>0</v>
      </c>
      <c r="ER81" s="486">
        <v>0</v>
      </c>
      <c r="ES81" s="486">
        <v>0</v>
      </c>
      <c r="ET81" s="486">
        <v>0</v>
      </c>
      <c r="EU81" s="486">
        <v>0</v>
      </c>
      <c r="EV81" s="486">
        <v>0</v>
      </c>
      <c r="EW81" s="486">
        <v>0</v>
      </c>
      <c r="EX81" s="486">
        <v>0</v>
      </c>
      <c r="EY81" s="486">
        <v>0</v>
      </c>
      <c r="EZ81" s="486">
        <v>0</v>
      </c>
      <c r="FA81" s="486">
        <v>0</v>
      </c>
      <c r="FB81" s="486">
        <v>0</v>
      </c>
      <c r="FC81" s="486">
        <v>0</v>
      </c>
      <c r="FD81" s="486">
        <v>0</v>
      </c>
      <c r="FE81" s="486">
        <v>0</v>
      </c>
      <c r="FF81" s="486">
        <v>0</v>
      </c>
      <c r="FG81" s="486">
        <v>0</v>
      </c>
      <c r="FH81" s="486">
        <v>0</v>
      </c>
      <c r="FI81" s="486">
        <v>0</v>
      </c>
      <c r="FJ81" s="486">
        <v>0</v>
      </c>
      <c r="FK81" s="486">
        <v>0</v>
      </c>
      <c r="FL81" s="486">
        <v>0</v>
      </c>
      <c r="FM81" s="486">
        <v>0</v>
      </c>
      <c r="FN81" s="486">
        <v>0</v>
      </c>
      <c r="FO81" s="486">
        <v>0</v>
      </c>
      <c r="FP81" s="486">
        <v>0</v>
      </c>
      <c r="FQ81" s="486">
        <v>0</v>
      </c>
      <c r="FR81" s="486">
        <v>0</v>
      </c>
      <c r="FS81" s="486">
        <v>0</v>
      </c>
      <c r="FT81" s="486">
        <v>0</v>
      </c>
      <c r="FU81" s="486">
        <v>0</v>
      </c>
      <c r="FV81" s="486">
        <v>0</v>
      </c>
      <c r="FW81" s="486">
        <v>0</v>
      </c>
      <c r="FX81" s="486">
        <v>0</v>
      </c>
      <c r="FY81" s="486">
        <v>0</v>
      </c>
      <c r="FZ81" s="486">
        <v>0</v>
      </c>
      <c r="GA81" s="486">
        <v>0</v>
      </c>
      <c r="GB81" s="486">
        <v>0</v>
      </c>
      <c r="GC81" s="486">
        <v>0</v>
      </c>
      <c r="GD81" s="486">
        <v>0</v>
      </c>
      <c r="GE81" s="486">
        <v>0</v>
      </c>
      <c r="GF81" s="486">
        <v>0</v>
      </c>
      <c r="GG81" s="486">
        <v>0</v>
      </c>
      <c r="GH81" s="486">
        <v>0</v>
      </c>
      <c r="GI81" s="486">
        <v>0</v>
      </c>
      <c r="GJ81" s="486">
        <v>0</v>
      </c>
      <c r="GK81" s="486">
        <v>0</v>
      </c>
      <c r="GL81" s="486">
        <v>0</v>
      </c>
      <c r="GM81" s="486">
        <v>0</v>
      </c>
      <c r="GN81" s="486">
        <v>0</v>
      </c>
      <c r="GO81" s="486">
        <v>0</v>
      </c>
      <c r="GP81" s="486">
        <v>0</v>
      </c>
      <c r="GQ81" s="486">
        <v>0</v>
      </c>
      <c r="GR81" s="486">
        <v>0</v>
      </c>
      <c r="GS81" s="486">
        <v>0</v>
      </c>
      <c r="GT81" s="486">
        <v>0</v>
      </c>
      <c r="GU81" s="486">
        <v>0</v>
      </c>
      <c r="GV81" s="486">
        <v>0</v>
      </c>
      <c r="GW81" s="486">
        <v>0</v>
      </c>
      <c r="GX81" s="486">
        <v>0</v>
      </c>
      <c r="GY81" s="486">
        <v>0</v>
      </c>
      <c r="GZ81" s="486">
        <v>0</v>
      </c>
      <c r="HA81" s="486">
        <v>0</v>
      </c>
      <c r="HB81" s="486">
        <v>0</v>
      </c>
      <c r="HC81" s="486">
        <v>0</v>
      </c>
      <c r="HD81" s="486">
        <v>0</v>
      </c>
      <c r="HE81" s="486">
        <v>0</v>
      </c>
      <c r="HF81" s="486">
        <v>0</v>
      </c>
      <c r="HG81" s="486">
        <v>0</v>
      </c>
      <c r="HH81" s="486">
        <v>0</v>
      </c>
      <c r="HI81" s="486">
        <v>0</v>
      </c>
      <c r="HJ81" s="486">
        <v>0</v>
      </c>
      <c r="HK81" s="486">
        <v>0</v>
      </c>
      <c r="HL81" s="486">
        <v>0</v>
      </c>
      <c r="HM81" s="486">
        <v>0</v>
      </c>
      <c r="HN81" s="486">
        <v>0</v>
      </c>
      <c r="HO81" s="486">
        <v>0</v>
      </c>
      <c r="HP81" s="486">
        <v>0</v>
      </c>
      <c r="HQ81" s="486">
        <v>0</v>
      </c>
      <c r="HR81" s="486">
        <v>0</v>
      </c>
      <c r="HS81" s="486">
        <v>0</v>
      </c>
      <c r="HT81" s="486">
        <v>0</v>
      </c>
      <c r="HU81" s="486">
        <v>0</v>
      </c>
      <c r="HV81" s="486">
        <v>0</v>
      </c>
      <c r="HW81" s="486">
        <v>0</v>
      </c>
      <c r="HX81" s="486">
        <v>0</v>
      </c>
      <c r="HY81" s="486">
        <v>0</v>
      </c>
      <c r="HZ81" s="486">
        <v>0</v>
      </c>
      <c r="IA81" s="486">
        <v>0</v>
      </c>
      <c r="IB81" s="486">
        <v>0</v>
      </c>
      <c r="IC81" s="486">
        <v>0</v>
      </c>
      <c r="ID81" s="486">
        <v>0</v>
      </c>
      <c r="IE81" s="486">
        <v>0</v>
      </c>
      <c r="IF81" s="486">
        <v>0</v>
      </c>
      <c r="IG81" s="486">
        <v>0</v>
      </c>
      <c r="IH81" s="486">
        <v>0</v>
      </c>
      <c r="II81" s="486">
        <v>0</v>
      </c>
      <c r="IJ81" s="486">
        <v>0</v>
      </c>
    </row>
    <row r="82" spans="1:244" ht="16.5" hidden="1">
      <c r="A82" s="484" t="s">
        <v>720</v>
      </c>
      <c r="B82" s="484" t="s">
        <v>617</v>
      </c>
      <c r="C82" s="484" t="s">
        <v>721</v>
      </c>
      <c r="D82" s="485"/>
      <c r="E82" s="484" t="s">
        <v>721</v>
      </c>
      <c r="F82" s="484" t="s">
        <v>25</v>
      </c>
      <c r="G82" s="485"/>
      <c r="H82" s="486">
        <v>31</v>
      </c>
      <c r="I82" s="471" t="str">
        <f t="shared" si="3"/>
        <v>AIJ100131</v>
      </c>
      <c r="J82" s="486">
        <v>69</v>
      </c>
      <c r="L82" s="484" t="s">
        <v>720</v>
      </c>
      <c r="M82" s="484" t="s">
        <v>617</v>
      </c>
      <c r="N82" s="484" t="s">
        <v>26</v>
      </c>
      <c r="O82" s="486">
        <v>47</v>
      </c>
      <c r="P82" s="471" t="str">
        <f t="shared" si="4"/>
        <v>AIJ100247</v>
      </c>
      <c r="Q82" s="486">
        <v>0</v>
      </c>
      <c r="R82" s="486">
        <v>12</v>
      </c>
      <c r="S82" s="486">
        <v>23</v>
      </c>
      <c r="T82" s="486">
        <v>32</v>
      </c>
      <c r="U82" s="486">
        <v>43</v>
      </c>
      <c r="V82" s="486">
        <v>50</v>
      </c>
      <c r="W82" s="486">
        <v>60</v>
      </c>
      <c r="X82" s="486">
        <v>68</v>
      </c>
      <c r="Y82" s="486">
        <v>70</v>
      </c>
      <c r="Z82" s="486">
        <v>0</v>
      </c>
      <c r="AA82" s="486">
        <v>0</v>
      </c>
      <c r="AB82" s="486">
        <v>0</v>
      </c>
      <c r="AC82" s="486">
        <v>0</v>
      </c>
      <c r="AD82" s="486">
        <v>0</v>
      </c>
      <c r="AE82" s="486">
        <v>0</v>
      </c>
      <c r="AF82" s="486">
        <v>0</v>
      </c>
      <c r="AG82" s="486">
        <v>0</v>
      </c>
      <c r="AH82" s="486">
        <v>0</v>
      </c>
      <c r="AI82" s="486">
        <v>0</v>
      </c>
      <c r="AJ82" s="486">
        <v>0</v>
      </c>
      <c r="AK82" s="486">
        <v>0</v>
      </c>
      <c r="AL82" s="486">
        <v>0</v>
      </c>
      <c r="AM82" s="486">
        <v>0</v>
      </c>
      <c r="AN82" s="486">
        <v>0</v>
      </c>
      <c r="AO82" s="486">
        <v>0</v>
      </c>
      <c r="AP82" s="486">
        <v>0</v>
      </c>
      <c r="AQ82" s="486">
        <v>0</v>
      </c>
      <c r="AR82" s="486">
        <v>0</v>
      </c>
      <c r="AS82" s="486">
        <v>0</v>
      </c>
      <c r="AT82" s="486">
        <v>0</v>
      </c>
      <c r="AU82" s="486">
        <v>0</v>
      </c>
      <c r="AV82" s="486">
        <v>0</v>
      </c>
      <c r="AW82" s="486">
        <v>0</v>
      </c>
      <c r="AX82" s="486">
        <v>0</v>
      </c>
      <c r="AY82" s="486">
        <v>0</v>
      </c>
      <c r="AZ82" s="486">
        <v>0</v>
      </c>
      <c r="BA82" s="486">
        <v>0</v>
      </c>
      <c r="BB82" s="486">
        <v>0</v>
      </c>
      <c r="BC82" s="486">
        <v>0</v>
      </c>
      <c r="BD82" s="486">
        <v>0</v>
      </c>
      <c r="BE82" s="486">
        <v>0</v>
      </c>
      <c r="BF82" s="486">
        <v>0</v>
      </c>
      <c r="BG82" s="486">
        <v>0</v>
      </c>
      <c r="BH82" s="486">
        <v>0</v>
      </c>
      <c r="BI82" s="486">
        <v>0</v>
      </c>
      <c r="BJ82" s="486">
        <v>0</v>
      </c>
      <c r="BK82" s="486">
        <v>0</v>
      </c>
      <c r="BL82" s="486">
        <v>0</v>
      </c>
      <c r="BM82" s="486">
        <v>0</v>
      </c>
      <c r="BN82" s="486">
        <v>0</v>
      </c>
      <c r="BO82" s="486">
        <v>0</v>
      </c>
      <c r="BP82" s="486">
        <v>0</v>
      </c>
      <c r="BQ82" s="486">
        <v>0</v>
      </c>
      <c r="BR82" s="486">
        <v>0</v>
      </c>
      <c r="BS82" s="486">
        <v>0</v>
      </c>
      <c r="BT82" s="486">
        <v>0</v>
      </c>
      <c r="BU82" s="486">
        <v>0</v>
      </c>
      <c r="BV82" s="486">
        <v>0</v>
      </c>
      <c r="BW82" s="486">
        <v>0</v>
      </c>
      <c r="BX82" s="486">
        <v>0</v>
      </c>
      <c r="BY82" s="486">
        <v>0</v>
      </c>
      <c r="BZ82" s="486">
        <v>0</v>
      </c>
      <c r="CA82" s="486">
        <v>0</v>
      </c>
      <c r="CB82" s="486">
        <v>0</v>
      </c>
      <c r="CC82" s="486">
        <v>0</v>
      </c>
      <c r="CD82" s="486">
        <v>0</v>
      </c>
      <c r="CE82" s="486">
        <v>0</v>
      </c>
      <c r="CF82" s="486">
        <v>0</v>
      </c>
      <c r="CG82" s="486">
        <v>0</v>
      </c>
      <c r="CH82" s="486">
        <v>0</v>
      </c>
      <c r="CI82" s="486">
        <v>0</v>
      </c>
      <c r="CJ82" s="486">
        <v>0</v>
      </c>
      <c r="CK82" s="486">
        <v>0</v>
      </c>
      <c r="CL82" s="486">
        <v>0</v>
      </c>
      <c r="CM82" s="486">
        <v>0</v>
      </c>
      <c r="CN82" s="486">
        <v>0</v>
      </c>
      <c r="CO82" s="486">
        <v>0</v>
      </c>
      <c r="CP82" s="486">
        <v>0</v>
      </c>
      <c r="CQ82" s="486">
        <v>0</v>
      </c>
      <c r="CR82" s="486">
        <v>0</v>
      </c>
      <c r="CS82" s="486">
        <v>0</v>
      </c>
      <c r="CT82" s="486">
        <v>0</v>
      </c>
      <c r="CU82" s="486">
        <v>0</v>
      </c>
      <c r="CV82" s="486">
        <v>0</v>
      </c>
      <c r="CW82" s="486">
        <v>0</v>
      </c>
      <c r="CX82" s="486">
        <v>0</v>
      </c>
      <c r="CY82" s="486">
        <v>0</v>
      </c>
      <c r="CZ82" s="486">
        <v>0</v>
      </c>
      <c r="DA82" s="486">
        <v>0</v>
      </c>
      <c r="DB82" s="486">
        <v>0</v>
      </c>
      <c r="DC82" s="486">
        <v>0</v>
      </c>
      <c r="DD82" s="486">
        <v>0</v>
      </c>
      <c r="DE82" s="486">
        <v>0</v>
      </c>
      <c r="DF82" s="486">
        <v>0</v>
      </c>
      <c r="DG82" s="486">
        <v>0</v>
      </c>
      <c r="DH82" s="486">
        <v>0</v>
      </c>
      <c r="DI82" s="486">
        <v>0</v>
      </c>
      <c r="DJ82" s="486">
        <v>0</v>
      </c>
      <c r="DK82" s="486">
        <v>0</v>
      </c>
      <c r="DL82" s="486">
        <v>0</v>
      </c>
      <c r="DM82" s="486">
        <v>0</v>
      </c>
      <c r="DN82" s="486">
        <v>0</v>
      </c>
      <c r="DO82" s="486">
        <v>0</v>
      </c>
      <c r="DP82" s="486">
        <v>0</v>
      </c>
      <c r="DQ82" s="486">
        <v>0</v>
      </c>
      <c r="DR82" s="486">
        <v>0</v>
      </c>
      <c r="DS82" s="486">
        <v>0</v>
      </c>
      <c r="DT82" s="486">
        <v>0</v>
      </c>
      <c r="DU82" s="486">
        <v>0</v>
      </c>
      <c r="DV82" s="486">
        <v>0</v>
      </c>
      <c r="DW82" s="486">
        <v>0</v>
      </c>
      <c r="DX82" s="477"/>
      <c r="DY82" s="484" t="s">
        <v>720</v>
      </c>
      <c r="DZ82" s="484" t="s">
        <v>617</v>
      </c>
      <c r="EA82" s="484" t="s">
        <v>26</v>
      </c>
      <c r="EB82" s="486">
        <v>47</v>
      </c>
      <c r="EC82" s="471" t="str">
        <f t="shared" si="0"/>
        <v>AIJ100247</v>
      </c>
      <c r="ED82" s="486">
        <v>10000</v>
      </c>
      <c r="EE82" s="486">
        <v>10000</v>
      </c>
      <c r="EF82" s="486">
        <v>10000</v>
      </c>
      <c r="EG82" s="486">
        <v>10000</v>
      </c>
      <c r="EH82" s="486">
        <v>10000</v>
      </c>
      <c r="EI82" s="486">
        <v>10000</v>
      </c>
      <c r="EJ82" s="486">
        <v>10000</v>
      </c>
      <c r="EK82" s="486">
        <v>10000</v>
      </c>
      <c r="EL82" s="486">
        <v>10000</v>
      </c>
      <c r="EM82" s="486">
        <v>10000</v>
      </c>
      <c r="EN82" s="486">
        <v>0</v>
      </c>
      <c r="EO82" s="486">
        <v>0</v>
      </c>
      <c r="EP82" s="486">
        <v>0</v>
      </c>
      <c r="EQ82" s="486">
        <v>0</v>
      </c>
      <c r="ER82" s="486">
        <v>0</v>
      </c>
      <c r="ES82" s="486">
        <v>0</v>
      </c>
      <c r="ET82" s="486">
        <v>0</v>
      </c>
      <c r="EU82" s="486">
        <v>0</v>
      </c>
      <c r="EV82" s="486">
        <v>0</v>
      </c>
      <c r="EW82" s="486">
        <v>0</v>
      </c>
      <c r="EX82" s="486">
        <v>0</v>
      </c>
      <c r="EY82" s="486">
        <v>0</v>
      </c>
      <c r="EZ82" s="486">
        <v>0</v>
      </c>
      <c r="FA82" s="486">
        <v>0</v>
      </c>
      <c r="FB82" s="486">
        <v>0</v>
      </c>
      <c r="FC82" s="486">
        <v>0</v>
      </c>
      <c r="FD82" s="486">
        <v>0</v>
      </c>
      <c r="FE82" s="486">
        <v>0</v>
      </c>
      <c r="FF82" s="486">
        <v>0</v>
      </c>
      <c r="FG82" s="486">
        <v>0</v>
      </c>
      <c r="FH82" s="486">
        <v>0</v>
      </c>
      <c r="FI82" s="486">
        <v>0</v>
      </c>
      <c r="FJ82" s="486">
        <v>0</v>
      </c>
      <c r="FK82" s="486">
        <v>0</v>
      </c>
      <c r="FL82" s="486">
        <v>0</v>
      </c>
      <c r="FM82" s="486">
        <v>0</v>
      </c>
      <c r="FN82" s="486">
        <v>0</v>
      </c>
      <c r="FO82" s="486">
        <v>0</v>
      </c>
      <c r="FP82" s="486">
        <v>0</v>
      </c>
      <c r="FQ82" s="486">
        <v>0</v>
      </c>
      <c r="FR82" s="486">
        <v>0</v>
      </c>
      <c r="FS82" s="486">
        <v>0</v>
      </c>
      <c r="FT82" s="486">
        <v>0</v>
      </c>
      <c r="FU82" s="486">
        <v>0</v>
      </c>
      <c r="FV82" s="486">
        <v>0</v>
      </c>
      <c r="FW82" s="486">
        <v>0</v>
      </c>
      <c r="FX82" s="486">
        <v>0</v>
      </c>
      <c r="FY82" s="486">
        <v>0</v>
      </c>
      <c r="FZ82" s="486">
        <v>0</v>
      </c>
      <c r="GA82" s="486">
        <v>0</v>
      </c>
      <c r="GB82" s="486">
        <v>0</v>
      </c>
      <c r="GC82" s="486">
        <v>0</v>
      </c>
      <c r="GD82" s="486">
        <v>0</v>
      </c>
      <c r="GE82" s="486">
        <v>0</v>
      </c>
      <c r="GF82" s="486">
        <v>0</v>
      </c>
      <c r="GG82" s="486">
        <v>0</v>
      </c>
      <c r="GH82" s="486">
        <v>0</v>
      </c>
      <c r="GI82" s="486">
        <v>0</v>
      </c>
      <c r="GJ82" s="486">
        <v>0</v>
      </c>
      <c r="GK82" s="486">
        <v>0</v>
      </c>
      <c r="GL82" s="486">
        <v>0</v>
      </c>
      <c r="GM82" s="486">
        <v>0</v>
      </c>
      <c r="GN82" s="486">
        <v>0</v>
      </c>
      <c r="GO82" s="486">
        <v>0</v>
      </c>
      <c r="GP82" s="486">
        <v>0</v>
      </c>
      <c r="GQ82" s="486">
        <v>0</v>
      </c>
      <c r="GR82" s="486">
        <v>0</v>
      </c>
      <c r="GS82" s="486">
        <v>0</v>
      </c>
      <c r="GT82" s="486">
        <v>0</v>
      </c>
      <c r="GU82" s="486">
        <v>0</v>
      </c>
      <c r="GV82" s="486">
        <v>0</v>
      </c>
      <c r="GW82" s="486">
        <v>0</v>
      </c>
      <c r="GX82" s="486">
        <v>0</v>
      </c>
      <c r="GY82" s="486">
        <v>0</v>
      </c>
      <c r="GZ82" s="486">
        <v>0</v>
      </c>
      <c r="HA82" s="486">
        <v>0</v>
      </c>
      <c r="HB82" s="486">
        <v>0</v>
      </c>
      <c r="HC82" s="486">
        <v>0</v>
      </c>
      <c r="HD82" s="486">
        <v>0</v>
      </c>
      <c r="HE82" s="486">
        <v>0</v>
      </c>
      <c r="HF82" s="486">
        <v>0</v>
      </c>
      <c r="HG82" s="486">
        <v>0</v>
      </c>
      <c r="HH82" s="486">
        <v>0</v>
      </c>
      <c r="HI82" s="486">
        <v>0</v>
      </c>
      <c r="HJ82" s="486">
        <v>0</v>
      </c>
      <c r="HK82" s="486">
        <v>0</v>
      </c>
      <c r="HL82" s="486">
        <v>0</v>
      </c>
      <c r="HM82" s="486">
        <v>0</v>
      </c>
      <c r="HN82" s="486">
        <v>0</v>
      </c>
      <c r="HO82" s="486">
        <v>0</v>
      </c>
      <c r="HP82" s="486">
        <v>0</v>
      </c>
      <c r="HQ82" s="486">
        <v>0</v>
      </c>
      <c r="HR82" s="486">
        <v>0</v>
      </c>
      <c r="HS82" s="486">
        <v>0</v>
      </c>
      <c r="HT82" s="486">
        <v>0</v>
      </c>
      <c r="HU82" s="486">
        <v>0</v>
      </c>
      <c r="HV82" s="486">
        <v>0</v>
      </c>
      <c r="HW82" s="486">
        <v>0</v>
      </c>
      <c r="HX82" s="486">
        <v>0</v>
      </c>
      <c r="HY82" s="486">
        <v>0</v>
      </c>
      <c r="HZ82" s="486">
        <v>0</v>
      </c>
      <c r="IA82" s="486">
        <v>0</v>
      </c>
      <c r="IB82" s="486">
        <v>0</v>
      </c>
      <c r="IC82" s="486">
        <v>0</v>
      </c>
      <c r="ID82" s="486">
        <v>0</v>
      </c>
      <c r="IE82" s="486">
        <v>0</v>
      </c>
      <c r="IF82" s="486">
        <v>0</v>
      </c>
      <c r="IG82" s="486">
        <v>0</v>
      </c>
      <c r="IH82" s="486">
        <v>0</v>
      </c>
      <c r="II82" s="486">
        <v>0</v>
      </c>
      <c r="IJ82" s="486">
        <v>0</v>
      </c>
    </row>
    <row r="83" spans="1:244" ht="16.5" hidden="1">
      <c r="A83" s="484" t="s">
        <v>720</v>
      </c>
      <c r="B83" s="484" t="s">
        <v>617</v>
      </c>
      <c r="C83" s="484" t="s">
        <v>721</v>
      </c>
      <c r="D83" s="485"/>
      <c r="E83" s="484" t="s">
        <v>721</v>
      </c>
      <c r="F83" s="484" t="s">
        <v>25</v>
      </c>
      <c r="G83" s="485"/>
      <c r="H83" s="486">
        <v>32</v>
      </c>
      <c r="I83" s="471" t="str">
        <f t="shared" si="3"/>
        <v>AIJ100132</v>
      </c>
      <c r="J83" s="486">
        <v>71</v>
      </c>
      <c r="L83" s="484" t="s">
        <v>720</v>
      </c>
      <c r="M83" s="484" t="s">
        <v>617</v>
      </c>
      <c r="N83" s="484" t="s">
        <v>26</v>
      </c>
      <c r="O83" s="486">
        <v>48</v>
      </c>
      <c r="P83" s="471" t="str">
        <f t="shared" si="4"/>
        <v>AIJ100248</v>
      </c>
      <c r="Q83" s="486">
        <v>0</v>
      </c>
      <c r="R83" s="486">
        <v>13</v>
      </c>
      <c r="S83" s="486">
        <v>24</v>
      </c>
      <c r="T83" s="486">
        <v>35</v>
      </c>
      <c r="U83" s="486">
        <v>46</v>
      </c>
      <c r="V83" s="486">
        <v>54</v>
      </c>
      <c r="W83" s="486">
        <v>63</v>
      </c>
      <c r="X83" s="486">
        <v>72</v>
      </c>
      <c r="Y83" s="486">
        <v>76</v>
      </c>
      <c r="Z83" s="486">
        <v>0</v>
      </c>
      <c r="AA83" s="486">
        <v>0</v>
      </c>
      <c r="AB83" s="486">
        <v>0</v>
      </c>
      <c r="AC83" s="486">
        <v>0</v>
      </c>
      <c r="AD83" s="486">
        <v>0</v>
      </c>
      <c r="AE83" s="486">
        <v>0</v>
      </c>
      <c r="AF83" s="486">
        <v>0</v>
      </c>
      <c r="AG83" s="486">
        <v>0</v>
      </c>
      <c r="AH83" s="486">
        <v>0</v>
      </c>
      <c r="AI83" s="486">
        <v>0</v>
      </c>
      <c r="AJ83" s="486">
        <v>0</v>
      </c>
      <c r="AK83" s="486">
        <v>0</v>
      </c>
      <c r="AL83" s="486">
        <v>0</v>
      </c>
      <c r="AM83" s="486">
        <v>0</v>
      </c>
      <c r="AN83" s="486">
        <v>0</v>
      </c>
      <c r="AO83" s="486">
        <v>0</v>
      </c>
      <c r="AP83" s="486">
        <v>0</v>
      </c>
      <c r="AQ83" s="486">
        <v>0</v>
      </c>
      <c r="AR83" s="486">
        <v>0</v>
      </c>
      <c r="AS83" s="486">
        <v>0</v>
      </c>
      <c r="AT83" s="486">
        <v>0</v>
      </c>
      <c r="AU83" s="486">
        <v>0</v>
      </c>
      <c r="AV83" s="486">
        <v>0</v>
      </c>
      <c r="AW83" s="486">
        <v>0</v>
      </c>
      <c r="AX83" s="486">
        <v>0</v>
      </c>
      <c r="AY83" s="486">
        <v>0</v>
      </c>
      <c r="AZ83" s="486">
        <v>0</v>
      </c>
      <c r="BA83" s="486">
        <v>0</v>
      </c>
      <c r="BB83" s="486">
        <v>0</v>
      </c>
      <c r="BC83" s="486">
        <v>0</v>
      </c>
      <c r="BD83" s="486">
        <v>0</v>
      </c>
      <c r="BE83" s="486">
        <v>0</v>
      </c>
      <c r="BF83" s="486">
        <v>0</v>
      </c>
      <c r="BG83" s="486">
        <v>0</v>
      </c>
      <c r="BH83" s="486">
        <v>0</v>
      </c>
      <c r="BI83" s="486">
        <v>0</v>
      </c>
      <c r="BJ83" s="486">
        <v>0</v>
      </c>
      <c r="BK83" s="486">
        <v>0</v>
      </c>
      <c r="BL83" s="486">
        <v>0</v>
      </c>
      <c r="BM83" s="486">
        <v>0</v>
      </c>
      <c r="BN83" s="486">
        <v>0</v>
      </c>
      <c r="BO83" s="486">
        <v>0</v>
      </c>
      <c r="BP83" s="486">
        <v>0</v>
      </c>
      <c r="BQ83" s="486">
        <v>0</v>
      </c>
      <c r="BR83" s="486">
        <v>0</v>
      </c>
      <c r="BS83" s="486">
        <v>0</v>
      </c>
      <c r="BT83" s="486">
        <v>0</v>
      </c>
      <c r="BU83" s="486">
        <v>0</v>
      </c>
      <c r="BV83" s="486">
        <v>0</v>
      </c>
      <c r="BW83" s="486">
        <v>0</v>
      </c>
      <c r="BX83" s="486">
        <v>0</v>
      </c>
      <c r="BY83" s="486">
        <v>0</v>
      </c>
      <c r="BZ83" s="486">
        <v>0</v>
      </c>
      <c r="CA83" s="486">
        <v>0</v>
      </c>
      <c r="CB83" s="486">
        <v>0</v>
      </c>
      <c r="CC83" s="486">
        <v>0</v>
      </c>
      <c r="CD83" s="486">
        <v>0</v>
      </c>
      <c r="CE83" s="486">
        <v>0</v>
      </c>
      <c r="CF83" s="486">
        <v>0</v>
      </c>
      <c r="CG83" s="486">
        <v>0</v>
      </c>
      <c r="CH83" s="486">
        <v>0</v>
      </c>
      <c r="CI83" s="486">
        <v>0</v>
      </c>
      <c r="CJ83" s="486">
        <v>0</v>
      </c>
      <c r="CK83" s="486">
        <v>0</v>
      </c>
      <c r="CL83" s="486">
        <v>0</v>
      </c>
      <c r="CM83" s="486">
        <v>0</v>
      </c>
      <c r="CN83" s="486">
        <v>0</v>
      </c>
      <c r="CO83" s="486">
        <v>0</v>
      </c>
      <c r="CP83" s="486">
        <v>0</v>
      </c>
      <c r="CQ83" s="486">
        <v>0</v>
      </c>
      <c r="CR83" s="486">
        <v>0</v>
      </c>
      <c r="CS83" s="486">
        <v>0</v>
      </c>
      <c r="CT83" s="486">
        <v>0</v>
      </c>
      <c r="CU83" s="486">
        <v>0</v>
      </c>
      <c r="CV83" s="486">
        <v>0</v>
      </c>
      <c r="CW83" s="486">
        <v>0</v>
      </c>
      <c r="CX83" s="486">
        <v>0</v>
      </c>
      <c r="CY83" s="486">
        <v>0</v>
      </c>
      <c r="CZ83" s="486">
        <v>0</v>
      </c>
      <c r="DA83" s="486">
        <v>0</v>
      </c>
      <c r="DB83" s="486">
        <v>0</v>
      </c>
      <c r="DC83" s="486">
        <v>0</v>
      </c>
      <c r="DD83" s="486">
        <v>0</v>
      </c>
      <c r="DE83" s="486">
        <v>0</v>
      </c>
      <c r="DF83" s="486">
        <v>0</v>
      </c>
      <c r="DG83" s="486">
        <v>0</v>
      </c>
      <c r="DH83" s="486">
        <v>0</v>
      </c>
      <c r="DI83" s="486">
        <v>0</v>
      </c>
      <c r="DJ83" s="486">
        <v>0</v>
      </c>
      <c r="DK83" s="486">
        <v>0</v>
      </c>
      <c r="DL83" s="486">
        <v>0</v>
      </c>
      <c r="DM83" s="486">
        <v>0</v>
      </c>
      <c r="DN83" s="486">
        <v>0</v>
      </c>
      <c r="DO83" s="486">
        <v>0</v>
      </c>
      <c r="DP83" s="486">
        <v>0</v>
      </c>
      <c r="DQ83" s="486">
        <v>0</v>
      </c>
      <c r="DR83" s="486">
        <v>0</v>
      </c>
      <c r="DS83" s="486">
        <v>0</v>
      </c>
      <c r="DT83" s="486">
        <v>0</v>
      </c>
      <c r="DU83" s="486">
        <v>0</v>
      </c>
      <c r="DV83" s="486">
        <v>0</v>
      </c>
      <c r="DW83" s="486">
        <v>0</v>
      </c>
      <c r="DX83" s="477"/>
      <c r="DY83" s="484" t="s">
        <v>720</v>
      </c>
      <c r="DZ83" s="484" t="s">
        <v>617</v>
      </c>
      <c r="EA83" s="484" t="s">
        <v>26</v>
      </c>
      <c r="EB83" s="486">
        <v>48</v>
      </c>
      <c r="EC83" s="471" t="str">
        <f t="shared" si="0"/>
        <v>AIJ100248</v>
      </c>
      <c r="ED83" s="486">
        <v>10000</v>
      </c>
      <c r="EE83" s="486">
        <v>10000</v>
      </c>
      <c r="EF83" s="486">
        <v>10000</v>
      </c>
      <c r="EG83" s="486">
        <v>10000</v>
      </c>
      <c r="EH83" s="486">
        <v>10000</v>
      </c>
      <c r="EI83" s="486">
        <v>10000</v>
      </c>
      <c r="EJ83" s="486">
        <v>10000</v>
      </c>
      <c r="EK83" s="486">
        <v>10000</v>
      </c>
      <c r="EL83" s="486">
        <v>10000</v>
      </c>
      <c r="EM83" s="486">
        <v>10000</v>
      </c>
      <c r="EN83" s="486">
        <v>0</v>
      </c>
      <c r="EO83" s="486">
        <v>0</v>
      </c>
      <c r="EP83" s="486">
        <v>0</v>
      </c>
      <c r="EQ83" s="486">
        <v>0</v>
      </c>
      <c r="ER83" s="486">
        <v>0</v>
      </c>
      <c r="ES83" s="486">
        <v>0</v>
      </c>
      <c r="ET83" s="486">
        <v>0</v>
      </c>
      <c r="EU83" s="486">
        <v>0</v>
      </c>
      <c r="EV83" s="486">
        <v>0</v>
      </c>
      <c r="EW83" s="486">
        <v>0</v>
      </c>
      <c r="EX83" s="486">
        <v>0</v>
      </c>
      <c r="EY83" s="486">
        <v>0</v>
      </c>
      <c r="EZ83" s="486">
        <v>0</v>
      </c>
      <c r="FA83" s="486">
        <v>0</v>
      </c>
      <c r="FB83" s="486">
        <v>0</v>
      </c>
      <c r="FC83" s="486">
        <v>0</v>
      </c>
      <c r="FD83" s="486">
        <v>0</v>
      </c>
      <c r="FE83" s="486">
        <v>0</v>
      </c>
      <c r="FF83" s="486">
        <v>0</v>
      </c>
      <c r="FG83" s="486">
        <v>0</v>
      </c>
      <c r="FH83" s="486">
        <v>0</v>
      </c>
      <c r="FI83" s="486">
        <v>0</v>
      </c>
      <c r="FJ83" s="486">
        <v>0</v>
      </c>
      <c r="FK83" s="486">
        <v>0</v>
      </c>
      <c r="FL83" s="486">
        <v>0</v>
      </c>
      <c r="FM83" s="486">
        <v>0</v>
      </c>
      <c r="FN83" s="486">
        <v>0</v>
      </c>
      <c r="FO83" s="486">
        <v>0</v>
      </c>
      <c r="FP83" s="486">
        <v>0</v>
      </c>
      <c r="FQ83" s="486">
        <v>0</v>
      </c>
      <c r="FR83" s="486">
        <v>0</v>
      </c>
      <c r="FS83" s="486">
        <v>0</v>
      </c>
      <c r="FT83" s="486">
        <v>0</v>
      </c>
      <c r="FU83" s="486">
        <v>0</v>
      </c>
      <c r="FV83" s="486">
        <v>0</v>
      </c>
      <c r="FW83" s="486">
        <v>0</v>
      </c>
      <c r="FX83" s="486">
        <v>0</v>
      </c>
      <c r="FY83" s="486">
        <v>0</v>
      </c>
      <c r="FZ83" s="486">
        <v>0</v>
      </c>
      <c r="GA83" s="486">
        <v>0</v>
      </c>
      <c r="GB83" s="486">
        <v>0</v>
      </c>
      <c r="GC83" s="486">
        <v>0</v>
      </c>
      <c r="GD83" s="486">
        <v>0</v>
      </c>
      <c r="GE83" s="486">
        <v>0</v>
      </c>
      <c r="GF83" s="486">
        <v>0</v>
      </c>
      <c r="GG83" s="486">
        <v>0</v>
      </c>
      <c r="GH83" s="486">
        <v>0</v>
      </c>
      <c r="GI83" s="486">
        <v>0</v>
      </c>
      <c r="GJ83" s="486">
        <v>0</v>
      </c>
      <c r="GK83" s="486">
        <v>0</v>
      </c>
      <c r="GL83" s="486">
        <v>0</v>
      </c>
      <c r="GM83" s="486">
        <v>0</v>
      </c>
      <c r="GN83" s="486">
        <v>0</v>
      </c>
      <c r="GO83" s="486">
        <v>0</v>
      </c>
      <c r="GP83" s="486">
        <v>0</v>
      </c>
      <c r="GQ83" s="486">
        <v>0</v>
      </c>
      <c r="GR83" s="486">
        <v>0</v>
      </c>
      <c r="GS83" s="486">
        <v>0</v>
      </c>
      <c r="GT83" s="486">
        <v>0</v>
      </c>
      <c r="GU83" s="486">
        <v>0</v>
      </c>
      <c r="GV83" s="486">
        <v>0</v>
      </c>
      <c r="GW83" s="486">
        <v>0</v>
      </c>
      <c r="GX83" s="486">
        <v>0</v>
      </c>
      <c r="GY83" s="486">
        <v>0</v>
      </c>
      <c r="GZ83" s="486">
        <v>0</v>
      </c>
      <c r="HA83" s="486">
        <v>0</v>
      </c>
      <c r="HB83" s="486">
        <v>0</v>
      </c>
      <c r="HC83" s="486">
        <v>0</v>
      </c>
      <c r="HD83" s="486">
        <v>0</v>
      </c>
      <c r="HE83" s="486">
        <v>0</v>
      </c>
      <c r="HF83" s="486">
        <v>0</v>
      </c>
      <c r="HG83" s="486">
        <v>0</v>
      </c>
      <c r="HH83" s="486">
        <v>0</v>
      </c>
      <c r="HI83" s="486">
        <v>0</v>
      </c>
      <c r="HJ83" s="486">
        <v>0</v>
      </c>
      <c r="HK83" s="486">
        <v>0</v>
      </c>
      <c r="HL83" s="486">
        <v>0</v>
      </c>
      <c r="HM83" s="486">
        <v>0</v>
      </c>
      <c r="HN83" s="486">
        <v>0</v>
      </c>
      <c r="HO83" s="486">
        <v>0</v>
      </c>
      <c r="HP83" s="486">
        <v>0</v>
      </c>
      <c r="HQ83" s="486">
        <v>0</v>
      </c>
      <c r="HR83" s="486">
        <v>0</v>
      </c>
      <c r="HS83" s="486">
        <v>0</v>
      </c>
      <c r="HT83" s="486">
        <v>0</v>
      </c>
      <c r="HU83" s="486">
        <v>0</v>
      </c>
      <c r="HV83" s="486">
        <v>0</v>
      </c>
      <c r="HW83" s="486">
        <v>0</v>
      </c>
      <c r="HX83" s="486">
        <v>0</v>
      </c>
      <c r="HY83" s="486">
        <v>0</v>
      </c>
      <c r="HZ83" s="486">
        <v>0</v>
      </c>
      <c r="IA83" s="486">
        <v>0</v>
      </c>
      <c r="IB83" s="486">
        <v>0</v>
      </c>
      <c r="IC83" s="486">
        <v>0</v>
      </c>
      <c r="ID83" s="486">
        <v>0</v>
      </c>
      <c r="IE83" s="486">
        <v>0</v>
      </c>
      <c r="IF83" s="486">
        <v>0</v>
      </c>
      <c r="IG83" s="486">
        <v>0</v>
      </c>
      <c r="IH83" s="486">
        <v>0</v>
      </c>
      <c r="II83" s="486">
        <v>0</v>
      </c>
      <c r="IJ83" s="486">
        <v>0</v>
      </c>
    </row>
    <row r="84" spans="1:244" ht="16.5" hidden="1">
      <c r="A84" s="484" t="s">
        <v>720</v>
      </c>
      <c r="B84" s="484" t="s">
        <v>617</v>
      </c>
      <c r="C84" s="484" t="s">
        <v>721</v>
      </c>
      <c r="D84" s="485"/>
      <c r="E84" s="484" t="s">
        <v>721</v>
      </c>
      <c r="F84" s="484" t="s">
        <v>25</v>
      </c>
      <c r="G84" s="485"/>
      <c r="H84" s="486">
        <v>33</v>
      </c>
      <c r="I84" s="471" t="str">
        <f t="shared" si="3"/>
        <v>AIJ100133</v>
      </c>
      <c r="J84" s="486">
        <v>73</v>
      </c>
      <c r="L84" s="484" t="s">
        <v>720</v>
      </c>
      <c r="M84" s="484" t="s">
        <v>617</v>
      </c>
      <c r="N84" s="484" t="s">
        <v>26</v>
      </c>
      <c r="O84" s="486">
        <v>49</v>
      </c>
      <c r="P84" s="471" t="str">
        <f t="shared" si="4"/>
        <v>AIJ100249</v>
      </c>
      <c r="Q84" s="486">
        <v>0</v>
      </c>
      <c r="R84" s="486">
        <v>14</v>
      </c>
      <c r="S84" s="486">
        <v>26</v>
      </c>
      <c r="T84" s="486">
        <v>36</v>
      </c>
      <c r="U84" s="486">
        <v>49</v>
      </c>
      <c r="V84" s="486">
        <v>57</v>
      </c>
      <c r="W84" s="486">
        <v>68</v>
      </c>
      <c r="X84" s="486">
        <v>77</v>
      </c>
      <c r="Y84" s="486">
        <v>81</v>
      </c>
      <c r="Z84" s="486">
        <v>0</v>
      </c>
      <c r="AA84" s="486">
        <v>0</v>
      </c>
      <c r="AB84" s="486">
        <v>0</v>
      </c>
      <c r="AC84" s="486">
        <v>0</v>
      </c>
      <c r="AD84" s="486">
        <v>0</v>
      </c>
      <c r="AE84" s="486">
        <v>0</v>
      </c>
      <c r="AF84" s="486">
        <v>0</v>
      </c>
      <c r="AG84" s="486">
        <v>0</v>
      </c>
      <c r="AH84" s="486">
        <v>0</v>
      </c>
      <c r="AI84" s="486">
        <v>0</v>
      </c>
      <c r="AJ84" s="486">
        <v>0</v>
      </c>
      <c r="AK84" s="486">
        <v>0</v>
      </c>
      <c r="AL84" s="486">
        <v>0</v>
      </c>
      <c r="AM84" s="486">
        <v>0</v>
      </c>
      <c r="AN84" s="486">
        <v>0</v>
      </c>
      <c r="AO84" s="486">
        <v>0</v>
      </c>
      <c r="AP84" s="486">
        <v>0</v>
      </c>
      <c r="AQ84" s="486">
        <v>0</v>
      </c>
      <c r="AR84" s="486">
        <v>0</v>
      </c>
      <c r="AS84" s="486">
        <v>0</v>
      </c>
      <c r="AT84" s="486">
        <v>0</v>
      </c>
      <c r="AU84" s="486">
        <v>0</v>
      </c>
      <c r="AV84" s="486">
        <v>0</v>
      </c>
      <c r="AW84" s="486">
        <v>0</v>
      </c>
      <c r="AX84" s="486">
        <v>0</v>
      </c>
      <c r="AY84" s="486">
        <v>0</v>
      </c>
      <c r="AZ84" s="486">
        <v>0</v>
      </c>
      <c r="BA84" s="486">
        <v>0</v>
      </c>
      <c r="BB84" s="486">
        <v>0</v>
      </c>
      <c r="BC84" s="486">
        <v>0</v>
      </c>
      <c r="BD84" s="486">
        <v>0</v>
      </c>
      <c r="BE84" s="486">
        <v>0</v>
      </c>
      <c r="BF84" s="486">
        <v>0</v>
      </c>
      <c r="BG84" s="486">
        <v>0</v>
      </c>
      <c r="BH84" s="486">
        <v>0</v>
      </c>
      <c r="BI84" s="486">
        <v>0</v>
      </c>
      <c r="BJ84" s="486">
        <v>0</v>
      </c>
      <c r="BK84" s="486">
        <v>0</v>
      </c>
      <c r="BL84" s="486">
        <v>0</v>
      </c>
      <c r="BM84" s="486">
        <v>0</v>
      </c>
      <c r="BN84" s="486">
        <v>0</v>
      </c>
      <c r="BO84" s="486">
        <v>0</v>
      </c>
      <c r="BP84" s="486">
        <v>0</v>
      </c>
      <c r="BQ84" s="486">
        <v>0</v>
      </c>
      <c r="BR84" s="486">
        <v>0</v>
      </c>
      <c r="BS84" s="486">
        <v>0</v>
      </c>
      <c r="BT84" s="486">
        <v>0</v>
      </c>
      <c r="BU84" s="486">
        <v>0</v>
      </c>
      <c r="BV84" s="486">
        <v>0</v>
      </c>
      <c r="BW84" s="486">
        <v>0</v>
      </c>
      <c r="BX84" s="486">
        <v>0</v>
      </c>
      <c r="BY84" s="486">
        <v>0</v>
      </c>
      <c r="BZ84" s="486">
        <v>0</v>
      </c>
      <c r="CA84" s="486">
        <v>0</v>
      </c>
      <c r="CB84" s="486">
        <v>0</v>
      </c>
      <c r="CC84" s="486">
        <v>0</v>
      </c>
      <c r="CD84" s="486">
        <v>0</v>
      </c>
      <c r="CE84" s="486">
        <v>0</v>
      </c>
      <c r="CF84" s="486">
        <v>0</v>
      </c>
      <c r="CG84" s="486">
        <v>0</v>
      </c>
      <c r="CH84" s="486">
        <v>0</v>
      </c>
      <c r="CI84" s="486">
        <v>0</v>
      </c>
      <c r="CJ84" s="486">
        <v>0</v>
      </c>
      <c r="CK84" s="486">
        <v>0</v>
      </c>
      <c r="CL84" s="486">
        <v>0</v>
      </c>
      <c r="CM84" s="486">
        <v>0</v>
      </c>
      <c r="CN84" s="486">
        <v>0</v>
      </c>
      <c r="CO84" s="486">
        <v>0</v>
      </c>
      <c r="CP84" s="486">
        <v>0</v>
      </c>
      <c r="CQ84" s="486">
        <v>0</v>
      </c>
      <c r="CR84" s="486">
        <v>0</v>
      </c>
      <c r="CS84" s="486">
        <v>0</v>
      </c>
      <c r="CT84" s="486">
        <v>0</v>
      </c>
      <c r="CU84" s="486">
        <v>0</v>
      </c>
      <c r="CV84" s="486">
        <v>0</v>
      </c>
      <c r="CW84" s="486">
        <v>0</v>
      </c>
      <c r="CX84" s="486">
        <v>0</v>
      </c>
      <c r="CY84" s="486">
        <v>0</v>
      </c>
      <c r="CZ84" s="486">
        <v>0</v>
      </c>
      <c r="DA84" s="486">
        <v>0</v>
      </c>
      <c r="DB84" s="486">
        <v>0</v>
      </c>
      <c r="DC84" s="486">
        <v>0</v>
      </c>
      <c r="DD84" s="486">
        <v>0</v>
      </c>
      <c r="DE84" s="486">
        <v>0</v>
      </c>
      <c r="DF84" s="486">
        <v>0</v>
      </c>
      <c r="DG84" s="486">
        <v>0</v>
      </c>
      <c r="DH84" s="486">
        <v>0</v>
      </c>
      <c r="DI84" s="486">
        <v>0</v>
      </c>
      <c r="DJ84" s="486">
        <v>0</v>
      </c>
      <c r="DK84" s="486">
        <v>0</v>
      </c>
      <c r="DL84" s="486">
        <v>0</v>
      </c>
      <c r="DM84" s="486">
        <v>0</v>
      </c>
      <c r="DN84" s="486">
        <v>0</v>
      </c>
      <c r="DO84" s="486">
        <v>0</v>
      </c>
      <c r="DP84" s="486">
        <v>0</v>
      </c>
      <c r="DQ84" s="486">
        <v>0</v>
      </c>
      <c r="DR84" s="486">
        <v>0</v>
      </c>
      <c r="DS84" s="486">
        <v>0</v>
      </c>
      <c r="DT84" s="486">
        <v>0</v>
      </c>
      <c r="DU84" s="486">
        <v>0</v>
      </c>
      <c r="DV84" s="486">
        <v>0</v>
      </c>
      <c r="DW84" s="486">
        <v>0</v>
      </c>
      <c r="DX84" s="477"/>
      <c r="DY84" s="484" t="s">
        <v>720</v>
      </c>
      <c r="DZ84" s="484" t="s">
        <v>617</v>
      </c>
      <c r="EA84" s="484" t="s">
        <v>26</v>
      </c>
      <c r="EB84" s="486">
        <v>49</v>
      </c>
      <c r="EC84" s="471" t="str">
        <f t="shared" si="0"/>
        <v>AIJ100249</v>
      </c>
      <c r="ED84" s="486">
        <v>10000</v>
      </c>
      <c r="EE84" s="486">
        <v>10000</v>
      </c>
      <c r="EF84" s="486">
        <v>10000</v>
      </c>
      <c r="EG84" s="486">
        <v>10000</v>
      </c>
      <c r="EH84" s="486">
        <v>10000</v>
      </c>
      <c r="EI84" s="486">
        <v>10000</v>
      </c>
      <c r="EJ84" s="486">
        <v>10000</v>
      </c>
      <c r="EK84" s="486">
        <v>10000</v>
      </c>
      <c r="EL84" s="486">
        <v>10000</v>
      </c>
      <c r="EM84" s="486">
        <v>10000</v>
      </c>
      <c r="EN84" s="486">
        <v>0</v>
      </c>
      <c r="EO84" s="486">
        <v>0</v>
      </c>
      <c r="EP84" s="486">
        <v>0</v>
      </c>
      <c r="EQ84" s="486">
        <v>0</v>
      </c>
      <c r="ER84" s="486">
        <v>0</v>
      </c>
      <c r="ES84" s="486">
        <v>0</v>
      </c>
      <c r="ET84" s="486">
        <v>0</v>
      </c>
      <c r="EU84" s="486">
        <v>0</v>
      </c>
      <c r="EV84" s="486">
        <v>0</v>
      </c>
      <c r="EW84" s="486">
        <v>0</v>
      </c>
      <c r="EX84" s="486">
        <v>0</v>
      </c>
      <c r="EY84" s="486">
        <v>0</v>
      </c>
      <c r="EZ84" s="486">
        <v>0</v>
      </c>
      <c r="FA84" s="486">
        <v>0</v>
      </c>
      <c r="FB84" s="486">
        <v>0</v>
      </c>
      <c r="FC84" s="486">
        <v>0</v>
      </c>
      <c r="FD84" s="486">
        <v>0</v>
      </c>
      <c r="FE84" s="486">
        <v>0</v>
      </c>
      <c r="FF84" s="486">
        <v>0</v>
      </c>
      <c r="FG84" s="486">
        <v>0</v>
      </c>
      <c r="FH84" s="486">
        <v>0</v>
      </c>
      <c r="FI84" s="486">
        <v>0</v>
      </c>
      <c r="FJ84" s="486">
        <v>0</v>
      </c>
      <c r="FK84" s="486">
        <v>0</v>
      </c>
      <c r="FL84" s="486">
        <v>0</v>
      </c>
      <c r="FM84" s="486">
        <v>0</v>
      </c>
      <c r="FN84" s="486">
        <v>0</v>
      </c>
      <c r="FO84" s="486">
        <v>0</v>
      </c>
      <c r="FP84" s="486">
        <v>0</v>
      </c>
      <c r="FQ84" s="486">
        <v>0</v>
      </c>
      <c r="FR84" s="486">
        <v>0</v>
      </c>
      <c r="FS84" s="486">
        <v>0</v>
      </c>
      <c r="FT84" s="486">
        <v>0</v>
      </c>
      <c r="FU84" s="486">
        <v>0</v>
      </c>
      <c r="FV84" s="486">
        <v>0</v>
      </c>
      <c r="FW84" s="486">
        <v>0</v>
      </c>
      <c r="FX84" s="486">
        <v>0</v>
      </c>
      <c r="FY84" s="486">
        <v>0</v>
      </c>
      <c r="FZ84" s="486">
        <v>0</v>
      </c>
      <c r="GA84" s="486">
        <v>0</v>
      </c>
      <c r="GB84" s="486">
        <v>0</v>
      </c>
      <c r="GC84" s="486">
        <v>0</v>
      </c>
      <c r="GD84" s="486">
        <v>0</v>
      </c>
      <c r="GE84" s="486">
        <v>0</v>
      </c>
      <c r="GF84" s="486">
        <v>0</v>
      </c>
      <c r="GG84" s="486">
        <v>0</v>
      </c>
      <c r="GH84" s="486">
        <v>0</v>
      </c>
      <c r="GI84" s="486">
        <v>0</v>
      </c>
      <c r="GJ84" s="486">
        <v>0</v>
      </c>
      <c r="GK84" s="486">
        <v>0</v>
      </c>
      <c r="GL84" s="486">
        <v>0</v>
      </c>
      <c r="GM84" s="486">
        <v>0</v>
      </c>
      <c r="GN84" s="486">
        <v>0</v>
      </c>
      <c r="GO84" s="486">
        <v>0</v>
      </c>
      <c r="GP84" s="486">
        <v>0</v>
      </c>
      <c r="GQ84" s="486">
        <v>0</v>
      </c>
      <c r="GR84" s="486">
        <v>0</v>
      </c>
      <c r="GS84" s="486">
        <v>0</v>
      </c>
      <c r="GT84" s="486">
        <v>0</v>
      </c>
      <c r="GU84" s="486">
        <v>0</v>
      </c>
      <c r="GV84" s="486">
        <v>0</v>
      </c>
      <c r="GW84" s="486">
        <v>0</v>
      </c>
      <c r="GX84" s="486">
        <v>0</v>
      </c>
      <c r="GY84" s="486">
        <v>0</v>
      </c>
      <c r="GZ84" s="486">
        <v>0</v>
      </c>
      <c r="HA84" s="486">
        <v>0</v>
      </c>
      <c r="HB84" s="486">
        <v>0</v>
      </c>
      <c r="HC84" s="486">
        <v>0</v>
      </c>
      <c r="HD84" s="486">
        <v>0</v>
      </c>
      <c r="HE84" s="486">
        <v>0</v>
      </c>
      <c r="HF84" s="486">
        <v>0</v>
      </c>
      <c r="HG84" s="486">
        <v>0</v>
      </c>
      <c r="HH84" s="486">
        <v>0</v>
      </c>
      <c r="HI84" s="486">
        <v>0</v>
      </c>
      <c r="HJ84" s="486">
        <v>0</v>
      </c>
      <c r="HK84" s="486">
        <v>0</v>
      </c>
      <c r="HL84" s="486">
        <v>0</v>
      </c>
      <c r="HM84" s="486">
        <v>0</v>
      </c>
      <c r="HN84" s="486">
        <v>0</v>
      </c>
      <c r="HO84" s="486">
        <v>0</v>
      </c>
      <c r="HP84" s="486">
        <v>0</v>
      </c>
      <c r="HQ84" s="486">
        <v>0</v>
      </c>
      <c r="HR84" s="486">
        <v>0</v>
      </c>
      <c r="HS84" s="486">
        <v>0</v>
      </c>
      <c r="HT84" s="486">
        <v>0</v>
      </c>
      <c r="HU84" s="486">
        <v>0</v>
      </c>
      <c r="HV84" s="486">
        <v>0</v>
      </c>
      <c r="HW84" s="486">
        <v>0</v>
      </c>
      <c r="HX84" s="486">
        <v>0</v>
      </c>
      <c r="HY84" s="486">
        <v>0</v>
      </c>
      <c r="HZ84" s="486">
        <v>0</v>
      </c>
      <c r="IA84" s="486">
        <v>0</v>
      </c>
      <c r="IB84" s="486">
        <v>0</v>
      </c>
      <c r="IC84" s="486">
        <v>0</v>
      </c>
      <c r="ID84" s="486">
        <v>0</v>
      </c>
      <c r="IE84" s="486">
        <v>0</v>
      </c>
      <c r="IF84" s="486">
        <v>0</v>
      </c>
      <c r="IG84" s="486">
        <v>0</v>
      </c>
      <c r="IH84" s="486">
        <v>0</v>
      </c>
      <c r="II84" s="486">
        <v>0</v>
      </c>
      <c r="IJ84" s="486">
        <v>0</v>
      </c>
    </row>
    <row r="85" spans="1:244" ht="16.5" hidden="1">
      <c r="A85" s="484" t="s">
        <v>720</v>
      </c>
      <c r="B85" s="484" t="s">
        <v>617</v>
      </c>
      <c r="C85" s="484" t="s">
        <v>721</v>
      </c>
      <c r="D85" s="485"/>
      <c r="E85" s="484" t="s">
        <v>721</v>
      </c>
      <c r="F85" s="484" t="s">
        <v>25</v>
      </c>
      <c r="G85" s="485"/>
      <c r="H85" s="486">
        <v>34</v>
      </c>
      <c r="I85" s="471" t="str">
        <f t="shared" si="3"/>
        <v>AIJ100134</v>
      </c>
      <c r="J85" s="486">
        <v>75</v>
      </c>
      <c r="L85" s="484" t="s">
        <v>720</v>
      </c>
      <c r="M85" s="484" t="s">
        <v>617</v>
      </c>
      <c r="N85" s="484" t="s">
        <v>26</v>
      </c>
      <c r="O85" s="486">
        <v>50</v>
      </c>
      <c r="P85" s="471" t="str">
        <f t="shared" si="4"/>
        <v>AIJ100250</v>
      </c>
      <c r="Q85" s="486">
        <v>0</v>
      </c>
      <c r="R85" s="486">
        <v>14</v>
      </c>
      <c r="S85" s="486">
        <v>27</v>
      </c>
      <c r="T85" s="486">
        <v>39</v>
      </c>
      <c r="U85" s="486">
        <v>53</v>
      </c>
      <c r="V85" s="486">
        <v>62</v>
      </c>
      <c r="W85" s="486">
        <v>74</v>
      </c>
      <c r="X85" s="486">
        <v>85</v>
      </c>
      <c r="Y85" s="486">
        <v>86</v>
      </c>
      <c r="Z85" s="486">
        <v>0</v>
      </c>
      <c r="AA85" s="486">
        <v>0</v>
      </c>
      <c r="AB85" s="486">
        <v>0</v>
      </c>
      <c r="AC85" s="486">
        <v>0</v>
      </c>
      <c r="AD85" s="486">
        <v>0</v>
      </c>
      <c r="AE85" s="486">
        <v>0</v>
      </c>
      <c r="AF85" s="486">
        <v>0</v>
      </c>
      <c r="AG85" s="486">
        <v>0</v>
      </c>
      <c r="AH85" s="486">
        <v>0</v>
      </c>
      <c r="AI85" s="486">
        <v>0</v>
      </c>
      <c r="AJ85" s="486">
        <v>0</v>
      </c>
      <c r="AK85" s="486">
        <v>0</v>
      </c>
      <c r="AL85" s="486">
        <v>0</v>
      </c>
      <c r="AM85" s="486">
        <v>0</v>
      </c>
      <c r="AN85" s="486">
        <v>0</v>
      </c>
      <c r="AO85" s="486">
        <v>0</v>
      </c>
      <c r="AP85" s="486">
        <v>0</v>
      </c>
      <c r="AQ85" s="486">
        <v>0</v>
      </c>
      <c r="AR85" s="486">
        <v>0</v>
      </c>
      <c r="AS85" s="486">
        <v>0</v>
      </c>
      <c r="AT85" s="486">
        <v>0</v>
      </c>
      <c r="AU85" s="486">
        <v>0</v>
      </c>
      <c r="AV85" s="486">
        <v>0</v>
      </c>
      <c r="AW85" s="486">
        <v>0</v>
      </c>
      <c r="AX85" s="486">
        <v>0</v>
      </c>
      <c r="AY85" s="486">
        <v>0</v>
      </c>
      <c r="AZ85" s="486">
        <v>0</v>
      </c>
      <c r="BA85" s="486">
        <v>0</v>
      </c>
      <c r="BB85" s="486">
        <v>0</v>
      </c>
      <c r="BC85" s="486">
        <v>0</v>
      </c>
      <c r="BD85" s="486">
        <v>0</v>
      </c>
      <c r="BE85" s="486">
        <v>0</v>
      </c>
      <c r="BF85" s="486">
        <v>0</v>
      </c>
      <c r="BG85" s="486">
        <v>0</v>
      </c>
      <c r="BH85" s="486">
        <v>0</v>
      </c>
      <c r="BI85" s="486">
        <v>0</v>
      </c>
      <c r="BJ85" s="486">
        <v>0</v>
      </c>
      <c r="BK85" s="486">
        <v>0</v>
      </c>
      <c r="BL85" s="486">
        <v>0</v>
      </c>
      <c r="BM85" s="486">
        <v>0</v>
      </c>
      <c r="BN85" s="486">
        <v>0</v>
      </c>
      <c r="BO85" s="486">
        <v>0</v>
      </c>
      <c r="BP85" s="486">
        <v>0</v>
      </c>
      <c r="BQ85" s="486">
        <v>0</v>
      </c>
      <c r="BR85" s="486">
        <v>0</v>
      </c>
      <c r="BS85" s="486">
        <v>0</v>
      </c>
      <c r="BT85" s="486">
        <v>0</v>
      </c>
      <c r="BU85" s="486">
        <v>0</v>
      </c>
      <c r="BV85" s="486">
        <v>0</v>
      </c>
      <c r="BW85" s="486">
        <v>0</v>
      </c>
      <c r="BX85" s="486">
        <v>0</v>
      </c>
      <c r="BY85" s="486">
        <v>0</v>
      </c>
      <c r="BZ85" s="486">
        <v>0</v>
      </c>
      <c r="CA85" s="486">
        <v>0</v>
      </c>
      <c r="CB85" s="486">
        <v>0</v>
      </c>
      <c r="CC85" s="486">
        <v>0</v>
      </c>
      <c r="CD85" s="486">
        <v>0</v>
      </c>
      <c r="CE85" s="486">
        <v>0</v>
      </c>
      <c r="CF85" s="486">
        <v>0</v>
      </c>
      <c r="CG85" s="486">
        <v>0</v>
      </c>
      <c r="CH85" s="486">
        <v>0</v>
      </c>
      <c r="CI85" s="486">
        <v>0</v>
      </c>
      <c r="CJ85" s="486">
        <v>0</v>
      </c>
      <c r="CK85" s="486">
        <v>0</v>
      </c>
      <c r="CL85" s="486">
        <v>0</v>
      </c>
      <c r="CM85" s="486">
        <v>0</v>
      </c>
      <c r="CN85" s="486">
        <v>0</v>
      </c>
      <c r="CO85" s="486">
        <v>0</v>
      </c>
      <c r="CP85" s="486">
        <v>0</v>
      </c>
      <c r="CQ85" s="486">
        <v>0</v>
      </c>
      <c r="CR85" s="486">
        <v>0</v>
      </c>
      <c r="CS85" s="486">
        <v>0</v>
      </c>
      <c r="CT85" s="486">
        <v>0</v>
      </c>
      <c r="CU85" s="486">
        <v>0</v>
      </c>
      <c r="CV85" s="486">
        <v>0</v>
      </c>
      <c r="CW85" s="486">
        <v>0</v>
      </c>
      <c r="CX85" s="486">
        <v>0</v>
      </c>
      <c r="CY85" s="486">
        <v>0</v>
      </c>
      <c r="CZ85" s="486">
        <v>0</v>
      </c>
      <c r="DA85" s="486">
        <v>0</v>
      </c>
      <c r="DB85" s="486">
        <v>0</v>
      </c>
      <c r="DC85" s="486">
        <v>0</v>
      </c>
      <c r="DD85" s="486">
        <v>0</v>
      </c>
      <c r="DE85" s="486">
        <v>0</v>
      </c>
      <c r="DF85" s="486">
        <v>0</v>
      </c>
      <c r="DG85" s="486">
        <v>0</v>
      </c>
      <c r="DH85" s="486">
        <v>0</v>
      </c>
      <c r="DI85" s="486">
        <v>0</v>
      </c>
      <c r="DJ85" s="486">
        <v>0</v>
      </c>
      <c r="DK85" s="486">
        <v>0</v>
      </c>
      <c r="DL85" s="486">
        <v>0</v>
      </c>
      <c r="DM85" s="486">
        <v>0</v>
      </c>
      <c r="DN85" s="486">
        <v>0</v>
      </c>
      <c r="DO85" s="486">
        <v>0</v>
      </c>
      <c r="DP85" s="486">
        <v>0</v>
      </c>
      <c r="DQ85" s="486">
        <v>0</v>
      </c>
      <c r="DR85" s="486">
        <v>0</v>
      </c>
      <c r="DS85" s="486">
        <v>0</v>
      </c>
      <c r="DT85" s="486">
        <v>0</v>
      </c>
      <c r="DU85" s="486">
        <v>0</v>
      </c>
      <c r="DV85" s="486">
        <v>0</v>
      </c>
      <c r="DW85" s="486">
        <v>0</v>
      </c>
      <c r="DX85" s="477"/>
      <c r="DY85" s="484" t="s">
        <v>720</v>
      </c>
      <c r="DZ85" s="484" t="s">
        <v>617</v>
      </c>
      <c r="EA85" s="484" t="s">
        <v>26</v>
      </c>
      <c r="EB85" s="486">
        <v>50</v>
      </c>
      <c r="EC85" s="471" t="str">
        <f t="shared" si="0"/>
        <v>AIJ100250</v>
      </c>
      <c r="ED85" s="486">
        <v>10000</v>
      </c>
      <c r="EE85" s="486">
        <v>10000</v>
      </c>
      <c r="EF85" s="486">
        <v>10000</v>
      </c>
      <c r="EG85" s="486">
        <v>10000</v>
      </c>
      <c r="EH85" s="486">
        <v>10000</v>
      </c>
      <c r="EI85" s="486">
        <v>10000</v>
      </c>
      <c r="EJ85" s="486">
        <v>10000</v>
      </c>
      <c r="EK85" s="486">
        <v>10000</v>
      </c>
      <c r="EL85" s="486">
        <v>10000</v>
      </c>
      <c r="EM85" s="486">
        <v>10000</v>
      </c>
      <c r="EN85" s="486">
        <v>0</v>
      </c>
      <c r="EO85" s="486">
        <v>0</v>
      </c>
      <c r="EP85" s="486">
        <v>0</v>
      </c>
      <c r="EQ85" s="486">
        <v>0</v>
      </c>
      <c r="ER85" s="486">
        <v>0</v>
      </c>
      <c r="ES85" s="486">
        <v>0</v>
      </c>
      <c r="ET85" s="486">
        <v>0</v>
      </c>
      <c r="EU85" s="486">
        <v>0</v>
      </c>
      <c r="EV85" s="486">
        <v>0</v>
      </c>
      <c r="EW85" s="486">
        <v>0</v>
      </c>
      <c r="EX85" s="486">
        <v>0</v>
      </c>
      <c r="EY85" s="486">
        <v>0</v>
      </c>
      <c r="EZ85" s="486">
        <v>0</v>
      </c>
      <c r="FA85" s="486">
        <v>0</v>
      </c>
      <c r="FB85" s="486">
        <v>0</v>
      </c>
      <c r="FC85" s="486">
        <v>0</v>
      </c>
      <c r="FD85" s="486">
        <v>0</v>
      </c>
      <c r="FE85" s="486">
        <v>0</v>
      </c>
      <c r="FF85" s="486">
        <v>0</v>
      </c>
      <c r="FG85" s="486">
        <v>0</v>
      </c>
      <c r="FH85" s="486">
        <v>0</v>
      </c>
      <c r="FI85" s="486">
        <v>0</v>
      </c>
      <c r="FJ85" s="486">
        <v>0</v>
      </c>
      <c r="FK85" s="486">
        <v>0</v>
      </c>
      <c r="FL85" s="486">
        <v>0</v>
      </c>
      <c r="FM85" s="486">
        <v>0</v>
      </c>
      <c r="FN85" s="486">
        <v>0</v>
      </c>
      <c r="FO85" s="486">
        <v>0</v>
      </c>
      <c r="FP85" s="486">
        <v>0</v>
      </c>
      <c r="FQ85" s="486">
        <v>0</v>
      </c>
      <c r="FR85" s="486">
        <v>0</v>
      </c>
      <c r="FS85" s="486">
        <v>0</v>
      </c>
      <c r="FT85" s="486">
        <v>0</v>
      </c>
      <c r="FU85" s="486">
        <v>0</v>
      </c>
      <c r="FV85" s="486">
        <v>0</v>
      </c>
      <c r="FW85" s="486">
        <v>0</v>
      </c>
      <c r="FX85" s="486">
        <v>0</v>
      </c>
      <c r="FY85" s="486">
        <v>0</v>
      </c>
      <c r="FZ85" s="486">
        <v>0</v>
      </c>
      <c r="GA85" s="486">
        <v>0</v>
      </c>
      <c r="GB85" s="486">
        <v>0</v>
      </c>
      <c r="GC85" s="486">
        <v>0</v>
      </c>
      <c r="GD85" s="486">
        <v>0</v>
      </c>
      <c r="GE85" s="486">
        <v>0</v>
      </c>
      <c r="GF85" s="486">
        <v>0</v>
      </c>
      <c r="GG85" s="486">
        <v>0</v>
      </c>
      <c r="GH85" s="486">
        <v>0</v>
      </c>
      <c r="GI85" s="486">
        <v>0</v>
      </c>
      <c r="GJ85" s="486">
        <v>0</v>
      </c>
      <c r="GK85" s="486">
        <v>0</v>
      </c>
      <c r="GL85" s="486">
        <v>0</v>
      </c>
      <c r="GM85" s="486">
        <v>0</v>
      </c>
      <c r="GN85" s="486">
        <v>0</v>
      </c>
      <c r="GO85" s="486">
        <v>0</v>
      </c>
      <c r="GP85" s="486">
        <v>0</v>
      </c>
      <c r="GQ85" s="486">
        <v>0</v>
      </c>
      <c r="GR85" s="486">
        <v>0</v>
      </c>
      <c r="GS85" s="486">
        <v>0</v>
      </c>
      <c r="GT85" s="486">
        <v>0</v>
      </c>
      <c r="GU85" s="486">
        <v>0</v>
      </c>
      <c r="GV85" s="486">
        <v>0</v>
      </c>
      <c r="GW85" s="486">
        <v>0</v>
      </c>
      <c r="GX85" s="486">
        <v>0</v>
      </c>
      <c r="GY85" s="486">
        <v>0</v>
      </c>
      <c r="GZ85" s="486">
        <v>0</v>
      </c>
      <c r="HA85" s="486">
        <v>0</v>
      </c>
      <c r="HB85" s="486">
        <v>0</v>
      </c>
      <c r="HC85" s="486">
        <v>0</v>
      </c>
      <c r="HD85" s="486">
        <v>0</v>
      </c>
      <c r="HE85" s="486">
        <v>0</v>
      </c>
      <c r="HF85" s="486">
        <v>0</v>
      </c>
      <c r="HG85" s="486">
        <v>0</v>
      </c>
      <c r="HH85" s="486">
        <v>0</v>
      </c>
      <c r="HI85" s="486">
        <v>0</v>
      </c>
      <c r="HJ85" s="486">
        <v>0</v>
      </c>
      <c r="HK85" s="486">
        <v>0</v>
      </c>
      <c r="HL85" s="486">
        <v>0</v>
      </c>
      <c r="HM85" s="486">
        <v>0</v>
      </c>
      <c r="HN85" s="486">
        <v>0</v>
      </c>
      <c r="HO85" s="486">
        <v>0</v>
      </c>
      <c r="HP85" s="486">
        <v>0</v>
      </c>
      <c r="HQ85" s="486">
        <v>0</v>
      </c>
      <c r="HR85" s="486">
        <v>0</v>
      </c>
      <c r="HS85" s="486">
        <v>0</v>
      </c>
      <c r="HT85" s="486">
        <v>0</v>
      </c>
      <c r="HU85" s="486">
        <v>0</v>
      </c>
      <c r="HV85" s="486">
        <v>0</v>
      </c>
      <c r="HW85" s="486">
        <v>0</v>
      </c>
      <c r="HX85" s="486">
        <v>0</v>
      </c>
      <c r="HY85" s="486">
        <v>0</v>
      </c>
      <c r="HZ85" s="486">
        <v>0</v>
      </c>
      <c r="IA85" s="486">
        <v>0</v>
      </c>
      <c r="IB85" s="486">
        <v>0</v>
      </c>
      <c r="IC85" s="486">
        <v>0</v>
      </c>
      <c r="ID85" s="486">
        <v>0</v>
      </c>
      <c r="IE85" s="486">
        <v>0</v>
      </c>
      <c r="IF85" s="486">
        <v>0</v>
      </c>
      <c r="IG85" s="486">
        <v>0</v>
      </c>
      <c r="IH85" s="486">
        <v>0</v>
      </c>
      <c r="II85" s="486">
        <v>0</v>
      </c>
      <c r="IJ85" s="486">
        <v>0</v>
      </c>
    </row>
    <row r="86" spans="1:244" ht="16.5" hidden="1">
      <c r="A86" s="484" t="s">
        <v>720</v>
      </c>
      <c r="B86" s="484" t="s">
        <v>617</v>
      </c>
      <c r="C86" s="484" t="s">
        <v>721</v>
      </c>
      <c r="D86" s="485"/>
      <c r="E86" s="484" t="s">
        <v>721</v>
      </c>
      <c r="F86" s="484" t="s">
        <v>25</v>
      </c>
      <c r="G86" s="485"/>
      <c r="H86" s="486">
        <v>35</v>
      </c>
      <c r="I86" s="471" t="str">
        <f t="shared" si="3"/>
        <v>AIJ100135</v>
      </c>
      <c r="J86" s="486">
        <v>77</v>
      </c>
      <c r="L86" s="484" t="s">
        <v>720</v>
      </c>
      <c r="M86" s="484" t="s">
        <v>617</v>
      </c>
      <c r="N86" s="484" t="s">
        <v>26</v>
      </c>
      <c r="O86" s="486">
        <v>51</v>
      </c>
      <c r="P86" s="471" t="str">
        <f t="shared" si="4"/>
        <v>AIJ100251</v>
      </c>
      <c r="Q86" s="486">
        <v>0</v>
      </c>
      <c r="R86" s="486">
        <v>16</v>
      </c>
      <c r="S86" s="486">
        <v>29</v>
      </c>
      <c r="T86" s="486">
        <v>43</v>
      </c>
      <c r="U86" s="486">
        <v>58</v>
      </c>
      <c r="V86" s="486">
        <v>68</v>
      </c>
      <c r="W86" s="486">
        <v>81</v>
      </c>
      <c r="X86" s="486">
        <v>91</v>
      </c>
      <c r="Y86" s="486">
        <v>93</v>
      </c>
      <c r="Z86" s="486">
        <v>0</v>
      </c>
      <c r="AA86" s="486">
        <v>0</v>
      </c>
      <c r="AB86" s="486">
        <v>0</v>
      </c>
      <c r="AC86" s="486">
        <v>0</v>
      </c>
      <c r="AD86" s="486">
        <v>0</v>
      </c>
      <c r="AE86" s="486">
        <v>0</v>
      </c>
      <c r="AF86" s="486">
        <v>0</v>
      </c>
      <c r="AG86" s="486">
        <v>0</v>
      </c>
      <c r="AH86" s="486">
        <v>0</v>
      </c>
      <c r="AI86" s="486">
        <v>0</v>
      </c>
      <c r="AJ86" s="486">
        <v>0</v>
      </c>
      <c r="AK86" s="486">
        <v>0</v>
      </c>
      <c r="AL86" s="486">
        <v>0</v>
      </c>
      <c r="AM86" s="486">
        <v>0</v>
      </c>
      <c r="AN86" s="486">
        <v>0</v>
      </c>
      <c r="AO86" s="486">
        <v>0</v>
      </c>
      <c r="AP86" s="486">
        <v>0</v>
      </c>
      <c r="AQ86" s="486">
        <v>0</v>
      </c>
      <c r="AR86" s="486">
        <v>0</v>
      </c>
      <c r="AS86" s="486">
        <v>0</v>
      </c>
      <c r="AT86" s="486">
        <v>0</v>
      </c>
      <c r="AU86" s="486">
        <v>0</v>
      </c>
      <c r="AV86" s="486">
        <v>0</v>
      </c>
      <c r="AW86" s="486">
        <v>0</v>
      </c>
      <c r="AX86" s="486">
        <v>0</v>
      </c>
      <c r="AY86" s="486">
        <v>0</v>
      </c>
      <c r="AZ86" s="486">
        <v>0</v>
      </c>
      <c r="BA86" s="486">
        <v>0</v>
      </c>
      <c r="BB86" s="486">
        <v>0</v>
      </c>
      <c r="BC86" s="486">
        <v>0</v>
      </c>
      <c r="BD86" s="486">
        <v>0</v>
      </c>
      <c r="BE86" s="486">
        <v>0</v>
      </c>
      <c r="BF86" s="486">
        <v>0</v>
      </c>
      <c r="BG86" s="486">
        <v>0</v>
      </c>
      <c r="BH86" s="486">
        <v>0</v>
      </c>
      <c r="BI86" s="486">
        <v>0</v>
      </c>
      <c r="BJ86" s="486">
        <v>0</v>
      </c>
      <c r="BK86" s="486">
        <v>0</v>
      </c>
      <c r="BL86" s="486">
        <v>0</v>
      </c>
      <c r="BM86" s="486">
        <v>0</v>
      </c>
      <c r="BN86" s="486">
        <v>0</v>
      </c>
      <c r="BO86" s="486">
        <v>0</v>
      </c>
      <c r="BP86" s="486">
        <v>0</v>
      </c>
      <c r="BQ86" s="486">
        <v>0</v>
      </c>
      <c r="BR86" s="486">
        <v>0</v>
      </c>
      <c r="BS86" s="486">
        <v>0</v>
      </c>
      <c r="BT86" s="486">
        <v>0</v>
      </c>
      <c r="BU86" s="486">
        <v>0</v>
      </c>
      <c r="BV86" s="486">
        <v>0</v>
      </c>
      <c r="BW86" s="486">
        <v>0</v>
      </c>
      <c r="BX86" s="486">
        <v>0</v>
      </c>
      <c r="BY86" s="486">
        <v>0</v>
      </c>
      <c r="BZ86" s="486">
        <v>0</v>
      </c>
      <c r="CA86" s="486">
        <v>0</v>
      </c>
      <c r="CB86" s="486">
        <v>0</v>
      </c>
      <c r="CC86" s="486">
        <v>0</v>
      </c>
      <c r="CD86" s="486">
        <v>0</v>
      </c>
      <c r="CE86" s="486">
        <v>0</v>
      </c>
      <c r="CF86" s="486">
        <v>0</v>
      </c>
      <c r="CG86" s="486">
        <v>0</v>
      </c>
      <c r="CH86" s="486">
        <v>0</v>
      </c>
      <c r="CI86" s="486">
        <v>0</v>
      </c>
      <c r="CJ86" s="486">
        <v>0</v>
      </c>
      <c r="CK86" s="486">
        <v>0</v>
      </c>
      <c r="CL86" s="486">
        <v>0</v>
      </c>
      <c r="CM86" s="486">
        <v>0</v>
      </c>
      <c r="CN86" s="486">
        <v>0</v>
      </c>
      <c r="CO86" s="486">
        <v>0</v>
      </c>
      <c r="CP86" s="486">
        <v>0</v>
      </c>
      <c r="CQ86" s="486">
        <v>0</v>
      </c>
      <c r="CR86" s="486">
        <v>0</v>
      </c>
      <c r="CS86" s="486">
        <v>0</v>
      </c>
      <c r="CT86" s="486">
        <v>0</v>
      </c>
      <c r="CU86" s="486">
        <v>0</v>
      </c>
      <c r="CV86" s="486">
        <v>0</v>
      </c>
      <c r="CW86" s="486">
        <v>0</v>
      </c>
      <c r="CX86" s="486">
        <v>0</v>
      </c>
      <c r="CY86" s="486">
        <v>0</v>
      </c>
      <c r="CZ86" s="486">
        <v>0</v>
      </c>
      <c r="DA86" s="486">
        <v>0</v>
      </c>
      <c r="DB86" s="486">
        <v>0</v>
      </c>
      <c r="DC86" s="486">
        <v>0</v>
      </c>
      <c r="DD86" s="486">
        <v>0</v>
      </c>
      <c r="DE86" s="486">
        <v>0</v>
      </c>
      <c r="DF86" s="486">
        <v>0</v>
      </c>
      <c r="DG86" s="486">
        <v>0</v>
      </c>
      <c r="DH86" s="486">
        <v>0</v>
      </c>
      <c r="DI86" s="486">
        <v>0</v>
      </c>
      <c r="DJ86" s="486">
        <v>0</v>
      </c>
      <c r="DK86" s="486">
        <v>0</v>
      </c>
      <c r="DL86" s="486">
        <v>0</v>
      </c>
      <c r="DM86" s="486">
        <v>0</v>
      </c>
      <c r="DN86" s="486">
        <v>0</v>
      </c>
      <c r="DO86" s="486">
        <v>0</v>
      </c>
      <c r="DP86" s="486">
        <v>0</v>
      </c>
      <c r="DQ86" s="486">
        <v>0</v>
      </c>
      <c r="DR86" s="486">
        <v>0</v>
      </c>
      <c r="DS86" s="486">
        <v>0</v>
      </c>
      <c r="DT86" s="486">
        <v>0</v>
      </c>
      <c r="DU86" s="486">
        <v>0</v>
      </c>
      <c r="DV86" s="486">
        <v>0</v>
      </c>
      <c r="DW86" s="486">
        <v>0</v>
      </c>
      <c r="DX86" s="477"/>
      <c r="DY86" s="484" t="s">
        <v>720</v>
      </c>
      <c r="DZ86" s="484" t="s">
        <v>617</v>
      </c>
      <c r="EA86" s="484" t="s">
        <v>26</v>
      </c>
      <c r="EB86" s="486">
        <v>51</v>
      </c>
      <c r="EC86" s="471" t="str">
        <f t="shared" si="0"/>
        <v>AIJ100251</v>
      </c>
      <c r="ED86" s="486">
        <v>10000</v>
      </c>
      <c r="EE86" s="486">
        <v>10000</v>
      </c>
      <c r="EF86" s="486">
        <v>10000</v>
      </c>
      <c r="EG86" s="486">
        <v>10000</v>
      </c>
      <c r="EH86" s="486">
        <v>10000</v>
      </c>
      <c r="EI86" s="486">
        <v>10000</v>
      </c>
      <c r="EJ86" s="486">
        <v>10000</v>
      </c>
      <c r="EK86" s="486">
        <v>10000</v>
      </c>
      <c r="EL86" s="486">
        <v>10000</v>
      </c>
      <c r="EM86" s="486">
        <v>10000</v>
      </c>
      <c r="EN86" s="486">
        <v>0</v>
      </c>
      <c r="EO86" s="486">
        <v>0</v>
      </c>
      <c r="EP86" s="486">
        <v>0</v>
      </c>
      <c r="EQ86" s="486">
        <v>0</v>
      </c>
      <c r="ER86" s="486">
        <v>0</v>
      </c>
      <c r="ES86" s="486">
        <v>0</v>
      </c>
      <c r="ET86" s="486">
        <v>0</v>
      </c>
      <c r="EU86" s="486">
        <v>0</v>
      </c>
      <c r="EV86" s="486">
        <v>0</v>
      </c>
      <c r="EW86" s="486">
        <v>0</v>
      </c>
      <c r="EX86" s="486">
        <v>0</v>
      </c>
      <c r="EY86" s="486">
        <v>0</v>
      </c>
      <c r="EZ86" s="486">
        <v>0</v>
      </c>
      <c r="FA86" s="486">
        <v>0</v>
      </c>
      <c r="FB86" s="486">
        <v>0</v>
      </c>
      <c r="FC86" s="486">
        <v>0</v>
      </c>
      <c r="FD86" s="486">
        <v>0</v>
      </c>
      <c r="FE86" s="486">
        <v>0</v>
      </c>
      <c r="FF86" s="486">
        <v>0</v>
      </c>
      <c r="FG86" s="486">
        <v>0</v>
      </c>
      <c r="FH86" s="486">
        <v>0</v>
      </c>
      <c r="FI86" s="486">
        <v>0</v>
      </c>
      <c r="FJ86" s="486">
        <v>0</v>
      </c>
      <c r="FK86" s="486">
        <v>0</v>
      </c>
      <c r="FL86" s="486">
        <v>0</v>
      </c>
      <c r="FM86" s="486">
        <v>0</v>
      </c>
      <c r="FN86" s="486">
        <v>0</v>
      </c>
      <c r="FO86" s="486">
        <v>0</v>
      </c>
      <c r="FP86" s="486">
        <v>0</v>
      </c>
      <c r="FQ86" s="486">
        <v>0</v>
      </c>
      <c r="FR86" s="486">
        <v>0</v>
      </c>
      <c r="FS86" s="486">
        <v>0</v>
      </c>
      <c r="FT86" s="486">
        <v>0</v>
      </c>
      <c r="FU86" s="486">
        <v>0</v>
      </c>
      <c r="FV86" s="486">
        <v>0</v>
      </c>
      <c r="FW86" s="486">
        <v>0</v>
      </c>
      <c r="FX86" s="486">
        <v>0</v>
      </c>
      <c r="FY86" s="486">
        <v>0</v>
      </c>
      <c r="FZ86" s="486">
        <v>0</v>
      </c>
      <c r="GA86" s="486">
        <v>0</v>
      </c>
      <c r="GB86" s="486">
        <v>0</v>
      </c>
      <c r="GC86" s="486">
        <v>0</v>
      </c>
      <c r="GD86" s="486">
        <v>0</v>
      </c>
      <c r="GE86" s="486">
        <v>0</v>
      </c>
      <c r="GF86" s="486">
        <v>0</v>
      </c>
      <c r="GG86" s="486">
        <v>0</v>
      </c>
      <c r="GH86" s="486">
        <v>0</v>
      </c>
      <c r="GI86" s="486">
        <v>0</v>
      </c>
      <c r="GJ86" s="486">
        <v>0</v>
      </c>
      <c r="GK86" s="486">
        <v>0</v>
      </c>
      <c r="GL86" s="486">
        <v>0</v>
      </c>
      <c r="GM86" s="486">
        <v>0</v>
      </c>
      <c r="GN86" s="486">
        <v>0</v>
      </c>
      <c r="GO86" s="486">
        <v>0</v>
      </c>
      <c r="GP86" s="486">
        <v>0</v>
      </c>
      <c r="GQ86" s="486">
        <v>0</v>
      </c>
      <c r="GR86" s="486">
        <v>0</v>
      </c>
      <c r="GS86" s="486">
        <v>0</v>
      </c>
      <c r="GT86" s="486">
        <v>0</v>
      </c>
      <c r="GU86" s="486">
        <v>0</v>
      </c>
      <c r="GV86" s="486">
        <v>0</v>
      </c>
      <c r="GW86" s="486">
        <v>0</v>
      </c>
      <c r="GX86" s="486">
        <v>0</v>
      </c>
      <c r="GY86" s="486">
        <v>0</v>
      </c>
      <c r="GZ86" s="486">
        <v>0</v>
      </c>
      <c r="HA86" s="486">
        <v>0</v>
      </c>
      <c r="HB86" s="486">
        <v>0</v>
      </c>
      <c r="HC86" s="486">
        <v>0</v>
      </c>
      <c r="HD86" s="486">
        <v>0</v>
      </c>
      <c r="HE86" s="486">
        <v>0</v>
      </c>
      <c r="HF86" s="486">
        <v>0</v>
      </c>
      <c r="HG86" s="486">
        <v>0</v>
      </c>
      <c r="HH86" s="486">
        <v>0</v>
      </c>
      <c r="HI86" s="486">
        <v>0</v>
      </c>
      <c r="HJ86" s="486">
        <v>0</v>
      </c>
      <c r="HK86" s="486">
        <v>0</v>
      </c>
      <c r="HL86" s="486">
        <v>0</v>
      </c>
      <c r="HM86" s="486">
        <v>0</v>
      </c>
      <c r="HN86" s="486">
        <v>0</v>
      </c>
      <c r="HO86" s="486">
        <v>0</v>
      </c>
      <c r="HP86" s="486">
        <v>0</v>
      </c>
      <c r="HQ86" s="486">
        <v>0</v>
      </c>
      <c r="HR86" s="486">
        <v>0</v>
      </c>
      <c r="HS86" s="486">
        <v>0</v>
      </c>
      <c r="HT86" s="486">
        <v>0</v>
      </c>
      <c r="HU86" s="486">
        <v>0</v>
      </c>
      <c r="HV86" s="486">
        <v>0</v>
      </c>
      <c r="HW86" s="486">
        <v>0</v>
      </c>
      <c r="HX86" s="486">
        <v>0</v>
      </c>
      <c r="HY86" s="486">
        <v>0</v>
      </c>
      <c r="HZ86" s="486">
        <v>0</v>
      </c>
      <c r="IA86" s="486">
        <v>0</v>
      </c>
      <c r="IB86" s="486">
        <v>0</v>
      </c>
      <c r="IC86" s="486">
        <v>0</v>
      </c>
      <c r="ID86" s="486">
        <v>0</v>
      </c>
      <c r="IE86" s="486">
        <v>0</v>
      </c>
      <c r="IF86" s="486">
        <v>0</v>
      </c>
      <c r="IG86" s="486">
        <v>0</v>
      </c>
      <c r="IH86" s="486">
        <v>0</v>
      </c>
      <c r="II86" s="486">
        <v>0</v>
      </c>
      <c r="IJ86" s="486">
        <v>0</v>
      </c>
    </row>
    <row r="87" spans="1:244" ht="16.5" hidden="1">
      <c r="A87" s="484" t="s">
        <v>720</v>
      </c>
      <c r="B87" s="484" t="s">
        <v>617</v>
      </c>
      <c r="C87" s="484" t="s">
        <v>721</v>
      </c>
      <c r="D87" s="485"/>
      <c r="E87" s="484" t="s">
        <v>721</v>
      </c>
      <c r="F87" s="484" t="s">
        <v>25</v>
      </c>
      <c r="G87" s="485"/>
      <c r="H87" s="486">
        <v>36</v>
      </c>
      <c r="I87" s="471" t="str">
        <f t="shared" si="3"/>
        <v>AIJ100136</v>
      </c>
      <c r="J87" s="486">
        <v>80</v>
      </c>
      <c r="L87" s="484" t="s">
        <v>720</v>
      </c>
      <c r="M87" s="484" t="s">
        <v>617</v>
      </c>
      <c r="N87" s="484" t="s">
        <v>26</v>
      </c>
      <c r="O87" s="486">
        <v>52</v>
      </c>
      <c r="P87" s="471" t="str">
        <f t="shared" si="4"/>
        <v>AIJ100252</v>
      </c>
      <c r="Q87" s="486">
        <v>0</v>
      </c>
      <c r="R87" s="486">
        <v>17</v>
      </c>
      <c r="S87" s="486">
        <v>32</v>
      </c>
      <c r="T87" s="486">
        <v>47</v>
      </c>
      <c r="U87" s="486">
        <v>63</v>
      </c>
      <c r="V87" s="486">
        <v>74</v>
      </c>
      <c r="W87" s="486">
        <v>88</v>
      </c>
      <c r="X87" s="486">
        <v>97</v>
      </c>
      <c r="Y87" s="486">
        <v>98</v>
      </c>
      <c r="Z87" s="486">
        <v>0</v>
      </c>
      <c r="AA87" s="486">
        <v>0</v>
      </c>
      <c r="AB87" s="486">
        <v>0</v>
      </c>
      <c r="AC87" s="486">
        <v>0</v>
      </c>
      <c r="AD87" s="486">
        <v>0</v>
      </c>
      <c r="AE87" s="486">
        <v>0</v>
      </c>
      <c r="AF87" s="486">
        <v>0</v>
      </c>
      <c r="AG87" s="486">
        <v>0</v>
      </c>
      <c r="AH87" s="486">
        <v>0</v>
      </c>
      <c r="AI87" s="486">
        <v>0</v>
      </c>
      <c r="AJ87" s="486">
        <v>0</v>
      </c>
      <c r="AK87" s="486">
        <v>0</v>
      </c>
      <c r="AL87" s="486">
        <v>0</v>
      </c>
      <c r="AM87" s="486">
        <v>0</v>
      </c>
      <c r="AN87" s="486">
        <v>0</v>
      </c>
      <c r="AO87" s="486">
        <v>0</v>
      </c>
      <c r="AP87" s="486">
        <v>0</v>
      </c>
      <c r="AQ87" s="486">
        <v>0</v>
      </c>
      <c r="AR87" s="486">
        <v>0</v>
      </c>
      <c r="AS87" s="486">
        <v>0</v>
      </c>
      <c r="AT87" s="486">
        <v>0</v>
      </c>
      <c r="AU87" s="486">
        <v>0</v>
      </c>
      <c r="AV87" s="486">
        <v>0</v>
      </c>
      <c r="AW87" s="486">
        <v>0</v>
      </c>
      <c r="AX87" s="486">
        <v>0</v>
      </c>
      <c r="AY87" s="486">
        <v>0</v>
      </c>
      <c r="AZ87" s="486">
        <v>0</v>
      </c>
      <c r="BA87" s="486">
        <v>0</v>
      </c>
      <c r="BB87" s="486">
        <v>0</v>
      </c>
      <c r="BC87" s="486">
        <v>0</v>
      </c>
      <c r="BD87" s="486">
        <v>0</v>
      </c>
      <c r="BE87" s="486">
        <v>0</v>
      </c>
      <c r="BF87" s="486">
        <v>0</v>
      </c>
      <c r="BG87" s="486">
        <v>0</v>
      </c>
      <c r="BH87" s="486">
        <v>0</v>
      </c>
      <c r="BI87" s="486">
        <v>0</v>
      </c>
      <c r="BJ87" s="486">
        <v>0</v>
      </c>
      <c r="BK87" s="486">
        <v>0</v>
      </c>
      <c r="BL87" s="486">
        <v>0</v>
      </c>
      <c r="BM87" s="486">
        <v>0</v>
      </c>
      <c r="BN87" s="486">
        <v>0</v>
      </c>
      <c r="BO87" s="486">
        <v>0</v>
      </c>
      <c r="BP87" s="486">
        <v>0</v>
      </c>
      <c r="BQ87" s="486">
        <v>0</v>
      </c>
      <c r="BR87" s="486">
        <v>0</v>
      </c>
      <c r="BS87" s="486">
        <v>0</v>
      </c>
      <c r="BT87" s="486">
        <v>0</v>
      </c>
      <c r="BU87" s="486">
        <v>0</v>
      </c>
      <c r="BV87" s="486">
        <v>0</v>
      </c>
      <c r="BW87" s="486">
        <v>0</v>
      </c>
      <c r="BX87" s="486">
        <v>0</v>
      </c>
      <c r="BY87" s="486">
        <v>0</v>
      </c>
      <c r="BZ87" s="486">
        <v>0</v>
      </c>
      <c r="CA87" s="486">
        <v>0</v>
      </c>
      <c r="CB87" s="486">
        <v>0</v>
      </c>
      <c r="CC87" s="486">
        <v>0</v>
      </c>
      <c r="CD87" s="486">
        <v>0</v>
      </c>
      <c r="CE87" s="486">
        <v>0</v>
      </c>
      <c r="CF87" s="486">
        <v>0</v>
      </c>
      <c r="CG87" s="486">
        <v>0</v>
      </c>
      <c r="CH87" s="486">
        <v>0</v>
      </c>
      <c r="CI87" s="486">
        <v>0</v>
      </c>
      <c r="CJ87" s="486">
        <v>0</v>
      </c>
      <c r="CK87" s="486">
        <v>0</v>
      </c>
      <c r="CL87" s="486">
        <v>0</v>
      </c>
      <c r="CM87" s="486">
        <v>0</v>
      </c>
      <c r="CN87" s="486">
        <v>0</v>
      </c>
      <c r="CO87" s="486">
        <v>0</v>
      </c>
      <c r="CP87" s="486">
        <v>0</v>
      </c>
      <c r="CQ87" s="486">
        <v>0</v>
      </c>
      <c r="CR87" s="486">
        <v>0</v>
      </c>
      <c r="CS87" s="486">
        <v>0</v>
      </c>
      <c r="CT87" s="486">
        <v>0</v>
      </c>
      <c r="CU87" s="486">
        <v>0</v>
      </c>
      <c r="CV87" s="486">
        <v>0</v>
      </c>
      <c r="CW87" s="486">
        <v>0</v>
      </c>
      <c r="CX87" s="486">
        <v>0</v>
      </c>
      <c r="CY87" s="486">
        <v>0</v>
      </c>
      <c r="CZ87" s="486">
        <v>0</v>
      </c>
      <c r="DA87" s="486">
        <v>0</v>
      </c>
      <c r="DB87" s="486">
        <v>0</v>
      </c>
      <c r="DC87" s="486">
        <v>0</v>
      </c>
      <c r="DD87" s="486">
        <v>0</v>
      </c>
      <c r="DE87" s="486">
        <v>0</v>
      </c>
      <c r="DF87" s="486">
        <v>0</v>
      </c>
      <c r="DG87" s="486">
        <v>0</v>
      </c>
      <c r="DH87" s="486">
        <v>0</v>
      </c>
      <c r="DI87" s="486">
        <v>0</v>
      </c>
      <c r="DJ87" s="486">
        <v>0</v>
      </c>
      <c r="DK87" s="486">
        <v>0</v>
      </c>
      <c r="DL87" s="486">
        <v>0</v>
      </c>
      <c r="DM87" s="486">
        <v>0</v>
      </c>
      <c r="DN87" s="486">
        <v>0</v>
      </c>
      <c r="DO87" s="486">
        <v>0</v>
      </c>
      <c r="DP87" s="486">
        <v>0</v>
      </c>
      <c r="DQ87" s="486">
        <v>0</v>
      </c>
      <c r="DR87" s="486">
        <v>0</v>
      </c>
      <c r="DS87" s="486">
        <v>0</v>
      </c>
      <c r="DT87" s="486">
        <v>0</v>
      </c>
      <c r="DU87" s="486">
        <v>0</v>
      </c>
      <c r="DV87" s="486">
        <v>0</v>
      </c>
      <c r="DW87" s="486">
        <v>0</v>
      </c>
      <c r="DX87" s="477"/>
      <c r="DY87" s="484" t="s">
        <v>720</v>
      </c>
      <c r="DZ87" s="484" t="s">
        <v>617</v>
      </c>
      <c r="EA87" s="484" t="s">
        <v>26</v>
      </c>
      <c r="EB87" s="486">
        <v>52</v>
      </c>
      <c r="EC87" s="471" t="str">
        <f t="shared" si="0"/>
        <v>AIJ100252</v>
      </c>
      <c r="ED87" s="486">
        <v>10000</v>
      </c>
      <c r="EE87" s="486">
        <v>10000</v>
      </c>
      <c r="EF87" s="486">
        <v>10000</v>
      </c>
      <c r="EG87" s="486">
        <v>10000</v>
      </c>
      <c r="EH87" s="486">
        <v>10000</v>
      </c>
      <c r="EI87" s="486">
        <v>10000</v>
      </c>
      <c r="EJ87" s="486">
        <v>10000</v>
      </c>
      <c r="EK87" s="486">
        <v>10000</v>
      </c>
      <c r="EL87" s="486">
        <v>10000</v>
      </c>
      <c r="EM87" s="486">
        <v>10000</v>
      </c>
      <c r="EN87" s="486">
        <v>0</v>
      </c>
      <c r="EO87" s="486">
        <v>0</v>
      </c>
      <c r="EP87" s="486">
        <v>0</v>
      </c>
      <c r="EQ87" s="486">
        <v>0</v>
      </c>
      <c r="ER87" s="486">
        <v>0</v>
      </c>
      <c r="ES87" s="486">
        <v>0</v>
      </c>
      <c r="ET87" s="486">
        <v>0</v>
      </c>
      <c r="EU87" s="486">
        <v>0</v>
      </c>
      <c r="EV87" s="486">
        <v>0</v>
      </c>
      <c r="EW87" s="486">
        <v>0</v>
      </c>
      <c r="EX87" s="486">
        <v>0</v>
      </c>
      <c r="EY87" s="486">
        <v>0</v>
      </c>
      <c r="EZ87" s="486">
        <v>0</v>
      </c>
      <c r="FA87" s="486">
        <v>0</v>
      </c>
      <c r="FB87" s="486">
        <v>0</v>
      </c>
      <c r="FC87" s="486">
        <v>0</v>
      </c>
      <c r="FD87" s="486">
        <v>0</v>
      </c>
      <c r="FE87" s="486">
        <v>0</v>
      </c>
      <c r="FF87" s="486">
        <v>0</v>
      </c>
      <c r="FG87" s="486">
        <v>0</v>
      </c>
      <c r="FH87" s="486">
        <v>0</v>
      </c>
      <c r="FI87" s="486">
        <v>0</v>
      </c>
      <c r="FJ87" s="486">
        <v>0</v>
      </c>
      <c r="FK87" s="486">
        <v>0</v>
      </c>
      <c r="FL87" s="486">
        <v>0</v>
      </c>
      <c r="FM87" s="486">
        <v>0</v>
      </c>
      <c r="FN87" s="486">
        <v>0</v>
      </c>
      <c r="FO87" s="486">
        <v>0</v>
      </c>
      <c r="FP87" s="486">
        <v>0</v>
      </c>
      <c r="FQ87" s="486">
        <v>0</v>
      </c>
      <c r="FR87" s="486">
        <v>0</v>
      </c>
      <c r="FS87" s="486">
        <v>0</v>
      </c>
      <c r="FT87" s="486">
        <v>0</v>
      </c>
      <c r="FU87" s="486">
        <v>0</v>
      </c>
      <c r="FV87" s="486">
        <v>0</v>
      </c>
      <c r="FW87" s="486">
        <v>0</v>
      </c>
      <c r="FX87" s="486">
        <v>0</v>
      </c>
      <c r="FY87" s="486">
        <v>0</v>
      </c>
      <c r="FZ87" s="486">
        <v>0</v>
      </c>
      <c r="GA87" s="486">
        <v>0</v>
      </c>
      <c r="GB87" s="486">
        <v>0</v>
      </c>
      <c r="GC87" s="486">
        <v>0</v>
      </c>
      <c r="GD87" s="486">
        <v>0</v>
      </c>
      <c r="GE87" s="486">
        <v>0</v>
      </c>
      <c r="GF87" s="486">
        <v>0</v>
      </c>
      <c r="GG87" s="486">
        <v>0</v>
      </c>
      <c r="GH87" s="486">
        <v>0</v>
      </c>
      <c r="GI87" s="486">
        <v>0</v>
      </c>
      <c r="GJ87" s="486">
        <v>0</v>
      </c>
      <c r="GK87" s="486">
        <v>0</v>
      </c>
      <c r="GL87" s="486">
        <v>0</v>
      </c>
      <c r="GM87" s="486">
        <v>0</v>
      </c>
      <c r="GN87" s="486">
        <v>0</v>
      </c>
      <c r="GO87" s="486">
        <v>0</v>
      </c>
      <c r="GP87" s="486">
        <v>0</v>
      </c>
      <c r="GQ87" s="486">
        <v>0</v>
      </c>
      <c r="GR87" s="486">
        <v>0</v>
      </c>
      <c r="GS87" s="486">
        <v>0</v>
      </c>
      <c r="GT87" s="486">
        <v>0</v>
      </c>
      <c r="GU87" s="486">
        <v>0</v>
      </c>
      <c r="GV87" s="486">
        <v>0</v>
      </c>
      <c r="GW87" s="486">
        <v>0</v>
      </c>
      <c r="GX87" s="486">
        <v>0</v>
      </c>
      <c r="GY87" s="486">
        <v>0</v>
      </c>
      <c r="GZ87" s="486">
        <v>0</v>
      </c>
      <c r="HA87" s="486">
        <v>0</v>
      </c>
      <c r="HB87" s="486">
        <v>0</v>
      </c>
      <c r="HC87" s="486">
        <v>0</v>
      </c>
      <c r="HD87" s="486">
        <v>0</v>
      </c>
      <c r="HE87" s="486">
        <v>0</v>
      </c>
      <c r="HF87" s="486">
        <v>0</v>
      </c>
      <c r="HG87" s="486">
        <v>0</v>
      </c>
      <c r="HH87" s="486">
        <v>0</v>
      </c>
      <c r="HI87" s="486">
        <v>0</v>
      </c>
      <c r="HJ87" s="486">
        <v>0</v>
      </c>
      <c r="HK87" s="486">
        <v>0</v>
      </c>
      <c r="HL87" s="486">
        <v>0</v>
      </c>
      <c r="HM87" s="486">
        <v>0</v>
      </c>
      <c r="HN87" s="486">
        <v>0</v>
      </c>
      <c r="HO87" s="486">
        <v>0</v>
      </c>
      <c r="HP87" s="486">
        <v>0</v>
      </c>
      <c r="HQ87" s="486">
        <v>0</v>
      </c>
      <c r="HR87" s="486">
        <v>0</v>
      </c>
      <c r="HS87" s="486">
        <v>0</v>
      </c>
      <c r="HT87" s="486">
        <v>0</v>
      </c>
      <c r="HU87" s="486">
        <v>0</v>
      </c>
      <c r="HV87" s="486">
        <v>0</v>
      </c>
      <c r="HW87" s="486">
        <v>0</v>
      </c>
      <c r="HX87" s="486">
        <v>0</v>
      </c>
      <c r="HY87" s="486">
        <v>0</v>
      </c>
      <c r="HZ87" s="486">
        <v>0</v>
      </c>
      <c r="IA87" s="486">
        <v>0</v>
      </c>
      <c r="IB87" s="486">
        <v>0</v>
      </c>
      <c r="IC87" s="486">
        <v>0</v>
      </c>
      <c r="ID87" s="486">
        <v>0</v>
      </c>
      <c r="IE87" s="486">
        <v>0</v>
      </c>
      <c r="IF87" s="486">
        <v>0</v>
      </c>
      <c r="IG87" s="486">
        <v>0</v>
      </c>
      <c r="IH87" s="486">
        <v>0</v>
      </c>
      <c r="II87" s="486">
        <v>0</v>
      </c>
      <c r="IJ87" s="486">
        <v>0</v>
      </c>
    </row>
    <row r="88" spans="1:244" ht="16.5" hidden="1">
      <c r="A88" s="484" t="s">
        <v>720</v>
      </c>
      <c r="B88" s="484" t="s">
        <v>617</v>
      </c>
      <c r="C88" s="484" t="s">
        <v>721</v>
      </c>
      <c r="D88" s="485"/>
      <c r="E88" s="484" t="s">
        <v>721</v>
      </c>
      <c r="F88" s="484" t="s">
        <v>25</v>
      </c>
      <c r="G88" s="485"/>
      <c r="H88" s="486">
        <v>37</v>
      </c>
      <c r="I88" s="471" t="str">
        <f t="shared" si="3"/>
        <v>AIJ100137</v>
      </c>
      <c r="J88" s="486">
        <v>83</v>
      </c>
      <c r="L88" s="484" t="s">
        <v>720</v>
      </c>
      <c r="M88" s="484" t="s">
        <v>617</v>
      </c>
      <c r="N88" s="484" t="s">
        <v>26</v>
      </c>
      <c r="O88" s="486">
        <v>53</v>
      </c>
      <c r="P88" s="471" t="str">
        <f t="shared" si="4"/>
        <v>AIJ100253</v>
      </c>
      <c r="Q88" s="486">
        <v>0</v>
      </c>
      <c r="R88" s="486">
        <v>19</v>
      </c>
      <c r="S88" s="486">
        <v>36</v>
      </c>
      <c r="T88" s="486">
        <v>52</v>
      </c>
      <c r="U88" s="486">
        <v>70</v>
      </c>
      <c r="V88" s="486">
        <v>81</v>
      </c>
      <c r="W88" s="486">
        <v>94</v>
      </c>
      <c r="X88" s="486">
        <v>104</v>
      </c>
      <c r="Y88" s="486">
        <v>104</v>
      </c>
      <c r="Z88" s="486">
        <v>0</v>
      </c>
      <c r="AA88" s="486">
        <v>0</v>
      </c>
      <c r="AB88" s="486">
        <v>0</v>
      </c>
      <c r="AC88" s="486">
        <v>0</v>
      </c>
      <c r="AD88" s="486">
        <v>0</v>
      </c>
      <c r="AE88" s="486">
        <v>0</v>
      </c>
      <c r="AF88" s="486">
        <v>0</v>
      </c>
      <c r="AG88" s="486">
        <v>0</v>
      </c>
      <c r="AH88" s="486">
        <v>0</v>
      </c>
      <c r="AI88" s="486">
        <v>0</v>
      </c>
      <c r="AJ88" s="486">
        <v>0</v>
      </c>
      <c r="AK88" s="486">
        <v>0</v>
      </c>
      <c r="AL88" s="486">
        <v>0</v>
      </c>
      <c r="AM88" s="486">
        <v>0</v>
      </c>
      <c r="AN88" s="486">
        <v>0</v>
      </c>
      <c r="AO88" s="486">
        <v>0</v>
      </c>
      <c r="AP88" s="486">
        <v>0</v>
      </c>
      <c r="AQ88" s="486">
        <v>0</v>
      </c>
      <c r="AR88" s="486">
        <v>0</v>
      </c>
      <c r="AS88" s="486">
        <v>0</v>
      </c>
      <c r="AT88" s="486">
        <v>0</v>
      </c>
      <c r="AU88" s="486">
        <v>0</v>
      </c>
      <c r="AV88" s="486">
        <v>0</v>
      </c>
      <c r="AW88" s="486">
        <v>0</v>
      </c>
      <c r="AX88" s="486">
        <v>0</v>
      </c>
      <c r="AY88" s="486">
        <v>0</v>
      </c>
      <c r="AZ88" s="486">
        <v>0</v>
      </c>
      <c r="BA88" s="486">
        <v>0</v>
      </c>
      <c r="BB88" s="486">
        <v>0</v>
      </c>
      <c r="BC88" s="486">
        <v>0</v>
      </c>
      <c r="BD88" s="486">
        <v>0</v>
      </c>
      <c r="BE88" s="486">
        <v>0</v>
      </c>
      <c r="BF88" s="486">
        <v>0</v>
      </c>
      <c r="BG88" s="486">
        <v>0</v>
      </c>
      <c r="BH88" s="486">
        <v>0</v>
      </c>
      <c r="BI88" s="486">
        <v>0</v>
      </c>
      <c r="BJ88" s="486">
        <v>0</v>
      </c>
      <c r="BK88" s="486">
        <v>0</v>
      </c>
      <c r="BL88" s="486">
        <v>0</v>
      </c>
      <c r="BM88" s="486">
        <v>0</v>
      </c>
      <c r="BN88" s="486">
        <v>0</v>
      </c>
      <c r="BO88" s="486">
        <v>0</v>
      </c>
      <c r="BP88" s="486">
        <v>0</v>
      </c>
      <c r="BQ88" s="486">
        <v>0</v>
      </c>
      <c r="BR88" s="486">
        <v>0</v>
      </c>
      <c r="BS88" s="486">
        <v>0</v>
      </c>
      <c r="BT88" s="486">
        <v>0</v>
      </c>
      <c r="BU88" s="486">
        <v>0</v>
      </c>
      <c r="BV88" s="486">
        <v>0</v>
      </c>
      <c r="BW88" s="486">
        <v>0</v>
      </c>
      <c r="BX88" s="486">
        <v>0</v>
      </c>
      <c r="BY88" s="486">
        <v>0</v>
      </c>
      <c r="BZ88" s="486">
        <v>0</v>
      </c>
      <c r="CA88" s="486">
        <v>0</v>
      </c>
      <c r="CB88" s="486">
        <v>0</v>
      </c>
      <c r="CC88" s="486">
        <v>0</v>
      </c>
      <c r="CD88" s="486">
        <v>0</v>
      </c>
      <c r="CE88" s="486">
        <v>0</v>
      </c>
      <c r="CF88" s="486">
        <v>0</v>
      </c>
      <c r="CG88" s="486">
        <v>0</v>
      </c>
      <c r="CH88" s="486">
        <v>0</v>
      </c>
      <c r="CI88" s="486">
        <v>0</v>
      </c>
      <c r="CJ88" s="486">
        <v>0</v>
      </c>
      <c r="CK88" s="486">
        <v>0</v>
      </c>
      <c r="CL88" s="486">
        <v>0</v>
      </c>
      <c r="CM88" s="486">
        <v>0</v>
      </c>
      <c r="CN88" s="486">
        <v>0</v>
      </c>
      <c r="CO88" s="486">
        <v>0</v>
      </c>
      <c r="CP88" s="486">
        <v>0</v>
      </c>
      <c r="CQ88" s="486">
        <v>0</v>
      </c>
      <c r="CR88" s="486">
        <v>0</v>
      </c>
      <c r="CS88" s="486">
        <v>0</v>
      </c>
      <c r="CT88" s="486">
        <v>0</v>
      </c>
      <c r="CU88" s="486">
        <v>0</v>
      </c>
      <c r="CV88" s="486">
        <v>0</v>
      </c>
      <c r="CW88" s="486">
        <v>0</v>
      </c>
      <c r="CX88" s="486">
        <v>0</v>
      </c>
      <c r="CY88" s="486">
        <v>0</v>
      </c>
      <c r="CZ88" s="486">
        <v>0</v>
      </c>
      <c r="DA88" s="486">
        <v>0</v>
      </c>
      <c r="DB88" s="486">
        <v>0</v>
      </c>
      <c r="DC88" s="486">
        <v>0</v>
      </c>
      <c r="DD88" s="486">
        <v>0</v>
      </c>
      <c r="DE88" s="486">
        <v>0</v>
      </c>
      <c r="DF88" s="486">
        <v>0</v>
      </c>
      <c r="DG88" s="486">
        <v>0</v>
      </c>
      <c r="DH88" s="486">
        <v>0</v>
      </c>
      <c r="DI88" s="486">
        <v>0</v>
      </c>
      <c r="DJ88" s="486">
        <v>0</v>
      </c>
      <c r="DK88" s="486">
        <v>0</v>
      </c>
      <c r="DL88" s="486">
        <v>0</v>
      </c>
      <c r="DM88" s="486">
        <v>0</v>
      </c>
      <c r="DN88" s="486">
        <v>0</v>
      </c>
      <c r="DO88" s="486">
        <v>0</v>
      </c>
      <c r="DP88" s="486">
        <v>0</v>
      </c>
      <c r="DQ88" s="486">
        <v>0</v>
      </c>
      <c r="DR88" s="486">
        <v>0</v>
      </c>
      <c r="DS88" s="486">
        <v>0</v>
      </c>
      <c r="DT88" s="486">
        <v>0</v>
      </c>
      <c r="DU88" s="486">
        <v>0</v>
      </c>
      <c r="DV88" s="486">
        <v>0</v>
      </c>
      <c r="DW88" s="486">
        <v>0</v>
      </c>
      <c r="DX88" s="477"/>
      <c r="DY88" s="484" t="s">
        <v>720</v>
      </c>
      <c r="DZ88" s="484" t="s">
        <v>617</v>
      </c>
      <c r="EA88" s="484" t="s">
        <v>26</v>
      </c>
      <c r="EB88" s="486">
        <v>53</v>
      </c>
      <c r="EC88" s="471" t="str">
        <f t="shared" si="0"/>
        <v>AIJ100253</v>
      </c>
      <c r="ED88" s="486">
        <v>10000</v>
      </c>
      <c r="EE88" s="486">
        <v>10000</v>
      </c>
      <c r="EF88" s="486">
        <v>10000</v>
      </c>
      <c r="EG88" s="486">
        <v>10000</v>
      </c>
      <c r="EH88" s="486">
        <v>10000</v>
      </c>
      <c r="EI88" s="486">
        <v>10000</v>
      </c>
      <c r="EJ88" s="486">
        <v>10000</v>
      </c>
      <c r="EK88" s="486">
        <v>10000</v>
      </c>
      <c r="EL88" s="486">
        <v>10000</v>
      </c>
      <c r="EM88" s="486">
        <v>10000</v>
      </c>
      <c r="EN88" s="486">
        <v>0</v>
      </c>
      <c r="EO88" s="486">
        <v>0</v>
      </c>
      <c r="EP88" s="486">
        <v>0</v>
      </c>
      <c r="EQ88" s="486">
        <v>0</v>
      </c>
      <c r="ER88" s="486">
        <v>0</v>
      </c>
      <c r="ES88" s="486">
        <v>0</v>
      </c>
      <c r="ET88" s="486">
        <v>0</v>
      </c>
      <c r="EU88" s="486">
        <v>0</v>
      </c>
      <c r="EV88" s="486">
        <v>0</v>
      </c>
      <c r="EW88" s="486">
        <v>0</v>
      </c>
      <c r="EX88" s="486">
        <v>0</v>
      </c>
      <c r="EY88" s="486">
        <v>0</v>
      </c>
      <c r="EZ88" s="486">
        <v>0</v>
      </c>
      <c r="FA88" s="486">
        <v>0</v>
      </c>
      <c r="FB88" s="486">
        <v>0</v>
      </c>
      <c r="FC88" s="486">
        <v>0</v>
      </c>
      <c r="FD88" s="486">
        <v>0</v>
      </c>
      <c r="FE88" s="486">
        <v>0</v>
      </c>
      <c r="FF88" s="486">
        <v>0</v>
      </c>
      <c r="FG88" s="486">
        <v>0</v>
      </c>
      <c r="FH88" s="486">
        <v>0</v>
      </c>
      <c r="FI88" s="486">
        <v>0</v>
      </c>
      <c r="FJ88" s="486">
        <v>0</v>
      </c>
      <c r="FK88" s="486">
        <v>0</v>
      </c>
      <c r="FL88" s="486">
        <v>0</v>
      </c>
      <c r="FM88" s="486">
        <v>0</v>
      </c>
      <c r="FN88" s="486">
        <v>0</v>
      </c>
      <c r="FO88" s="486">
        <v>0</v>
      </c>
      <c r="FP88" s="486">
        <v>0</v>
      </c>
      <c r="FQ88" s="486">
        <v>0</v>
      </c>
      <c r="FR88" s="486">
        <v>0</v>
      </c>
      <c r="FS88" s="486">
        <v>0</v>
      </c>
      <c r="FT88" s="486">
        <v>0</v>
      </c>
      <c r="FU88" s="486">
        <v>0</v>
      </c>
      <c r="FV88" s="486">
        <v>0</v>
      </c>
      <c r="FW88" s="486">
        <v>0</v>
      </c>
      <c r="FX88" s="486">
        <v>0</v>
      </c>
      <c r="FY88" s="486">
        <v>0</v>
      </c>
      <c r="FZ88" s="486">
        <v>0</v>
      </c>
      <c r="GA88" s="486">
        <v>0</v>
      </c>
      <c r="GB88" s="486">
        <v>0</v>
      </c>
      <c r="GC88" s="486">
        <v>0</v>
      </c>
      <c r="GD88" s="486">
        <v>0</v>
      </c>
      <c r="GE88" s="486">
        <v>0</v>
      </c>
      <c r="GF88" s="486">
        <v>0</v>
      </c>
      <c r="GG88" s="486">
        <v>0</v>
      </c>
      <c r="GH88" s="486">
        <v>0</v>
      </c>
      <c r="GI88" s="486">
        <v>0</v>
      </c>
      <c r="GJ88" s="486">
        <v>0</v>
      </c>
      <c r="GK88" s="486">
        <v>0</v>
      </c>
      <c r="GL88" s="486">
        <v>0</v>
      </c>
      <c r="GM88" s="486">
        <v>0</v>
      </c>
      <c r="GN88" s="486">
        <v>0</v>
      </c>
      <c r="GO88" s="486">
        <v>0</v>
      </c>
      <c r="GP88" s="486">
        <v>0</v>
      </c>
      <c r="GQ88" s="486">
        <v>0</v>
      </c>
      <c r="GR88" s="486">
        <v>0</v>
      </c>
      <c r="GS88" s="486">
        <v>0</v>
      </c>
      <c r="GT88" s="486">
        <v>0</v>
      </c>
      <c r="GU88" s="486">
        <v>0</v>
      </c>
      <c r="GV88" s="486">
        <v>0</v>
      </c>
      <c r="GW88" s="486">
        <v>0</v>
      </c>
      <c r="GX88" s="486">
        <v>0</v>
      </c>
      <c r="GY88" s="486">
        <v>0</v>
      </c>
      <c r="GZ88" s="486">
        <v>0</v>
      </c>
      <c r="HA88" s="486">
        <v>0</v>
      </c>
      <c r="HB88" s="486">
        <v>0</v>
      </c>
      <c r="HC88" s="486">
        <v>0</v>
      </c>
      <c r="HD88" s="486">
        <v>0</v>
      </c>
      <c r="HE88" s="486">
        <v>0</v>
      </c>
      <c r="HF88" s="486">
        <v>0</v>
      </c>
      <c r="HG88" s="486">
        <v>0</v>
      </c>
      <c r="HH88" s="486">
        <v>0</v>
      </c>
      <c r="HI88" s="486">
        <v>0</v>
      </c>
      <c r="HJ88" s="486">
        <v>0</v>
      </c>
      <c r="HK88" s="486">
        <v>0</v>
      </c>
      <c r="HL88" s="486">
        <v>0</v>
      </c>
      <c r="HM88" s="486">
        <v>0</v>
      </c>
      <c r="HN88" s="486">
        <v>0</v>
      </c>
      <c r="HO88" s="486">
        <v>0</v>
      </c>
      <c r="HP88" s="486">
        <v>0</v>
      </c>
      <c r="HQ88" s="486">
        <v>0</v>
      </c>
      <c r="HR88" s="486">
        <v>0</v>
      </c>
      <c r="HS88" s="486">
        <v>0</v>
      </c>
      <c r="HT88" s="486">
        <v>0</v>
      </c>
      <c r="HU88" s="486">
        <v>0</v>
      </c>
      <c r="HV88" s="486">
        <v>0</v>
      </c>
      <c r="HW88" s="486">
        <v>0</v>
      </c>
      <c r="HX88" s="486">
        <v>0</v>
      </c>
      <c r="HY88" s="486">
        <v>0</v>
      </c>
      <c r="HZ88" s="486">
        <v>0</v>
      </c>
      <c r="IA88" s="486">
        <v>0</v>
      </c>
      <c r="IB88" s="486">
        <v>0</v>
      </c>
      <c r="IC88" s="486">
        <v>0</v>
      </c>
      <c r="ID88" s="486">
        <v>0</v>
      </c>
      <c r="IE88" s="486">
        <v>0</v>
      </c>
      <c r="IF88" s="486">
        <v>0</v>
      </c>
      <c r="IG88" s="486">
        <v>0</v>
      </c>
      <c r="IH88" s="486">
        <v>0</v>
      </c>
      <c r="II88" s="486">
        <v>0</v>
      </c>
      <c r="IJ88" s="486">
        <v>0</v>
      </c>
    </row>
    <row r="89" spans="1:244" ht="16.5" hidden="1">
      <c r="A89" s="484" t="s">
        <v>720</v>
      </c>
      <c r="B89" s="484" t="s">
        <v>617</v>
      </c>
      <c r="C89" s="484" t="s">
        <v>721</v>
      </c>
      <c r="D89" s="485"/>
      <c r="E89" s="484" t="s">
        <v>721</v>
      </c>
      <c r="F89" s="484" t="s">
        <v>25</v>
      </c>
      <c r="G89" s="485"/>
      <c r="H89" s="486">
        <v>38</v>
      </c>
      <c r="I89" s="471" t="str">
        <f t="shared" si="3"/>
        <v>AIJ100138</v>
      </c>
      <c r="J89" s="486">
        <v>86</v>
      </c>
      <c r="L89" s="484" t="s">
        <v>720</v>
      </c>
      <c r="M89" s="484" t="s">
        <v>617</v>
      </c>
      <c r="N89" s="484" t="s">
        <v>26</v>
      </c>
      <c r="O89" s="486">
        <v>54</v>
      </c>
      <c r="P89" s="471" t="str">
        <f t="shared" si="4"/>
        <v>AIJ100254</v>
      </c>
      <c r="Q89" s="486">
        <v>0</v>
      </c>
      <c r="R89" s="486">
        <v>21</v>
      </c>
      <c r="S89" s="486">
        <v>40</v>
      </c>
      <c r="T89" s="486">
        <v>57</v>
      </c>
      <c r="U89" s="486">
        <v>75</v>
      </c>
      <c r="V89" s="486">
        <v>87</v>
      </c>
      <c r="W89" s="486">
        <v>101</v>
      </c>
      <c r="X89" s="486">
        <v>112</v>
      </c>
      <c r="Y89" s="486">
        <v>111</v>
      </c>
      <c r="Z89" s="486">
        <v>0</v>
      </c>
      <c r="AA89" s="486">
        <v>0</v>
      </c>
      <c r="AB89" s="486">
        <v>0</v>
      </c>
      <c r="AC89" s="486">
        <v>0</v>
      </c>
      <c r="AD89" s="486">
        <v>0</v>
      </c>
      <c r="AE89" s="486">
        <v>0</v>
      </c>
      <c r="AF89" s="486">
        <v>0</v>
      </c>
      <c r="AG89" s="486">
        <v>0</v>
      </c>
      <c r="AH89" s="486">
        <v>0</v>
      </c>
      <c r="AI89" s="486">
        <v>0</v>
      </c>
      <c r="AJ89" s="486">
        <v>0</v>
      </c>
      <c r="AK89" s="486">
        <v>0</v>
      </c>
      <c r="AL89" s="486">
        <v>0</v>
      </c>
      <c r="AM89" s="486">
        <v>0</v>
      </c>
      <c r="AN89" s="486">
        <v>0</v>
      </c>
      <c r="AO89" s="486">
        <v>0</v>
      </c>
      <c r="AP89" s="486">
        <v>0</v>
      </c>
      <c r="AQ89" s="486">
        <v>0</v>
      </c>
      <c r="AR89" s="486">
        <v>0</v>
      </c>
      <c r="AS89" s="486">
        <v>0</v>
      </c>
      <c r="AT89" s="486">
        <v>0</v>
      </c>
      <c r="AU89" s="486">
        <v>0</v>
      </c>
      <c r="AV89" s="486">
        <v>0</v>
      </c>
      <c r="AW89" s="486">
        <v>0</v>
      </c>
      <c r="AX89" s="486">
        <v>0</v>
      </c>
      <c r="AY89" s="486">
        <v>0</v>
      </c>
      <c r="AZ89" s="486">
        <v>0</v>
      </c>
      <c r="BA89" s="486">
        <v>0</v>
      </c>
      <c r="BB89" s="486">
        <v>0</v>
      </c>
      <c r="BC89" s="486">
        <v>0</v>
      </c>
      <c r="BD89" s="486">
        <v>0</v>
      </c>
      <c r="BE89" s="486">
        <v>0</v>
      </c>
      <c r="BF89" s="486">
        <v>0</v>
      </c>
      <c r="BG89" s="486">
        <v>0</v>
      </c>
      <c r="BH89" s="486">
        <v>0</v>
      </c>
      <c r="BI89" s="486">
        <v>0</v>
      </c>
      <c r="BJ89" s="486">
        <v>0</v>
      </c>
      <c r="BK89" s="486">
        <v>0</v>
      </c>
      <c r="BL89" s="486">
        <v>0</v>
      </c>
      <c r="BM89" s="486">
        <v>0</v>
      </c>
      <c r="BN89" s="486">
        <v>0</v>
      </c>
      <c r="BO89" s="486">
        <v>0</v>
      </c>
      <c r="BP89" s="486">
        <v>0</v>
      </c>
      <c r="BQ89" s="486">
        <v>0</v>
      </c>
      <c r="BR89" s="486">
        <v>0</v>
      </c>
      <c r="BS89" s="486">
        <v>0</v>
      </c>
      <c r="BT89" s="486">
        <v>0</v>
      </c>
      <c r="BU89" s="486">
        <v>0</v>
      </c>
      <c r="BV89" s="486">
        <v>0</v>
      </c>
      <c r="BW89" s="486">
        <v>0</v>
      </c>
      <c r="BX89" s="486">
        <v>0</v>
      </c>
      <c r="BY89" s="486">
        <v>0</v>
      </c>
      <c r="BZ89" s="486">
        <v>0</v>
      </c>
      <c r="CA89" s="486">
        <v>0</v>
      </c>
      <c r="CB89" s="486">
        <v>0</v>
      </c>
      <c r="CC89" s="486">
        <v>0</v>
      </c>
      <c r="CD89" s="486">
        <v>0</v>
      </c>
      <c r="CE89" s="486">
        <v>0</v>
      </c>
      <c r="CF89" s="486">
        <v>0</v>
      </c>
      <c r="CG89" s="486">
        <v>0</v>
      </c>
      <c r="CH89" s="486">
        <v>0</v>
      </c>
      <c r="CI89" s="486">
        <v>0</v>
      </c>
      <c r="CJ89" s="486">
        <v>0</v>
      </c>
      <c r="CK89" s="486">
        <v>0</v>
      </c>
      <c r="CL89" s="486">
        <v>0</v>
      </c>
      <c r="CM89" s="486">
        <v>0</v>
      </c>
      <c r="CN89" s="486">
        <v>0</v>
      </c>
      <c r="CO89" s="486">
        <v>0</v>
      </c>
      <c r="CP89" s="486">
        <v>0</v>
      </c>
      <c r="CQ89" s="486">
        <v>0</v>
      </c>
      <c r="CR89" s="486">
        <v>0</v>
      </c>
      <c r="CS89" s="486">
        <v>0</v>
      </c>
      <c r="CT89" s="486">
        <v>0</v>
      </c>
      <c r="CU89" s="486">
        <v>0</v>
      </c>
      <c r="CV89" s="486">
        <v>0</v>
      </c>
      <c r="CW89" s="486">
        <v>0</v>
      </c>
      <c r="CX89" s="486">
        <v>0</v>
      </c>
      <c r="CY89" s="486">
        <v>0</v>
      </c>
      <c r="CZ89" s="486">
        <v>0</v>
      </c>
      <c r="DA89" s="486">
        <v>0</v>
      </c>
      <c r="DB89" s="486">
        <v>0</v>
      </c>
      <c r="DC89" s="486">
        <v>0</v>
      </c>
      <c r="DD89" s="486">
        <v>0</v>
      </c>
      <c r="DE89" s="486">
        <v>0</v>
      </c>
      <c r="DF89" s="486">
        <v>0</v>
      </c>
      <c r="DG89" s="486">
        <v>0</v>
      </c>
      <c r="DH89" s="486">
        <v>0</v>
      </c>
      <c r="DI89" s="486">
        <v>0</v>
      </c>
      <c r="DJ89" s="486">
        <v>0</v>
      </c>
      <c r="DK89" s="486">
        <v>0</v>
      </c>
      <c r="DL89" s="486">
        <v>0</v>
      </c>
      <c r="DM89" s="486">
        <v>0</v>
      </c>
      <c r="DN89" s="486">
        <v>0</v>
      </c>
      <c r="DO89" s="486">
        <v>0</v>
      </c>
      <c r="DP89" s="486">
        <v>0</v>
      </c>
      <c r="DQ89" s="486">
        <v>0</v>
      </c>
      <c r="DR89" s="486">
        <v>0</v>
      </c>
      <c r="DS89" s="486">
        <v>0</v>
      </c>
      <c r="DT89" s="486">
        <v>0</v>
      </c>
      <c r="DU89" s="486">
        <v>0</v>
      </c>
      <c r="DV89" s="486">
        <v>0</v>
      </c>
      <c r="DW89" s="486">
        <v>0</v>
      </c>
      <c r="DX89" s="477"/>
      <c r="DY89" s="484" t="s">
        <v>720</v>
      </c>
      <c r="DZ89" s="484" t="s">
        <v>617</v>
      </c>
      <c r="EA89" s="484" t="s">
        <v>26</v>
      </c>
      <c r="EB89" s="486">
        <v>54</v>
      </c>
      <c r="EC89" s="471" t="str">
        <f t="shared" si="0"/>
        <v>AIJ100254</v>
      </c>
      <c r="ED89" s="486">
        <v>10000</v>
      </c>
      <c r="EE89" s="486">
        <v>10000</v>
      </c>
      <c r="EF89" s="486">
        <v>10000</v>
      </c>
      <c r="EG89" s="486">
        <v>10000</v>
      </c>
      <c r="EH89" s="486">
        <v>10000</v>
      </c>
      <c r="EI89" s="486">
        <v>10000</v>
      </c>
      <c r="EJ89" s="486">
        <v>10000</v>
      </c>
      <c r="EK89" s="486">
        <v>10000</v>
      </c>
      <c r="EL89" s="486">
        <v>10000</v>
      </c>
      <c r="EM89" s="486">
        <v>10000</v>
      </c>
      <c r="EN89" s="486">
        <v>0</v>
      </c>
      <c r="EO89" s="486">
        <v>0</v>
      </c>
      <c r="EP89" s="486">
        <v>0</v>
      </c>
      <c r="EQ89" s="486">
        <v>0</v>
      </c>
      <c r="ER89" s="486">
        <v>0</v>
      </c>
      <c r="ES89" s="486">
        <v>0</v>
      </c>
      <c r="ET89" s="486">
        <v>0</v>
      </c>
      <c r="EU89" s="486">
        <v>0</v>
      </c>
      <c r="EV89" s="486">
        <v>0</v>
      </c>
      <c r="EW89" s="486">
        <v>0</v>
      </c>
      <c r="EX89" s="486">
        <v>0</v>
      </c>
      <c r="EY89" s="486">
        <v>0</v>
      </c>
      <c r="EZ89" s="486">
        <v>0</v>
      </c>
      <c r="FA89" s="486">
        <v>0</v>
      </c>
      <c r="FB89" s="486">
        <v>0</v>
      </c>
      <c r="FC89" s="486">
        <v>0</v>
      </c>
      <c r="FD89" s="486">
        <v>0</v>
      </c>
      <c r="FE89" s="486">
        <v>0</v>
      </c>
      <c r="FF89" s="486">
        <v>0</v>
      </c>
      <c r="FG89" s="486">
        <v>0</v>
      </c>
      <c r="FH89" s="486">
        <v>0</v>
      </c>
      <c r="FI89" s="486">
        <v>0</v>
      </c>
      <c r="FJ89" s="486">
        <v>0</v>
      </c>
      <c r="FK89" s="486">
        <v>0</v>
      </c>
      <c r="FL89" s="486">
        <v>0</v>
      </c>
      <c r="FM89" s="486">
        <v>0</v>
      </c>
      <c r="FN89" s="486">
        <v>0</v>
      </c>
      <c r="FO89" s="486">
        <v>0</v>
      </c>
      <c r="FP89" s="486">
        <v>0</v>
      </c>
      <c r="FQ89" s="486">
        <v>0</v>
      </c>
      <c r="FR89" s="486">
        <v>0</v>
      </c>
      <c r="FS89" s="486">
        <v>0</v>
      </c>
      <c r="FT89" s="486">
        <v>0</v>
      </c>
      <c r="FU89" s="486">
        <v>0</v>
      </c>
      <c r="FV89" s="486">
        <v>0</v>
      </c>
      <c r="FW89" s="486">
        <v>0</v>
      </c>
      <c r="FX89" s="486">
        <v>0</v>
      </c>
      <c r="FY89" s="486">
        <v>0</v>
      </c>
      <c r="FZ89" s="486">
        <v>0</v>
      </c>
      <c r="GA89" s="486">
        <v>0</v>
      </c>
      <c r="GB89" s="486">
        <v>0</v>
      </c>
      <c r="GC89" s="486">
        <v>0</v>
      </c>
      <c r="GD89" s="486">
        <v>0</v>
      </c>
      <c r="GE89" s="486">
        <v>0</v>
      </c>
      <c r="GF89" s="486">
        <v>0</v>
      </c>
      <c r="GG89" s="486">
        <v>0</v>
      </c>
      <c r="GH89" s="486">
        <v>0</v>
      </c>
      <c r="GI89" s="486">
        <v>0</v>
      </c>
      <c r="GJ89" s="486">
        <v>0</v>
      </c>
      <c r="GK89" s="486">
        <v>0</v>
      </c>
      <c r="GL89" s="486">
        <v>0</v>
      </c>
      <c r="GM89" s="486">
        <v>0</v>
      </c>
      <c r="GN89" s="486">
        <v>0</v>
      </c>
      <c r="GO89" s="486">
        <v>0</v>
      </c>
      <c r="GP89" s="486">
        <v>0</v>
      </c>
      <c r="GQ89" s="486">
        <v>0</v>
      </c>
      <c r="GR89" s="486">
        <v>0</v>
      </c>
      <c r="GS89" s="486">
        <v>0</v>
      </c>
      <c r="GT89" s="486">
        <v>0</v>
      </c>
      <c r="GU89" s="486">
        <v>0</v>
      </c>
      <c r="GV89" s="486">
        <v>0</v>
      </c>
      <c r="GW89" s="486">
        <v>0</v>
      </c>
      <c r="GX89" s="486">
        <v>0</v>
      </c>
      <c r="GY89" s="486">
        <v>0</v>
      </c>
      <c r="GZ89" s="486">
        <v>0</v>
      </c>
      <c r="HA89" s="486">
        <v>0</v>
      </c>
      <c r="HB89" s="486">
        <v>0</v>
      </c>
      <c r="HC89" s="486">
        <v>0</v>
      </c>
      <c r="HD89" s="486">
        <v>0</v>
      </c>
      <c r="HE89" s="486">
        <v>0</v>
      </c>
      <c r="HF89" s="486">
        <v>0</v>
      </c>
      <c r="HG89" s="486">
        <v>0</v>
      </c>
      <c r="HH89" s="486">
        <v>0</v>
      </c>
      <c r="HI89" s="486">
        <v>0</v>
      </c>
      <c r="HJ89" s="486">
        <v>0</v>
      </c>
      <c r="HK89" s="486">
        <v>0</v>
      </c>
      <c r="HL89" s="486">
        <v>0</v>
      </c>
      <c r="HM89" s="486">
        <v>0</v>
      </c>
      <c r="HN89" s="486">
        <v>0</v>
      </c>
      <c r="HO89" s="486">
        <v>0</v>
      </c>
      <c r="HP89" s="486">
        <v>0</v>
      </c>
      <c r="HQ89" s="486">
        <v>0</v>
      </c>
      <c r="HR89" s="486">
        <v>0</v>
      </c>
      <c r="HS89" s="486">
        <v>0</v>
      </c>
      <c r="HT89" s="486">
        <v>0</v>
      </c>
      <c r="HU89" s="486">
        <v>0</v>
      </c>
      <c r="HV89" s="486">
        <v>0</v>
      </c>
      <c r="HW89" s="486">
        <v>0</v>
      </c>
      <c r="HX89" s="486">
        <v>0</v>
      </c>
      <c r="HY89" s="486">
        <v>0</v>
      </c>
      <c r="HZ89" s="486">
        <v>0</v>
      </c>
      <c r="IA89" s="486">
        <v>0</v>
      </c>
      <c r="IB89" s="486">
        <v>0</v>
      </c>
      <c r="IC89" s="486">
        <v>0</v>
      </c>
      <c r="ID89" s="486">
        <v>0</v>
      </c>
      <c r="IE89" s="486">
        <v>0</v>
      </c>
      <c r="IF89" s="486">
        <v>0</v>
      </c>
      <c r="IG89" s="486">
        <v>0</v>
      </c>
      <c r="IH89" s="486">
        <v>0</v>
      </c>
      <c r="II89" s="486">
        <v>0</v>
      </c>
      <c r="IJ89" s="486">
        <v>0</v>
      </c>
    </row>
    <row r="90" spans="1:244" ht="16.5" hidden="1">
      <c r="A90" s="484" t="s">
        <v>720</v>
      </c>
      <c r="B90" s="484" t="s">
        <v>617</v>
      </c>
      <c r="C90" s="484" t="s">
        <v>721</v>
      </c>
      <c r="D90" s="485"/>
      <c r="E90" s="484" t="s">
        <v>721</v>
      </c>
      <c r="F90" s="484" t="s">
        <v>25</v>
      </c>
      <c r="G90" s="485"/>
      <c r="H90" s="486">
        <v>39</v>
      </c>
      <c r="I90" s="471" t="str">
        <f t="shared" si="3"/>
        <v>AIJ100139</v>
      </c>
      <c r="J90" s="486">
        <v>90</v>
      </c>
      <c r="L90" s="484" t="s">
        <v>720</v>
      </c>
      <c r="M90" s="484" t="s">
        <v>617</v>
      </c>
      <c r="N90" s="484" t="s">
        <v>26</v>
      </c>
      <c r="O90" s="486">
        <v>55</v>
      </c>
      <c r="P90" s="471" t="str">
        <f t="shared" si="4"/>
        <v>AIJ100255</v>
      </c>
      <c r="Q90" s="486">
        <v>0</v>
      </c>
      <c r="R90" s="486">
        <v>23</v>
      </c>
      <c r="S90" s="486">
        <v>44</v>
      </c>
      <c r="T90" s="486">
        <v>62</v>
      </c>
      <c r="U90" s="486">
        <v>82</v>
      </c>
      <c r="V90" s="486">
        <v>94</v>
      </c>
      <c r="W90" s="486">
        <v>109</v>
      </c>
      <c r="X90" s="486">
        <v>120</v>
      </c>
      <c r="Y90" s="486">
        <v>120</v>
      </c>
      <c r="Z90" s="486">
        <v>0</v>
      </c>
      <c r="AA90" s="486">
        <v>0</v>
      </c>
      <c r="AB90" s="486">
        <v>0</v>
      </c>
      <c r="AC90" s="486">
        <v>0</v>
      </c>
      <c r="AD90" s="486">
        <v>0</v>
      </c>
      <c r="AE90" s="486">
        <v>0</v>
      </c>
      <c r="AF90" s="486">
        <v>0</v>
      </c>
      <c r="AG90" s="486">
        <v>0</v>
      </c>
      <c r="AH90" s="486">
        <v>0</v>
      </c>
      <c r="AI90" s="486">
        <v>0</v>
      </c>
      <c r="AJ90" s="486">
        <v>0</v>
      </c>
      <c r="AK90" s="486">
        <v>0</v>
      </c>
      <c r="AL90" s="486">
        <v>0</v>
      </c>
      <c r="AM90" s="486">
        <v>0</v>
      </c>
      <c r="AN90" s="486">
        <v>0</v>
      </c>
      <c r="AO90" s="486">
        <v>0</v>
      </c>
      <c r="AP90" s="486">
        <v>0</v>
      </c>
      <c r="AQ90" s="486">
        <v>0</v>
      </c>
      <c r="AR90" s="486">
        <v>0</v>
      </c>
      <c r="AS90" s="486">
        <v>0</v>
      </c>
      <c r="AT90" s="486">
        <v>0</v>
      </c>
      <c r="AU90" s="486">
        <v>0</v>
      </c>
      <c r="AV90" s="486">
        <v>0</v>
      </c>
      <c r="AW90" s="486">
        <v>0</v>
      </c>
      <c r="AX90" s="486">
        <v>0</v>
      </c>
      <c r="AY90" s="486">
        <v>0</v>
      </c>
      <c r="AZ90" s="486">
        <v>0</v>
      </c>
      <c r="BA90" s="486">
        <v>0</v>
      </c>
      <c r="BB90" s="486">
        <v>0</v>
      </c>
      <c r="BC90" s="486">
        <v>0</v>
      </c>
      <c r="BD90" s="486">
        <v>0</v>
      </c>
      <c r="BE90" s="486">
        <v>0</v>
      </c>
      <c r="BF90" s="486">
        <v>0</v>
      </c>
      <c r="BG90" s="486">
        <v>0</v>
      </c>
      <c r="BH90" s="486">
        <v>0</v>
      </c>
      <c r="BI90" s="486">
        <v>0</v>
      </c>
      <c r="BJ90" s="486">
        <v>0</v>
      </c>
      <c r="BK90" s="486">
        <v>0</v>
      </c>
      <c r="BL90" s="486">
        <v>0</v>
      </c>
      <c r="BM90" s="486">
        <v>0</v>
      </c>
      <c r="BN90" s="486">
        <v>0</v>
      </c>
      <c r="BO90" s="486">
        <v>0</v>
      </c>
      <c r="BP90" s="486">
        <v>0</v>
      </c>
      <c r="BQ90" s="486">
        <v>0</v>
      </c>
      <c r="BR90" s="486">
        <v>0</v>
      </c>
      <c r="BS90" s="486">
        <v>0</v>
      </c>
      <c r="BT90" s="486">
        <v>0</v>
      </c>
      <c r="BU90" s="486">
        <v>0</v>
      </c>
      <c r="BV90" s="486">
        <v>0</v>
      </c>
      <c r="BW90" s="486">
        <v>0</v>
      </c>
      <c r="BX90" s="486">
        <v>0</v>
      </c>
      <c r="BY90" s="486">
        <v>0</v>
      </c>
      <c r="BZ90" s="486">
        <v>0</v>
      </c>
      <c r="CA90" s="486">
        <v>0</v>
      </c>
      <c r="CB90" s="486">
        <v>0</v>
      </c>
      <c r="CC90" s="486">
        <v>0</v>
      </c>
      <c r="CD90" s="486">
        <v>0</v>
      </c>
      <c r="CE90" s="486">
        <v>0</v>
      </c>
      <c r="CF90" s="486">
        <v>0</v>
      </c>
      <c r="CG90" s="486">
        <v>0</v>
      </c>
      <c r="CH90" s="486">
        <v>0</v>
      </c>
      <c r="CI90" s="486">
        <v>0</v>
      </c>
      <c r="CJ90" s="486">
        <v>0</v>
      </c>
      <c r="CK90" s="486">
        <v>0</v>
      </c>
      <c r="CL90" s="486">
        <v>0</v>
      </c>
      <c r="CM90" s="486">
        <v>0</v>
      </c>
      <c r="CN90" s="486">
        <v>0</v>
      </c>
      <c r="CO90" s="486">
        <v>0</v>
      </c>
      <c r="CP90" s="486">
        <v>0</v>
      </c>
      <c r="CQ90" s="486">
        <v>0</v>
      </c>
      <c r="CR90" s="486">
        <v>0</v>
      </c>
      <c r="CS90" s="486">
        <v>0</v>
      </c>
      <c r="CT90" s="486">
        <v>0</v>
      </c>
      <c r="CU90" s="486">
        <v>0</v>
      </c>
      <c r="CV90" s="486">
        <v>0</v>
      </c>
      <c r="CW90" s="486">
        <v>0</v>
      </c>
      <c r="CX90" s="486">
        <v>0</v>
      </c>
      <c r="CY90" s="486">
        <v>0</v>
      </c>
      <c r="CZ90" s="486">
        <v>0</v>
      </c>
      <c r="DA90" s="486">
        <v>0</v>
      </c>
      <c r="DB90" s="486">
        <v>0</v>
      </c>
      <c r="DC90" s="486">
        <v>0</v>
      </c>
      <c r="DD90" s="486">
        <v>0</v>
      </c>
      <c r="DE90" s="486">
        <v>0</v>
      </c>
      <c r="DF90" s="486">
        <v>0</v>
      </c>
      <c r="DG90" s="486">
        <v>0</v>
      </c>
      <c r="DH90" s="486">
        <v>0</v>
      </c>
      <c r="DI90" s="486">
        <v>0</v>
      </c>
      <c r="DJ90" s="486">
        <v>0</v>
      </c>
      <c r="DK90" s="486">
        <v>0</v>
      </c>
      <c r="DL90" s="486">
        <v>0</v>
      </c>
      <c r="DM90" s="486">
        <v>0</v>
      </c>
      <c r="DN90" s="486">
        <v>0</v>
      </c>
      <c r="DO90" s="486">
        <v>0</v>
      </c>
      <c r="DP90" s="486">
        <v>0</v>
      </c>
      <c r="DQ90" s="486">
        <v>0</v>
      </c>
      <c r="DR90" s="486">
        <v>0</v>
      </c>
      <c r="DS90" s="486">
        <v>0</v>
      </c>
      <c r="DT90" s="486">
        <v>0</v>
      </c>
      <c r="DU90" s="486">
        <v>0</v>
      </c>
      <c r="DV90" s="486">
        <v>0</v>
      </c>
      <c r="DW90" s="486">
        <v>0</v>
      </c>
      <c r="DX90" s="477"/>
      <c r="DY90" s="484" t="s">
        <v>720</v>
      </c>
      <c r="DZ90" s="484" t="s">
        <v>617</v>
      </c>
      <c r="EA90" s="484" t="s">
        <v>26</v>
      </c>
      <c r="EB90" s="486">
        <v>55</v>
      </c>
      <c r="EC90" s="471" t="str">
        <f t="shared" si="0"/>
        <v>AIJ100255</v>
      </c>
      <c r="ED90" s="486">
        <v>10000</v>
      </c>
      <c r="EE90" s="486">
        <v>10000</v>
      </c>
      <c r="EF90" s="486">
        <v>10000</v>
      </c>
      <c r="EG90" s="486">
        <v>10000</v>
      </c>
      <c r="EH90" s="486">
        <v>10000</v>
      </c>
      <c r="EI90" s="486">
        <v>10000</v>
      </c>
      <c r="EJ90" s="486">
        <v>10000</v>
      </c>
      <c r="EK90" s="486">
        <v>10000</v>
      </c>
      <c r="EL90" s="486">
        <v>10000</v>
      </c>
      <c r="EM90" s="486">
        <v>10000</v>
      </c>
      <c r="EN90" s="486">
        <v>0</v>
      </c>
      <c r="EO90" s="486">
        <v>0</v>
      </c>
      <c r="EP90" s="486">
        <v>0</v>
      </c>
      <c r="EQ90" s="486">
        <v>0</v>
      </c>
      <c r="ER90" s="486">
        <v>0</v>
      </c>
      <c r="ES90" s="486">
        <v>0</v>
      </c>
      <c r="ET90" s="486">
        <v>0</v>
      </c>
      <c r="EU90" s="486">
        <v>0</v>
      </c>
      <c r="EV90" s="486">
        <v>0</v>
      </c>
      <c r="EW90" s="486">
        <v>0</v>
      </c>
      <c r="EX90" s="486">
        <v>0</v>
      </c>
      <c r="EY90" s="486">
        <v>0</v>
      </c>
      <c r="EZ90" s="486">
        <v>0</v>
      </c>
      <c r="FA90" s="486">
        <v>0</v>
      </c>
      <c r="FB90" s="486">
        <v>0</v>
      </c>
      <c r="FC90" s="486">
        <v>0</v>
      </c>
      <c r="FD90" s="486">
        <v>0</v>
      </c>
      <c r="FE90" s="486">
        <v>0</v>
      </c>
      <c r="FF90" s="486">
        <v>0</v>
      </c>
      <c r="FG90" s="486">
        <v>0</v>
      </c>
      <c r="FH90" s="486">
        <v>0</v>
      </c>
      <c r="FI90" s="486">
        <v>0</v>
      </c>
      <c r="FJ90" s="486">
        <v>0</v>
      </c>
      <c r="FK90" s="486">
        <v>0</v>
      </c>
      <c r="FL90" s="486">
        <v>0</v>
      </c>
      <c r="FM90" s="486">
        <v>0</v>
      </c>
      <c r="FN90" s="486">
        <v>0</v>
      </c>
      <c r="FO90" s="486">
        <v>0</v>
      </c>
      <c r="FP90" s="486">
        <v>0</v>
      </c>
      <c r="FQ90" s="486">
        <v>0</v>
      </c>
      <c r="FR90" s="486">
        <v>0</v>
      </c>
      <c r="FS90" s="486">
        <v>0</v>
      </c>
      <c r="FT90" s="486">
        <v>0</v>
      </c>
      <c r="FU90" s="486">
        <v>0</v>
      </c>
      <c r="FV90" s="486">
        <v>0</v>
      </c>
      <c r="FW90" s="486">
        <v>0</v>
      </c>
      <c r="FX90" s="486">
        <v>0</v>
      </c>
      <c r="FY90" s="486">
        <v>0</v>
      </c>
      <c r="FZ90" s="486">
        <v>0</v>
      </c>
      <c r="GA90" s="486">
        <v>0</v>
      </c>
      <c r="GB90" s="486">
        <v>0</v>
      </c>
      <c r="GC90" s="486">
        <v>0</v>
      </c>
      <c r="GD90" s="486">
        <v>0</v>
      </c>
      <c r="GE90" s="486">
        <v>0</v>
      </c>
      <c r="GF90" s="486">
        <v>0</v>
      </c>
      <c r="GG90" s="486">
        <v>0</v>
      </c>
      <c r="GH90" s="486">
        <v>0</v>
      </c>
      <c r="GI90" s="486">
        <v>0</v>
      </c>
      <c r="GJ90" s="486">
        <v>0</v>
      </c>
      <c r="GK90" s="486">
        <v>0</v>
      </c>
      <c r="GL90" s="486">
        <v>0</v>
      </c>
      <c r="GM90" s="486">
        <v>0</v>
      </c>
      <c r="GN90" s="486">
        <v>0</v>
      </c>
      <c r="GO90" s="486">
        <v>0</v>
      </c>
      <c r="GP90" s="486">
        <v>0</v>
      </c>
      <c r="GQ90" s="486">
        <v>0</v>
      </c>
      <c r="GR90" s="486">
        <v>0</v>
      </c>
      <c r="GS90" s="486">
        <v>0</v>
      </c>
      <c r="GT90" s="486">
        <v>0</v>
      </c>
      <c r="GU90" s="486">
        <v>0</v>
      </c>
      <c r="GV90" s="486">
        <v>0</v>
      </c>
      <c r="GW90" s="486">
        <v>0</v>
      </c>
      <c r="GX90" s="486">
        <v>0</v>
      </c>
      <c r="GY90" s="486">
        <v>0</v>
      </c>
      <c r="GZ90" s="486">
        <v>0</v>
      </c>
      <c r="HA90" s="486">
        <v>0</v>
      </c>
      <c r="HB90" s="486">
        <v>0</v>
      </c>
      <c r="HC90" s="486">
        <v>0</v>
      </c>
      <c r="HD90" s="486">
        <v>0</v>
      </c>
      <c r="HE90" s="486">
        <v>0</v>
      </c>
      <c r="HF90" s="486">
        <v>0</v>
      </c>
      <c r="HG90" s="486">
        <v>0</v>
      </c>
      <c r="HH90" s="486">
        <v>0</v>
      </c>
      <c r="HI90" s="486">
        <v>0</v>
      </c>
      <c r="HJ90" s="486">
        <v>0</v>
      </c>
      <c r="HK90" s="486">
        <v>0</v>
      </c>
      <c r="HL90" s="486">
        <v>0</v>
      </c>
      <c r="HM90" s="486">
        <v>0</v>
      </c>
      <c r="HN90" s="486">
        <v>0</v>
      </c>
      <c r="HO90" s="486">
        <v>0</v>
      </c>
      <c r="HP90" s="486">
        <v>0</v>
      </c>
      <c r="HQ90" s="486">
        <v>0</v>
      </c>
      <c r="HR90" s="486">
        <v>0</v>
      </c>
      <c r="HS90" s="486">
        <v>0</v>
      </c>
      <c r="HT90" s="486">
        <v>0</v>
      </c>
      <c r="HU90" s="486">
        <v>0</v>
      </c>
      <c r="HV90" s="486">
        <v>0</v>
      </c>
      <c r="HW90" s="486">
        <v>0</v>
      </c>
      <c r="HX90" s="486">
        <v>0</v>
      </c>
      <c r="HY90" s="486">
        <v>0</v>
      </c>
      <c r="HZ90" s="486">
        <v>0</v>
      </c>
      <c r="IA90" s="486">
        <v>0</v>
      </c>
      <c r="IB90" s="486">
        <v>0</v>
      </c>
      <c r="IC90" s="486">
        <v>0</v>
      </c>
      <c r="ID90" s="486">
        <v>0</v>
      </c>
      <c r="IE90" s="486">
        <v>0</v>
      </c>
      <c r="IF90" s="486">
        <v>0</v>
      </c>
      <c r="IG90" s="486">
        <v>0</v>
      </c>
      <c r="IH90" s="486">
        <v>0</v>
      </c>
      <c r="II90" s="486">
        <v>0</v>
      </c>
      <c r="IJ90" s="486">
        <v>0</v>
      </c>
    </row>
    <row r="91" spans="1:244" ht="16.5" hidden="1">
      <c r="A91" s="484" t="s">
        <v>720</v>
      </c>
      <c r="B91" s="484" t="s">
        <v>617</v>
      </c>
      <c r="C91" s="484" t="s">
        <v>721</v>
      </c>
      <c r="D91" s="485"/>
      <c r="E91" s="484" t="s">
        <v>721</v>
      </c>
      <c r="F91" s="484" t="s">
        <v>25</v>
      </c>
      <c r="G91" s="485"/>
      <c r="H91" s="486">
        <v>40</v>
      </c>
      <c r="I91" s="471" t="str">
        <f t="shared" si="3"/>
        <v>AIJ100140</v>
      </c>
      <c r="J91" s="486">
        <v>95</v>
      </c>
      <c r="L91" s="484" t="s">
        <v>720</v>
      </c>
      <c r="M91" s="484" t="s">
        <v>617</v>
      </c>
      <c r="N91" s="484" t="s">
        <v>26</v>
      </c>
      <c r="O91" s="486">
        <v>56</v>
      </c>
      <c r="P91" s="471" t="str">
        <f t="shared" si="4"/>
        <v>AIJ100256</v>
      </c>
      <c r="Q91" s="486">
        <v>0</v>
      </c>
      <c r="R91" s="486">
        <v>25</v>
      </c>
      <c r="S91" s="486">
        <v>47</v>
      </c>
      <c r="T91" s="486">
        <v>67</v>
      </c>
      <c r="U91" s="486">
        <v>87</v>
      </c>
      <c r="V91" s="486">
        <v>101</v>
      </c>
      <c r="W91" s="486">
        <v>116</v>
      </c>
      <c r="X91" s="486">
        <v>129</v>
      </c>
      <c r="Y91" s="486">
        <v>129</v>
      </c>
      <c r="Z91" s="486">
        <v>0</v>
      </c>
      <c r="AA91" s="486">
        <v>0</v>
      </c>
      <c r="AB91" s="486">
        <v>0</v>
      </c>
      <c r="AC91" s="486">
        <v>0</v>
      </c>
      <c r="AD91" s="486">
        <v>0</v>
      </c>
      <c r="AE91" s="486">
        <v>0</v>
      </c>
      <c r="AF91" s="486">
        <v>0</v>
      </c>
      <c r="AG91" s="486">
        <v>0</v>
      </c>
      <c r="AH91" s="486">
        <v>0</v>
      </c>
      <c r="AI91" s="486">
        <v>0</v>
      </c>
      <c r="AJ91" s="486">
        <v>0</v>
      </c>
      <c r="AK91" s="486">
        <v>0</v>
      </c>
      <c r="AL91" s="486">
        <v>0</v>
      </c>
      <c r="AM91" s="486">
        <v>0</v>
      </c>
      <c r="AN91" s="486">
        <v>0</v>
      </c>
      <c r="AO91" s="486">
        <v>0</v>
      </c>
      <c r="AP91" s="486">
        <v>0</v>
      </c>
      <c r="AQ91" s="486">
        <v>0</v>
      </c>
      <c r="AR91" s="486">
        <v>0</v>
      </c>
      <c r="AS91" s="486">
        <v>0</v>
      </c>
      <c r="AT91" s="486">
        <v>0</v>
      </c>
      <c r="AU91" s="486">
        <v>0</v>
      </c>
      <c r="AV91" s="486">
        <v>0</v>
      </c>
      <c r="AW91" s="486">
        <v>0</v>
      </c>
      <c r="AX91" s="486">
        <v>0</v>
      </c>
      <c r="AY91" s="486">
        <v>0</v>
      </c>
      <c r="AZ91" s="486">
        <v>0</v>
      </c>
      <c r="BA91" s="486">
        <v>0</v>
      </c>
      <c r="BB91" s="486">
        <v>0</v>
      </c>
      <c r="BC91" s="486">
        <v>0</v>
      </c>
      <c r="BD91" s="486">
        <v>0</v>
      </c>
      <c r="BE91" s="486">
        <v>0</v>
      </c>
      <c r="BF91" s="486">
        <v>0</v>
      </c>
      <c r="BG91" s="486">
        <v>0</v>
      </c>
      <c r="BH91" s="486">
        <v>0</v>
      </c>
      <c r="BI91" s="486">
        <v>0</v>
      </c>
      <c r="BJ91" s="486">
        <v>0</v>
      </c>
      <c r="BK91" s="486">
        <v>0</v>
      </c>
      <c r="BL91" s="486">
        <v>0</v>
      </c>
      <c r="BM91" s="486">
        <v>0</v>
      </c>
      <c r="BN91" s="486">
        <v>0</v>
      </c>
      <c r="BO91" s="486">
        <v>0</v>
      </c>
      <c r="BP91" s="486">
        <v>0</v>
      </c>
      <c r="BQ91" s="486">
        <v>0</v>
      </c>
      <c r="BR91" s="486">
        <v>0</v>
      </c>
      <c r="BS91" s="486">
        <v>0</v>
      </c>
      <c r="BT91" s="486">
        <v>0</v>
      </c>
      <c r="BU91" s="486">
        <v>0</v>
      </c>
      <c r="BV91" s="486">
        <v>0</v>
      </c>
      <c r="BW91" s="486">
        <v>0</v>
      </c>
      <c r="BX91" s="486">
        <v>0</v>
      </c>
      <c r="BY91" s="486">
        <v>0</v>
      </c>
      <c r="BZ91" s="486">
        <v>0</v>
      </c>
      <c r="CA91" s="486">
        <v>0</v>
      </c>
      <c r="CB91" s="486">
        <v>0</v>
      </c>
      <c r="CC91" s="486">
        <v>0</v>
      </c>
      <c r="CD91" s="486">
        <v>0</v>
      </c>
      <c r="CE91" s="486">
        <v>0</v>
      </c>
      <c r="CF91" s="486">
        <v>0</v>
      </c>
      <c r="CG91" s="486">
        <v>0</v>
      </c>
      <c r="CH91" s="486">
        <v>0</v>
      </c>
      <c r="CI91" s="486">
        <v>0</v>
      </c>
      <c r="CJ91" s="486">
        <v>0</v>
      </c>
      <c r="CK91" s="486">
        <v>0</v>
      </c>
      <c r="CL91" s="486">
        <v>0</v>
      </c>
      <c r="CM91" s="486">
        <v>0</v>
      </c>
      <c r="CN91" s="486">
        <v>0</v>
      </c>
      <c r="CO91" s="486">
        <v>0</v>
      </c>
      <c r="CP91" s="486">
        <v>0</v>
      </c>
      <c r="CQ91" s="486">
        <v>0</v>
      </c>
      <c r="CR91" s="486">
        <v>0</v>
      </c>
      <c r="CS91" s="486">
        <v>0</v>
      </c>
      <c r="CT91" s="486">
        <v>0</v>
      </c>
      <c r="CU91" s="486">
        <v>0</v>
      </c>
      <c r="CV91" s="486">
        <v>0</v>
      </c>
      <c r="CW91" s="486">
        <v>0</v>
      </c>
      <c r="CX91" s="486">
        <v>0</v>
      </c>
      <c r="CY91" s="486">
        <v>0</v>
      </c>
      <c r="CZ91" s="486">
        <v>0</v>
      </c>
      <c r="DA91" s="486">
        <v>0</v>
      </c>
      <c r="DB91" s="486">
        <v>0</v>
      </c>
      <c r="DC91" s="486">
        <v>0</v>
      </c>
      <c r="DD91" s="486">
        <v>0</v>
      </c>
      <c r="DE91" s="486">
        <v>0</v>
      </c>
      <c r="DF91" s="486">
        <v>0</v>
      </c>
      <c r="DG91" s="486">
        <v>0</v>
      </c>
      <c r="DH91" s="486">
        <v>0</v>
      </c>
      <c r="DI91" s="486">
        <v>0</v>
      </c>
      <c r="DJ91" s="486">
        <v>0</v>
      </c>
      <c r="DK91" s="486">
        <v>0</v>
      </c>
      <c r="DL91" s="486">
        <v>0</v>
      </c>
      <c r="DM91" s="486">
        <v>0</v>
      </c>
      <c r="DN91" s="486">
        <v>0</v>
      </c>
      <c r="DO91" s="486">
        <v>0</v>
      </c>
      <c r="DP91" s="486">
        <v>0</v>
      </c>
      <c r="DQ91" s="486">
        <v>0</v>
      </c>
      <c r="DR91" s="486">
        <v>0</v>
      </c>
      <c r="DS91" s="486">
        <v>0</v>
      </c>
      <c r="DT91" s="486">
        <v>0</v>
      </c>
      <c r="DU91" s="486">
        <v>0</v>
      </c>
      <c r="DV91" s="486">
        <v>0</v>
      </c>
      <c r="DW91" s="486">
        <v>0</v>
      </c>
      <c r="DX91" s="477"/>
      <c r="DY91" s="484" t="s">
        <v>720</v>
      </c>
      <c r="DZ91" s="484" t="s">
        <v>617</v>
      </c>
      <c r="EA91" s="484" t="s">
        <v>26</v>
      </c>
      <c r="EB91" s="486">
        <v>56</v>
      </c>
      <c r="EC91" s="471" t="str">
        <f t="shared" si="0"/>
        <v>AIJ100256</v>
      </c>
      <c r="ED91" s="486">
        <v>10000</v>
      </c>
      <c r="EE91" s="486">
        <v>10000</v>
      </c>
      <c r="EF91" s="486">
        <v>10000</v>
      </c>
      <c r="EG91" s="486">
        <v>10000</v>
      </c>
      <c r="EH91" s="486">
        <v>10000</v>
      </c>
      <c r="EI91" s="486">
        <v>10000</v>
      </c>
      <c r="EJ91" s="486">
        <v>10000</v>
      </c>
      <c r="EK91" s="486">
        <v>10000</v>
      </c>
      <c r="EL91" s="486">
        <v>10000</v>
      </c>
      <c r="EM91" s="486">
        <v>10000</v>
      </c>
      <c r="EN91" s="486">
        <v>0</v>
      </c>
      <c r="EO91" s="486">
        <v>0</v>
      </c>
      <c r="EP91" s="486">
        <v>0</v>
      </c>
      <c r="EQ91" s="486">
        <v>0</v>
      </c>
      <c r="ER91" s="486">
        <v>0</v>
      </c>
      <c r="ES91" s="486">
        <v>0</v>
      </c>
      <c r="ET91" s="486">
        <v>0</v>
      </c>
      <c r="EU91" s="486">
        <v>0</v>
      </c>
      <c r="EV91" s="486">
        <v>0</v>
      </c>
      <c r="EW91" s="486">
        <v>0</v>
      </c>
      <c r="EX91" s="486">
        <v>0</v>
      </c>
      <c r="EY91" s="486">
        <v>0</v>
      </c>
      <c r="EZ91" s="486">
        <v>0</v>
      </c>
      <c r="FA91" s="486">
        <v>0</v>
      </c>
      <c r="FB91" s="486">
        <v>0</v>
      </c>
      <c r="FC91" s="486">
        <v>0</v>
      </c>
      <c r="FD91" s="486">
        <v>0</v>
      </c>
      <c r="FE91" s="486">
        <v>0</v>
      </c>
      <c r="FF91" s="486">
        <v>0</v>
      </c>
      <c r="FG91" s="486">
        <v>0</v>
      </c>
      <c r="FH91" s="486">
        <v>0</v>
      </c>
      <c r="FI91" s="486">
        <v>0</v>
      </c>
      <c r="FJ91" s="486">
        <v>0</v>
      </c>
      <c r="FK91" s="486">
        <v>0</v>
      </c>
      <c r="FL91" s="486">
        <v>0</v>
      </c>
      <c r="FM91" s="486">
        <v>0</v>
      </c>
      <c r="FN91" s="486">
        <v>0</v>
      </c>
      <c r="FO91" s="486">
        <v>0</v>
      </c>
      <c r="FP91" s="486">
        <v>0</v>
      </c>
      <c r="FQ91" s="486">
        <v>0</v>
      </c>
      <c r="FR91" s="486">
        <v>0</v>
      </c>
      <c r="FS91" s="486">
        <v>0</v>
      </c>
      <c r="FT91" s="486">
        <v>0</v>
      </c>
      <c r="FU91" s="486">
        <v>0</v>
      </c>
      <c r="FV91" s="486">
        <v>0</v>
      </c>
      <c r="FW91" s="486">
        <v>0</v>
      </c>
      <c r="FX91" s="486">
        <v>0</v>
      </c>
      <c r="FY91" s="486">
        <v>0</v>
      </c>
      <c r="FZ91" s="486">
        <v>0</v>
      </c>
      <c r="GA91" s="486">
        <v>0</v>
      </c>
      <c r="GB91" s="486">
        <v>0</v>
      </c>
      <c r="GC91" s="486">
        <v>0</v>
      </c>
      <c r="GD91" s="486">
        <v>0</v>
      </c>
      <c r="GE91" s="486">
        <v>0</v>
      </c>
      <c r="GF91" s="486">
        <v>0</v>
      </c>
      <c r="GG91" s="486">
        <v>0</v>
      </c>
      <c r="GH91" s="486">
        <v>0</v>
      </c>
      <c r="GI91" s="486">
        <v>0</v>
      </c>
      <c r="GJ91" s="486">
        <v>0</v>
      </c>
      <c r="GK91" s="486">
        <v>0</v>
      </c>
      <c r="GL91" s="486">
        <v>0</v>
      </c>
      <c r="GM91" s="486">
        <v>0</v>
      </c>
      <c r="GN91" s="486">
        <v>0</v>
      </c>
      <c r="GO91" s="486">
        <v>0</v>
      </c>
      <c r="GP91" s="486">
        <v>0</v>
      </c>
      <c r="GQ91" s="486">
        <v>0</v>
      </c>
      <c r="GR91" s="486">
        <v>0</v>
      </c>
      <c r="GS91" s="486">
        <v>0</v>
      </c>
      <c r="GT91" s="486">
        <v>0</v>
      </c>
      <c r="GU91" s="486">
        <v>0</v>
      </c>
      <c r="GV91" s="486">
        <v>0</v>
      </c>
      <c r="GW91" s="486">
        <v>0</v>
      </c>
      <c r="GX91" s="486">
        <v>0</v>
      </c>
      <c r="GY91" s="486">
        <v>0</v>
      </c>
      <c r="GZ91" s="486">
        <v>0</v>
      </c>
      <c r="HA91" s="486">
        <v>0</v>
      </c>
      <c r="HB91" s="486">
        <v>0</v>
      </c>
      <c r="HC91" s="486">
        <v>0</v>
      </c>
      <c r="HD91" s="486">
        <v>0</v>
      </c>
      <c r="HE91" s="486">
        <v>0</v>
      </c>
      <c r="HF91" s="486">
        <v>0</v>
      </c>
      <c r="HG91" s="486">
        <v>0</v>
      </c>
      <c r="HH91" s="486">
        <v>0</v>
      </c>
      <c r="HI91" s="486">
        <v>0</v>
      </c>
      <c r="HJ91" s="486">
        <v>0</v>
      </c>
      <c r="HK91" s="486">
        <v>0</v>
      </c>
      <c r="HL91" s="486">
        <v>0</v>
      </c>
      <c r="HM91" s="486">
        <v>0</v>
      </c>
      <c r="HN91" s="486">
        <v>0</v>
      </c>
      <c r="HO91" s="486">
        <v>0</v>
      </c>
      <c r="HP91" s="486">
        <v>0</v>
      </c>
      <c r="HQ91" s="486">
        <v>0</v>
      </c>
      <c r="HR91" s="486">
        <v>0</v>
      </c>
      <c r="HS91" s="486">
        <v>0</v>
      </c>
      <c r="HT91" s="486">
        <v>0</v>
      </c>
      <c r="HU91" s="486">
        <v>0</v>
      </c>
      <c r="HV91" s="486">
        <v>0</v>
      </c>
      <c r="HW91" s="486">
        <v>0</v>
      </c>
      <c r="HX91" s="486">
        <v>0</v>
      </c>
      <c r="HY91" s="486">
        <v>0</v>
      </c>
      <c r="HZ91" s="486">
        <v>0</v>
      </c>
      <c r="IA91" s="486">
        <v>0</v>
      </c>
      <c r="IB91" s="486">
        <v>0</v>
      </c>
      <c r="IC91" s="486">
        <v>0</v>
      </c>
      <c r="ID91" s="486">
        <v>0</v>
      </c>
      <c r="IE91" s="486">
        <v>0</v>
      </c>
      <c r="IF91" s="486">
        <v>0</v>
      </c>
      <c r="IG91" s="486">
        <v>0</v>
      </c>
      <c r="IH91" s="486">
        <v>0</v>
      </c>
      <c r="II91" s="486">
        <v>0</v>
      </c>
      <c r="IJ91" s="486">
        <v>0</v>
      </c>
    </row>
    <row r="92" spans="1:244" ht="16.5" hidden="1">
      <c r="A92" s="484" t="s">
        <v>720</v>
      </c>
      <c r="B92" s="484" t="s">
        <v>617</v>
      </c>
      <c r="C92" s="484" t="s">
        <v>721</v>
      </c>
      <c r="D92" s="485"/>
      <c r="E92" s="484" t="s">
        <v>721</v>
      </c>
      <c r="F92" s="484" t="s">
        <v>25</v>
      </c>
      <c r="G92" s="485"/>
      <c r="H92" s="486">
        <v>41</v>
      </c>
      <c r="I92" s="471" t="str">
        <f t="shared" si="3"/>
        <v>AIJ100141</v>
      </c>
      <c r="J92" s="486">
        <v>100</v>
      </c>
      <c r="L92" s="484" t="s">
        <v>720</v>
      </c>
      <c r="M92" s="484" t="s">
        <v>617</v>
      </c>
      <c r="N92" s="484" t="s">
        <v>26</v>
      </c>
      <c r="O92" s="486">
        <v>57</v>
      </c>
      <c r="P92" s="471" t="str">
        <f t="shared" si="4"/>
        <v>AIJ100257</v>
      </c>
      <c r="Q92" s="486">
        <v>0</v>
      </c>
      <c r="R92" s="486">
        <v>27</v>
      </c>
      <c r="S92" s="486">
        <v>51</v>
      </c>
      <c r="T92" s="486">
        <v>71</v>
      </c>
      <c r="U92" s="486">
        <v>94</v>
      </c>
      <c r="V92" s="486">
        <v>110</v>
      </c>
      <c r="W92" s="486">
        <v>127</v>
      </c>
      <c r="X92" s="486">
        <v>140</v>
      </c>
      <c r="Y92" s="486">
        <v>140</v>
      </c>
      <c r="Z92" s="486">
        <v>0</v>
      </c>
      <c r="AA92" s="486">
        <v>0</v>
      </c>
      <c r="AB92" s="486">
        <v>0</v>
      </c>
      <c r="AC92" s="486">
        <v>0</v>
      </c>
      <c r="AD92" s="486">
        <v>0</v>
      </c>
      <c r="AE92" s="486">
        <v>0</v>
      </c>
      <c r="AF92" s="486">
        <v>0</v>
      </c>
      <c r="AG92" s="486">
        <v>0</v>
      </c>
      <c r="AH92" s="486">
        <v>0</v>
      </c>
      <c r="AI92" s="486">
        <v>0</v>
      </c>
      <c r="AJ92" s="486">
        <v>0</v>
      </c>
      <c r="AK92" s="486">
        <v>0</v>
      </c>
      <c r="AL92" s="486">
        <v>0</v>
      </c>
      <c r="AM92" s="486">
        <v>0</v>
      </c>
      <c r="AN92" s="486">
        <v>0</v>
      </c>
      <c r="AO92" s="486">
        <v>0</v>
      </c>
      <c r="AP92" s="486">
        <v>0</v>
      </c>
      <c r="AQ92" s="486">
        <v>0</v>
      </c>
      <c r="AR92" s="486">
        <v>0</v>
      </c>
      <c r="AS92" s="486">
        <v>0</v>
      </c>
      <c r="AT92" s="486">
        <v>0</v>
      </c>
      <c r="AU92" s="486">
        <v>0</v>
      </c>
      <c r="AV92" s="486">
        <v>0</v>
      </c>
      <c r="AW92" s="486">
        <v>0</v>
      </c>
      <c r="AX92" s="486">
        <v>0</v>
      </c>
      <c r="AY92" s="486">
        <v>0</v>
      </c>
      <c r="AZ92" s="486">
        <v>0</v>
      </c>
      <c r="BA92" s="486">
        <v>0</v>
      </c>
      <c r="BB92" s="486">
        <v>0</v>
      </c>
      <c r="BC92" s="486">
        <v>0</v>
      </c>
      <c r="BD92" s="486">
        <v>0</v>
      </c>
      <c r="BE92" s="486">
        <v>0</v>
      </c>
      <c r="BF92" s="486">
        <v>0</v>
      </c>
      <c r="BG92" s="486">
        <v>0</v>
      </c>
      <c r="BH92" s="486">
        <v>0</v>
      </c>
      <c r="BI92" s="486">
        <v>0</v>
      </c>
      <c r="BJ92" s="486">
        <v>0</v>
      </c>
      <c r="BK92" s="486">
        <v>0</v>
      </c>
      <c r="BL92" s="486">
        <v>0</v>
      </c>
      <c r="BM92" s="486">
        <v>0</v>
      </c>
      <c r="BN92" s="486">
        <v>0</v>
      </c>
      <c r="BO92" s="486">
        <v>0</v>
      </c>
      <c r="BP92" s="486">
        <v>0</v>
      </c>
      <c r="BQ92" s="486">
        <v>0</v>
      </c>
      <c r="BR92" s="486">
        <v>0</v>
      </c>
      <c r="BS92" s="486">
        <v>0</v>
      </c>
      <c r="BT92" s="486">
        <v>0</v>
      </c>
      <c r="BU92" s="486">
        <v>0</v>
      </c>
      <c r="BV92" s="486">
        <v>0</v>
      </c>
      <c r="BW92" s="486">
        <v>0</v>
      </c>
      <c r="BX92" s="486">
        <v>0</v>
      </c>
      <c r="BY92" s="486">
        <v>0</v>
      </c>
      <c r="BZ92" s="486">
        <v>0</v>
      </c>
      <c r="CA92" s="486">
        <v>0</v>
      </c>
      <c r="CB92" s="486">
        <v>0</v>
      </c>
      <c r="CC92" s="486">
        <v>0</v>
      </c>
      <c r="CD92" s="486">
        <v>0</v>
      </c>
      <c r="CE92" s="486">
        <v>0</v>
      </c>
      <c r="CF92" s="486">
        <v>0</v>
      </c>
      <c r="CG92" s="486">
        <v>0</v>
      </c>
      <c r="CH92" s="486">
        <v>0</v>
      </c>
      <c r="CI92" s="486">
        <v>0</v>
      </c>
      <c r="CJ92" s="486">
        <v>0</v>
      </c>
      <c r="CK92" s="486">
        <v>0</v>
      </c>
      <c r="CL92" s="486">
        <v>0</v>
      </c>
      <c r="CM92" s="486">
        <v>0</v>
      </c>
      <c r="CN92" s="486">
        <v>0</v>
      </c>
      <c r="CO92" s="486">
        <v>0</v>
      </c>
      <c r="CP92" s="486">
        <v>0</v>
      </c>
      <c r="CQ92" s="486">
        <v>0</v>
      </c>
      <c r="CR92" s="486">
        <v>0</v>
      </c>
      <c r="CS92" s="486">
        <v>0</v>
      </c>
      <c r="CT92" s="486">
        <v>0</v>
      </c>
      <c r="CU92" s="486">
        <v>0</v>
      </c>
      <c r="CV92" s="486">
        <v>0</v>
      </c>
      <c r="CW92" s="486">
        <v>0</v>
      </c>
      <c r="CX92" s="486">
        <v>0</v>
      </c>
      <c r="CY92" s="486">
        <v>0</v>
      </c>
      <c r="CZ92" s="486">
        <v>0</v>
      </c>
      <c r="DA92" s="486">
        <v>0</v>
      </c>
      <c r="DB92" s="486">
        <v>0</v>
      </c>
      <c r="DC92" s="486">
        <v>0</v>
      </c>
      <c r="DD92" s="486">
        <v>0</v>
      </c>
      <c r="DE92" s="486">
        <v>0</v>
      </c>
      <c r="DF92" s="486">
        <v>0</v>
      </c>
      <c r="DG92" s="486">
        <v>0</v>
      </c>
      <c r="DH92" s="486">
        <v>0</v>
      </c>
      <c r="DI92" s="486">
        <v>0</v>
      </c>
      <c r="DJ92" s="486">
        <v>0</v>
      </c>
      <c r="DK92" s="486">
        <v>0</v>
      </c>
      <c r="DL92" s="486">
        <v>0</v>
      </c>
      <c r="DM92" s="486">
        <v>0</v>
      </c>
      <c r="DN92" s="486">
        <v>0</v>
      </c>
      <c r="DO92" s="486">
        <v>0</v>
      </c>
      <c r="DP92" s="486">
        <v>0</v>
      </c>
      <c r="DQ92" s="486">
        <v>0</v>
      </c>
      <c r="DR92" s="486">
        <v>0</v>
      </c>
      <c r="DS92" s="486">
        <v>0</v>
      </c>
      <c r="DT92" s="486">
        <v>0</v>
      </c>
      <c r="DU92" s="486">
        <v>0</v>
      </c>
      <c r="DV92" s="486">
        <v>0</v>
      </c>
      <c r="DW92" s="486">
        <v>0</v>
      </c>
      <c r="DX92" s="477"/>
      <c r="DY92" s="484" t="s">
        <v>720</v>
      </c>
      <c r="DZ92" s="484" t="s">
        <v>617</v>
      </c>
      <c r="EA92" s="484" t="s">
        <v>26</v>
      </c>
      <c r="EB92" s="486">
        <v>57</v>
      </c>
      <c r="EC92" s="471" t="str">
        <f t="shared" si="0"/>
        <v>AIJ100257</v>
      </c>
      <c r="ED92" s="486">
        <v>10000</v>
      </c>
      <c r="EE92" s="486">
        <v>10000</v>
      </c>
      <c r="EF92" s="486">
        <v>10000</v>
      </c>
      <c r="EG92" s="486">
        <v>10000</v>
      </c>
      <c r="EH92" s="486">
        <v>10000</v>
      </c>
      <c r="EI92" s="486">
        <v>10000</v>
      </c>
      <c r="EJ92" s="486">
        <v>10000</v>
      </c>
      <c r="EK92" s="486">
        <v>10000</v>
      </c>
      <c r="EL92" s="486">
        <v>10000</v>
      </c>
      <c r="EM92" s="486">
        <v>10000</v>
      </c>
      <c r="EN92" s="486">
        <v>0</v>
      </c>
      <c r="EO92" s="486">
        <v>0</v>
      </c>
      <c r="EP92" s="486">
        <v>0</v>
      </c>
      <c r="EQ92" s="486">
        <v>0</v>
      </c>
      <c r="ER92" s="486">
        <v>0</v>
      </c>
      <c r="ES92" s="486">
        <v>0</v>
      </c>
      <c r="ET92" s="486">
        <v>0</v>
      </c>
      <c r="EU92" s="486">
        <v>0</v>
      </c>
      <c r="EV92" s="486">
        <v>0</v>
      </c>
      <c r="EW92" s="486">
        <v>0</v>
      </c>
      <c r="EX92" s="486">
        <v>0</v>
      </c>
      <c r="EY92" s="486">
        <v>0</v>
      </c>
      <c r="EZ92" s="486">
        <v>0</v>
      </c>
      <c r="FA92" s="486">
        <v>0</v>
      </c>
      <c r="FB92" s="486">
        <v>0</v>
      </c>
      <c r="FC92" s="486">
        <v>0</v>
      </c>
      <c r="FD92" s="486">
        <v>0</v>
      </c>
      <c r="FE92" s="486">
        <v>0</v>
      </c>
      <c r="FF92" s="486">
        <v>0</v>
      </c>
      <c r="FG92" s="486">
        <v>0</v>
      </c>
      <c r="FH92" s="486">
        <v>0</v>
      </c>
      <c r="FI92" s="486">
        <v>0</v>
      </c>
      <c r="FJ92" s="486">
        <v>0</v>
      </c>
      <c r="FK92" s="486">
        <v>0</v>
      </c>
      <c r="FL92" s="486">
        <v>0</v>
      </c>
      <c r="FM92" s="486">
        <v>0</v>
      </c>
      <c r="FN92" s="486">
        <v>0</v>
      </c>
      <c r="FO92" s="486">
        <v>0</v>
      </c>
      <c r="FP92" s="486">
        <v>0</v>
      </c>
      <c r="FQ92" s="486">
        <v>0</v>
      </c>
      <c r="FR92" s="486">
        <v>0</v>
      </c>
      <c r="FS92" s="486">
        <v>0</v>
      </c>
      <c r="FT92" s="486">
        <v>0</v>
      </c>
      <c r="FU92" s="486">
        <v>0</v>
      </c>
      <c r="FV92" s="486">
        <v>0</v>
      </c>
      <c r="FW92" s="486">
        <v>0</v>
      </c>
      <c r="FX92" s="486">
        <v>0</v>
      </c>
      <c r="FY92" s="486">
        <v>0</v>
      </c>
      <c r="FZ92" s="486">
        <v>0</v>
      </c>
      <c r="GA92" s="486">
        <v>0</v>
      </c>
      <c r="GB92" s="486">
        <v>0</v>
      </c>
      <c r="GC92" s="486">
        <v>0</v>
      </c>
      <c r="GD92" s="486">
        <v>0</v>
      </c>
      <c r="GE92" s="486">
        <v>0</v>
      </c>
      <c r="GF92" s="486">
        <v>0</v>
      </c>
      <c r="GG92" s="486">
        <v>0</v>
      </c>
      <c r="GH92" s="486">
        <v>0</v>
      </c>
      <c r="GI92" s="486">
        <v>0</v>
      </c>
      <c r="GJ92" s="486">
        <v>0</v>
      </c>
      <c r="GK92" s="486">
        <v>0</v>
      </c>
      <c r="GL92" s="486">
        <v>0</v>
      </c>
      <c r="GM92" s="486">
        <v>0</v>
      </c>
      <c r="GN92" s="486">
        <v>0</v>
      </c>
      <c r="GO92" s="486">
        <v>0</v>
      </c>
      <c r="GP92" s="486">
        <v>0</v>
      </c>
      <c r="GQ92" s="486">
        <v>0</v>
      </c>
      <c r="GR92" s="486">
        <v>0</v>
      </c>
      <c r="GS92" s="486">
        <v>0</v>
      </c>
      <c r="GT92" s="486">
        <v>0</v>
      </c>
      <c r="GU92" s="486">
        <v>0</v>
      </c>
      <c r="GV92" s="486">
        <v>0</v>
      </c>
      <c r="GW92" s="486">
        <v>0</v>
      </c>
      <c r="GX92" s="486">
        <v>0</v>
      </c>
      <c r="GY92" s="486">
        <v>0</v>
      </c>
      <c r="GZ92" s="486">
        <v>0</v>
      </c>
      <c r="HA92" s="486">
        <v>0</v>
      </c>
      <c r="HB92" s="486">
        <v>0</v>
      </c>
      <c r="HC92" s="486">
        <v>0</v>
      </c>
      <c r="HD92" s="486">
        <v>0</v>
      </c>
      <c r="HE92" s="486">
        <v>0</v>
      </c>
      <c r="HF92" s="486">
        <v>0</v>
      </c>
      <c r="HG92" s="486">
        <v>0</v>
      </c>
      <c r="HH92" s="486">
        <v>0</v>
      </c>
      <c r="HI92" s="486">
        <v>0</v>
      </c>
      <c r="HJ92" s="486">
        <v>0</v>
      </c>
      <c r="HK92" s="486">
        <v>0</v>
      </c>
      <c r="HL92" s="486">
        <v>0</v>
      </c>
      <c r="HM92" s="486">
        <v>0</v>
      </c>
      <c r="HN92" s="486">
        <v>0</v>
      </c>
      <c r="HO92" s="486">
        <v>0</v>
      </c>
      <c r="HP92" s="486">
        <v>0</v>
      </c>
      <c r="HQ92" s="486">
        <v>0</v>
      </c>
      <c r="HR92" s="486">
        <v>0</v>
      </c>
      <c r="HS92" s="486">
        <v>0</v>
      </c>
      <c r="HT92" s="486">
        <v>0</v>
      </c>
      <c r="HU92" s="486">
        <v>0</v>
      </c>
      <c r="HV92" s="486">
        <v>0</v>
      </c>
      <c r="HW92" s="486">
        <v>0</v>
      </c>
      <c r="HX92" s="486">
        <v>0</v>
      </c>
      <c r="HY92" s="486">
        <v>0</v>
      </c>
      <c r="HZ92" s="486">
        <v>0</v>
      </c>
      <c r="IA92" s="486">
        <v>0</v>
      </c>
      <c r="IB92" s="486">
        <v>0</v>
      </c>
      <c r="IC92" s="486">
        <v>0</v>
      </c>
      <c r="ID92" s="486">
        <v>0</v>
      </c>
      <c r="IE92" s="486">
        <v>0</v>
      </c>
      <c r="IF92" s="486">
        <v>0</v>
      </c>
      <c r="IG92" s="486">
        <v>0</v>
      </c>
      <c r="IH92" s="486">
        <v>0</v>
      </c>
      <c r="II92" s="486">
        <v>0</v>
      </c>
      <c r="IJ92" s="486">
        <v>0</v>
      </c>
    </row>
    <row r="93" spans="1:244" ht="16.5" hidden="1">
      <c r="A93" s="484" t="s">
        <v>720</v>
      </c>
      <c r="B93" s="484" t="s">
        <v>617</v>
      </c>
      <c r="C93" s="484" t="s">
        <v>721</v>
      </c>
      <c r="D93" s="485"/>
      <c r="E93" s="484" t="s">
        <v>721</v>
      </c>
      <c r="F93" s="484" t="s">
        <v>25</v>
      </c>
      <c r="G93" s="485"/>
      <c r="H93" s="486">
        <v>42</v>
      </c>
      <c r="I93" s="471" t="str">
        <f t="shared" si="3"/>
        <v>AIJ100142</v>
      </c>
      <c r="J93" s="486">
        <v>105</v>
      </c>
      <c r="L93" s="484" t="s">
        <v>720</v>
      </c>
      <c r="M93" s="484" t="s">
        <v>617</v>
      </c>
      <c r="N93" s="484" t="s">
        <v>26</v>
      </c>
      <c r="O93" s="486">
        <v>58</v>
      </c>
      <c r="P93" s="471" t="str">
        <f t="shared" si="4"/>
        <v>AIJ100258</v>
      </c>
      <c r="Q93" s="486">
        <v>0</v>
      </c>
      <c r="R93" s="486">
        <v>29</v>
      </c>
      <c r="S93" s="486">
        <v>55</v>
      </c>
      <c r="T93" s="486">
        <v>77</v>
      </c>
      <c r="U93" s="486">
        <v>103</v>
      </c>
      <c r="V93" s="486">
        <v>119</v>
      </c>
      <c r="W93" s="486">
        <v>139</v>
      </c>
      <c r="X93" s="486">
        <v>153</v>
      </c>
      <c r="Y93" s="486">
        <v>151</v>
      </c>
      <c r="Z93" s="486">
        <v>0</v>
      </c>
      <c r="AA93" s="486">
        <v>0</v>
      </c>
      <c r="AB93" s="486">
        <v>0</v>
      </c>
      <c r="AC93" s="486">
        <v>0</v>
      </c>
      <c r="AD93" s="486">
        <v>0</v>
      </c>
      <c r="AE93" s="486">
        <v>0</v>
      </c>
      <c r="AF93" s="486">
        <v>0</v>
      </c>
      <c r="AG93" s="486">
        <v>0</v>
      </c>
      <c r="AH93" s="486">
        <v>0</v>
      </c>
      <c r="AI93" s="486">
        <v>0</v>
      </c>
      <c r="AJ93" s="486">
        <v>0</v>
      </c>
      <c r="AK93" s="486">
        <v>0</v>
      </c>
      <c r="AL93" s="486">
        <v>0</v>
      </c>
      <c r="AM93" s="486">
        <v>0</v>
      </c>
      <c r="AN93" s="486">
        <v>0</v>
      </c>
      <c r="AO93" s="486">
        <v>0</v>
      </c>
      <c r="AP93" s="486">
        <v>0</v>
      </c>
      <c r="AQ93" s="486">
        <v>0</v>
      </c>
      <c r="AR93" s="486">
        <v>0</v>
      </c>
      <c r="AS93" s="486">
        <v>0</v>
      </c>
      <c r="AT93" s="486">
        <v>0</v>
      </c>
      <c r="AU93" s="486">
        <v>0</v>
      </c>
      <c r="AV93" s="486">
        <v>0</v>
      </c>
      <c r="AW93" s="486">
        <v>0</v>
      </c>
      <c r="AX93" s="486">
        <v>0</v>
      </c>
      <c r="AY93" s="486">
        <v>0</v>
      </c>
      <c r="AZ93" s="486">
        <v>0</v>
      </c>
      <c r="BA93" s="486">
        <v>0</v>
      </c>
      <c r="BB93" s="486">
        <v>0</v>
      </c>
      <c r="BC93" s="486">
        <v>0</v>
      </c>
      <c r="BD93" s="486">
        <v>0</v>
      </c>
      <c r="BE93" s="486">
        <v>0</v>
      </c>
      <c r="BF93" s="486">
        <v>0</v>
      </c>
      <c r="BG93" s="486">
        <v>0</v>
      </c>
      <c r="BH93" s="486">
        <v>0</v>
      </c>
      <c r="BI93" s="486">
        <v>0</v>
      </c>
      <c r="BJ93" s="486">
        <v>0</v>
      </c>
      <c r="BK93" s="486">
        <v>0</v>
      </c>
      <c r="BL93" s="486">
        <v>0</v>
      </c>
      <c r="BM93" s="486">
        <v>0</v>
      </c>
      <c r="BN93" s="486">
        <v>0</v>
      </c>
      <c r="BO93" s="486">
        <v>0</v>
      </c>
      <c r="BP93" s="486">
        <v>0</v>
      </c>
      <c r="BQ93" s="486">
        <v>0</v>
      </c>
      <c r="BR93" s="486">
        <v>0</v>
      </c>
      <c r="BS93" s="486">
        <v>0</v>
      </c>
      <c r="BT93" s="486">
        <v>0</v>
      </c>
      <c r="BU93" s="486">
        <v>0</v>
      </c>
      <c r="BV93" s="486">
        <v>0</v>
      </c>
      <c r="BW93" s="486">
        <v>0</v>
      </c>
      <c r="BX93" s="486">
        <v>0</v>
      </c>
      <c r="BY93" s="486">
        <v>0</v>
      </c>
      <c r="BZ93" s="486">
        <v>0</v>
      </c>
      <c r="CA93" s="486">
        <v>0</v>
      </c>
      <c r="CB93" s="486">
        <v>0</v>
      </c>
      <c r="CC93" s="486">
        <v>0</v>
      </c>
      <c r="CD93" s="486">
        <v>0</v>
      </c>
      <c r="CE93" s="486">
        <v>0</v>
      </c>
      <c r="CF93" s="486">
        <v>0</v>
      </c>
      <c r="CG93" s="486">
        <v>0</v>
      </c>
      <c r="CH93" s="486">
        <v>0</v>
      </c>
      <c r="CI93" s="486">
        <v>0</v>
      </c>
      <c r="CJ93" s="486">
        <v>0</v>
      </c>
      <c r="CK93" s="486">
        <v>0</v>
      </c>
      <c r="CL93" s="486">
        <v>0</v>
      </c>
      <c r="CM93" s="486">
        <v>0</v>
      </c>
      <c r="CN93" s="486">
        <v>0</v>
      </c>
      <c r="CO93" s="486">
        <v>0</v>
      </c>
      <c r="CP93" s="486">
        <v>0</v>
      </c>
      <c r="CQ93" s="486">
        <v>0</v>
      </c>
      <c r="CR93" s="486">
        <v>0</v>
      </c>
      <c r="CS93" s="486">
        <v>0</v>
      </c>
      <c r="CT93" s="486">
        <v>0</v>
      </c>
      <c r="CU93" s="486">
        <v>0</v>
      </c>
      <c r="CV93" s="486">
        <v>0</v>
      </c>
      <c r="CW93" s="486">
        <v>0</v>
      </c>
      <c r="CX93" s="486">
        <v>0</v>
      </c>
      <c r="CY93" s="486">
        <v>0</v>
      </c>
      <c r="CZ93" s="486">
        <v>0</v>
      </c>
      <c r="DA93" s="486">
        <v>0</v>
      </c>
      <c r="DB93" s="486">
        <v>0</v>
      </c>
      <c r="DC93" s="486">
        <v>0</v>
      </c>
      <c r="DD93" s="486">
        <v>0</v>
      </c>
      <c r="DE93" s="486">
        <v>0</v>
      </c>
      <c r="DF93" s="486">
        <v>0</v>
      </c>
      <c r="DG93" s="486">
        <v>0</v>
      </c>
      <c r="DH93" s="486">
        <v>0</v>
      </c>
      <c r="DI93" s="486">
        <v>0</v>
      </c>
      <c r="DJ93" s="486">
        <v>0</v>
      </c>
      <c r="DK93" s="486">
        <v>0</v>
      </c>
      <c r="DL93" s="486">
        <v>0</v>
      </c>
      <c r="DM93" s="486">
        <v>0</v>
      </c>
      <c r="DN93" s="486">
        <v>0</v>
      </c>
      <c r="DO93" s="486">
        <v>0</v>
      </c>
      <c r="DP93" s="486">
        <v>0</v>
      </c>
      <c r="DQ93" s="486">
        <v>0</v>
      </c>
      <c r="DR93" s="486">
        <v>0</v>
      </c>
      <c r="DS93" s="486">
        <v>0</v>
      </c>
      <c r="DT93" s="486">
        <v>0</v>
      </c>
      <c r="DU93" s="486">
        <v>0</v>
      </c>
      <c r="DV93" s="486">
        <v>0</v>
      </c>
      <c r="DW93" s="486">
        <v>0</v>
      </c>
      <c r="DX93" s="477"/>
      <c r="DY93" s="484" t="s">
        <v>720</v>
      </c>
      <c r="DZ93" s="484" t="s">
        <v>617</v>
      </c>
      <c r="EA93" s="484" t="s">
        <v>26</v>
      </c>
      <c r="EB93" s="486">
        <v>58</v>
      </c>
      <c r="EC93" s="471" t="str">
        <f t="shared" si="0"/>
        <v>AIJ100258</v>
      </c>
      <c r="ED93" s="486">
        <v>10000</v>
      </c>
      <c r="EE93" s="486">
        <v>10000</v>
      </c>
      <c r="EF93" s="486">
        <v>10000</v>
      </c>
      <c r="EG93" s="486">
        <v>10000</v>
      </c>
      <c r="EH93" s="486">
        <v>10000</v>
      </c>
      <c r="EI93" s="486">
        <v>10000</v>
      </c>
      <c r="EJ93" s="486">
        <v>10000</v>
      </c>
      <c r="EK93" s="486">
        <v>10000</v>
      </c>
      <c r="EL93" s="486">
        <v>10000</v>
      </c>
      <c r="EM93" s="486">
        <v>10000</v>
      </c>
      <c r="EN93" s="486">
        <v>0</v>
      </c>
      <c r="EO93" s="486">
        <v>0</v>
      </c>
      <c r="EP93" s="486">
        <v>0</v>
      </c>
      <c r="EQ93" s="486">
        <v>0</v>
      </c>
      <c r="ER93" s="486">
        <v>0</v>
      </c>
      <c r="ES93" s="486">
        <v>0</v>
      </c>
      <c r="ET93" s="486">
        <v>0</v>
      </c>
      <c r="EU93" s="486">
        <v>0</v>
      </c>
      <c r="EV93" s="486">
        <v>0</v>
      </c>
      <c r="EW93" s="486">
        <v>0</v>
      </c>
      <c r="EX93" s="486">
        <v>0</v>
      </c>
      <c r="EY93" s="486">
        <v>0</v>
      </c>
      <c r="EZ93" s="486">
        <v>0</v>
      </c>
      <c r="FA93" s="486">
        <v>0</v>
      </c>
      <c r="FB93" s="486">
        <v>0</v>
      </c>
      <c r="FC93" s="486">
        <v>0</v>
      </c>
      <c r="FD93" s="486">
        <v>0</v>
      </c>
      <c r="FE93" s="486">
        <v>0</v>
      </c>
      <c r="FF93" s="486">
        <v>0</v>
      </c>
      <c r="FG93" s="486">
        <v>0</v>
      </c>
      <c r="FH93" s="486">
        <v>0</v>
      </c>
      <c r="FI93" s="486">
        <v>0</v>
      </c>
      <c r="FJ93" s="486">
        <v>0</v>
      </c>
      <c r="FK93" s="486">
        <v>0</v>
      </c>
      <c r="FL93" s="486">
        <v>0</v>
      </c>
      <c r="FM93" s="486">
        <v>0</v>
      </c>
      <c r="FN93" s="486">
        <v>0</v>
      </c>
      <c r="FO93" s="486">
        <v>0</v>
      </c>
      <c r="FP93" s="486">
        <v>0</v>
      </c>
      <c r="FQ93" s="486">
        <v>0</v>
      </c>
      <c r="FR93" s="486">
        <v>0</v>
      </c>
      <c r="FS93" s="486">
        <v>0</v>
      </c>
      <c r="FT93" s="486">
        <v>0</v>
      </c>
      <c r="FU93" s="486">
        <v>0</v>
      </c>
      <c r="FV93" s="486">
        <v>0</v>
      </c>
      <c r="FW93" s="486">
        <v>0</v>
      </c>
      <c r="FX93" s="486">
        <v>0</v>
      </c>
      <c r="FY93" s="486">
        <v>0</v>
      </c>
      <c r="FZ93" s="486">
        <v>0</v>
      </c>
      <c r="GA93" s="486">
        <v>0</v>
      </c>
      <c r="GB93" s="486">
        <v>0</v>
      </c>
      <c r="GC93" s="486">
        <v>0</v>
      </c>
      <c r="GD93" s="486">
        <v>0</v>
      </c>
      <c r="GE93" s="486">
        <v>0</v>
      </c>
      <c r="GF93" s="486">
        <v>0</v>
      </c>
      <c r="GG93" s="486">
        <v>0</v>
      </c>
      <c r="GH93" s="486">
        <v>0</v>
      </c>
      <c r="GI93" s="486">
        <v>0</v>
      </c>
      <c r="GJ93" s="486">
        <v>0</v>
      </c>
      <c r="GK93" s="486">
        <v>0</v>
      </c>
      <c r="GL93" s="486">
        <v>0</v>
      </c>
      <c r="GM93" s="486">
        <v>0</v>
      </c>
      <c r="GN93" s="486">
        <v>0</v>
      </c>
      <c r="GO93" s="486">
        <v>0</v>
      </c>
      <c r="GP93" s="486">
        <v>0</v>
      </c>
      <c r="GQ93" s="486">
        <v>0</v>
      </c>
      <c r="GR93" s="486">
        <v>0</v>
      </c>
      <c r="GS93" s="486">
        <v>0</v>
      </c>
      <c r="GT93" s="486">
        <v>0</v>
      </c>
      <c r="GU93" s="486">
        <v>0</v>
      </c>
      <c r="GV93" s="486">
        <v>0</v>
      </c>
      <c r="GW93" s="486">
        <v>0</v>
      </c>
      <c r="GX93" s="486">
        <v>0</v>
      </c>
      <c r="GY93" s="486">
        <v>0</v>
      </c>
      <c r="GZ93" s="486">
        <v>0</v>
      </c>
      <c r="HA93" s="486">
        <v>0</v>
      </c>
      <c r="HB93" s="486">
        <v>0</v>
      </c>
      <c r="HC93" s="486">
        <v>0</v>
      </c>
      <c r="HD93" s="486">
        <v>0</v>
      </c>
      <c r="HE93" s="486">
        <v>0</v>
      </c>
      <c r="HF93" s="486">
        <v>0</v>
      </c>
      <c r="HG93" s="486">
        <v>0</v>
      </c>
      <c r="HH93" s="486">
        <v>0</v>
      </c>
      <c r="HI93" s="486">
        <v>0</v>
      </c>
      <c r="HJ93" s="486">
        <v>0</v>
      </c>
      <c r="HK93" s="486">
        <v>0</v>
      </c>
      <c r="HL93" s="486">
        <v>0</v>
      </c>
      <c r="HM93" s="486">
        <v>0</v>
      </c>
      <c r="HN93" s="486">
        <v>0</v>
      </c>
      <c r="HO93" s="486">
        <v>0</v>
      </c>
      <c r="HP93" s="486">
        <v>0</v>
      </c>
      <c r="HQ93" s="486">
        <v>0</v>
      </c>
      <c r="HR93" s="486">
        <v>0</v>
      </c>
      <c r="HS93" s="486">
        <v>0</v>
      </c>
      <c r="HT93" s="486">
        <v>0</v>
      </c>
      <c r="HU93" s="486">
        <v>0</v>
      </c>
      <c r="HV93" s="486">
        <v>0</v>
      </c>
      <c r="HW93" s="486">
        <v>0</v>
      </c>
      <c r="HX93" s="486">
        <v>0</v>
      </c>
      <c r="HY93" s="486">
        <v>0</v>
      </c>
      <c r="HZ93" s="486">
        <v>0</v>
      </c>
      <c r="IA93" s="486">
        <v>0</v>
      </c>
      <c r="IB93" s="486">
        <v>0</v>
      </c>
      <c r="IC93" s="486">
        <v>0</v>
      </c>
      <c r="ID93" s="486">
        <v>0</v>
      </c>
      <c r="IE93" s="486">
        <v>0</v>
      </c>
      <c r="IF93" s="486">
        <v>0</v>
      </c>
      <c r="IG93" s="486">
        <v>0</v>
      </c>
      <c r="IH93" s="486">
        <v>0</v>
      </c>
      <c r="II93" s="486">
        <v>0</v>
      </c>
      <c r="IJ93" s="486">
        <v>0</v>
      </c>
    </row>
    <row r="94" spans="1:244" ht="16.5" hidden="1">
      <c r="A94" s="484" t="s">
        <v>720</v>
      </c>
      <c r="B94" s="484" t="s">
        <v>617</v>
      </c>
      <c r="C94" s="484" t="s">
        <v>721</v>
      </c>
      <c r="D94" s="485"/>
      <c r="E94" s="484" t="s">
        <v>721</v>
      </c>
      <c r="F94" s="484" t="s">
        <v>25</v>
      </c>
      <c r="G94" s="485"/>
      <c r="H94" s="486">
        <v>43</v>
      </c>
      <c r="I94" s="471" t="str">
        <f t="shared" si="3"/>
        <v>AIJ100143</v>
      </c>
      <c r="J94" s="486">
        <v>110</v>
      </c>
      <c r="L94" s="484" t="s">
        <v>720</v>
      </c>
      <c r="M94" s="484" t="s">
        <v>617</v>
      </c>
      <c r="N94" s="484" t="s">
        <v>26</v>
      </c>
      <c r="O94" s="486">
        <v>59</v>
      </c>
      <c r="P94" s="471" t="str">
        <f t="shared" si="4"/>
        <v>AIJ100259</v>
      </c>
      <c r="Q94" s="486">
        <v>0</v>
      </c>
      <c r="R94" s="486">
        <v>32</v>
      </c>
      <c r="S94" s="486">
        <v>60</v>
      </c>
      <c r="T94" s="486">
        <v>86</v>
      </c>
      <c r="U94" s="486">
        <v>114</v>
      </c>
      <c r="V94" s="486">
        <v>131</v>
      </c>
      <c r="W94" s="486">
        <v>153</v>
      </c>
      <c r="X94" s="486">
        <v>167</v>
      </c>
      <c r="Y94" s="486">
        <v>164</v>
      </c>
      <c r="Z94" s="486">
        <v>0</v>
      </c>
      <c r="AA94" s="486">
        <v>0</v>
      </c>
      <c r="AB94" s="486">
        <v>0</v>
      </c>
      <c r="AC94" s="486">
        <v>0</v>
      </c>
      <c r="AD94" s="486">
        <v>0</v>
      </c>
      <c r="AE94" s="486">
        <v>0</v>
      </c>
      <c r="AF94" s="486">
        <v>0</v>
      </c>
      <c r="AG94" s="486">
        <v>0</v>
      </c>
      <c r="AH94" s="486">
        <v>0</v>
      </c>
      <c r="AI94" s="486">
        <v>0</v>
      </c>
      <c r="AJ94" s="486">
        <v>0</v>
      </c>
      <c r="AK94" s="486">
        <v>0</v>
      </c>
      <c r="AL94" s="486">
        <v>0</v>
      </c>
      <c r="AM94" s="486">
        <v>0</v>
      </c>
      <c r="AN94" s="486">
        <v>0</v>
      </c>
      <c r="AO94" s="486">
        <v>0</v>
      </c>
      <c r="AP94" s="486">
        <v>0</v>
      </c>
      <c r="AQ94" s="486">
        <v>0</v>
      </c>
      <c r="AR94" s="486">
        <v>0</v>
      </c>
      <c r="AS94" s="486">
        <v>0</v>
      </c>
      <c r="AT94" s="486">
        <v>0</v>
      </c>
      <c r="AU94" s="486">
        <v>0</v>
      </c>
      <c r="AV94" s="486">
        <v>0</v>
      </c>
      <c r="AW94" s="486">
        <v>0</v>
      </c>
      <c r="AX94" s="486">
        <v>0</v>
      </c>
      <c r="AY94" s="486">
        <v>0</v>
      </c>
      <c r="AZ94" s="486">
        <v>0</v>
      </c>
      <c r="BA94" s="486">
        <v>0</v>
      </c>
      <c r="BB94" s="486">
        <v>0</v>
      </c>
      <c r="BC94" s="486">
        <v>0</v>
      </c>
      <c r="BD94" s="486">
        <v>0</v>
      </c>
      <c r="BE94" s="486">
        <v>0</v>
      </c>
      <c r="BF94" s="486">
        <v>0</v>
      </c>
      <c r="BG94" s="486">
        <v>0</v>
      </c>
      <c r="BH94" s="486">
        <v>0</v>
      </c>
      <c r="BI94" s="486">
        <v>0</v>
      </c>
      <c r="BJ94" s="486">
        <v>0</v>
      </c>
      <c r="BK94" s="486">
        <v>0</v>
      </c>
      <c r="BL94" s="486">
        <v>0</v>
      </c>
      <c r="BM94" s="486">
        <v>0</v>
      </c>
      <c r="BN94" s="486">
        <v>0</v>
      </c>
      <c r="BO94" s="486">
        <v>0</v>
      </c>
      <c r="BP94" s="486">
        <v>0</v>
      </c>
      <c r="BQ94" s="486">
        <v>0</v>
      </c>
      <c r="BR94" s="486">
        <v>0</v>
      </c>
      <c r="BS94" s="486">
        <v>0</v>
      </c>
      <c r="BT94" s="486">
        <v>0</v>
      </c>
      <c r="BU94" s="486">
        <v>0</v>
      </c>
      <c r="BV94" s="486">
        <v>0</v>
      </c>
      <c r="BW94" s="486">
        <v>0</v>
      </c>
      <c r="BX94" s="486">
        <v>0</v>
      </c>
      <c r="BY94" s="486">
        <v>0</v>
      </c>
      <c r="BZ94" s="486">
        <v>0</v>
      </c>
      <c r="CA94" s="486">
        <v>0</v>
      </c>
      <c r="CB94" s="486">
        <v>0</v>
      </c>
      <c r="CC94" s="486">
        <v>0</v>
      </c>
      <c r="CD94" s="486">
        <v>0</v>
      </c>
      <c r="CE94" s="486">
        <v>0</v>
      </c>
      <c r="CF94" s="486">
        <v>0</v>
      </c>
      <c r="CG94" s="486">
        <v>0</v>
      </c>
      <c r="CH94" s="486">
        <v>0</v>
      </c>
      <c r="CI94" s="486">
        <v>0</v>
      </c>
      <c r="CJ94" s="486">
        <v>0</v>
      </c>
      <c r="CK94" s="486">
        <v>0</v>
      </c>
      <c r="CL94" s="486">
        <v>0</v>
      </c>
      <c r="CM94" s="486">
        <v>0</v>
      </c>
      <c r="CN94" s="486">
        <v>0</v>
      </c>
      <c r="CO94" s="486">
        <v>0</v>
      </c>
      <c r="CP94" s="486">
        <v>0</v>
      </c>
      <c r="CQ94" s="486">
        <v>0</v>
      </c>
      <c r="CR94" s="486">
        <v>0</v>
      </c>
      <c r="CS94" s="486">
        <v>0</v>
      </c>
      <c r="CT94" s="486">
        <v>0</v>
      </c>
      <c r="CU94" s="486">
        <v>0</v>
      </c>
      <c r="CV94" s="486">
        <v>0</v>
      </c>
      <c r="CW94" s="486">
        <v>0</v>
      </c>
      <c r="CX94" s="486">
        <v>0</v>
      </c>
      <c r="CY94" s="486">
        <v>0</v>
      </c>
      <c r="CZ94" s="486">
        <v>0</v>
      </c>
      <c r="DA94" s="486">
        <v>0</v>
      </c>
      <c r="DB94" s="486">
        <v>0</v>
      </c>
      <c r="DC94" s="486">
        <v>0</v>
      </c>
      <c r="DD94" s="486">
        <v>0</v>
      </c>
      <c r="DE94" s="486">
        <v>0</v>
      </c>
      <c r="DF94" s="486">
        <v>0</v>
      </c>
      <c r="DG94" s="486">
        <v>0</v>
      </c>
      <c r="DH94" s="486">
        <v>0</v>
      </c>
      <c r="DI94" s="486">
        <v>0</v>
      </c>
      <c r="DJ94" s="486">
        <v>0</v>
      </c>
      <c r="DK94" s="486">
        <v>0</v>
      </c>
      <c r="DL94" s="486">
        <v>0</v>
      </c>
      <c r="DM94" s="486">
        <v>0</v>
      </c>
      <c r="DN94" s="486">
        <v>0</v>
      </c>
      <c r="DO94" s="486">
        <v>0</v>
      </c>
      <c r="DP94" s="486">
        <v>0</v>
      </c>
      <c r="DQ94" s="486">
        <v>0</v>
      </c>
      <c r="DR94" s="486">
        <v>0</v>
      </c>
      <c r="DS94" s="486">
        <v>0</v>
      </c>
      <c r="DT94" s="486">
        <v>0</v>
      </c>
      <c r="DU94" s="486">
        <v>0</v>
      </c>
      <c r="DV94" s="486">
        <v>0</v>
      </c>
      <c r="DW94" s="486">
        <v>0</v>
      </c>
      <c r="DX94" s="477"/>
      <c r="DY94" s="484" t="s">
        <v>720</v>
      </c>
      <c r="DZ94" s="484" t="s">
        <v>617</v>
      </c>
      <c r="EA94" s="484" t="s">
        <v>26</v>
      </c>
      <c r="EB94" s="486">
        <v>59</v>
      </c>
      <c r="EC94" s="471" t="str">
        <f t="shared" si="0"/>
        <v>AIJ100259</v>
      </c>
      <c r="ED94" s="486">
        <v>10000</v>
      </c>
      <c r="EE94" s="486">
        <v>10000</v>
      </c>
      <c r="EF94" s="486">
        <v>10000</v>
      </c>
      <c r="EG94" s="486">
        <v>10000</v>
      </c>
      <c r="EH94" s="486">
        <v>10000</v>
      </c>
      <c r="EI94" s="486">
        <v>10000</v>
      </c>
      <c r="EJ94" s="486">
        <v>10000</v>
      </c>
      <c r="EK94" s="486">
        <v>10000</v>
      </c>
      <c r="EL94" s="486">
        <v>10000</v>
      </c>
      <c r="EM94" s="486">
        <v>10000</v>
      </c>
      <c r="EN94" s="486">
        <v>0</v>
      </c>
      <c r="EO94" s="486">
        <v>0</v>
      </c>
      <c r="EP94" s="486">
        <v>0</v>
      </c>
      <c r="EQ94" s="486">
        <v>0</v>
      </c>
      <c r="ER94" s="486">
        <v>0</v>
      </c>
      <c r="ES94" s="486">
        <v>0</v>
      </c>
      <c r="ET94" s="486">
        <v>0</v>
      </c>
      <c r="EU94" s="486">
        <v>0</v>
      </c>
      <c r="EV94" s="486">
        <v>0</v>
      </c>
      <c r="EW94" s="486">
        <v>0</v>
      </c>
      <c r="EX94" s="486">
        <v>0</v>
      </c>
      <c r="EY94" s="486">
        <v>0</v>
      </c>
      <c r="EZ94" s="486">
        <v>0</v>
      </c>
      <c r="FA94" s="486">
        <v>0</v>
      </c>
      <c r="FB94" s="486">
        <v>0</v>
      </c>
      <c r="FC94" s="486">
        <v>0</v>
      </c>
      <c r="FD94" s="486">
        <v>0</v>
      </c>
      <c r="FE94" s="486">
        <v>0</v>
      </c>
      <c r="FF94" s="486">
        <v>0</v>
      </c>
      <c r="FG94" s="486">
        <v>0</v>
      </c>
      <c r="FH94" s="486">
        <v>0</v>
      </c>
      <c r="FI94" s="486">
        <v>0</v>
      </c>
      <c r="FJ94" s="486">
        <v>0</v>
      </c>
      <c r="FK94" s="486">
        <v>0</v>
      </c>
      <c r="FL94" s="486">
        <v>0</v>
      </c>
      <c r="FM94" s="486">
        <v>0</v>
      </c>
      <c r="FN94" s="486">
        <v>0</v>
      </c>
      <c r="FO94" s="486">
        <v>0</v>
      </c>
      <c r="FP94" s="486">
        <v>0</v>
      </c>
      <c r="FQ94" s="486">
        <v>0</v>
      </c>
      <c r="FR94" s="486">
        <v>0</v>
      </c>
      <c r="FS94" s="486">
        <v>0</v>
      </c>
      <c r="FT94" s="486">
        <v>0</v>
      </c>
      <c r="FU94" s="486">
        <v>0</v>
      </c>
      <c r="FV94" s="486">
        <v>0</v>
      </c>
      <c r="FW94" s="486">
        <v>0</v>
      </c>
      <c r="FX94" s="486">
        <v>0</v>
      </c>
      <c r="FY94" s="486">
        <v>0</v>
      </c>
      <c r="FZ94" s="486">
        <v>0</v>
      </c>
      <c r="GA94" s="486">
        <v>0</v>
      </c>
      <c r="GB94" s="486">
        <v>0</v>
      </c>
      <c r="GC94" s="486">
        <v>0</v>
      </c>
      <c r="GD94" s="486">
        <v>0</v>
      </c>
      <c r="GE94" s="486">
        <v>0</v>
      </c>
      <c r="GF94" s="486">
        <v>0</v>
      </c>
      <c r="GG94" s="486">
        <v>0</v>
      </c>
      <c r="GH94" s="486">
        <v>0</v>
      </c>
      <c r="GI94" s="486">
        <v>0</v>
      </c>
      <c r="GJ94" s="486">
        <v>0</v>
      </c>
      <c r="GK94" s="486">
        <v>0</v>
      </c>
      <c r="GL94" s="486">
        <v>0</v>
      </c>
      <c r="GM94" s="486">
        <v>0</v>
      </c>
      <c r="GN94" s="486">
        <v>0</v>
      </c>
      <c r="GO94" s="486">
        <v>0</v>
      </c>
      <c r="GP94" s="486">
        <v>0</v>
      </c>
      <c r="GQ94" s="486">
        <v>0</v>
      </c>
      <c r="GR94" s="486">
        <v>0</v>
      </c>
      <c r="GS94" s="486">
        <v>0</v>
      </c>
      <c r="GT94" s="486">
        <v>0</v>
      </c>
      <c r="GU94" s="486">
        <v>0</v>
      </c>
      <c r="GV94" s="486">
        <v>0</v>
      </c>
      <c r="GW94" s="486">
        <v>0</v>
      </c>
      <c r="GX94" s="486">
        <v>0</v>
      </c>
      <c r="GY94" s="486">
        <v>0</v>
      </c>
      <c r="GZ94" s="486">
        <v>0</v>
      </c>
      <c r="HA94" s="486">
        <v>0</v>
      </c>
      <c r="HB94" s="486">
        <v>0</v>
      </c>
      <c r="HC94" s="486">
        <v>0</v>
      </c>
      <c r="HD94" s="486">
        <v>0</v>
      </c>
      <c r="HE94" s="486">
        <v>0</v>
      </c>
      <c r="HF94" s="486">
        <v>0</v>
      </c>
      <c r="HG94" s="486">
        <v>0</v>
      </c>
      <c r="HH94" s="486">
        <v>0</v>
      </c>
      <c r="HI94" s="486">
        <v>0</v>
      </c>
      <c r="HJ94" s="486">
        <v>0</v>
      </c>
      <c r="HK94" s="486">
        <v>0</v>
      </c>
      <c r="HL94" s="486">
        <v>0</v>
      </c>
      <c r="HM94" s="486">
        <v>0</v>
      </c>
      <c r="HN94" s="486">
        <v>0</v>
      </c>
      <c r="HO94" s="486">
        <v>0</v>
      </c>
      <c r="HP94" s="486">
        <v>0</v>
      </c>
      <c r="HQ94" s="486">
        <v>0</v>
      </c>
      <c r="HR94" s="486">
        <v>0</v>
      </c>
      <c r="HS94" s="486">
        <v>0</v>
      </c>
      <c r="HT94" s="486">
        <v>0</v>
      </c>
      <c r="HU94" s="486">
        <v>0</v>
      </c>
      <c r="HV94" s="486">
        <v>0</v>
      </c>
      <c r="HW94" s="486">
        <v>0</v>
      </c>
      <c r="HX94" s="486">
        <v>0</v>
      </c>
      <c r="HY94" s="486">
        <v>0</v>
      </c>
      <c r="HZ94" s="486">
        <v>0</v>
      </c>
      <c r="IA94" s="486">
        <v>0</v>
      </c>
      <c r="IB94" s="486">
        <v>0</v>
      </c>
      <c r="IC94" s="486">
        <v>0</v>
      </c>
      <c r="ID94" s="486">
        <v>0</v>
      </c>
      <c r="IE94" s="486">
        <v>0</v>
      </c>
      <c r="IF94" s="486">
        <v>0</v>
      </c>
      <c r="IG94" s="486">
        <v>0</v>
      </c>
      <c r="IH94" s="486">
        <v>0</v>
      </c>
      <c r="II94" s="486">
        <v>0</v>
      </c>
      <c r="IJ94" s="486">
        <v>0</v>
      </c>
    </row>
    <row r="95" spans="1:244" ht="16.5" hidden="1">
      <c r="A95" s="484" t="s">
        <v>720</v>
      </c>
      <c r="B95" s="484" t="s">
        <v>617</v>
      </c>
      <c r="C95" s="484" t="s">
        <v>721</v>
      </c>
      <c r="D95" s="485"/>
      <c r="E95" s="484" t="s">
        <v>721</v>
      </c>
      <c r="F95" s="484" t="s">
        <v>25</v>
      </c>
      <c r="G95" s="485"/>
      <c r="H95" s="486">
        <v>44</v>
      </c>
      <c r="I95" s="471" t="str">
        <f t="shared" si="3"/>
        <v>AIJ100144</v>
      </c>
      <c r="J95" s="486">
        <v>116</v>
      </c>
      <c r="L95" s="484" t="s">
        <v>720</v>
      </c>
      <c r="M95" s="484" t="s">
        <v>617</v>
      </c>
      <c r="N95" s="484" t="s">
        <v>26</v>
      </c>
      <c r="O95" s="486">
        <v>60</v>
      </c>
      <c r="P95" s="471" t="str">
        <f t="shared" si="4"/>
        <v>AIJ100260</v>
      </c>
      <c r="Q95" s="486">
        <v>0</v>
      </c>
      <c r="R95" s="486">
        <v>35</v>
      </c>
      <c r="S95" s="486">
        <v>67</v>
      </c>
      <c r="T95" s="486">
        <v>95</v>
      </c>
      <c r="U95" s="486">
        <v>126</v>
      </c>
      <c r="V95" s="486">
        <v>146</v>
      </c>
      <c r="W95" s="486">
        <v>168</v>
      </c>
      <c r="X95" s="486">
        <v>184</v>
      </c>
      <c r="Y95" s="486">
        <v>178</v>
      </c>
      <c r="Z95" s="486">
        <v>0</v>
      </c>
      <c r="AA95" s="486">
        <v>0</v>
      </c>
      <c r="AB95" s="486">
        <v>0</v>
      </c>
      <c r="AC95" s="486">
        <v>0</v>
      </c>
      <c r="AD95" s="486">
        <v>0</v>
      </c>
      <c r="AE95" s="486">
        <v>0</v>
      </c>
      <c r="AF95" s="486">
        <v>0</v>
      </c>
      <c r="AG95" s="486">
        <v>0</v>
      </c>
      <c r="AH95" s="486">
        <v>0</v>
      </c>
      <c r="AI95" s="486">
        <v>0</v>
      </c>
      <c r="AJ95" s="486">
        <v>0</v>
      </c>
      <c r="AK95" s="486">
        <v>0</v>
      </c>
      <c r="AL95" s="486">
        <v>0</v>
      </c>
      <c r="AM95" s="486">
        <v>0</v>
      </c>
      <c r="AN95" s="486">
        <v>0</v>
      </c>
      <c r="AO95" s="486">
        <v>0</v>
      </c>
      <c r="AP95" s="486">
        <v>0</v>
      </c>
      <c r="AQ95" s="486">
        <v>0</v>
      </c>
      <c r="AR95" s="486">
        <v>0</v>
      </c>
      <c r="AS95" s="486">
        <v>0</v>
      </c>
      <c r="AT95" s="486">
        <v>0</v>
      </c>
      <c r="AU95" s="486">
        <v>0</v>
      </c>
      <c r="AV95" s="486">
        <v>0</v>
      </c>
      <c r="AW95" s="486">
        <v>0</v>
      </c>
      <c r="AX95" s="486">
        <v>0</v>
      </c>
      <c r="AY95" s="486">
        <v>0</v>
      </c>
      <c r="AZ95" s="486">
        <v>0</v>
      </c>
      <c r="BA95" s="486">
        <v>0</v>
      </c>
      <c r="BB95" s="486">
        <v>0</v>
      </c>
      <c r="BC95" s="486">
        <v>0</v>
      </c>
      <c r="BD95" s="486">
        <v>0</v>
      </c>
      <c r="BE95" s="486">
        <v>0</v>
      </c>
      <c r="BF95" s="486">
        <v>0</v>
      </c>
      <c r="BG95" s="486">
        <v>0</v>
      </c>
      <c r="BH95" s="486">
        <v>0</v>
      </c>
      <c r="BI95" s="486">
        <v>0</v>
      </c>
      <c r="BJ95" s="486">
        <v>0</v>
      </c>
      <c r="BK95" s="486">
        <v>0</v>
      </c>
      <c r="BL95" s="486">
        <v>0</v>
      </c>
      <c r="BM95" s="486">
        <v>0</v>
      </c>
      <c r="BN95" s="486">
        <v>0</v>
      </c>
      <c r="BO95" s="486">
        <v>0</v>
      </c>
      <c r="BP95" s="486">
        <v>0</v>
      </c>
      <c r="BQ95" s="486">
        <v>0</v>
      </c>
      <c r="BR95" s="486">
        <v>0</v>
      </c>
      <c r="BS95" s="486">
        <v>0</v>
      </c>
      <c r="BT95" s="486">
        <v>0</v>
      </c>
      <c r="BU95" s="486">
        <v>0</v>
      </c>
      <c r="BV95" s="486">
        <v>0</v>
      </c>
      <c r="BW95" s="486">
        <v>0</v>
      </c>
      <c r="BX95" s="486">
        <v>0</v>
      </c>
      <c r="BY95" s="486">
        <v>0</v>
      </c>
      <c r="BZ95" s="486">
        <v>0</v>
      </c>
      <c r="CA95" s="486">
        <v>0</v>
      </c>
      <c r="CB95" s="486">
        <v>0</v>
      </c>
      <c r="CC95" s="486">
        <v>0</v>
      </c>
      <c r="CD95" s="486">
        <v>0</v>
      </c>
      <c r="CE95" s="486">
        <v>0</v>
      </c>
      <c r="CF95" s="486">
        <v>0</v>
      </c>
      <c r="CG95" s="486">
        <v>0</v>
      </c>
      <c r="CH95" s="486">
        <v>0</v>
      </c>
      <c r="CI95" s="486">
        <v>0</v>
      </c>
      <c r="CJ95" s="486">
        <v>0</v>
      </c>
      <c r="CK95" s="486">
        <v>0</v>
      </c>
      <c r="CL95" s="486">
        <v>0</v>
      </c>
      <c r="CM95" s="486">
        <v>0</v>
      </c>
      <c r="CN95" s="486">
        <v>0</v>
      </c>
      <c r="CO95" s="486">
        <v>0</v>
      </c>
      <c r="CP95" s="486">
        <v>0</v>
      </c>
      <c r="CQ95" s="486">
        <v>0</v>
      </c>
      <c r="CR95" s="486">
        <v>0</v>
      </c>
      <c r="CS95" s="486">
        <v>0</v>
      </c>
      <c r="CT95" s="486">
        <v>0</v>
      </c>
      <c r="CU95" s="486">
        <v>0</v>
      </c>
      <c r="CV95" s="486">
        <v>0</v>
      </c>
      <c r="CW95" s="486">
        <v>0</v>
      </c>
      <c r="CX95" s="486">
        <v>0</v>
      </c>
      <c r="CY95" s="486">
        <v>0</v>
      </c>
      <c r="CZ95" s="486">
        <v>0</v>
      </c>
      <c r="DA95" s="486">
        <v>0</v>
      </c>
      <c r="DB95" s="486">
        <v>0</v>
      </c>
      <c r="DC95" s="486">
        <v>0</v>
      </c>
      <c r="DD95" s="486">
        <v>0</v>
      </c>
      <c r="DE95" s="486">
        <v>0</v>
      </c>
      <c r="DF95" s="486">
        <v>0</v>
      </c>
      <c r="DG95" s="486">
        <v>0</v>
      </c>
      <c r="DH95" s="486">
        <v>0</v>
      </c>
      <c r="DI95" s="486">
        <v>0</v>
      </c>
      <c r="DJ95" s="486">
        <v>0</v>
      </c>
      <c r="DK95" s="486">
        <v>0</v>
      </c>
      <c r="DL95" s="486">
        <v>0</v>
      </c>
      <c r="DM95" s="486">
        <v>0</v>
      </c>
      <c r="DN95" s="486">
        <v>0</v>
      </c>
      <c r="DO95" s="486">
        <v>0</v>
      </c>
      <c r="DP95" s="486">
        <v>0</v>
      </c>
      <c r="DQ95" s="486">
        <v>0</v>
      </c>
      <c r="DR95" s="486">
        <v>0</v>
      </c>
      <c r="DS95" s="486">
        <v>0</v>
      </c>
      <c r="DT95" s="486">
        <v>0</v>
      </c>
      <c r="DU95" s="486">
        <v>0</v>
      </c>
      <c r="DV95" s="486">
        <v>0</v>
      </c>
      <c r="DW95" s="486">
        <v>0</v>
      </c>
      <c r="DX95" s="477"/>
      <c r="DY95" s="484" t="s">
        <v>720</v>
      </c>
      <c r="DZ95" s="484" t="s">
        <v>617</v>
      </c>
      <c r="EA95" s="484" t="s">
        <v>26</v>
      </c>
      <c r="EB95" s="486">
        <v>60</v>
      </c>
      <c r="EC95" s="471" t="str">
        <f t="shared" si="0"/>
        <v>AIJ100260</v>
      </c>
      <c r="ED95" s="486">
        <v>10000</v>
      </c>
      <c r="EE95" s="486">
        <v>10000</v>
      </c>
      <c r="EF95" s="486">
        <v>10000</v>
      </c>
      <c r="EG95" s="486">
        <v>10000</v>
      </c>
      <c r="EH95" s="486">
        <v>10000</v>
      </c>
      <c r="EI95" s="486">
        <v>10000</v>
      </c>
      <c r="EJ95" s="486">
        <v>10000</v>
      </c>
      <c r="EK95" s="486">
        <v>10000</v>
      </c>
      <c r="EL95" s="486">
        <v>10000</v>
      </c>
      <c r="EM95" s="486">
        <v>10000</v>
      </c>
      <c r="EN95" s="486">
        <v>0</v>
      </c>
      <c r="EO95" s="486">
        <v>0</v>
      </c>
      <c r="EP95" s="486">
        <v>0</v>
      </c>
      <c r="EQ95" s="486">
        <v>0</v>
      </c>
      <c r="ER95" s="486">
        <v>0</v>
      </c>
      <c r="ES95" s="486">
        <v>0</v>
      </c>
      <c r="ET95" s="486">
        <v>0</v>
      </c>
      <c r="EU95" s="486">
        <v>0</v>
      </c>
      <c r="EV95" s="486">
        <v>0</v>
      </c>
      <c r="EW95" s="486">
        <v>0</v>
      </c>
      <c r="EX95" s="486">
        <v>0</v>
      </c>
      <c r="EY95" s="486">
        <v>0</v>
      </c>
      <c r="EZ95" s="486">
        <v>0</v>
      </c>
      <c r="FA95" s="486">
        <v>0</v>
      </c>
      <c r="FB95" s="486">
        <v>0</v>
      </c>
      <c r="FC95" s="486">
        <v>0</v>
      </c>
      <c r="FD95" s="486">
        <v>0</v>
      </c>
      <c r="FE95" s="486">
        <v>0</v>
      </c>
      <c r="FF95" s="486">
        <v>0</v>
      </c>
      <c r="FG95" s="486">
        <v>0</v>
      </c>
      <c r="FH95" s="486">
        <v>0</v>
      </c>
      <c r="FI95" s="486">
        <v>0</v>
      </c>
      <c r="FJ95" s="486">
        <v>0</v>
      </c>
      <c r="FK95" s="486">
        <v>0</v>
      </c>
      <c r="FL95" s="486">
        <v>0</v>
      </c>
      <c r="FM95" s="486">
        <v>0</v>
      </c>
      <c r="FN95" s="486">
        <v>0</v>
      </c>
      <c r="FO95" s="486">
        <v>0</v>
      </c>
      <c r="FP95" s="486">
        <v>0</v>
      </c>
      <c r="FQ95" s="486">
        <v>0</v>
      </c>
      <c r="FR95" s="486">
        <v>0</v>
      </c>
      <c r="FS95" s="486">
        <v>0</v>
      </c>
      <c r="FT95" s="486">
        <v>0</v>
      </c>
      <c r="FU95" s="486">
        <v>0</v>
      </c>
      <c r="FV95" s="486">
        <v>0</v>
      </c>
      <c r="FW95" s="486">
        <v>0</v>
      </c>
      <c r="FX95" s="486">
        <v>0</v>
      </c>
      <c r="FY95" s="486">
        <v>0</v>
      </c>
      <c r="FZ95" s="486">
        <v>0</v>
      </c>
      <c r="GA95" s="486">
        <v>0</v>
      </c>
      <c r="GB95" s="486">
        <v>0</v>
      </c>
      <c r="GC95" s="486">
        <v>0</v>
      </c>
      <c r="GD95" s="486">
        <v>0</v>
      </c>
      <c r="GE95" s="486">
        <v>0</v>
      </c>
      <c r="GF95" s="486">
        <v>0</v>
      </c>
      <c r="GG95" s="486">
        <v>0</v>
      </c>
      <c r="GH95" s="486">
        <v>0</v>
      </c>
      <c r="GI95" s="486">
        <v>0</v>
      </c>
      <c r="GJ95" s="486">
        <v>0</v>
      </c>
      <c r="GK95" s="486">
        <v>0</v>
      </c>
      <c r="GL95" s="486">
        <v>0</v>
      </c>
      <c r="GM95" s="486">
        <v>0</v>
      </c>
      <c r="GN95" s="486">
        <v>0</v>
      </c>
      <c r="GO95" s="486">
        <v>0</v>
      </c>
      <c r="GP95" s="486">
        <v>0</v>
      </c>
      <c r="GQ95" s="486">
        <v>0</v>
      </c>
      <c r="GR95" s="486">
        <v>0</v>
      </c>
      <c r="GS95" s="486">
        <v>0</v>
      </c>
      <c r="GT95" s="486">
        <v>0</v>
      </c>
      <c r="GU95" s="486">
        <v>0</v>
      </c>
      <c r="GV95" s="486">
        <v>0</v>
      </c>
      <c r="GW95" s="486">
        <v>0</v>
      </c>
      <c r="GX95" s="486">
        <v>0</v>
      </c>
      <c r="GY95" s="486">
        <v>0</v>
      </c>
      <c r="GZ95" s="486">
        <v>0</v>
      </c>
      <c r="HA95" s="486">
        <v>0</v>
      </c>
      <c r="HB95" s="486">
        <v>0</v>
      </c>
      <c r="HC95" s="486">
        <v>0</v>
      </c>
      <c r="HD95" s="486">
        <v>0</v>
      </c>
      <c r="HE95" s="486">
        <v>0</v>
      </c>
      <c r="HF95" s="486">
        <v>0</v>
      </c>
      <c r="HG95" s="486">
        <v>0</v>
      </c>
      <c r="HH95" s="486">
        <v>0</v>
      </c>
      <c r="HI95" s="486">
        <v>0</v>
      </c>
      <c r="HJ95" s="486">
        <v>0</v>
      </c>
      <c r="HK95" s="486">
        <v>0</v>
      </c>
      <c r="HL95" s="486">
        <v>0</v>
      </c>
      <c r="HM95" s="486">
        <v>0</v>
      </c>
      <c r="HN95" s="486">
        <v>0</v>
      </c>
      <c r="HO95" s="486">
        <v>0</v>
      </c>
      <c r="HP95" s="486">
        <v>0</v>
      </c>
      <c r="HQ95" s="486">
        <v>0</v>
      </c>
      <c r="HR95" s="486">
        <v>0</v>
      </c>
      <c r="HS95" s="486">
        <v>0</v>
      </c>
      <c r="HT95" s="486">
        <v>0</v>
      </c>
      <c r="HU95" s="486">
        <v>0</v>
      </c>
      <c r="HV95" s="486">
        <v>0</v>
      </c>
      <c r="HW95" s="486">
        <v>0</v>
      </c>
      <c r="HX95" s="486">
        <v>0</v>
      </c>
      <c r="HY95" s="486">
        <v>0</v>
      </c>
      <c r="HZ95" s="486">
        <v>0</v>
      </c>
      <c r="IA95" s="486">
        <v>0</v>
      </c>
      <c r="IB95" s="486">
        <v>0</v>
      </c>
      <c r="IC95" s="486">
        <v>0</v>
      </c>
      <c r="ID95" s="486">
        <v>0</v>
      </c>
      <c r="IE95" s="486">
        <v>0</v>
      </c>
      <c r="IF95" s="486">
        <v>0</v>
      </c>
      <c r="IG95" s="486">
        <v>0</v>
      </c>
      <c r="IH95" s="486">
        <v>0</v>
      </c>
      <c r="II95" s="486">
        <v>0</v>
      </c>
      <c r="IJ95" s="486">
        <v>0</v>
      </c>
    </row>
    <row r="96" spans="1:244" ht="16.5" hidden="1">
      <c r="A96" s="484" t="s">
        <v>720</v>
      </c>
      <c r="B96" s="484" t="s">
        <v>617</v>
      </c>
      <c r="C96" s="484" t="s">
        <v>721</v>
      </c>
      <c r="D96" s="485"/>
      <c r="E96" s="484" t="s">
        <v>721</v>
      </c>
      <c r="F96" s="484" t="s">
        <v>25</v>
      </c>
      <c r="G96" s="485"/>
      <c r="H96" s="486">
        <v>45</v>
      </c>
      <c r="I96" s="471" t="str">
        <f t="shared" si="3"/>
        <v>AIJ100145</v>
      </c>
      <c r="J96" s="486">
        <v>122</v>
      </c>
      <c r="L96" s="484" t="s">
        <v>720</v>
      </c>
      <c r="M96" s="484" t="s">
        <v>617</v>
      </c>
      <c r="N96" s="484" t="s">
        <v>26</v>
      </c>
      <c r="O96" s="486">
        <v>61</v>
      </c>
      <c r="P96" s="471" t="str">
        <f t="shared" si="4"/>
        <v>AIJ100261</v>
      </c>
      <c r="Q96" s="486">
        <v>0</v>
      </c>
      <c r="R96" s="486">
        <v>39</v>
      </c>
      <c r="S96" s="486">
        <v>75</v>
      </c>
      <c r="T96" s="486">
        <v>106</v>
      </c>
      <c r="U96" s="486">
        <v>141</v>
      </c>
      <c r="V96" s="486">
        <v>162</v>
      </c>
      <c r="W96" s="486">
        <v>186</v>
      </c>
      <c r="X96" s="486">
        <v>202</v>
      </c>
      <c r="Y96" s="486">
        <v>194</v>
      </c>
      <c r="Z96" s="486">
        <v>0</v>
      </c>
      <c r="AA96" s="486">
        <v>0</v>
      </c>
      <c r="AB96" s="486">
        <v>0</v>
      </c>
      <c r="AC96" s="486">
        <v>0</v>
      </c>
      <c r="AD96" s="486">
        <v>0</v>
      </c>
      <c r="AE96" s="486">
        <v>0</v>
      </c>
      <c r="AF96" s="486">
        <v>0</v>
      </c>
      <c r="AG96" s="486">
        <v>0</v>
      </c>
      <c r="AH96" s="486">
        <v>0</v>
      </c>
      <c r="AI96" s="486">
        <v>0</v>
      </c>
      <c r="AJ96" s="486">
        <v>0</v>
      </c>
      <c r="AK96" s="486">
        <v>0</v>
      </c>
      <c r="AL96" s="486">
        <v>0</v>
      </c>
      <c r="AM96" s="486">
        <v>0</v>
      </c>
      <c r="AN96" s="486">
        <v>0</v>
      </c>
      <c r="AO96" s="486">
        <v>0</v>
      </c>
      <c r="AP96" s="486">
        <v>0</v>
      </c>
      <c r="AQ96" s="486">
        <v>0</v>
      </c>
      <c r="AR96" s="486">
        <v>0</v>
      </c>
      <c r="AS96" s="486">
        <v>0</v>
      </c>
      <c r="AT96" s="486">
        <v>0</v>
      </c>
      <c r="AU96" s="486">
        <v>0</v>
      </c>
      <c r="AV96" s="486">
        <v>0</v>
      </c>
      <c r="AW96" s="486">
        <v>0</v>
      </c>
      <c r="AX96" s="486">
        <v>0</v>
      </c>
      <c r="AY96" s="486">
        <v>0</v>
      </c>
      <c r="AZ96" s="486">
        <v>0</v>
      </c>
      <c r="BA96" s="486">
        <v>0</v>
      </c>
      <c r="BB96" s="486">
        <v>0</v>
      </c>
      <c r="BC96" s="486">
        <v>0</v>
      </c>
      <c r="BD96" s="486">
        <v>0</v>
      </c>
      <c r="BE96" s="486">
        <v>0</v>
      </c>
      <c r="BF96" s="486">
        <v>0</v>
      </c>
      <c r="BG96" s="486">
        <v>0</v>
      </c>
      <c r="BH96" s="486">
        <v>0</v>
      </c>
      <c r="BI96" s="486">
        <v>0</v>
      </c>
      <c r="BJ96" s="486">
        <v>0</v>
      </c>
      <c r="BK96" s="486">
        <v>0</v>
      </c>
      <c r="BL96" s="486">
        <v>0</v>
      </c>
      <c r="BM96" s="486">
        <v>0</v>
      </c>
      <c r="BN96" s="486">
        <v>0</v>
      </c>
      <c r="BO96" s="486">
        <v>0</v>
      </c>
      <c r="BP96" s="486">
        <v>0</v>
      </c>
      <c r="BQ96" s="486">
        <v>0</v>
      </c>
      <c r="BR96" s="486">
        <v>0</v>
      </c>
      <c r="BS96" s="486">
        <v>0</v>
      </c>
      <c r="BT96" s="486">
        <v>0</v>
      </c>
      <c r="BU96" s="486">
        <v>0</v>
      </c>
      <c r="BV96" s="486">
        <v>0</v>
      </c>
      <c r="BW96" s="486">
        <v>0</v>
      </c>
      <c r="BX96" s="486">
        <v>0</v>
      </c>
      <c r="BY96" s="486">
        <v>0</v>
      </c>
      <c r="BZ96" s="486">
        <v>0</v>
      </c>
      <c r="CA96" s="486">
        <v>0</v>
      </c>
      <c r="CB96" s="486">
        <v>0</v>
      </c>
      <c r="CC96" s="486">
        <v>0</v>
      </c>
      <c r="CD96" s="486">
        <v>0</v>
      </c>
      <c r="CE96" s="486">
        <v>0</v>
      </c>
      <c r="CF96" s="486">
        <v>0</v>
      </c>
      <c r="CG96" s="486">
        <v>0</v>
      </c>
      <c r="CH96" s="486">
        <v>0</v>
      </c>
      <c r="CI96" s="486">
        <v>0</v>
      </c>
      <c r="CJ96" s="486">
        <v>0</v>
      </c>
      <c r="CK96" s="486">
        <v>0</v>
      </c>
      <c r="CL96" s="486">
        <v>0</v>
      </c>
      <c r="CM96" s="486">
        <v>0</v>
      </c>
      <c r="CN96" s="486">
        <v>0</v>
      </c>
      <c r="CO96" s="486">
        <v>0</v>
      </c>
      <c r="CP96" s="486">
        <v>0</v>
      </c>
      <c r="CQ96" s="486">
        <v>0</v>
      </c>
      <c r="CR96" s="486">
        <v>0</v>
      </c>
      <c r="CS96" s="486">
        <v>0</v>
      </c>
      <c r="CT96" s="486">
        <v>0</v>
      </c>
      <c r="CU96" s="486">
        <v>0</v>
      </c>
      <c r="CV96" s="486">
        <v>0</v>
      </c>
      <c r="CW96" s="486">
        <v>0</v>
      </c>
      <c r="CX96" s="486">
        <v>0</v>
      </c>
      <c r="CY96" s="486">
        <v>0</v>
      </c>
      <c r="CZ96" s="486">
        <v>0</v>
      </c>
      <c r="DA96" s="486">
        <v>0</v>
      </c>
      <c r="DB96" s="486">
        <v>0</v>
      </c>
      <c r="DC96" s="486">
        <v>0</v>
      </c>
      <c r="DD96" s="486">
        <v>0</v>
      </c>
      <c r="DE96" s="486">
        <v>0</v>
      </c>
      <c r="DF96" s="486">
        <v>0</v>
      </c>
      <c r="DG96" s="486">
        <v>0</v>
      </c>
      <c r="DH96" s="486">
        <v>0</v>
      </c>
      <c r="DI96" s="486">
        <v>0</v>
      </c>
      <c r="DJ96" s="486">
        <v>0</v>
      </c>
      <c r="DK96" s="486">
        <v>0</v>
      </c>
      <c r="DL96" s="486">
        <v>0</v>
      </c>
      <c r="DM96" s="486">
        <v>0</v>
      </c>
      <c r="DN96" s="486">
        <v>0</v>
      </c>
      <c r="DO96" s="486">
        <v>0</v>
      </c>
      <c r="DP96" s="486">
        <v>0</v>
      </c>
      <c r="DQ96" s="486">
        <v>0</v>
      </c>
      <c r="DR96" s="486">
        <v>0</v>
      </c>
      <c r="DS96" s="486">
        <v>0</v>
      </c>
      <c r="DT96" s="486">
        <v>0</v>
      </c>
      <c r="DU96" s="486">
        <v>0</v>
      </c>
      <c r="DV96" s="486">
        <v>0</v>
      </c>
      <c r="DW96" s="486">
        <v>0</v>
      </c>
      <c r="DX96" s="477"/>
      <c r="DY96" s="484" t="s">
        <v>720</v>
      </c>
      <c r="DZ96" s="484" t="s">
        <v>617</v>
      </c>
      <c r="EA96" s="484" t="s">
        <v>26</v>
      </c>
      <c r="EB96" s="486">
        <v>61</v>
      </c>
      <c r="EC96" s="471" t="str">
        <f t="shared" si="0"/>
        <v>AIJ100261</v>
      </c>
      <c r="ED96" s="486">
        <v>10000</v>
      </c>
      <c r="EE96" s="486">
        <v>10000</v>
      </c>
      <c r="EF96" s="486">
        <v>10000</v>
      </c>
      <c r="EG96" s="486">
        <v>10000</v>
      </c>
      <c r="EH96" s="486">
        <v>10000</v>
      </c>
      <c r="EI96" s="486">
        <v>10000</v>
      </c>
      <c r="EJ96" s="486">
        <v>10000</v>
      </c>
      <c r="EK96" s="486">
        <v>10000</v>
      </c>
      <c r="EL96" s="486">
        <v>10000</v>
      </c>
      <c r="EM96" s="486">
        <v>10000</v>
      </c>
      <c r="EN96" s="486">
        <v>0</v>
      </c>
      <c r="EO96" s="486">
        <v>0</v>
      </c>
      <c r="EP96" s="486">
        <v>0</v>
      </c>
      <c r="EQ96" s="486">
        <v>0</v>
      </c>
      <c r="ER96" s="486">
        <v>0</v>
      </c>
      <c r="ES96" s="486">
        <v>0</v>
      </c>
      <c r="ET96" s="486">
        <v>0</v>
      </c>
      <c r="EU96" s="486">
        <v>0</v>
      </c>
      <c r="EV96" s="486">
        <v>0</v>
      </c>
      <c r="EW96" s="486">
        <v>0</v>
      </c>
      <c r="EX96" s="486">
        <v>0</v>
      </c>
      <c r="EY96" s="486">
        <v>0</v>
      </c>
      <c r="EZ96" s="486">
        <v>0</v>
      </c>
      <c r="FA96" s="486">
        <v>0</v>
      </c>
      <c r="FB96" s="486">
        <v>0</v>
      </c>
      <c r="FC96" s="486">
        <v>0</v>
      </c>
      <c r="FD96" s="486">
        <v>0</v>
      </c>
      <c r="FE96" s="486">
        <v>0</v>
      </c>
      <c r="FF96" s="486">
        <v>0</v>
      </c>
      <c r="FG96" s="486">
        <v>0</v>
      </c>
      <c r="FH96" s="486">
        <v>0</v>
      </c>
      <c r="FI96" s="486">
        <v>0</v>
      </c>
      <c r="FJ96" s="486">
        <v>0</v>
      </c>
      <c r="FK96" s="486">
        <v>0</v>
      </c>
      <c r="FL96" s="486">
        <v>0</v>
      </c>
      <c r="FM96" s="486">
        <v>0</v>
      </c>
      <c r="FN96" s="486">
        <v>0</v>
      </c>
      <c r="FO96" s="486">
        <v>0</v>
      </c>
      <c r="FP96" s="486">
        <v>0</v>
      </c>
      <c r="FQ96" s="486">
        <v>0</v>
      </c>
      <c r="FR96" s="486">
        <v>0</v>
      </c>
      <c r="FS96" s="486">
        <v>0</v>
      </c>
      <c r="FT96" s="486">
        <v>0</v>
      </c>
      <c r="FU96" s="486">
        <v>0</v>
      </c>
      <c r="FV96" s="486">
        <v>0</v>
      </c>
      <c r="FW96" s="486">
        <v>0</v>
      </c>
      <c r="FX96" s="486">
        <v>0</v>
      </c>
      <c r="FY96" s="486">
        <v>0</v>
      </c>
      <c r="FZ96" s="486">
        <v>0</v>
      </c>
      <c r="GA96" s="486">
        <v>0</v>
      </c>
      <c r="GB96" s="486">
        <v>0</v>
      </c>
      <c r="GC96" s="486">
        <v>0</v>
      </c>
      <c r="GD96" s="486">
        <v>0</v>
      </c>
      <c r="GE96" s="486">
        <v>0</v>
      </c>
      <c r="GF96" s="486">
        <v>0</v>
      </c>
      <c r="GG96" s="486">
        <v>0</v>
      </c>
      <c r="GH96" s="486">
        <v>0</v>
      </c>
      <c r="GI96" s="486">
        <v>0</v>
      </c>
      <c r="GJ96" s="486">
        <v>0</v>
      </c>
      <c r="GK96" s="486">
        <v>0</v>
      </c>
      <c r="GL96" s="486">
        <v>0</v>
      </c>
      <c r="GM96" s="486">
        <v>0</v>
      </c>
      <c r="GN96" s="486">
        <v>0</v>
      </c>
      <c r="GO96" s="486">
        <v>0</v>
      </c>
      <c r="GP96" s="486">
        <v>0</v>
      </c>
      <c r="GQ96" s="486">
        <v>0</v>
      </c>
      <c r="GR96" s="486">
        <v>0</v>
      </c>
      <c r="GS96" s="486">
        <v>0</v>
      </c>
      <c r="GT96" s="486">
        <v>0</v>
      </c>
      <c r="GU96" s="486">
        <v>0</v>
      </c>
      <c r="GV96" s="486">
        <v>0</v>
      </c>
      <c r="GW96" s="486">
        <v>0</v>
      </c>
      <c r="GX96" s="486">
        <v>0</v>
      </c>
      <c r="GY96" s="486">
        <v>0</v>
      </c>
      <c r="GZ96" s="486">
        <v>0</v>
      </c>
      <c r="HA96" s="486">
        <v>0</v>
      </c>
      <c r="HB96" s="486">
        <v>0</v>
      </c>
      <c r="HC96" s="486">
        <v>0</v>
      </c>
      <c r="HD96" s="486">
        <v>0</v>
      </c>
      <c r="HE96" s="486">
        <v>0</v>
      </c>
      <c r="HF96" s="486">
        <v>0</v>
      </c>
      <c r="HG96" s="486">
        <v>0</v>
      </c>
      <c r="HH96" s="486">
        <v>0</v>
      </c>
      <c r="HI96" s="486">
        <v>0</v>
      </c>
      <c r="HJ96" s="486">
        <v>0</v>
      </c>
      <c r="HK96" s="486">
        <v>0</v>
      </c>
      <c r="HL96" s="486">
        <v>0</v>
      </c>
      <c r="HM96" s="486">
        <v>0</v>
      </c>
      <c r="HN96" s="486">
        <v>0</v>
      </c>
      <c r="HO96" s="486">
        <v>0</v>
      </c>
      <c r="HP96" s="486">
        <v>0</v>
      </c>
      <c r="HQ96" s="486">
        <v>0</v>
      </c>
      <c r="HR96" s="486">
        <v>0</v>
      </c>
      <c r="HS96" s="486">
        <v>0</v>
      </c>
      <c r="HT96" s="486">
        <v>0</v>
      </c>
      <c r="HU96" s="486">
        <v>0</v>
      </c>
      <c r="HV96" s="486">
        <v>0</v>
      </c>
      <c r="HW96" s="486">
        <v>0</v>
      </c>
      <c r="HX96" s="486">
        <v>0</v>
      </c>
      <c r="HY96" s="486">
        <v>0</v>
      </c>
      <c r="HZ96" s="486">
        <v>0</v>
      </c>
      <c r="IA96" s="486">
        <v>0</v>
      </c>
      <c r="IB96" s="486">
        <v>0</v>
      </c>
      <c r="IC96" s="486">
        <v>0</v>
      </c>
      <c r="ID96" s="486">
        <v>0</v>
      </c>
      <c r="IE96" s="486">
        <v>0</v>
      </c>
      <c r="IF96" s="486">
        <v>0</v>
      </c>
      <c r="IG96" s="486">
        <v>0</v>
      </c>
      <c r="IH96" s="486">
        <v>0</v>
      </c>
      <c r="II96" s="486">
        <v>0</v>
      </c>
      <c r="IJ96" s="486">
        <v>0</v>
      </c>
    </row>
    <row r="97" spans="1:244" ht="16.5" hidden="1">
      <c r="A97" s="484" t="s">
        <v>720</v>
      </c>
      <c r="B97" s="484" t="s">
        <v>617</v>
      </c>
      <c r="C97" s="484" t="s">
        <v>721</v>
      </c>
      <c r="D97" s="485"/>
      <c r="E97" s="484" t="s">
        <v>721</v>
      </c>
      <c r="F97" s="484" t="s">
        <v>25</v>
      </c>
      <c r="G97" s="485"/>
      <c r="H97" s="486">
        <v>46</v>
      </c>
      <c r="I97" s="471" t="str">
        <f t="shared" si="3"/>
        <v>AIJ100146</v>
      </c>
      <c r="J97" s="486">
        <v>129</v>
      </c>
      <c r="L97" s="481" t="s">
        <v>720</v>
      </c>
      <c r="M97" s="481" t="s">
        <v>839</v>
      </c>
      <c r="N97" s="481" t="s">
        <v>26</v>
      </c>
      <c r="O97" s="482">
        <v>45</v>
      </c>
      <c r="P97" s="471" t="str">
        <f t="shared" si="4"/>
        <v>末0245</v>
      </c>
      <c r="Q97" s="482">
        <v>0</v>
      </c>
      <c r="R97" s="482">
        <v>0</v>
      </c>
      <c r="S97" s="482">
        <v>0</v>
      </c>
      <c r="T97" s="482">
        <v>0</v>
      </c>
      <c r="U97" s="482">
        <v>0</v>
      </c>
      <c r="V97" s="482">
        <v>0</v>
      </c>
      <c r="W97" s="482">
        <v>0</v>
      </c>
      <c r="X97" s="482">
        <v>0</v>
      </c>
      <c r="Y97" s="482">
        <v>0</v>
      </c>
      <c r="Z97" s="482">
        <v>0</v>
      </c>
      <c r="AA97" s="482">
        <v>0</v>
      </c>
      <c r="AB97" s="482">
        <v>0</v>
      </c>
      <c r="AC97" s="482">
        <v>0</v>
      </c>
      <c r="AD97" s="482">
        <v>0</v>
      </c>
      <c r="AE97" s="482">
        <v>0</v>
      </c>
      <c r="AF97" s="482">
        <v>0</v>
      </c>
      <c r="AG97" s="482">
        <v>0</v>
      </c>
      <c r="AH97" s="482">
        <v>0</v>
      </c>
      <c r="AI97" s="482">
        <v>0</v>
      </c>
      <c r="AJ97" s="482">
        <v>0</v>
      </c>
      <c r="AK97" s="482">
        <v>0</v>
      </c>
      <c r="AL97" s="482">
        <v>0</v>
      </c>
      <c r="AM97" s="482">
        <v>0</v>
      </c>
      <c r="AN97" s="482">
        <v>0</v>
      </c>
      <c r="AO97" s="482">
        <v>0</v>
      </c>
      <c r="AP97" s="482">
        <v>0</v>
      </c>
      <c r="AQ97" s="482">
        <v>0</v>
      </c>
      <c r="AR97" s="482">
        <v>0</v>
      </c>
      <c r="AS97" s="482">
        <v>0</v>
      </c>
      <c r="AT97" s="482">
        <v>0</v>
      </c>
      <c r="AU97" s="482">
        <v>0</v>
      </c>
      <c r="AV97" s="482">
        <v>0</v>
      </c>
      <c r="AW97" s="482">
        <v>0</v>
      </c>
      <c r="AX97" s="482">
        <v>0</v>
      </c>
      <c r="AY97" s="482">
        <v>0</v>
      </c>
      <c r="AZ97" s="482">
        <v>0</v>
      </c>
      <c r="BA97" s="482">
        <v>0</v>
      </c>
      <c r="BB97" s="482">
        <v>0</v>
      </c>
      <c r="BC97" s="482">
        <v>0</v>
      </c>
      <c r="BD97" s="482">
        <v>0</v>
      </c>
      <c r="BE97" s="482">
        <v>0</v>
      </c>
      <c r="BF97" s="482">
        <v>0</v>
      </c>
      <c r="BG97" s="482">
        <v>0</v>
      </c>
      <c r="BH97" s="482">
        <v>0</v>
      </c>
      <c r="BI97" s="482">
        <v>0</v>
      </c>
      <c r="BJ97" s="482">
        <v>0</v>
      </c>
      <c r="BK97" s="482">
        <v>0</v>
      </c>
      <c r="BL97" s="482">
        <v>0</v>
      </c>
      <c r="BM97" s="482">
        <v>0</v>
      </c>
      <c r="BN97" s="482">
        <v>0</v>
      </c>
      <c r="BO97" s="482">
        <v>0</v>
      </c>
      <c r="BP97" s="482">
        <v>0</v>
      </c>
      <c r="BQ97" s="482">
        <v>0</v>
      </c>
      <c r="BR97" s="482">
        <v>0</v>
      </c>
      <c r="BS97" s="482">
        <v>0</v>
      </c>
      <c r="BT97" s="482">
        <v>0</v>
      </c>
      <c r="BU97" s="482">
        <v>0</v>
      </c>
      <c r="BV97" s="482">
        <v>0</v>
      </c>
      <c r="BW97" s="482">
        <v>0</v>
      </c>
      <c r="BX97" s="482">
        <v>0</v>
      </c>
      <c r="BY97" s="482">
        <v>0</v>
      </c>
      <c r="BZ97" s="482">
        <v>0</v>
      </c>
      <c r="CA97" s="482">
        <v>0</v>
      </c>
      <c r="CB97" s="482">
        <v>0</v>
      </c>
      <c r="CC97" s="482">
        <v>0</v>
      </c>
      <c r="CD97" s="482">
        <v>0</v>
      </c>
      <c r="CE97" s="482">
        <v>0</v>
      </c>
      <c r="CF97" s="482">
        <v>0</v>
      </c>
      <c r="CG97" s="482">
        <v>0</v>
      </c>
      <c r="CH97" s="482">
        <v>0</v>
      </c>
      <c r="CI97" s="482">
        <v>0</v>
      </c>
      <c r="CJ97" s="482">
        <v>0</v>
      </c>
      <c r="CK97" s="482">
        <v>0</v>
      </c>
      <c r="CL97" s="482">
        <v>0</v>
      </c>
      <c r="CM97" s="482">
        <v>0</v>
      </c>
      <c r="CN97" s="482">
        <v>0</v>
      </c>
      <c r="CO97" s="482">
        <v>0</v>
      </c>
      <c r="CP97" s="482">
        <v>0</v>
      </c>
      <c r="CQ97" s="482">
        <v>0</v>
      </c>
      <c r="CR97" s="482">
        <v>0</v>
      </c>
      <c r="CS97" s="482">
        <v>0</v>
      </c>
      <c r="CT97" s="482">
        <v>0</v>
      </c>
      <c r="CU97" s="482">
        <v>0</v>
      </c>
      <c r="CV97" s="482">
        <v>0</v>
      </c>
      <c r="CW97" s="482">
        <v>0</v>
      </c>
      <c r="CX97" s="482">
        <v>0</v>
      </c>
      <c r="CY97" s="482">
        <v>0</v>
      </c>
      <c r="CZ97" s="482">
        <v>0</v>
      </c>
      <c r="DA97" s="482">
        <v>0</v>
      </c>
      <c r="DB97" s="482">
        <v>0</v>
      </c>
      <c r="DC97" s="482">
        <v>0</v>
      </c>
      <c r="DD97" s="482">
        <v>0</v>
      </c>
      <c r="DE97" s="482">
        <v>0</v>
      </c>
      <c r="DF97" s="482">
        <v>0</v>
      </c>
      <c r="DG97" s="482">
        <v>0</v>
      </c>
      <c r="DH97" s="482">
        <v>0</v>
      </c>
      <c r="DI97" s="482">
        <v>0</v>
      </c>
      <c r="DJ97" s="482">
        <v>0</v>
      </c>
      <c r="DK97" s="482">
        <v>0</v>
      </c>
      <c r="DL97" s="482">
        <v>0</v>
      </c>
      <c r="DM97" s="482">
        <v>0</v>
      </c>
      <c r="DN97" s="482">
        <v>0</v>
      </c>
      <c r="DO97" s="482">
        <v>0</v>
      </c>
      <c r="DP97" s="482">
        <v>0</v>
      </c>
      <c r="DQ97" s="482">
        <v>0</v>
      </c>
      <c r="DR97" s="482">
        <v>0</v>
      </c>
      <c r="DS97" s="482">
        <v>0</v>
      </c>
      <c r="DT97" s="482">
        <v>0</v>
      </c>
      <c r="DU97" s="482">
        <v>0</v>
      </c>
      <c r="DV97" s="482">
        <v>0</v>
      </c>
      <c r="DW97" s="482">
        <v>0</v>
      </c>
      <c r="DX97" s="477"/>
      <c r="DY97" s="481" t="s">
        <v>720</v>
      </c>
      <c r="DZ97" s="481" t="s">
        <v>839</v>
      </c>
      <c r="EA97" s="481" t="s">
        <v>26</v>
      </c>
      <c r="EB97" s="482">
        <v>45</v>
      </c>
      <c r="EC97" s="471" t="str">
        <f t="shared" si="0"/>
        <v>末0245</v>
      </c>
      <c r="ED97" s="482">
        <v>0</v>
      </c>
      <c r="EE97" s="482">
        <v>0</v>
      </c>
      <c r="EF97" s="482">
        <v>0</v>
      </c>
      <c r="EG97" s="482">
        <v>0</v>
      </c>
      <c r="EH97" s="482">
        <v>0</v>
      </c>
      <c r="EI97" s="482">
        <v>0</v>
      </c>
      <c r="EJ97" s="482">
        <v>0</v>
      </c>
      <c r="EK97" s="482">
        <v>0</v>
      </c>
      <c r="EL97" s="482">
        <v>0</v>
      </c>
      <c r="EM97" s="482">
        <v>0</v>
      </c>
      <c r="EN97" s="482">
        <v>0</v>
      </c>
      <c r="EO97" s="482">
        <v>0</v>
      </c>
      <c r="EP97" s="482">
        <v>0</v>
      </c>
      <c r="EQ97" s="482">
        <v>0</v>
      </c>
      <c r="ER97" s="482">
        <v>0</v>
      </c>
      <c r="ES97" s="482">
        <v>0</v>
      </c>
      <c r="ET97" s="482">
        <v>0</v>
      </c>
      <c r="EU97" s="482">
        <v>0</v>
      </c>
      <c r="EV97" s="482">
        <v>0</v>
      </c>
      <c r="EW97" s="482">
        <v>0</v>
      </c>
      <c r="EX97" s="482">
        <v>0</v>
      </c>
      <c r="EY97" s="482">
        <v>0</v>
      </c>
      <c r="EZ97" s="482">
        <v>0</v>
      </c>
      <c r="FA97" s="482">
        <v>0</v>
      </c>
      <c r="FB97" s="482">
        <v>0</v>
      </c>
      <c r="FC97" s="482">
        <v>0</v>
      </c>
      <c r="FD97" s="482">
        <v>0</v>
      </c>
      <c r="FE97" s="482">
        <v>0</v>
      </c>
      <c r="FF97" s="482">
        <v>0</v>
      </c>
      <c r="FG97" s="482">
        <v>0</v>
      </c>
      <c r="FH97" s="482">
        <v>0</v>
      </c>
      <c r="FI97" s="482">
        <v>0</v>
      </c>
      <c r="FJ97" s="482">
        <v>0</v>
      </c>
      <c r="FK97" s="482">
        <v>0</v>
      </c>
      <c r="FL97" s="482">
        <v>0</v>
      </c>
      <c r="FM97" s="482">
        <v>0</v>
      </c>
      <c r="FN97" s="482">
        <v>0</v>
      </c>
      <c r="FO97" s="482">
        <v>0</v>
      </c>
      <c r="FP97" s="482">
        <v>0</v>
      </c>
      <c r="FQ97" s="482">
        <v>0</v>
      </c>
      <c r="FR97" s="482">
        <v>0</v>
      </c>
      <c r="FS97" s="482">
        <v>0</v>
      </c>
      <c r="FT97" s="482">
        <v>0</v>
      </c>
      <c r="FU97" s="482">
        <v>0</v>
      </c>
      <c r="FV97" s="482">
        <v>0</v>
      </c>
      <c r="FW97" s="482">
        <v>0</v>
      </c>
      <c r="FX97" s="482">
        <v>0</v>
      </c>
      <c r="FY97" s="482">
        <v>0</v>
      </c>
      <c r="FZ97" s="482">
        <v>0</v>
      </c>
      <c r="GA97" s="482">
        <v>0</v>
      </c>
      <c r="GB97" s="482">
        <v>0</v>
      </c>
      <c r="GC97" s="482">
        <v>0</v>
      </c>
      <c r="GD97" s="482">
        <v>0</v>
      </c>
      <c r="GE97" s="482">
        <v>0</v>
      </c>
      <c r="GF97" s="482">
        <v>0</v>
      </c>
      <c r="GG97" s="482">
        <v>0</v>
      </c>
      <c r="GH97" s="482">
        <v>0</v>
      </c>
      <c r="GI97" s="482">
        <v>0</v>
      </c>
      <c r="GJ97" s="482">
        <v>0</v>
      </c>
      <c r="GK97" s="482">
        <v>0</v>
      </c>
      <c r="GL97" s="482">
        <v>0</v>
      </c>
      <c r="GM97" s="482">
        <v>0</v>
      </c>
      <c r="GN97" s="482">
        <v>0</v>
      </c>
      <c r="GO97" s="482">
        <v>0</v>
      </c>
      <c r="GP97" s="482">
        <v>0</v>
      </c>
      <c r="GQ97" s="482">
        <v>0</v>
      </c>
      <c r="GR97" s="482">
        <v>0</v>
      </c>
      <c r="GS97" s="482">
        <v>0</v>
      </c>
      <c r="GT97" s="482">
        <v>0</v>
      </c>
      <c r="GU97" s="482">
        <v>0</v>
      </c>
      <c r="GV97" s="482">
        <v>0</v>
      </c>
      <c r="GW97" s="482">
        <v>0</v>
      </c>
      <c r="GX97" s="482">
        <v>0</v>
      </c>
      <c r="GY97" s="482">
        <v>0</v>
      </c>
      <c r="GZ97" s="482">
        <v>0</v>
      </c>
      <c r="HA97" s="482">
        <v>0</v>
      </c>
      <c r="HB97" s="482">
        <v>0</v>
      </c>
      <c r="HC97" s="482">
        <v>0</v>
      </c>
      <c r="HD97" s="482">
        <v>0</v>
      </c>
      <c r="HE97" s="482">
        <v>0</v>
      </c>
      <c r="HF97" s="482">
        <v>0</v>
      </c>
      <c r="HG97" s="482">
        <v>0</v>
      </c>
      <c r="HH97" s="482">
        <v>0</v>
      </c>
      <c r="HI97" s="482">
        <v>0</v>
      </c>
      <c r="HJ97" s="482">
        <v>0</v>
      </c>
      <c r="HK97" s="482">
        <v>0</v>
      </c>
      <c r="HL97" s="482">
        <v>0</v>
      </c>
      <c r="HM97" s="482">
        <v>0</v>
      </c>
      <c r="HN97" s="482">
        <v>0</v>
      </c>
      <c r="HO97" s="482">
        <v>0</v>
      </c>
      <c r="HP97" s="482">
        <v>0</v>
      </c>
      <c r="HQ97" s="482">
        <v>0</v>
      </c>
      <c r="HR97" s="482">
        <v>0</v>
      </c>
      <c r="HS97" s="482">
        <v>0</v>
      </c>
      <c r="HT97" s="482">
        <v>0</v>
      </c>
      <c r="HU97" s="482">
        <v>0</v>
      </c>
      <c r="HV97" s="482">
        <v>0</v>
      </c>
      <c r="HW97" s="482">
        <v>0</v>
      </c>
      <c r="HX97" s="482">
        <v>0</v>
      </c>
      <c r="HY97" s="482">
        <v>0</v>
      </c>
      <c r="HZ97" s="482">
        <v>0</v>
      </c>
      <c r="IA97" s="482">
        <v>0</v>
      </c>
      <c r="IB97" s="482">
        <v>0</v>
      </c>
      <c r="IC97" s="482">
        <v>0</v>
      </c>
      <c r="ID97" s="482">
        <v>0</v>
      </c>
      <c r="IE97" s="482">
        <v>0</v>
      </c>
      <c r="IF97" s="482">
        <v>0</v>
      </c>
      <c r="IG97" s="482">
        <v>0</v>
      </c>
      <c r="IH97" s="482">
        <v>0</v>
      </c>
      <c r="II97" s="482">
        <v>0</v>
      </c>
      <c r="IJ97" s="482">
        <v>0</v>
      </c>
    </row>
    <row r="98" spans="1:244" ht="16.5" hidden="1">
      <c r="A98" s="484" t="s">
        <v>720</v>
      </c>
      <c r="B98" s="484" t="s">
        <v>617</v>
      </c>
      <c r="C98" s="484" t="s">
        <v>721</v>
      </c>
      <c r="D98" s="485"/>
      <c r="E98" s="484" t="s">
        <v>721</v>
      </c>
      <c r="F98" s="484" t="s">
        <v>25</v>
      </c>
      <c r="G98" s="485"/>
      <c r="H98" s="486">
        <v>47</v>
      </c>
      <c r="I98" s="471" t="str">
        <f t="shared" si="3"/>
        <v>AIJ100147</v>
      </c>
      <c r="J98" s="486">
        <v>136</v>
      </c>
    </row>
    <row r="99" spans="1:244" s="50" customFormat="1" ht="16.5" hidden="1">
      <c r="A99" s="491" t="s">
        <v>720</v>
      </c>
      <c r="B99" s="491" t="s">
        <v>617</v>
      </c>
      <c r="C99" s="491" t="s">
        <v>721</v>
      </c>
      <c r="D99" s="492"/>
      <c r="E99" s="491" t="s">
        <v>721</v>
      </c>
      <c r="F99" s="491" t="s">
        <v>25</v>
      </c>
      <c r="G99" s="492"/>
      <c r="H99" s="493">
        <v>48</v>
      </c>
      <c r="I99" s="494" t="str">
        <f t="shared" si="3"/>
        <v>AIJ100148</v>
      </c>
      <c r="J99" s="493">
        <v>144</v>
      </c>
      <c r="L99" s="50" t="s">
        <v>731</v>
      </c>
      <c r="P99" s="494" t="str">
        <f t="shared" ref="P99:P195" si="5">M99&amp;TEXT(N99,"00")&amp;TEXT(O99,"00")</f>
        <v>0000</v>
      </c>
      <c r="DX99" s="495"/>
      <c r="DY99" s="50" t="s">
        <v>495</v>
      </c>
      <c r="DZ99" s="50">
        <v>1041125</v>
      </c>
      <c r="EC99" s="494" t="str">
        <f t="shared" ref="EC99:EC195" si="6">DZ99&amp;TEXT(EA99,"00")&amp;TEXT(EB99,"00")</f>
        <v>10411250000</v>
      </c>
    </row>
    <row r="100" spans="1:244" ht="24" hidden="1">
      <c r="A100" s="484" t="s">
        <v>720</v>
      </c>
      <c r="B100" s="484" t="s">
        <v>617</v>
      </c>
      <c r="C100" s="484" t="s">
        <v>721</v>
      </c>
      <c r="D100" s="485"/>
      <c r="E100" s="484" t="s">
        <v>721</v>
      </c>
      <c r="F100" s="484" t="s">
        <v>25</v>
      </c>
      <c r="G100" s="485"/>
      <c r="H100" s="486">
        <v>49</v>
      </c>
      <c r="I100" s="471" t="str">
        <f t="shared" si="3"/>
        <v>AIJ100149</v>
      </c>
      <c r="J100" s="486">
        <v>153</v>
      </c>
      <c r="L100" s="496" t="s">
        <v>163</v>
      </c>
      <c r="M100" s="496" t="s">
        <v>20</v>
      </c>
      <c r="N100" s="496" t="s">
        <v>24</v>
      </c>
      <c r="O100" s="496" t="s">
        <v>21</v>
      </c>
      <c r="P100" s="494" t="str">
        <f t="shared" si="5"/>
        <v>商品代號性別年齡</v>
      </c>
      <c r="Q100" s="496" t="s">
        <v>384</v>
      </c>
      <c r="R100" s="496" t="s">
        <v>385</v>
      </c>
      <c r="S100" s="496" t="s">
        <v>386</v>
      </c>
      <c r="T100" s="496" t="s">
        <v>387</v>
      </c>
      <c r="U100" s="496" t="s">
        <v>388</v>
      </c>
      <c r="V100" s="496" t="s">
        <v>389</v>
      </c>
      <c r="W100" s="496" t="s">
        <v>390</v>
      </c>
      <c r="X100" s="496" t="s">
        <v>391</v>
      </c>
      <c r="Y100" s="496" t="s">
        <v>392</v>
      </c>
      <c r="Z100" s="496" t="s">
        <v>393</v>
      </c>
      <c r="AA100" s="496" t="s">
        <v>394</v>
      </c>
      <c r="AB100" s="496" t="s">
        <v>395</v>
      </c>
      <c r="AC100" s="496" t="s">
        <v>396</v>
      </c>
      <c r="AD100" s="496" t="s">
        <v>397</v>
      </c>
      <c r="AE100" s="496" t="s">
        <v>398</v>
      </c>
      <c r="AF100" s="496" t="s">
        <v>399</v>
      </c>
      <c r="AG100" s="496" t="s">
        <v>400</v>
      </c>
      <c r="AH100" s="496" t="s">
        <v>401</v>
      </c>
      <c r="AI100" s="496" t="s">
        <v>402</v>
      </c>
      <c r="AJ100" s="496" t="s">
        <v>403</v>
      </c>
      <c r="AK100" s="496" t="s">
        <v>404</v>
      </c>
      <c r="AL100" s="496" t="s">
        <v>405</v>
      </c>
      <c r="AM100" s="496" t="s">
        <v>406</v>
      </c>
      <c r="AN100" s="496" t="s">
        <v>407</v>
      </c>
      <c r="AO100" s="496" t="s">
        <v>408</v>
      </c>
      <c r="AP100" s="496" t="s">
        <v>409</v>
      </c>
      <c r="AQ100" s="496" t="s">
        <v>410</v>
      </c>
      <c r="AR100" s="496" t="s">
        <v>411</v>
      </c>
      <c r="AS100" s="496" t="s">
        <v>412</v>
      </c>
      <c r="AT100" s="496" t="s">
        <v>413</v>
      </c>
      <c r="AU100" s="496" t="s">
        <v>414</v>
      </c>
      <c r="AV100" s="496" t="s">
        <v>415</v>
      </c>
      <c r="AW100" s="496" t="s">
        <v>416</v>
      </c>
      <c r="AX100" s="496" t="s">
        <v>417</v>
      </c>
      <c r="AY100" s="496" t="s">
        <v>418</v>
      </c>
      <c r="AZ100" s="496" t="s">
        <v>419</v>
      </c>
      <c r="BA100" s="496" t="s">
        <v>420</v>
      </c>
      <c r="BB100" s="496" t="s">
        <v>421</v>
      </c>
      <c r="BC100" s="496" t="s">
        <v>422</v>
      </c>
      <c r="BD100" s="496" t="s">
        <v>423</v>
      </c>
      <c r="BE100" s="496" t="s">
        <v>424</v>
      </c>
      <c r="BF100" s="496" t="s">
        <v>425</v>
      </c>
      <c r="BG100" s="496" t="s">
        <v>426</v>
      </c>
      <c r="BH100" s="496" t="s">
        <v>427</v>
      </c>
      <c r="BI100" s="496" t="s">
        <v>428</v>
      </c>
      <c r="BJ100" s="496" t="s">
        <v>429</v>
      </c>
      <c r="BK100" s="496" t="s">
        <v>430</v>
      </c>
      <c r="BL100" s="496" t="s">
        <v>431</v>
      </c>
      <c r="BM100" s="496" t="s">
        <v>432</v>
      </c>
      <c r="BN100" s="496" t="s">
        <v>433</v>
      </c>
      <c r="BO100" s="496" t="s">
        <v>434</v>
      </c>
      <c r="BP100" s="496" t="s">
        <v>435</v>
      </c>
      <c r="BQ100" s="496" t="s">
        <v>436</v>
      </c>
      <c r="BR100" s="496" t="s">
        <v>437</v>
      </c>
      <c r="BS100" s="496" t="s">
        <v>438</v>
      </c>
      <c r="BT100" s="496" t="s">
        <v>439</v>
      </c>
      <c r="BU100" s="496" t="s">
        <v>440</v>
      </c>
      <c r="BV100" s="496" t="s">
        <v>441</v>
      </c>
      <c r="BW100" s="496" t="s">
        <v>442</v>
      </c>
      <c r="BX100" s="496" t="s">
        <v>443</v>
      </c>
      <c r="BY100" s="496" t="s">
        <v>444</v>
      </c>
      <c r="BZ100" s="496" t="s">
        <v>445</v>
      </c>
      <c r="CA100" s="496" t="s">
        <v>446</v>
      </c>
      <c r="CB100" s="496" t="s">
        <v>447</v>
      </c>
      <c r="CC100" s="496" t="s">
        <v>448</v>
      </c>
      <c r="CD100" s="496" t="s">
        <v>449</v>
      </c>
      <c r="CE100" s="496" t="s">
        <v>450</v>
      </c>
      <c r="CF100" s="496" t="s">
        <v>451</v>
      </c>
      <c r="CG100" s="496" t="s">
        <v>452</v>
      </c>
      <c r="CH100" s="496" t="s">
        <v>453</v>
      </c>
      <c r="CI100" s="496" t="s">
        <v>454</v>
      </c>
      <c r="CJ100" s="496" t="s">
        <v>455</v>
      </c>
      <c r="CK100" s="496" t="s">
        <v>456</v>
      </c>
      <c r="CL100" s="496" t="s">
        <v>457</v>
      </c>
      <c r="CM100" s="496" t="s">
        <v>458</v>
      </c>
      <c r="CN100" s="496" t="s">
        <v>459</v>
      </c>
      <c r="CO100" s="496" t="s">
        <v>460</v>
      </c>
      <c r="CP100" s="496" t="s">
        <v>461</v>
      </c>
      <c r="CQ100" s="496" t="s">
        <v>462</v>
      </c>
      <c r="CR100" s="496" t="s">
        <v>463</v>
      </c>
      <c r="CS100" s="496" t="s">
        <v>464</v>
      </c>
      <c r="CT100" s="496" t="s">
        <v>465</v>
      </c>
      <c r="CU100" s="496" t="s">
        <v>466</v>
      </c>
      <c r="CV100" s="496" t="s">
        <v>467</v>
      </c>
      <c r="CW100" s="496" t="s">
        <v>468</v>
      </c>
      <c r="CX100" s="496" t="s">
        <v>469</v>
      </c>
      <c r="CY100" s="496" t="s">
        <v>470</v>
      </c>
      <c r="CZ100" s="496" t="s">
        <v>471</v>
      </c>
      <c r="DA100" s="496" t="s">
        <v>472</v>
      </c>
      <c r="DB100" s="496" t="s">
        <v>473</v>
      </c>
      <c r="DC100" s="496" t="s">
        <v>474</v>
      </c>
      <c r="DD100" s="496" t="s">
        <v>475</v>
      </c>
      <c r="DE100" s="496" t="s">
        <v>476</v>
      </c>
      <c r="DF100" s="496" t="s">
        <v>477</v>
      </c>
      <c r="DG100" s="496" t="s">
        <v>478</v>
      </c>
      <c r="DH100" s="496" t="s">
        <v>479</v>
      </c>
      <c r="DI100" s="496" t="s">
        <v>480</v>
      </c>
      <c r="DJ100" s="496" t="s">
        <v>481</v>
      </c>
      <c r="DK100" s="496" t="s">
        <v>482</v>
      </c>
      <c r="DL100" s="496" t="s">
        <v>483</v>
      </c>
      <c r="DM100" s="496" t="s">
        <v>484</v>
      </c>
      <c r="DN100" s="496" t="s">
        <v>485</v>
      </c>
      <c r="DO100" s="496" t="s">
        <v>486</v>
      </c>
      <c r="DP100" s="496" t="s">
        <v>487</v>
      </c>
      <c r="DQ100" s="496" t="s">
        <v>488</v>
      </c>
      <c r="DR100" s="496" t="s">
        <v>489</v>
      </c>
      <c r="DS100" s="496" t="s">
        <v>490</v>
      </c>
      <c r="DT100" s="496" t="s">
        <v>491</v>
      </c>
      <c r="DU100" s="496" t="s">
        <v>492</v>
      </c>
      <c r="DV100" s="496" t="s">
        <v>493</v>
      </c>
      <c r="DW100" s="496" t="s">
        <v>494</v>
      </c>
      <c r="DX100" s="476"/>
      <c r="DY100" s="496" t="s">
        <v>163</v>
      </c>
      <c r="DZ100" s="496" t="s">
        <v>20</v>
      </c>
      <c r="EA100" s="496" t="s">
        <v>24</v>
      </c>
      <c r="EB100" s="496" t="s">
        <v>21</v>
      </c>
      <c r="EC100" s="494" t="str">
        <f t="shared" si="6"/>
        <v>商品代號性別年齡</v>
      </c>
      <c r="ED100" s="496" t="s">
        <v>496</v>
      </c>
      <c r="EE100" s="496" t="s">
        <v>497</v>
      </c>
      <c r="EF100" s="496" t="s">
        <v>498</v>
      </c>
      <c r="EG100" s="496" t="s">
        <v>499</v>
      </c>
      <c r="EH100" s="496" t="s">
        <v>500</v>
      </c>
      <c r="EI100" s="496" t="s">
        <v>501</v>
      </c>
      <c r="EJ100" s="496" t="s">
        <v>502</v>
      </c>
      <c r="EK100" s="496" t="s">
        <v>503</v>
      </c>
      <c r="EL100" s="496" t="s">
        <v>504</v>
      </c>
      <c r="EM100" s="496" t="s">
        <v>505</v>
      </c>
      <c r="EN100" s="496" t="s">
        <v>506</v>
      </c>
      <c r="EO100" s="496" t="s">
        <v>507</v>
      </c>
      <c r="EP100" s="496" t="s">
        <v>508</v>
      </c>
      <c r="EQ100" s="496" t="s">
        <v>509</v>
      </c>
      <c r="ER100" s="496" t="s">
        <v>510</v>
      </c>
      <c r="ES100" s="496" t="s">
        <v>511</v>
      </c>
      <c r="ET100" s="496" t="s">
        <v>512</v>
      </c>
      <c r="EU100" s="496" t="s">
        <v>513</v>
      </c>
      <c r="EV100" s="496" t="s">
        <v>514</v>
      </c>
      <c r="EW100" s="496" t="s">
        <v>515</v>
      </c>
      <c r="EX100" s="496" t="s">
        <v>516</v>
      </c>
      <c r="EY100" s="496" t="s">
        <v>517</v>
      </c>
      <c r="EZ100" s="496" t="s">
        <v>518</v>
      </c>
      <c r="FA100" s="496" t="s">
        <v>519</v>
      </c>
      <c r="FB100" s="496" t="s">
        <v>520</v>
      </c>
      <c r="FC100" s="496" t="s">
        <v>521</v>
      </c>
      <c r="FD100" s="496" t="s">
        <v>522</v>
      </c>
      <c r="FE100" s="496" t="s">
        <v>523</v>
      </c>
      <c r="FF100" s="496" t="s">
        <v>524</v>
      </c>
      <c r="FG100" s="496" t="s">
        <v>525</v>
      </c>
      <c r="FH100" s="496" t="s">
        <v>526</v>
      </c>
      <c r="FI100" s="496" t="s">
        <v>527</v>
      </c>
      <c r="FJ100" s="496" t="s">
        <v>528</v>
      </c>
      <c r="FK100" s="496" t="s">
        <v>529</v>
      </c>
      <c r="FL100" s="496" t="s">
        <v>530</v>
      </c>
      <c r="FM100" s="496" t="s">
        <v>531</v>
      </c>
      <c r="FN100" s="496" t="s">
        <v>532</v>
      </c>
      <c r="FO100" s="496" t="s">
        <v>533</v>
      </c>
      <c r="FP100" s="496" t="s">
        <v>534</v>
      </c>
      <c r="FQ100" s="496" t="s">
        <v>535</v>
      </c>
      <c r="FR100" s="496" t="s">
        <v>536</v>
      </c>
      <c r="FS100" s="496" t="s">
        <v>537</v>
      </c>
      <c r="FT100" s="496" t="s">
        <v>538</v>
      </c>
      <c r="FU100" s="496" t="s">
        <v>539</v>
      </c>
      <c r="FV100" s="496" t="s">
        <v>540</v>
      </c>
      <c r="FW100" s="496" t="s">
        <v>541</v>
      </c>
      <c r="FX100" s="496" t="s">
        <v>542</v>
      </c>
      <c r="FY100" s="496" t="s">
        <v>543</v>
      </c>
      <c r="FZ100" s="496" t="s">
        <v>544</v>
      </c>
      <c r="GA100" s="496" t="s">
        <v>545</v>
      </c>
      <c r="GB100" s="496" t="s">
        <v>546</v>
      </c>
      <c r="GC100" s="496" t="s">
        <v>547</v>
      </c>
      <c r="GD100" s="496" t="s">
        <v>548</v>
      </c>
      <c r="GE100" s="496" t="s">
        <v>549</v>
      </c>
      <c r="GF100" s="496" t="s">
        <v>550</v>
      </c>
      <c r="GG100" s="496" t="s">
        <v>551</v>
      </c>
      <c r="GH100" s="496" t="s">
        <v>552</v>
      </c>
      <c r="GI100" s="496" t="s">
        <v>553</v>
      </c>
      <c r="GJ100" s="496" t="s">
        <v>554</v>
      </c>
      <c r="GK100" s="496" t="s">
        <v>555</v>
      </c>
      <c r="GL100" s="496" t="s">
        <v>556</v>
      </c>
      <c r="GM100" s="496" t="s">
        <v>557</v>
      </c>
      <c r="GN100" s="496" t="s">
        <v>558</v>
      </c>
      <c r="GO100" s="496" t="s">
        <v>559</v>
      </c>
      <c r="GP100" s="496" t="s">
        <v>560</v>
      </c>
      <c r="GQ100" s="496" t="s">
        <v>561</v>
      </c>
      <c r="GR100" s="496" t="s">
        <v>562</v>
      </c>
      <c r="GS100" s="496" t="s">
        <v>563</v>
      </c>
      <c r="GT100" s="496" t="s">
        <v>564</v>
      </c>
      <c r="GU100" s="496" t="s">
        <v>565</v>
      </c>
      <c r="GV100" s="496" t="s">
        <v>566</v>
      </c>
      <c r="GW100" s="496" t="s">
        <v>567</v>
      </c>
      <c r="GX100" s="496" t="s">
        <v>568</v>
      </c>
      <c r="GY100" s="496" t="s">
        <v>569</v>
      </c>
      <c r="GZ100" s="496" t="s">
        <v>570</v>
      </c>
      <c r="HA100" s="496" t="s">
        <v>571</v>
      </c>
      <c r="HB100" s="496" t="s">
        <v>572</v>
      </c>
      <c r="HC100" s="496" t="s">
        <v>573</v>
      </c>
      <c r="HD100" s="496" t="s">
        <v>574</v>
      </c>
      <c r="HE100" s="496" t="s">
        <v>575</v>
      </c>
      <c r="HF100" s="496" t="s">
        <v>576</v>
      </c>
      <c r="HG100" s="496" t="s">
        <v>577</v>
      </c>
      <c r="HH100" s="496" t="s">
        <v>578</v>
      </c>
      <c r="HI100" s="496" t="s">
        <v>579</v>
      </c>
      <c r="HJ100" s="496" t="s">
        <v>580</v>
      </c>
      <c r="HK100" s="496" t="s">
        <v>581</v>
      </c>
      <c r="HL100" s="496" t="s">
        <v>582</v>
      </c>
      <c r="HM100" s="496" t="s">
        <v>583</v>
      </c>
      <c r="HN100" s="496" t="s">
        <v>584</v>
      </c>
      <c r="HO100" s="496" t="s">
        <v>585</v>
      </c>
      <c r="HP100" s="496" t="s">
        <v>586</v>
      </c>
      <c r="HQ100" s="496" t="s">
        <v>587</v>
      </c>
      <c r="HR100" s="496" t="s">
        <v>588</v>
      </c>
      <c r="HS100" s="496" t="s">
        <v>589</v>
      </c>
      <c r="HT100" s="496" t="s">
        <v>590</v>
      </c>
      <c r="HU100" s="496" t="s">
        <v>591</v>
      </c>
      <c r="HV100" s="496" t="s">
        <v>592</v>
      </c>
      <c r="HW100" s="496" t="s">
        <v>593</v>
      </c>
      <c r="HX100" s="496" t="s">
        <v>594</v>
      </c>
      <c r="HY100" s="496" t="s">
        <v>595</v>
      </c>
      <c r="HZ100" s="496" t="s">
        <v>596</v>
      </c>
      <c r="IA100" s="496" t="s">
        <v>597</v>
      </c>
      <c r="IB100" s="496" t="s">
        <v>598</v>
      </c>
      <c r="IC100" s="496" t="s">
        <v>599</v>
      </c>
      <c r="ID100" s="496" t="s">
        <v>600</v>
      </c>
      <c r="IE100" s="496" t="s">
        <v>601</v>
      </c>
      <c r="IF100" s="496" t="s">
        <v>602</v>
      </c>
      <c r="IG100" s="496" t="s">
        <v>603</v>
      </c>
      <c r="IH100" s="496" t="s">
        <v>604</v>
      </c>
      <c r="II100" s="496" t="s">
        <v>605</v>
      </c>
      <c r="IJ100" s="496" t="s">
        <v>606</v>
      </c>
    </row>
    <row r="101" spans="1:244" ht="16.5" hidden="1">
      <c r="A101" s="484" t="s">
        <v>720</v>
      </c>
      <c r="B101" s="484" t="s">
        <v>617</v>
      </c>
      <c r="C101" s="484" t="s">
        <v>721</v>
      </c>
      <c r="D101" s="485"/>
      <c r="E101" s="484" t="s">
        <v>721</v>
      </c>
      <c r="F101" s="484" t="s">
        <v>25</v>
      </c>
      <c r="G101" s="485"/>
      <c r="H101" s="486">
        <v>50</v>
      </c>
      <c r="I101" s="471" t="str">
        <f t="shared" si="3"/>
        <v>AIJ100150</v>
      </c>
      <c r="J101" s="486">
        <v>162</v>
      </c>
      <c r="L101" s="497" t="s">
        <v>720</v>
      </c>
      <c r="M101" s="497" t="s">
        <v>617</v>
      </c>
      <c r="N101" s="497" t="s">
        <v>25</v>
      </c>
      <c r="O101" s="498">
        <v>15</v>
      </c>
      <c r="P101" s="494" t="str">
        <f t="shared" si="5"/>
        <v>AIJ100115</v>
      </c>
      <c r="Q101" s="498">
        <v>20000</v>
      </c>
      <c r="R101" s="498">
        <v>20000</v>
      </c>
      <c r="S101" s="498">
        <v>20000</v>
      </c>
      <c r="T101" s="498">
        <v>20000</v>
      </c>
      <c r="U101" s="498">
        <v>20000</v>
      </c>
      <c r="V101" s="498">
        <v>20000</v>
      </c>
      <c r="W101" s="498">
        <v>20000</v>
      </c>
      <c r="X101" s="498">
        <v>20000</v>
      </c>
      <c r="Y101" s="498">
        <v>20000</v>
      </c>
      <c r="Z101" s="498">
        <v>20000</v>
      </c>
      <c r="AA101" s="498">
        <v>0</v>
      </c>
      <c r="AB101" s="498">
        <v>0</v>
      </c>
      <c r="AC101" s="498">
        <v>0</v>
      </c>
      <c r="AD101" s="498">
        <v>0</v>
      </c>
      <c r="AE101" s="498">
        <v>0</v>
      </c>
      <c r="AF101" s="498">
        <v>0</v>
      </c>
      <c r="AG101" s="498">
        <v>0</v>
      </c>
      <c r="AH101" s="498">
        <v>0</v>
      </c>
      <c r="AI101" s="498">
        <v>0</v>
      </c>
      <c r="AJ101" s="498">
        <v>0</v>
      </c>
      <c r="AK101" s="498">
        <v>0</v>
      </c>
      <c r="AL101" s="498">
        <v>0</v>
      </c>
      <c r="AM101" s="498">
        <v>0</v>
      </c>
      <c r="AN101" s="498">
        <v>0</v>
      </c>
      <c r="AO101" s="498">
        <v>0</v>
      </c>
      <c r="AP101" s="498">
        <v>0</v>
      </c>
      <c r="AQ101" s="498">
        <v>0</v>
      </c>
      <c r="AR101" s="498">
        <v>0</v>
      </c>
      <c r="AS101" s="498">
        <v>0</v>
      </c>
      <c r="AT101" s="498">
        <v>0</v>
      </c>
      <c r="AU101" s="498">
        <v>0</v>
      </c>
      <c r="AV101" s="498">
        <v>0</v>
      </c>
      <c r="AW101" s="498">
        <v>0</v>
      </c>
      <c r="AX101" s="498">
        <v>0</v>
      </c>
      <c r="AY101" s="498">
        <v>0</v>
      </c>
      <c r="AZ101" s="498">
        <v>0</v>
      </c>
      <c r="BA101" s="498">
        <v>0</v>
      </c>
      <c r="BB101" s="498">
        <v>0</v>
      </c>
      <c r="BC101" s="498">
        <v>0</v>
      </c>
      <c r="BD101" s="498">
        <v>0</v>
      </c>
      <c r="BE101" s="498">
        <v>0</v>
      </c>
      <c r="BF101" s="498">
        <v>0</v>
      </c>
      <c r="BG101" s="498">
        <v>0</v>
      </c>
      <c r="BH101" s="498">
        <v>0</v>
      </c>
      <c r="BI101" s="498">
        <v>0</v>
      </c>
      <c r="BJ101" s="498">
        <v>0</v>
      </c>
      <c r="BK101" s="498">
        <v>0</v>
      </c>
      <c r="BL101" s="498">
        <v>0</v>
      </c>
      <c r="BM101" s="498">
        <v>0</v>
      </c>
      <c r="BN101" s="498">
        <v>0</v>
      </c>
      <c r="BO101" s="498">
        <v>0</v>
      </c>
      <c r="BP101" s="498">
        <v>0</v>
      </c>
      <c r="BQ101" s="498">
        <v>0</v>
      </c>
      <c r="BR101" s="498">
        <v>0</v>
      </c>
      <c r="BS101" s="498">
        <v>0</v>
      </c>
      <c r="BT101" s="498">
        <v>0</v>
      </c>
      <c r="BU101" s="498">
        <v>0</v>
      </c>
      <c r="BV101" s="498">
        <v>0</v>
      </c>
      <c r="BW101" s="498">
        <v>0</v>
      </c>
      <c r="BX101" s="498">
        <v>0</v>
      </c>
      <c r="BY101" s="498">
        <v>0</v>
      </c>
      <c r="BZ101" s="498">
        <v>0</v>
      </c>
      <c r="CA101" s="498">
        <v>0</v>
      </c>
      <c r="CB101" s="498">
        <v>0</v>
      </c>
      <c r="CC101" s="498">
        <v>0</v>
      </c>
      <c r="CD101" s="498">
        <v>0</v>
      </c>
      <c r="CE101" s="498">
        <v>0</v>
      </c>
      <c r="CF101" s="498">
        <v>0</v>
      </c>
      <c r="CG101" s="498">
        <v>0</v>
      </c>
      <c r="CH101" s="498">
        <v>0</v>
      </c>
      <c r="CI101" s="498">
        <v>0</v>
      </c>
      <c r="CJ101" s="498">
        <v>0</v>
      </c>
      <c r="CK101" s="498">
        <v>0</v>
      </c>
      <c r="CL101" s="498">
        <v>0</v>
      </c>
      <c r="CM101" s="498">
        <v>0</v>
      </c>
      <c r="CN101" s="498">
        <v>0</v>
      </c>
      <c r="CO101" s="498">
        <v>0</v>
      </c>
      <c r="CP101" s="498">
        <v>0</v>
      </c>
      <c r="CQ101" s="498">
        <v>0</v>
      </c>
      <c r="CR101" s="498">
        <v>0</v>
      </c>
      <c r="CS101" s="498">
        <v>0</v>
      </c>
      <c r="CT101" s="498">
        <v>0</v>
      </c>
      <c r="CU101" s="498">
        <v>0</v>
      </c>
      <c r="CV101" s="498">
        <v>0</v>
      </c>
      <c r="CW101" s="498">
        <v>0</v>
      </c>
      <c r="CX101" s="498">
        <v>0</v>
      </c>
      <c r="CY101" s="498">
        <v>0</v>
      </c>
      <c r="CZ101" s="498">
        <v>0</v>
      </c>
      <c r="DA101" s="498">
        <v>0</v>
      </c>
      <c r="DB101" s="498">
        <v>0</v>
      </c>
      <c r="DC101" s="498">
        <v>0</v>
      </c>
      <c r="DD101" s="498">
        <v>0</v>
      </c>
      <c r="DE101" s="498">
        <v>0</v>
      </c>
      <c r="DF101" s="498">
        <v>0</v>
      </c>
      <c r="DG101" s="498">
        <v>0</v>
      </c>
      <c r="DH101" s="498">
        <v>0</v>
      </c>
      <c r="DI101" s="498">
        <v>0</v>
      </c>
      <c r="DJ101" s="498">
        <v>0</v>
      </c>
      <c r="DK101" s="498">
        <v>0</v>
      </c>
      <c r="DL101" s="498">
        <v>0</v>
      </c>
      <c r="DM101" s="498">
        <v>0</v>
      </c>
      <c r="DN101" s="498">
        <v>0</v>
      </c>
      <c r="DO101" s="498">
        <v>0</v>
      </c>
      <c r="DP101" s="498">
        <v>0</v>
      </c>
      <c r="DQ101" s="498">
        <v>0</v>
      </c>
      <c r="DR101" s="498">
        <v>0</v>
      </c>
      <c r="DS101" s="498">
        <v>0</v>
      </c>
      <c r="DT101" s="498">
        <v>0</v>
      </c>
      <c r="DU101" s="498">
        <v>0</v>
      </c>
      <c r="DV101" s="498">
        <v>0</v>
      </c>
      <c r="DW101" s="498">
        <v>0</v>
      </c>
      <c r="DX101" s="477"/>
      <c r="DY101" s="497" t="s">
        <v>720</v>
      </c>
      <c r="DZ101" s="497" t="s">
        <v>617</v>
      </c>
      <c r="EA101" s="497" t="s">
        <v>25</v>
      </c>
      <c r="EB101" s="498">
        <v>15</v>
      </c>
      <c r="EC101" s="494" t="str">
        <f t="shared" si="6"/>
        <v>AIJ100115</v>
      </c>
      <c r="ED101" s="498">
        <v>0</v>
      </c>
      <c r="EE101" s="498">
        <v>284</v>
      </c>
      <c r="EF101" s="498">
        <v>497</v>
      </c>
      <c r="EG101" s="498">
        <v>822</v>
      </c>
      <c r="EH101" s="498">
        <v>1308</v>
      </c>
      <c r="EI101" s="498">
        <v>1858</v>
      </c>
      <c r="EJ101" s="498">
        <v>2680</v>
      </c>
      <c r="EK101" s="498">
        <v>4051</v>
      </c>
      <c r="EL101" s="498">
        <v>5738</v>
      </c>
      <c r="EM101" s="498">
        <v>0</v>
      </c>
      <c r="EN101" s="498">
        <v>0</v>
      </c>
      <c r="EO101" s="498">
        <v>0</v>
      </c>
      <c r="EP101" s="498">
        <v>0</v>
      </c>
      <c r="EQ101" s="498">
        <v>0</v>
      </c>
      <c r="ER101" s="498">
        <v>0</v>
      </c>
      <c r="ES101" s="498">
        <v>0</v>
      </c>
      <c r="ET101" s="498">
        <v>0</v>
      </c>
      <c r="EU101" s="498">
        <v>0</v>
      </c>
      <c r="EV101" s="498">
        <v>0</v>
      </c>
      <c r="EW101" s="498">
        <v>0</v>
      </c>
      <c r="EX101" s="498">
        <v>0</v>
      </c>
      <c r="EY101" s="498">
        <v>0</v>
      </c>
      <c r="EZ101" s="498">
        <v>0</v>
      </c>
      <c r="FA101" s="498">
        <v>0</v>
      </c>
      <c r="FB101" s="498">
        <v>0</v>
      </c>
      <c r="FC101" s="498">
        <v>0</v>
      </c>
      <c r="FD101" s="498">
        <v>0</v>
      </c>
      <c r="FE101" s="498">
        <v>0</v>
      </c>
      <c r="FF101" s="498">
        <v>0</v>
      </c>
      <c r="FG101" s="498">
        <v>0</v>
      </c>
      <c r="FH101" s="498">
        <v>0</v>
      </c>
      <c r="FI101" s="498">
        <v>0</v>
      </c>
      <c r="FJ101" s="498">
        <v>0</v>
      </c>
      <c r="FK101" s="498">
        <v>0</v>
      </c>
      <c r="FL101" s="498">
        <v>0</v>
      </c>
      <c r="FM101" s="498">
        <v>0</v>
      </c>
      <c r="FN101" s="498">
        <v>0</v>
      </c>
      <c r="FO101" s="498">
        <v>0</v>
      </c>
      <c r="FP101" s="498">
        <v>0</v>
      </c>
      <c r="FQ101" s="498">
        <v>0</v>
      </c>
      <c r="FR101" s="498">
        <v>0</v>
      </c>
      <c r="FS101" s="498">
        <v>0</v>
      </c>
      <c r="FT101" s="498">
        <v>0</v>
      </c>
      <c r="FU101" s="498">
        <v>0</v>
      </c>
      <c r="FV101" s="498">
        <v>0</v>
      </c>
      <c r="FW101" s="498">
        <v>0</v>
      </c>
      <c r="FX101" s="498">
        <v>0</v>
      </c>
      <c r="FY101" s="498">
        <v>0</v>
      </c>
      <c r="FZ101" s="498">
        <v>0</v>
      </c>
      <c r="GA101" s="498">
        <v>0</v>
      </c>
      <c r="GB101" s="498">
        <v>0</v>
      </c>
      <c r="GC101" s="498">
        <v>0</v>
      </c>
      <c r="GD101" s="498">
        <v>0</v>
      </c>
      <c r="GE101" s="498">
        <v>0</v>
      </c>
      <c r="GF101" s="498">
        <v>0</v>
      </c>
      <c r="GG101" s="498">
        <v>0</v>
      </c>
      <c r="GH101" s="498">
        <v>0</v>
      </c>
      <c r="GI101" s="498">
        <v>0</v>
      </c>
      <c r="GJ101" s="498">
        <v>0</v>
      </c>
      <c r="GK101" s="498">
        <v>0</v>
      </c>
      <c r="GL101" s="498">
        <v>0</v>
      </c>
      <c r="GM101" s="498">
        <v>0</v>
      </c>
      <c r="GN101" s="498">
        <v>0</v>
      </c>
      <c r="GO101" s="498">
        <v>0</v>
      </c>
      <c r="GP101" s="498">
        <v>0</v>
      </c>
      <c r="GQ101" s="498">
        <v>0</v>
      </c>
      <c r="GR101" s="498">
        <v>0</v>
      </c>
      <c r="GS101" s="498">
        <v>0</v>
      </c>
      <c r="GT101" s="498">
        <v>0</v>
      </c>
      <c r="GU101" s="498">
        <v>0</v>
      </c>
      <c r="GV101" s="498">
        <v>0</v>
      </c>
      <c r="GW101" s="498">
        <v>0</v>
      </c>
      <c r="GX101" s="498">
        <v>0</v>
      </c>
      <c r="GY101" s="498">
        <v>0</v>
      </c>
      <c r="GZ101" s="498">
        <v>0</v>
      </c>
      <c r="HA101" s="498">
        <v>0</v>
      </c>
      <c r="HB101" s="498">
        <v>0</v>
      </c>
      <c r="HC101" s="498">
        <v>0</v>
      </c>
      <c r="HD101" s="498">
        <v>0</v>
      </c>
      <c r="HE101" s="498">
        <v>0</v>
      </c>
      <c r="HF101" s="498">
        <v>0</v>
      </c>
      <c r="HG101" s="498">
        <v>0</v>
      </c>
      <c r="HH101" s="498">
        <v>0</v>
      </c>
      <c r="HI101" s="498">
        <v>0</v>
      </c>
      <c r="HJ101" s="498">
        <v>0</v>
      </c>
      <c r="HK101" s="498">
        <v>0</v>
      </c>
      <c r="HL101" s="498">
        <v>0</v>
      </c>
      <c r="HM101" s="498">
        <v>0</v>
      </c>
      <c r="HN101" s="498">
        <v>0</v>
      </c>
      <c r="HO101" s="498">
        <v>0</v>
      </c>
      <c r="HP101" s="498">
        <v>0</v>
      </c>
      <c r="HQ101" s="498">
        <v>0</v>
      </c>
      <c r="HR101" s="498">
        <v>0</v>
      </c>
      <c r="HS101" s="498">
        <v>0</v>
      </c>
      <c r="HT101" s="498">
        <v>0</v>
      </c>
      <c r="HU101" s="498">
        <v>0</v>
      </c>
      <c r="HV101" s="498">
        <v>0</v>
      </c>
      <c r="HW101" s="498">
        <v>0</v>
      </c>
      <c r="HX101" s="498">
        <v>0</v>
      </c>
      <c r="HY101" s="498">
        <v>0</v>
      </c>
      <c r="HZ101" s="498">
        <v>0</v>
      </c>
      <c r="IA101" s="498">
        <v>0</v>
      </c>
      <c r="IB101" s="498">
        <v>0</v>
      </c>
      <c r="IC101" s="498">
        <v>0</v>
      </c>
      <c r="ID101" s="498">
        <v>0</v>
      </c>
      <c r="IE101" s="498">
        <v>0</v>
      </c>
      <c r="IF101" s="498">
        <v>0</v>
      </c>
      <c r="IG101" s="498">
        <v>0</v>
      </c>
      <c r="IH101" s="498">
        <v>0</v>
      </c>
      <c r="II101" s="498">
        <v>0</v>
      </c>
      <c r="IJ101" s="498">
        <v>0</v>
      </c>
    </row>
    <row r="102" spans="1:244" ht="16.5" hidden="1">
      <c r="A102" s="484" t="s">
        <v>720</v>
      </c>
      <c r="B102" s="484" t="s">
        <v>617</v>
      </c>
      <c r="C102" s="484" t="s">
        <v>721</v>
      </c>
      <c r="D102" s="485"/>
      <c r="E102" s="484" t="s">
        <v>721</v>
      </c>
      <c r="F102" s="484" t="s">
        <v>25</v>
      </c>
      <c r="G102" s="485"/>
      <c r="H102" s="486">
        <v>51</v>
      </c>
      <c r="I102" s="471" t="str">
        <f t="shared" si="3"/>
        <v>AIJ100151</v>
      </c>
      <c r="J102" s="486">
        <v>172</v>
      </c>
      <c r="L102" s="497" t="s">
        <v>720</v>
      </c>
      <c r="M102" s="497" t="s">
        <v>617</v>
      </c>
      <c r="N102" s="497" t="s">
        <v>25</v>
      </c>
      <c r="O102" s="498">
        <v>16</v>
      </c>
      <c r="P102" s="494" t="str">
        <f t="shared" si="5"/>
        <v>AIJ100116</v>
      </c>
      <c r="Q102" s="498">
        <v>20000</v>
      </c>
      <c r="R102" s="498">
        <v>20000</v>
      </c>
      <c r="S102" s="498">
        <v>20000</v>
      </c>
      <c r="T102" s="498">
        <v>20000</v>
      </c>
      <c r="U102" s="498">
        <v>20000</v>
      </c>
      <c r="V102" s="498">
        <v>20000</v>
      </c>
      <c r="W102" s="498">
        <v>20000</v>
      </c>
      <c r="X102" s="498">
        <v>20000</v>
      </c>
      <c r="Y102" s="498">
        <v>20000</v>
      </c>
      <c r="Z102" s="498">
        <v>20000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77"/>
      <c r="DY102" s="497" t="s">
        <v>720</v>
      </c>
      <c r="DZ102" s="497" t="s">
        <v>617</v>
      </c>
      <c r="EA102" s="497" t="s">
        <v>25</v>
      </c>
      <c r="EB102" s="498">
        <v>16</v>
      </c>
      <c r="EC102" s="494" t="str">
        <f t="shared" si="6"/>
        <v>AIJ100116</v>
      </c>
      <c r="ED102" s="498">
        <v>0</v>
      </c>
      <c r="EE102" s="498">
        <v>279</v>
      </c>
      <c r="EF102" s="498">
        <v>488</v>
      </c>
      <c r="EG102" s="498">
        <v>811</v>
      </c>
      <c r="EH102" s="498">
        <v>1288</v>
      </c>
      <c r="EI102" s="498">
        <v>1810</v>
      </c>
      <c r="EJ102" s="498">
        <v>2626</v>
      </c>
      <c r="EK102" s="498">
        <v>3951</v>
      </c>
      <c r="EL102" s="498">
        <v>5714</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row>
    <row r="103" spans="1:244" ht="16.5" hidden="1">
      <c r="A103" s="484" t="s">
        <v>720</v>
      </c>
      <c r="B103" s="484" t="s">
        <v>617</v>
      </c>
      <c r="C103" s="484" t="s">
        <v>721</v>
      </c>
      <c r="D103" s="485"/>
      <c r="E103" s="484" t="s">
        <v>721</v>
      </c>
      <c r="F103" s="484" t="s">
        <v>25</v>
      </c>
      <c r="G103" s="485"/>
      <c r="H103" s="486">
        <v>52</v>
      </c>
      <c r="I103" s="471" t="str">
        <f t="shared" si="3"/>
        <v>AIJ100152</v>
      </c>
      <c r="J103" s="486">
        <v>184</v>
      </c>
      <c r="L103" s="497" t="s">
        <v>720</v>
      </c>
      <c r="M103" s="497" t="s">
        <v>617</v>
      </c>
      <c r="N103" s="497" t="s">
        <v>25</v>
      </c>
      <c r="O103" s="498">
        <v>17</v>
      </c>
      <c r="P103" s="494" t="str">
        <f t="shared" si="5"/>
        <v>AIJ100117</v>
      </c>
      <c r="Q103" s="498">
        <v>20000</v>
      </c>
      <c r="R103" s="498">
        <v>20000</v>
      </c>
      <c r="S103" s="498">
        <v>20000</v>
      </c>
      <c r="T103" s="498">
        <v>20000</v>
      </c>
      <c r="U103" s="498">
        <v>20000</v>
      </c>
      <c r="V103" s="498">
        <v>20000</v>
      </c>
      <c r="W103" s="498">
        <v>20000</v>
      </c>
      <c r="X103" s="498">
        <v>20000</v>
      </c>
      <c r="Y103" s="498">
        <v>20000</v>
      </c>
      <c r="Z103" s="498">
        <v>20000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77"/>
      <c r="DY103" s="497" t="s">
        <v>720</v>
      </c>
      <c r="DZ103" s="497" t="s">
        <v>617</v>
      </c>
      <c r="EA103" s="497" t="s">
        <v>25</v>
      </c>
      <c r="EB103" s="498">
        <v>17</v>
      </c>
      <c r="EC103" s="494" t="str">
        <f t="shared" si="6"/>
        <v>AIJ100117</v>
      </c>
      <c r="ED103" s="498">
        <v>0</v>
      </c>
      <c r="EE103" s="498">
        <v>273</v>
      </c>
      <c r="EF103" s="498">
        <v>476</v>
      </c>
      <c r="EG103" s="498">
        <v>855</v>
      </c>
      <c r="EH103" s="498">
        <v>1333</v>
      </c>
      <c r="EI103" s="498">
        <v>1849</v>
      </c>
      <c r="EJ103" s="498">
        <v>2647</v>
      </c>
      <c r="EK103" s="498">
        <v>3976</v>
      </c>
      <c r="EL103" s="498">
        <v>5781</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row>
    <row r="104" spans="1:244" ht="16.5" hidden="1">
      <c r="A104" s="484" t="s">
        <v>720</v>
      </c>
      <c r="B104" s="484" t="s">
        <v>617</v>
      </c>
      <c r="C104" s="484" t="s">
        <v>721</v>
      </c>
      <c r="D104" s="485"/>
      <c r="E104" s="484" t="s">
        <v>721</v>
      </c>
      <c r="F104" s="484" t="s">
        <v>25</v>
      </c>
      <c r="G104" s="485"/>
      <c r="H104" s="486">
        <v>53</v>
      </c>
      <c r="I104" s="471" t="str">
        <f t="shared" si="3"/>
        <v>AIJ100153</v>
      </c>
      <c r="J104" s="486">
        <v>196</v>
      </c>
      <c r="L104" s="497" t="s">
        <v>720</v>
      </c>
      <c r="M104" s="497" t="s">
        <v>617</v>
      </c>
      <c r="N104" s="497" t="s">
        <v>25</v>
      </c>
      <c r="O104" s="498">
        <v>18</v>
      </c>
      <c r="P104" s="494" t="str">
        <f t="shared" si="5"/>
        <v>AIJ100118</v>
      </c>
      <c r="Q104" s="498">
        <v>20000</v>
      </c>
      <c r="R104" s="498">
        <v>20000</v>
      </c>
      <c r="S104" s="498">
        <v>20000</v>
      </c>
      <c r="T104" s="498">
        <v>20000</v>
      </c>
      <c r="U104" s="498">
        <v>20000</v>
      </c>
      <c r="V104" s="498">
        <v>20000</v>
      </c>
      <c r="W104" s="498">
        <v>20000</v>
      </c>
      <c r="X104" s="498">
        <v>20000</v>
      </c>
      <c r="Y104" s="498">
        <v>20000</v>
      </c>
      <c r="Z104" s="498">
        <v>20000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77"/>
      <c r="DY104" s="497" t="s">
        <v>720</v>
      </c>
      <c r="DZ104" s="497" t="s">
        <v>617</v>
      </c>
      <c r="EA104" s="497" t="s">
        <v>25</v>
      </c>
      <c r="EB104" s="498">
        <v>18</v>
      </c>
      <c r="EC104" s="494" t="str">
        <f t="shared" si="6"/>
        <v>AIJ100118</v>
      </c>
      <c r="ED104" s="498">
        <v>0</v>
      </c>
      <c r="EE104" s="498">
        <v>269</v>
      </c>
      <c r="EF104" s="498">
        <v>526</v>
      </c>
      <c r="EG104" s="498">
        <v>903</v>
      </c>
      <c r="EH104" s="498">
        <v>1295</v>
      </c>
      <c r="EI104" s="498">
        <v>1885</v>
      </c>
      <c r="EJ104" s="498">
        <v>2692</v>
      </c>
      <c r="EK104" s="498">
        <v>4000</v>
      </c>
      <c r="EL104" s="498">
        <v>5846</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row>
    <row r="105" spans="1:244" ht="16.5" hidden="1">
      <c r="A105" s="484" t="s">
        <v>720</v>
      </c>
      <c r="B105" s="484" t="s">
        <v>617</v>
      </c>
      <c r="C105" s="484" t="s">
        <v>721</v>
      </c>
      <c r="D105" s="485"/>
      <c r="E105" s="484" t="s">
        <v>721</v>
      </c>
      <c r="F105" s="484" t="s">
        <v>25</v>
      </c>
      <c r="G105" s="485"/>
      <c r="H105" s="486">
        <v>54</v>
      </c>
      <c r="I105" s="471" t="str">
        <f t="shared" si="3"/>
        <v>AIJ100154</v>
      </c>
      <c r="J105" s="486">
        <v>208</v>
      </c>
      <c r="L105" s="497" t="s">
        <v>720</v>
      </c>
      <c r="M105" s="497" t="s">
        <v>617</v>
      </c>
      <c r="N105" s="497" t="s">
        <v>25</v>
      </c>
      <c r="O105" s="498">
        <v>19</v>
      </c>
      <c r="P105" s="494" t="str">
        <f t="shared" si="5"/>
        <v>AIJ100119</v>
      </c>
      <c r="Q105" s="498">
        <v>20000</v>
      </c>
      <c r="R105" s="498">
        <v>20000</v>
      </c>
      <c r="S105" s="498">
        <v>20000</v>
      </c>
      <c r="T105" s="498">
        <v>20000</v>
      </c>
      <c r="U105" s="498">
        <v>20000</v>
      </c>
      <c r="V105" s="498">
        <v>20000</v>
      </c>
      <c r="W105" s="498">
        <v>20000</v>
      </c>
      <c r="X105" s="498">
        <v>20000</v>
      </c>
      <c r="Y105" s="498">
        <v>20000</v>
      </c>
      <c r="Z105" s="498">
        <v>20000</v>
      </c>
      <c r="AA105" s="498">
        <v>0</v>
      </c>
      <c r="AB105" s="498">
        <v>0</v>
      </c>
      <c r="AC105" s="498">
        <v>0</v>
      </c>
      <c r="AD105" s="498">
        <v>0</v>
      </c>
      <c r="AE105" s="498">
        <v>0</v>
      </c>
      <c r="AF105" s="498">
        <v>0</v>
      </c>
      <c r="AG105" s="498">
        <v>0</v>
      </c>
      <c r="AH105" s="498">
        <v>0</v>
      </c>
      <c r="AI105" s="498">
        <v>0</v>
      </c>
      <c r="AJ105" s="498">
        <v>0</v>
      </c>
      <c r="AK105" s="498">
        <v>0</v>
      </c>
      <c r="AL105" s="498">
        <v>0</v>
      </c>
      <c r="AM105" s="498">
        <v>0</v>
      </c>
      <c r="AN105" s="498">
        <v>0</v>
      </c>
      <c r="AO105" s="498">
        <v>0</v>
      </c>
      <c r="AP105" s="498">
        <v>0</v>
      </c>
      <c r="AQ105" s="498">
        <v>0</v>
      </c>
      <c r="AR105" s="498">
        <v>0</v>
      </c>
      <c r="AS105" s="498">
        <v>0</v>
      </c>
      <c r="AT105" s="498">
        <v>0</v>
      </c>
      <c r="AU105" s="498">
        <v>0</v>
      </c>
      <c r="AV105" s="498">
        <v>0</v>
      </c>
      <c r="AW105" s="498">
        <v>0</v>
      </c>
      <c r="AX105" s="498">
        <v>0</v>
      </c>
      <c r="AY105" s="498">
        <v>0</v>
      </c>
      <c r="AZ105" s="498">
        <v>0</v>
      </c>
      <c r="BA105" s="498">
        <v>0</v>
      </c>
      <c r="BB105" s="498">
        <v>0</v>
      </c>
      <c r="BC105" s="498">
        <v>0</v>
      </c>
      <c r="BD105" s="498">
        <v>0</v>
      </c>
      <c r="BE105" s="498">
        <v>0</v>
      </c>
      <c r="BF105" s="498">
        <v>0</v>
      </c>
      <c r="BG105" s="498">
        <v>0</v>
      </c>
      <c r="BH105" s="498">
        <v>0</v>
      </c>
      <c r="BI105" s="498">
        <v>0</v>
      </c>
      <c r="BJ105" s="498">
        <v>0</v>
      </c>
      <c r="BK105" s="498">
        <v>0</v>
      </c>
      <c r="BL105" s="498">
        <v>0</v>
      </c>
      <c r="BM105" s="498">
        <v>0</v>
      </c>
      <c r="BN105" s="498">
        <v>0</v>
      </c>
      <c r="BO105" s="498">
        <v>0</v>
      </c>
      <c r="BP105" s="498">
        <v>0</v>
      </c>
      <c r="BQ105" s="498">
        <v>0</v>
      </c>
      <c r="BR105" s="498">
        <v>0</v>
      </c>
      <c r="BS105" s="498">
        <v>0</v>
      </c>
      <c r="BT105" s="498">
        <v>0</v>
      </c>
      <c r="BU105" s="498">
        <v>0</v>
      </c>
      <c r="BV105" s="498">
        <v>0</v>
      </c>
      <c r="BW105" s="498">
        <v>0</v>
      </c>
      <c r="BX105" s="498">
        <v>0</v>
      </c>
      <c r="BY105" s="498">
        <v>0</v>
      </c>
      <c r="BZ105" s="498">
        <v>0</v>
      </c>
      <c r="CA105" s="498">
        <v>0</v>
      </c>
      <c r="CB105" s="498">
        <v>0</v>
      </c>
      <c r="CC105" s="498">
        <v>0</v>
      </c>
      <c r="CD105" s="498">
        <v>0</v>
      </c>
      <c r="CE105" s="498">
        <v>0</v>
      </c>
      <c r="CF105" s="498">
        <v>0</v>
      </c>
      <c r="CG105" s="498">
        <v>0</v>
      </c>
      <c r="CH105" s="498">
        <v>0</v>
      </c>
      <c r="CI105" s="498">
        <v>0</v>
      </c>
      <c r="CJ105" s="498">
        <v>0</v>
      </c>
      <c r="CK105" s="498">
        <v>0</v>
      </c>
      <c r="CL105" s="498">
        <v>0</v>
      </c>
      <c r="CM105" s="498">
        <v>0</v>
      </c>
      <c r="CN105" s="498">
        <v>0</v>
      </c>
      <c r="CO105" s="498">
        <v>0</v>
      </c>
      <c r="CP105" s="498">
        <v>0</v>
      </c>
      <c r="CQ105" s="498">
        <v>0</v>
      </c>
      <c r="CR105" s="498">
        <v>0</v>
      </c>
      <c r="CS105" s="498">
        <v>0</v>
      </c>
      <c r="CT105" s="498">
        <v>0</v>
      </c>
      <c r="CU105" s="498">
        <v>0</v>
      </c>
      <c r="CV105" s="498">
        <v>0</v>
      </c>
      <c r="CW105" s="498">
        <v>0</v>
      </c>
      <c r="CX105" s="498">
        <v>0</v>
      </c>
      <c r="CY105" s="498">
        <v>0</v>
      </c>
      <c r="CZ105" s="498">
        <v>0</v>
      </c>
      <c r="DA105" s="498">
        <v>0</v>
      </c>
      <c r="DB105" s="498">
        <v>0</v>
      </c>
      <c r="DC105" s="498">
        <v>0</v>
      </c>
      <c r="DD105" s="498">
        <v>0</v>
      </c>
      <c r="DE105" s="498">
        <v>0</v>
      </c>
      <c r="DF105" s="498">
        <v>0</v>
      </c>
      <c r="DG105" s="498">
        <v>0</v>
      </c>
      <c r="DH105" s="498">
        <v>0</v>
      </c>
      <c r="DI105" s="498">
        <v>0</v>
      </c>
      <c r="DJ105" s="498">
        <v>0</v>
      </c>
      <c r="DK105" s="498">
        <v>0</v>
      </c>
      <c r="DL105" s="498">
        <v>0</v>
      </c>
      <c r="DM105" s="498">
        <v>0</v>
      </c>
      <c r="DN105" s="498">
        <v>0</v>
      </c>
      <c r="DO105" s="498">
        <v>0</v>
      </c>
      <c r="DP105" s="498">
        <v>0</v>
      </c>
      <c r="DQ105" s="498">
        <v>0</v>
      </c>
      <c r="DR105" s="498">
        <v>0</v>
      </c>
      <c r="DS105" s="498">
        <v>0</v>
      </c>
      <c r="DT105" s="498">
        <v>0</v>
      </c>
      <c r="DU105" s="498">
        <v>0</v>
      </c>
      <c r="DV105" s="498">
        <v>0</v>
      </c>
      <c r="DW105" s="498">
        <v>0</v>
      </c>
      <c r="DX105" s="477"/>
      <c r="DY105" s="497" t="s">
        <v>720</v>
      </c>
      <c r="DZ105" s="497" t="s">
        <v>617</v>
      </c>
      <c r="EA105" s="497" t="s">
        <v>25</v>
      </c>
      <c r="EB105" s="498">
        <v>19</v>
      </c>
      <c r="EC105" s="494" t="str">
        <f t="shared" si="6"/>
        <v>AIJ100119</v>
      </c>
      <c r="ED105" s="498">
        <v>0</v>
      </c>
      <c r="EE105" s="498">
        <v>263</v>
      </c>
      <c r="EF105" s="498">
        <v>571</v>
      </c>
      <c r="EG105" s="498">
        <v>881</v>
      </c>
      <c r="EH105" s="498">
        <v>1338</v>
      </c>
      <c r="EI105" s="498">
        <v>1935</v>
      </c>
      <c r="EJ105" s="498">
        <v>2736</v>
      </c>
      <c r="EK105" s="498">
        <v>3953</v>
      </c>
      <c r="EL105" s="498">
        <v>5672</v>
      </c>
      <c r="EM105" s="498">
        <v>0</v>
      </c>
      <c r="EN105" s="498">
        <v>0</v>
      </c>
      <c r="EO105" s="498">
        <v>0</v>
      </c>
      <c r="EP105" s="498">
        <v>0</v>
      </c>
      <c r="EQ105" s="498">
        <v>0</v>
      </c>
      <c r="ER105" s="498">
        <v>0</v>
      </c>
      <c r="ES105" s="498">
        <v>0</v>
      </c>
      <c r="ET105" s="498">
        <v>0</v>
      </c>
      <c r="EU105" s="498">
        <v>0</v>
      </c>
      <c r="EV105" s="498">
        <v>0</v>
      </c>
      <c r="EW105" s="498">
        <v>0</v>
      </c>
      <c r="EX105" s="498">
        <v>0</v>
      </c>
      <c r="EY105" s="498">
        <v>0</v>
      </c>
      <c r="EZ105" s="498">
        <v>0</v>
      </c>
      <c r="FA105" s="498">
        <v>0</v>
      </c>
      <c r="FB105" s="498">
        <v>0</v>
      </c>
      <c r="FC105" s="498">
        <v>0</v>
      </c>
      <c r="FD105" s="498">
        <v>0</v>
      </c>
      <c r="FE105" s="498">
        <v>0</v>
      </c>
      <c r="FF105" s="498">
        <v>0</v>
      </c>
      <c r="FG105" s="498">
        <v>0</v>
      </c>
      <c r="FH105" s="498">
        <v>0</v>
      </c>
      <c r="FI105" s="498">
        <v>0</v>
      </c>
      <c r="FJ105" s="498">
        <v>0</v>
      </c>
      <c r="FK105" s="498">
        <v>0</v>
      </c>
      <c r="FL105" s="498">
        <v>0</v>
      </c>
      <c r="FM105" s="498">
        <v>0</v>
      </c>
      <c r="FN105" s="498">
        <v>0</v>
      </c>
      <c r="FO105" s="498">
        <v>0</v>
      </c>
      <c r="FP105" s="498">
        <v>0</v>
      </c>
      <c r="FQ105" s="498">
        <v>0</v>
      </c>
      <c r="FR105" s="498">
        <v>0</v>
      </c>
      <c r="FS105" s="498">
        <v>0</v>
      </c>
      <c r="FT105" s="498">
        <v>0</v>
      </c>
      <c r="FU105" s="498">
        <v>0</v>
      </c>
      <c r="FV105" s="498">
        <v>0</v>
      </c>
      <c r="FW105" s="498">
        <v>0</v>
      </c>
      <c r="FX105" s="498">
        <v>0</v>
      </c>
      <c r="FY105" s="498">
        <v>0</v>
      </c>
      <c r="FZ105" s="498">
        <v>0</v>
      </c>
      <c r="GA105" s="498">
        <v>0</v>
      </c>
      <c r="GB105" s="498">
        <v>0</v>
      </c>
      <c r="GC105" s="498">
        <v>0</v>
      </c>
      <c r="GD105" s="498">
        <v>0</v>
      </c>
      <c r="GE105" s="498">
        <v>0</v>
      </c>
      <c r="GF105" s="498">
        <v>0</v>
      </c>
      <c r="GG105" s="498">
        <v>0</v>
      </c>
      <c r="GH105" s="498">
        <v>0</v>
      </c>
      <c r="GI105" s="498">
        <v>0</v>
      </c>
      <c r="GJ105" s="498">
        <v>0</v>
      </c>
      <c r="GK105" s="498">
        <v>0</v>
      </c>
      <c r="GL105" s="498">
        <v>0</v>
      </c>
      <c r="GM105" s="498">
        <v>0</v>
      </c>
      <c r="GN105" s="498">
        <v>0</v>
      </c>
      <c r="GO105" s="498">
        <v>0</v>
      </c>
      <c r="GP105" s="498">
        <v>0</v>
      </c>
      <c r="GQ105" s="498">
        <v>0</v>
      </c>
      <c r="GR105" s="498">
        <v>0</v>
      </c>
      <c r="GS105" s="498">
        <v>0</v>
      </c>
      <c r="GT105" s="498">
        <v>0</v>
      </c>
      <c r="GU105" s="498">
        <v>0</v>
      </c>
      <c r="GV105" s="498">
        <v>0</v>
      </c>
      <c r="GW105" s="498">
        <v>0</v>
      </c>
      <c r="GX105" s="498">
        <v>0</v>
      </c>
      <c r="GY105" s="498">
        <v>0</v>
      </c>
      <c r="GZ105" s="498">
        <v>0</v>
      </c>
      <c r="HA105" s="498">
        <v>0</v>
      </c>
      <c r="HB105" s="498">
        <v>0</v>
      </c>
      <c r="HC105" s="498">
        <v>0</v>
      </c>
      <c r="HD105" s="498">
        <v>0</v>
      </c>
      <c r="HE105" s="498">
        <v>0</v>
      </c>
      <c r="HF105" s="498">
        <v>0</v>
      </c>
      <c r="HG105" s="498">
        <v>0</v>
      </c>
      <c r="HH105" s="498">
        <v>0</v>
      </c>
      <c r="HI105" s="498">
        <v>0</v>
      </c>
      <c r="HJ105" s="498">
        <v>0</v>
      </c>
      <c r="HK105" s="498">
        <v>0</v>
      </c>
      <c r="HL105" s="498">
        <v>0</v>
      </c>
      <c r="HM105" s="498">
        <v>0</v>
      </c>
      <c r="HN105" s="498">
        <v>0</v>
      </c>
      <c r="HO105" s="498">
        <v>0</v>
      </c>
      <c r="HP105" s="498">
        <v>0</v>
      </c>
      <c r="HQ105" s="498">
        <v>0</v>
      </c>
      <c r="HR105" s="498">
        <v>0</v>
      </c>
      <c r="HS105" s="498">
        <v>0</v>
      </c>
      <c r="HT105" s="498">
        <v>0</v>
      </c>
      <c r="HU105" s="498">
        <v>0</v>
      </c>
      <c r="HV105" s="498">
        <v>0</v>
      </c>
      <c r="HW105" s="498">
        <v>0</v>
      </c>
      <c r="HX105" s="498">
        <v>0</v>
      </c>
      <c r="HY105" s="498">
        <v>0</v>
      </c>
      <c r="HZ105" s="498">
        <v>0</v>
      </c>
      <c r="IA105" s="498">
        <v>0</v>
      </c>
      <c r="IB105" s="498">
        <v>0</v>
      </c>
      <c r="IC105" s="498">
        <v>0</v>
      </c>
      <c r="ID105" s="498">
        <v>0</v>
      </c>
      <c r="IE105" s="498">
        <v>0</v>
      </c>
      <c r="IF105" s="498">
        <v>0</v>
      </c>
      <c r="IG105" s="498">
        <v>0</v>
      </c>
      <c r="IH105" s="498">
        <v>0</v>
      </c>
      <c r="II105" s="498">
        <v>0</v>
      </c>
      <c r="IJ105" s="498">
        <v>0</v>
      </c>
    </row>
    <row r="106" spans="1:244" ht="16.5" hidden="1">
      <c r="A106" s="484" t="s">
        <v>720</v>
      </c>
      <c r="B106" s="484" t="s">
        <v>617</v>
      </c>
      <c r="C106" s="484" t="s">
        <v>721</v>
      </c>
      <c r="D106" s="485"/>
      <c r="E106" s="484" t="s">
        <v>721</v>
      </c>
      <c r="F106" s="484" t="s">
        <v>25</v>
      </c>
      <c r="G106" s="485"/>
      <c r="H106" s="486">
        <v>55</v>
      </c>
      <c r="I106" s="471" t="str">
        <f t="shared" si="3"/>
        <v>AIJ100155</v>
      </c>
      <c r="J106" s="486">
        <v>221</v>
      </c>
      <c r="L106" s="497" t="s">
        <v>720</v>
      </c>
      <c r="M106" s="497" t="s">
        <v>617</v>
      </c>
      <c r="N106" s="497" t="s">
        <v>25</v>
      </c>
      <c r="O106" s="498">
        <v>20</v>
      </c>
      <c r="P106" s="494" t="str">
        <f t="shared" si="5"/>
        <v>AIJ100120</v>
      </c>
      <c r="Q106" s="498">
        <v>20000</v>
      </c>
      <c r="R106" s="498">
        <v>20000</v>
      </c>
      <c r="S106" s="498">
        <v>20000</v>
      </c>
      <c r="T106" s="498">
        <v>20000</v>
      </c>
      <c r="U106" s="498">
        <v>20000</v>
      </c>
      <c r="V106" s="498">
        <v>20000</v>
      </c>
      <c r="W106" s="498">
        <v>20000</v>
      </c>
      <c r="X106" s="498">
        <v>20000</v>
      </c>
      <c r="Y106" s="498">
        <v>20000</v>
      </c>
      <c r="Z106" s="498">
        <v>20000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77"/>
      <c r="DY106" s="497" t="s">
        <v>720</v>
      </c>
      <c r="DZ106" s="497" t="s">
        <v>617</v>
      </c>
      <c r="EA106" s="497" t="s">
        <v>25</v>
      </c>
      <c r="EB106" s="498">
        <v>20</v>
      </c>
      <c r="EC106" s="494" t="str">
        <f t="shared" si="6"/>
        <v>AIJ100120</v>
      </c>
      <c r="ED106" s="498">
        <v>0</v>
      </c>
      <c r="EE106" s="498">
        <v>256</v>
      </c>
      <c r="EF106" s="498">
        <v>559</v>
      </c>
      <c r="EG106" s="498">
        <v>864</v>
      </c>
      <c r="EH106" s="498">
        <v>1379</v>
      </c>
      <c r="EI106" s="498">
        <v>1890</v>
      </c>
      <c r="EJ106" s="498">
        <v>2778</v>
      </c>
      <c r="EK106" s="498">
        <v>3977</v>
      </c>
      <c r="EL106" s="498">
        <v>5735</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row>
    <row r="107" spans="1:244" ht="16.5" hidden="1">
      <c r="A107" s="484" t="s">
        <v>720</v>
      </c>
      <c r="B107" s="484" t="s">
        <v>617</v>
      </c>
      <c r="C107" s="484" t="s">
        <v>721</v>
      </c>
      <c r="D107" s="485"/>
      <c r="E107" s="484" t="s">
        <v>721</v>
      </c>
      <c r="F107" s="484" t="s">
        <v>25</v>
      </c>
      <c r="G107" s="485"/>
      <c r="H107" s="486">
        <v>56</v>
      </c>
      <c r="I107" s="471" t="str">
        <f t="shared" si="3"/>
        <v>AIJ100156</v>
      </c>
      <c r="J107" s="486">
        <v>240</v>
      </c>
      <c r="L107" s="497" t="s">
        <v>720</v>
      </c>
      <c r="M107" s="497" t="s">
        <v>617</v>
      </c>
      <c r="N107" s="497" t="s">
        <v>25</v>
      </c>
      <c r="O107" s="498">
        <v>21</v>
      </c>
      <c r="P107" s="494" t="str">
        <f t="shared" si="5"/>
        <v>AIJ100121</v>
      </c>
      <c r="Q107" s="498">
        <v>20000</v>
      </c>
      <c r="R107" s="498">
        <v>20000</v>
      </c>
      <c r="S107" s="498">
        <v>20000</v>
      </c>
      <c r="T107" s="498">
        <v>20000</v>
      </c>
      <c r="U107" s="498">
        <v>20000</v>
      </c>
      <c r="V107" s="498">
        <v>20000</v>
      </c>
      <c r="W107" s="498">
        <v>20000</v>
      </c>
      <c r="X107" s="498">
        <v>20000</v>
      </c>
      <c r="Y107" s="498">
        <v>20000</v>
      </c>
      <c r="Z107" s="498">
        <v>20000</v>
      </c>
      <c r="AA107" s="498">
        <v>0</v>
      </c>
      <c r="AB107" s="498">
        <v>0</v>
      </c>
      <c r="AC107" s="498">
        <v>0</v>
      </c>
      <c r="AD107" s="498">
        <v>0</v>
      </c>
      <c r="AE107" s="498">
        <v>0</v>
      </c>
      <c r="AF107" s="498">
        <v>0</v>
      </c>
      <c r="AG107" s="498">
        <v>0</v>
      </c>
      <c r="AH107" s="498">
        <v>0</v>
      </c>
      <c r="AI107" s="498">
        <v>0</v>
      </c>
      <c r="AJ107" s="498">
        <v>0</v>
      </c>
      <c r="AK107" s="498">
        <v>0</v>
      </c>
      <c r="AL107" s="498">
        <v>0</v>
      </c>
      <c r="AM107" s="498">
        <v>0</v>
      </c>
      <c r="AN107" s="498">
        <v>0</v>
      </c>
      <c r="AO107" s="498">
        <v>0</v>
      </c>
      <c r="AP107" s="498">
        <v>0</v>
      </c>
      <c r="AQ107" s="498">
        <v>0</v>
      </c>
      <c r="AR107" s="498">
        <v>0</v>
      </c>
      <c r="AS107" s="498">
        <v>0</v>
      </c>
      <c r="AT107" s="498">
        <v>0</v>
      </c>
      <c r="AU107" s="498">
        <v>0</v>
      </c>
      <c r="AV107" s="498">
        <v>0</v>
      </c>
      <c r="AW107" s="498">
        <v>0</v>
      </c>
      <c r="AX107" s="498">
        <v>0</v>
      </c>
      <c r="AY107" s="498">
        <v>0</v>
      </c>
      <c r="AZ107" s="498">
        <v>0</v>
      </c>
      <c r="BA107" s="498">
        <v>0</v>
      </c>
      <c r="BB107" s="498">
        <v>0</v>
      </c>
      <c r="BC107" s="498">
        <v>0</v>
      </c>
      <c r="BD107" s="498">
        <v>0</v>
      </c>
      <c r="BE107" s="498">
        <v>0</v>
      </c>
      <c r="BF107" s="498">
        <v>0</v>
      </c>
      <c r="BG107" s="498">
        <v>0</v>
      </c>
      <c r="BH107" s="498">
        <v>0</v>
      </c>
      <c r="BI107" s="498">
        <v>0</v>
      </c>
      <c r="BJ107" s="498">
        <v>0</v>
      </c>
      <c r="BK107" s="498">
        <v>0</v>
      </c>
      <c r="BL107" s="498">
        <v>0</v>
      </c>
      <c r="BM107" s="498">
        <v>0</v>
      </c>
      <c r="BN107" s="498">
        <v>0</v>
      </c>
      <c r="BO107" s="498">
        <v>0</v>
      </c>
      <c r="BP107" s="498">
        <v>0</v>
      </c>
      <c r="BQ107" s="498">
        <v>0</v>
      </c>
      <c r="BR107" s="498">
        <v>0</v>
      </c>
      <c r="BS107" s="498">
        <v>0</v>
      </c>
      <c r="BT107" s="498">
        <v>0</v>
      </c>
      <c r="BU107" s="498">
        <v>0</v>
      </c>
      <c r="BV107" s="498">
        <v>0</v>
      </c>
      <c r="BW107" s="498">
        <v>0</v>
      </c>
      <c r="BX107" s="498">
        <v>0</v>
      </c>
      <c r="BY107" s="498">
        <v>0</v>
      </c>
      <c r="BZ107" s="498">
        <v>0</v>
      </c>
      <c r="CA107" s="498">
        <v>0</v>
      </c>
      <c r="CB107" s="498">
        <v>0</v>
      </c>
      <c r="CC107" s="498">
        <v>0</v>
      </c>
      <c r="CD107" s="498">
        <v>0</v>
      </c>
      <c r="CE107" s="498">
        <v>0</v>
      </c>
      <c r="CF107" s="498">
        <v>0</v>
      </c>
      <c r="CG107" s="498">
        <v>0</v>
      </c>
      <c r="CH107" s="498">
        <v>0</v>
      </c>
      <c r="CI107" s="498">
        <v>0</v>
      </c>
      <c r="CJ107" s="498">
        <v>0</v>
      </c>
      <c r="CK107" s="498">
        <v>0</v>
      </c>
      <c r="CL107" s="498">
        <v>0</v>
      </c>
      <c r="CM107" s="498">
        <v>0</v>
      </c>
      <c r="CN107" s="498">
        <v>0</v>
      </c>
      <c r="CO107" s="498">
        <v>0</v>
      </c>
      <c r="CP107" s="498">
        <v>0</v>
      </c>
      <c r="CQ107" s="498">
        <v>0</v>
      </c>
      <c r="CR107" s="498">
        <v>0</v>
      </c>
      <c r="CS107" s="498">
        <v>0</v>
      </c>
      <c r="CT107" s="498">
        <v>0</v>
      </c>
      <c r="CU107" s="498">
        <v>0</v>
      </c>
      <c r="CV107" s="498">
        <v>0</v>
      </c>
      <c r="CW107" s="498">
        <v>0</v>
      </c>
      <c r="CX107" s="498">
        <v>0</v>
      </c>
      <c r="CY107" s="498">
        <v>0</v>
      </c>
      <c r="CZ107" s="498">
        <v>0</v>
      </c>
      <c r="DA107" s="498">
        <v>0</v>
      </c>
      <c r="DB107" s="498">
        <v>0</v>
      </c>
      <c r="DC107" s="498">
        <v>0</v>
      </c>
      <c r="DD107" s="498">
        <v>0</v>
      </c>
      <c r="DE107" s="498">
        <v>0</v>
      </c>
      <c r="DF107" s="498">
        <v>0</v>
      </c>
      <c r="DG107" s="498">
        <v>0</v>
      </c>
      <c r="DH107" s="498">
        <v>0</v>
      </c>
      <c r="DI107" s="498">
        <v>0</v>
      </c>
      <c r="DJ107" s="498">
        <v>0</v>
      </c>
      <c r="DK107" s="498">
        <v>0</v>
      </c>
      <c r="DL107" s="498">
        <v>0</v>
      </c>
      <c r="DM107" s="498">
        <v>0</v>
      </c>
      <c r="DN107" s="498">
        <v>0</v>
      </c>
      <c r="DO107" s="498">
        <v>0</v>
      </c>
      <c r="DP107" s="498">
        <v>0</v>
      </c>
      <c r="DQ107" s="498">
        <v>0</v>
      </c>
      <c r="DR107" s="498">
        <v>0</v>
      </c>
      <c r="DS107" s="498">
        <v>0</v>
      </c>
      <c r="DT107" s="498">
        <v>0</v>
      </c>
      <c r="DU107" s="498">
        <v>0</v>
      </c>
      <c r="DV107" s="498">
        <v>0</v>
      </c>
      <c r="DW107" s="498">
        <v>0</v>
      </c>
      <c r="DX107" s="477"/>
      <c r="DY107" s="497" t="s">
        <v>720</v>
      </c>
      <c r="DZ107" s="497" t="s">
        <v>617</v>
      </c>
      <c r="EA107" s="497" t="s">
        <v>25</v>
      </c>
      <c r="EB107" s="498">
        <v>21</v>
      </c>
      <c r="EC107" s="494" t="str">
        <f t="shared" si="6"/>
        <v>AIJ100121</v>
      </c>
      <c r="ED107" s="498">
        <v>0</v>
      </c>
      <c r="EE107" s="498">
        <v>251</v>
      </c>
      <c r="EF107" s="498">
        <v>601</v>
      </c>
      <c r="EG107" s="498">
        <v>904</v>
      </c>
      <c r="EH107" s="498">
        <v>1351</v>
      </c>
      <c r="EI107" s="498">
        <v>1938</v>
      </c>
      <c r="EJ107" s="498">
        <v>2727</v>
      </c>
      <c r="EK107" s="498">
        <v>4000</v>
      </c>
      <c r="EL107" s="498">
        <v>5797</v>
      </c>
      <c r="EM107" s="498">
        <v>0</v>
      </c>
      <c r="EN107" s="498">
        <v>0</v>
      </c>
      <c r="EO107" s="498">
        <v>0</v>
      </c>
      <c r="EP107" s="498">
        <v>0</v>
      </c>
      <c r="EQ107" s="498">
        <v>0</v>
      </c>
      <c r="ER107" s="498">
        <v>0</v>
      </c>
      <c r="ES107" s="498">
        <v>0</v>
      </c>
      <c r="ET107" s="498">
        <v>0</v>
      </c>
      <c r="EU107" s="498">
        <v>0</v>
      </c>
      <c r="EV107" s="498">
        <v>0</v>
      </c>
      <c r="EW107" s="498">
        <v>0</v>
      </c>
      <c r="EX107" s="498">
        <v>0</v>
      </c>
      <c r="EY107" s="498">
        <v>0</v>
      </c>
      <c r="EZ107" s="498">
        <v>0</v>
      </c>
      <c r="FA107" s="498">
        <v>0</v>
      </c>
      <c r="FB107" s="498">
        <v>0</v>
      </c>
      <c r="FC107" s="498">
        <v>0</v>
      </c>
      <c r="FD107" s="498">
        <v>0</v>
      </c>
      <c r="FE107" s="498">
        <v>0</v>
      </c>
      <c r="FF107" s="498">
        <v>0</v>
      </c>
      <c r="FG107" s="498">
        <v>0</v>
      </c>
      <c r="FH107" s="498">
        <v>0</v>
      </c>
      <c r="FI107" s="498">
        <v>0</v>
      </c>
      <c r="FJ107" s="498">
        <v>0</v>
      </c>
      <c r="FK107" s="498">
        <v>0</v>
      </c>
      <c r="FL107" s="498">
        <v>0</v>
      </c>
      <c r="FM107" s="498">
        <v>0</v>
      </c>
      <c r="FN107" s="498">
        <v>0</v>
      </c>
      <c r="FO107" s="498">
        <v>0</v>
      </c>
      <c r="FP107" s="498">
        <v>0</v>
      </c>
      <c r="FQ107" s="498">
        <v>0</v>
      </c>
      <c r="FR107" s="498">
        <v>0</v>
      </c>
      <c r="FS107" s="498">
        <v>0</v>
      </c>
      <c r="FT107" s="498">
        <v>0</v>
      </c>
      <c r="FU107" s="498">
        <v>0</v>
      </c>
      <c r="FV107" s="498">
        <v>0</v>
      </c>
      <c r="FW107" s="498">
        <v>0</v>
      </c>
      <c r="FX107" s="498">
        <v>0</v>
      </c>
      <c r="FY107" s="498">
        <v>0</v>
      </c>
      <c r="FZ107" s="498">
        <v>0</v>
      </c>
      <c r="GA107" s="498">
        <v>0</v>
      </c>
      <c r="GB107" s="498">
        <v>0</v>
      </c>
      <c r="GC107" s="498">
        <v>0</v>
      </c>
      <c r="GD107" s="498">
        <v>0</v>
      </c>
      <c r="GE107" s="498">
        <v>0</v>
      </c>
      <c r="GF107" s="498">
        <v>0</v>
      </c>
      <c r="GG107" s="498">
        <v>0</v>
      </c>
      <c r="GH107" s="498">
        <v>0</v>
      </c>
      <c r="GI107" s="498">
        <v>0</v>
      </c>
      <c r="GJ107" s="498">
        <v>0</v>
      </c>
      <c r="GK107" s="498">
        <v>0</v>
      </c>
      <c r="GL107" s="498">
        <v>0</v>
      </c>
      <c r="GM107" s="498">
        <v>0</v>
      </c>
      <c r="GN107" s="498">
        <v>0</v>
      </c>
      <c r="GO107" s="498">
        <v>0</v>
      </c>
      <c r="GP107" s="498">
        <v>0</v>
      </c>
      <c r="GQ107" s="498">
        <v>0</v>
      </c>
      <c r="GR107" s="498">
        <v>0</v>
      </c>
      <c r="GS107" s="498">
        <v>0</v>
      </c>
      <c r="GT107" s="498">
        <v>0</v>
      </c>
      <c r="GU107" s="498">
        <v>0</v>
      </c>
      <c r="GV107" s="498">
        <v>0</v>
      </c>
      <c r="GW107" s="498">
        <v>0</v>
      </c>
      <c r="GX107" s="498">
        <v>0</v>
      </c>
      <c r="GY107" s="498">
        <v>0</v>
      </c>
      <c r="GZ107" s="498">
        <v>0</v>
      </c>
      <c r="HA107" s="498">
        <v>0</v>
      </c>
      <c r="HB107" s="498">
        <v>0</v>
      </c>
      <c r="HC107" s="498">
        <v>0</v>
      </c>
      <c r="HD107" s="498">
        <v>0</v>
      </c>
      <c r="HE107" s="498">
        <v>0</v>
      </c>
      <c r="HF107" s="498">
        <v>0</v>
      </c>
      <c r="HG107" s="498">
        <v>0</v>
      </c>
      <c r="HH107" s="498">
        <v>0</v>
      </c>
      <c r="HI107" s="498">
        <v>0</v>
      </c>
      <c r="HJ107" s="498">
        <v>0</v>
      </c>
      <c r="HK107" s="498">
        <v>0</v>
      </c>
      <c r="HL107" s="498">
        <v>0</v>
      </c>
      <c r="HM107" s="498">
        <v>0</v>
      </c>
      <c r="HN107" s="498">
        <v>0</v>
      </c>
      <c r="HO107" s="498">
        <v>0</v>
      </c>
      <c r="HP107" s="498">
        <v>0</v>
      </c>
      <c r="HQ107" s="498">
        <v>0</v>
      </c>
      <c r="HR107" s="498">
        <v>0</v>
      </c>
      <c r="HS107" s="498">
        <v>0</v>
      </c>
      <c r="HT107" s="498">
        <v>0</v>
      </c>
      <c r="HU107" s="498">
        <v>0</v>
      </c>
      <c r="HV107" s="498">
        <v>0</v>
      </c>
      <c r="HW107" s="498">
        <v>0</v>
      </c>
      <c r="HX107" s="498">
        <v>0</v>
      </c>
      <c r="HY107" s="498">
        <v>0</v>
      </c>
      <c r="HZ107" s="498">
        <v>0</v>
      </c>
      <c r="IA107" s="498">
        <v>0</v>
      </c>
      <c r="IB107" s="498">
        <v>0</v>
      </c>
      <c r="IC107" s="498">
        <v>0</v>
      </c>
      <c r="ID107" s="498">
        <v>0</v>
      </c>
      <c r="IE107" s="498">
        <v>0</v>
      </c>
      <c r="IF107" s="498">
        <v>0</v>
      </c>
      <c r="IG107" s="498">
        <v>0</v>
      </c>
      <c r="IH107" s="498">
        <v>0</v>
      </c>
      <c r="II107" s="498">
        <v>0</v>
      </c>
      <c r="IJ107" s="498">
        <v>0</v>
      </c>
    </row>
    <row r="108" spans="1:244" ht="16.5" hidden="1">
      <c r="A108" s="484" t="s">
        <v>720</v>
      </c>
      <c r="B108" s="484" t="s">
        <v>617</v>
      </c>
      <c r="C108" s="484" t="s">
        <v>721</v>
      </c>
      <c r="D108" s="485"/>
      <c r="E108" s="484" t="s">
        <v>721</v>
      </c>
      <c r="F108" s="484" t="s">
        <v>25</v>
      </c>
      <c r="G108" s="485"/>
      <c r="H108" s="486">
        <v>57</v>
      </c>
      <c r="I108" s="471" t="str">
        <f t="shared" si="3"/>
        <v>AIJ100157</v>
      </c>
      <c r="J108" s="486">
        <v>260</v>
      </c>
      <c r="L108" s="497" t="s">
        <v>720</v>
      </c>
      <c r="M108" s="497" t="s">
        <v>617</v>
      </c>
      <c r="N108" s="497" t="s">
        <v>25</v>
      </c>
      <c r="O108" s="498">
        <v>22</v>
      </c>
      <c r="P108" s="494" t="str">
        <f t="shared" si="5"/>
        <v>AIJ100122</v>
      </c>
      <c r="Q108" s="498">
        <v>20000</v>
      </c>
      <c r="R108" s="498">
        <v>20000</v>
      </c>
      <c r="S108" s="498">
        <v>20000</v>
      </c>
      <c r="T108" s="498">
        <v>20000</v>
      </c>
      <c r="U108" s="498">
        <v>20000</v>
      </c>
      <c r="V108" s="498">
        <v>20000</v>
      </c>
      <c r="W108" s="498">
        <v>20000</v>
      </c>
      <c r="X108" s="498">
        <v>20000</v>
      </c>
      <c r="Y108" s="498">
        <v>20000</v>
      </c>
      <c r="Z108" s="498">
        <v>20000</v>
      </c>
      <c r="AA108" s="498">
        <v>0</v>
      </c>
      <c r="AB108" s="498">
        <v>0</v>
      </c>
      <c r="AC108" s="498">
        <v>0</v>
      </c>
      <c r="AD108" s="498">
        <v>0</v>
      </c>
      <c r="AE108" s="498">
        <v>0</v>
      </c>
      <c r="AF108" s="498">
        <v>0</v>
      </c>
      <c r="AG108" s="498">
        <v>0</v>
      </c>
      <c r="AH108" s="498">
        <v>0</v>
      </c>
      <c r="AI108" s="498">
        <v>0</v>
      </c>
      <c r="AJ108" s="498">
        <v>0</v>
      </c>
      <c r="AK108" s="498">
        <v>0</v>
      </c>
      <c r="AL108" s="498">
        <v>0</v>
      </c>
      <c r="AM108" s="498">
        <v>0</v>
      </c>
      <c r="AN108" s="498">
        <v>0</v>
      </c>
      <c r="AO108" s="498">
        <v>0</v>
      </c>
      <c r="AP108" s="498">
        <v>0</v>
      </c>
      <c r="AQ108" s="498">
        <v>0</v>
      </c>
      <c r="AR108" s="498">
        <v>0</v>
      </c>
      <c r="AS108" s="498">
        <v>0</v>
      </c>
      <c r="AT108" s="498">
        <v>0</v>
      </c>
      <c r="AU108" s="498">
        <v>0</v>
      </c>
      <c r="AV108" s="498">
        <v>0</v>
      </c>
      <c r="AW108" s="498">
        <v>0</v>
      </c>
      <c r="AX108" s="498">
        <v>0</v>
      </c>
      <c r="AY108" s="498">
        <v>0</v>
      </c>
      <c r="AZ108" s="498">
        <v>0</v>
      </c>
      <c r="BA108" s="498">
        <v>0</v>
      </c>
      <c r="BB108" s="498">
        <v>0</v>
      </c>
      <c r="BC108" s="498">
        <v>0</v>
      </c>
      <c r="BD108" s="498">
        <v>0</v>
      </c>
      <c r="BE108" s="498">
        <v>0</v>
      </c>
      <c r="BF108" s="498">
        <v>0</v>
      </c>
      <c r="BG108" s="498">
        <v>0</v>
      </c>
      <c r="BH108" s="498">
        <v>0</v>
      </c>
      <c r="BI108" s="498">
        <v>0</v>
      </c>
      <c r="BJ108" s="498">
        <v>0</v>
      </c>
      <c r="BK108" s="498">
        <v>0</v>
      </c>
      <c r="BL108" s="498">
        <v>0</v>
      </c>
      <c r="BM108" s="498">
        <v>0</v>
      </c>
      <c r="BN108" s="498">
        <v>0</v>
      </c>
      <c r="BO108" s="498">
        <v>0</v>
      </c>
      <c r="BP108" s="498">
        <v>0</v>
      </c>
      <c r="BQ108" s="498">
        <v>0</v>
      </c>
      <c r="BR108" s="498">
        <v>0</v>
      </c>
      <c r="BS108" s="498">
        <v>0</v>
      </c>
      <c r="BT108" s="498">
        <v>0</v>
      </c>
      <c r="BU108" s="498">
        <v>0</v>
      </c>
      <c r="BV108" s="498">
        <v>0</v>
      </c>
      <c r="BW108" s="498">
        <v>0</v>
      </c>
      <c r="BX108" s="498">
        <v>0</v>
      </c>
      <c r="BY108" s="498">
        <v>0</v>
      </c>
      <c r="BZ108" s="498">
        <v>0</v>
      </c>
      <c r="CA108" s="498">
        <v>0</v>
      </c>
      <c r="CB108" s="498">
        <v>0</v>
      </c>
      <c r="CC108" s="498">
        <v>0</v>
      </c>
      <c r="CD108" s="498">
        <v>0</v>
      </c>
      <c r="CE108" s="498">
        <v>0</v>
      </c>
      <c r="CF108" s="498">
        <v>0</v>
      </c>
      <c r="CG108" s="498">
        <v>0</v>
      </c>
      <c r="CH108" s="498">
        <v>0</v>
      </c>
      <c r="CI108" s="498">
        <v>0</v>
      </c>
      <c r="CJ108" s="498">
        <v>0</v>
      </c>
      <c r="CK108" s="498">
        <v>0</v>
      </c>
      <c r="CL108" s="498">
        <v>0</v>
      </c>
      <c r="CM108" s="498">
        <v>0</v>
      </c>
      <c r="CN108" s="498">
        <v>0</v>
      </c>
      <c r="CO108" s="498">
        <v>0</v>
      </c>
      <c r="CP108" s="498">
        <v>0</v>
      </c>
      <c r="CQ108" s="498">
        <v>0</v>
      </c>
      <c r="CR108" s="498">
        <v>0</v>
      </c>
      <c r="CS108" s="498">
        <v>0</v>
      </c>
      <c r="CT108" s="498">
        <v>0</v>
      </c>
      <c r="CU108" s="498">
        <v>0</v>
      </c>
      <c r="CV108" s="498">
        <v>0</v>
      </c>
      <c r="CW108" s="498">
        <v>0</v>
      </c>
      <c r="CX108" s="498">
        <v>0</v>
      </c>
      <c r="CY108" s="498">
        <v>0</v>
      </c>
      <c r="CZ108" s="498">
        <v>0</v>
      </c>
      <c r="DA108" s="498">
        <v>0</v>
      </c>
      <c r="DB108" s="498">
        <v>0</v>
      </c>
      <c r="DC108" s="498">
        <v>0</v>
      </c>
      <c r="DD108" s="498">
        <v>0</v>
      </c>
      <c r="DE108" s="498">
        <v>0</v>
      </c>
      <c r="DF108" s="498">
        <v>0</v>
      </c>
      <c r="DG108" s="498">
        <v>0</v>
      </c>
      <c r="DH108" s="498">
        <v>0</v>
      </c>
      <c r="DI108" s="498">
        <v>0</v>
      </c>
      <c r="DJ108" s="498">
        <v>0</v>
      </c>
      <c r="DK108" s="498">
        <v>0</v>
      </c>
      <c r="DL108" s="498">
        <v>0</v>
      </c>
      <c r="DM108" s="498">
        <v>0</v>
      </c>
      <c r="DN108" s="498">
        <v>0</v>
      </c>
      <c r="DO108" s="498">
        <v>0</v>
      </c>
      <c r="DP108" s="498">
        <v>0</v>
      </c>
      <c r="DQ108" s="498">
        <v>0</v>
      </c>
      <c r="DR108" s="498">
        <v>0</v>
      </c>
      <c r="DS108" s="498">
        <v>0</v>
      </c>
      <c r="DT108" s="498">
        <v>0</v>
      </c>
      <c r="DU108" s="498">
        <v>0</v>
      </c>
      <c r="DV108" s="498">
        <v>0</v>
      </c>
      <c r="DW108" s="498">
        <v>0</v>
      </c>
      <c r="DX108" s="477"/>
      <c r="DY108" s="497" t="s">
        <v>720</v>
      </c>
      <c r="DZ108" s="497" t="s">
        <v>617</v>
      </c>
      <c r="EA108" s="497" t="s">
        <v>25</v>
      </c>
      <c r="EB108" s="498">
        <v>22</v>
      </c>
      <c r="EC108" s="494" t="str">
        <f t="shared" si="6"/>
        <v>AIJ100122</v>
      </c>
      <c r="ED108" s="498">
        <v>0</v>
      </c>
      <c r="EE108" s="498">
        <v>245</v>
      </c>
      <c r="EF108" s="498">
        <v>585</v>
      </c>
      <c r="EG108" s="498">
        <v>882</v>
      </c>
      <c r="EH108" s="498">
        <v>1391</v>
      </c>
      <c r="EI108" s="498">
        <v>1894</v>
      </c>
      <c r="EJ108" s="498">
        <v>2743</v>
      </c>
      <c r="EK108" s="498">
        <v>4022</v>
      </c>
      <c r="EL108" s="498">
        <v>5775</v>
      </c>
      <c r="EM108" s="498">
        <v>0</v>
      </c>
      <c r="EN108" s="498">
        <v>0</v>
      </c>
      <c r="EO108" s="498">
        <v>0</v>
      </c>
      <c r="EP108" s="498">
        <v>0</v>
      </c>
      <c r="EQ108" s="498">
        <v>0</v>
      </c>
      <c r="ER108" s="498">
        <v>0</v>
      </c>
      <c r="ES108" s="498">
        <v>0</v>
      </c>
      <c r="ET108" s="498">
        <v>0</v>
      </c>
      <c r="EU108" s="498">
        <v>0</v>
      </c>
      <c r="EV108" s="498">
        <v>0</v>
      </c>
      <c r="EW108" s="498">
        <v>0</v>
      </c>
      <c r="EX108" s="498">
        <v>0</v>
      </c>
      <c r="EY108" s="498">
        <v>0</v>
      </c>
      <c r="EZ108" s="498">
        <v>0</v>
      </c>
      <c r="FA108" s="498">
        <v>0</v>
      </c>
      <c r="FB108" s="498">
        <v>0</v>
      </c>
      <c r="FC108" s="498">
        <v>0</v>
      </c>
      <c r="FD108" s="498">
        <v>0</v>
      </c>
      <c r="FE108" s="498">
        <v>0</v>
      </c>
      <c r="FF108" s="498">
        <v>0</v>
      </c>
      <c r="FG108" s="498">
        <v>0</v>
      </c>
      <c r="FH108" s="498">
        <v>0</v>
      </c>
      <c r="FI108" s="498">
        <v>0</v>
      </c>
      <c r="FJ108" s="498">
        <v>0</v>
      </c>
      <c r="FK108" s="498">
        <v>0</v>
      </c>
      <c r="FL108" s="498">
        <v>0</v>
      </c>
      <c r="FM108" s="498">
        <v>0</v>
      </c>
      <c r="FN108" s="498">
        <v>0</v>
      </c>
      <c r="FO108" s="498">
        <v>0</v>
      </c>
      <c r="FP108" s="498">
        <v>0</v>
      </c>
      <c r="FQ108" s="498">
        <v>0</v>
      </c>
      <c r="FR108" s="498">
        <v>0</v>
      </c>
      <c r="FS108" s="498">
        <v>0</v>
      </c>
      <c r="FT108" s="498">
        <v>0</v>
      </c>
      <c r="FU108" s="498">
        <v>0</v>
      </c>
      <c r="FV108" s="498">
        <v>0</v>
      </c>
      <c r="FW108" s="498">
        <v>0</v>
      </c>
      <c r="FX108" s="498">
        <v>0</v>
      </c>
      <c r="FY108" s="498">
        <v>0</v>
      </c>
      <c r="FZ108" s="498">
        <v>0</v>
      </c>
      <c r="GA108" s="498">
        <v>0</v>
      </c>
      <c r="GB108" s="498">
        <v>0</v>
      </c>
      <c r="GC108" s="498">
        <v>0</v>
      </c>
      <c r="GD108" s="498">
        <v>0</v>
      </c>
      <c r="GE108" s="498">
        <v>0</v>
      </c>
      <c r="GF108" s="498">
        <v>0</v>
      </c>
      <c r="GG108" s="498">
        <v>0</v>
      </c>
      <c r="GH108" s="498">
        <v>0</v>
      </c>
      <c r="GI108" s="498">
        <v>0</v>
      </c>
      <c r="GJ108" s="498">
        <v>0</v>
      </c>
      <c r="GK108" s="498">
        <v>0</v>
      </c>
      <c r="GL108" s="498">
        <v>0</v>
      </c>
      <c r="GM108" s="498">
        <v>0</v>
      </c>
      <c r="GN108" s="498">
        <v>0</v>
      </c>
      <c r="GO108" s="498">
        <v>0</v>
      </c>
      <c r="GP108" s="498">
        <v>0</v>
      </c>
      <c r="GQ108" s="498">
        <v>0</v>
      </c>
      <c r="GR108" s="498">
        <v>0</v>
      </c>
      <c r="GS108" s="498">
        <v>0</v>
      </c>
      <c r="GT108" s="498">
        <v>0</v>
      </c>
      <c r="GU108" s="498">
        <v>0</v>
      </c>
      <c r="GV108" s="498">
        <v>0</v>
      </c>
      <c r="GW108" s="498">
        <v>0</v>
      </c>
      <c r="GX108" s="498">
        <v>0</v>
      </c>
      <c r="GY108" s="498">
        <v>0</v>
      </c>
      <c r="GZ108" s="498">
        <v>0</v>
      </c>
      <c r="HA108" s="498">
        <v>0</v>
      </c>
      <c r="HB108" s="498">
        <v>0</v>
      </c>
      <c r="HC108" s="498">
        <v>0</v>
      </c>
      <c r="HD108" s="498">
        <v>0</v>
      </c>
      <c r="HE108" s="498">
        <v>0</v>
      </c>
      <c r="HF108" s="498">
        <v>0</v>
      </c>
      <c r="HG108" s="498">
        <v>0</v>
      </c>
      <c r="HH108" s="498">
        <v>0</v>
      </c>
      <c r="HI108" s="498">
        <v>0</v>
      </c>
      <c r="HJ108" s="498">
        <v>0</v>
      </c>
      <c r="HK108" s="498">
        <v>0</v>
      </c>
      <c r="HL108" s="498">
        <v>0</v>
      </c>
      <c r="HM108" s="498">
        <v>0</v>
      </c>
      <c r="HN108" s="498">
        <v>0</v>
      </c>
      <c r="HO108" s="498">
        <v>0</v>
      </c>
      <c r="HP108" s="498">
        <v>0</v>
      </c>
      <c r="HQ108" s="498">
        <v>0</v>
      </c>
      <c r="HR108" s="498">
        <v>0</v>
      </c>
      <c r="HS108" s="498">
        <v>0</v>
      </c>
      <c r="HT108" s="498">
        <v>0</v>
      </c>
      <c r="HU108" s="498">
        <v>0</v>
      </c>
      <c r="HV108" s="498">
        <v>0</v>
      </c>
      <c r="HW108" s="498">
        <v>0</v>
      </c>
      <c r="HX108" s="498">
        <v>0</v>
      </c>
      <c r="HY108" s="498">
        <v>0</v>
      </c>
      <c r="HZ108" s="498">
        <v>0</v>
      </c>
      <c r="IA108" s="498">
        <v>0</v>
      </c>
      <c r="IB108" s="498">
        <v>0</v>
      </c>
      <c r="IC108" s="498">
        <v>0</v>
      </c>
      <c r="ID108" s="498">
        <v>0</v>
      </c>
      <c r="IE108" s="498">
        <v>0</v>
      </c>
      <c r="IF108" s="498">
        <v>0</v>
      </c>
      <c r="IG108" s="498">
        <v>0</v>
      </c>
      <c r="IH108" s="498">
        <v>0</v>
      </c>
      <c r="II108" s="498">
        <v>0</v>
      </c>
      <c r="IJ108" s="498">
        <v>0</v>
      </c>
    </row>
    <row r="109" spans="1:244" ht="16.5" hidden="1">
      <c r="A109" s="484" t="s">
        <v>720</v>
      </c>
      <c r="B109" s="484" t="s">
        <v>617</v>
      </c>
      <c r="C109" s="484" t="s">
        <v>721</v>
      </c>
      <c r="D109" s="485"/>
      <c r="E109" s="484" t="s">
        <v>721</v>
      </c>
      <c r="F109" s="484" t="s">
        <v>25</v>
      </c>
      <c r="G109" s="485"/>
      <c r="H109" s="486">
        <v>58</v>
      </c>
      <c r="I109" s="471" t="str">
        <f t="shared" si="3"/>
        <v>AIJ100158</v>
      </c>
      <c r="J109" s="486">
        <v>280</v>
      </c>
      <c r="L109" s="497" t="s">
        <v>720</v>
      </c>
      <c r="M109" s="497" t="s">
        <v>617</v>
      </c>
      <c r="N109" s="497" t="s">
        <v>25</v>
      </c>
      <c r="O109" s="498">
        <v>23</v>
      </c>
      <c r="P109" s="494" t="str">
        <f t="shared" si="5"/>
        <v>AIJ100123</v>
      </c>
      <c r="Q109" s="498">
        <v>20000</v>
      </c>
      <c r="R109" s="498">
        <v>20000</v>
      </c>
      <c r="S109" s="498">
        <v>20000</v>
      </c>
      <c r="T109" s="498">
        <v>20000</v>
      </c>
      <c r="U109" s="498">
        <v>20000</v>
      </c>
      <c r="V109" s="498">
        <v>20000</v>
      </c>
      <c r="W109" s="498">
        <v>20000</v>
      </c>
      <c r="X109" s="498">
        <v>20000</v>
      </c>
      <c r="Y109" s="498">
        <v>20000</v>
      </c>
      <c r="Z109" s="498">
        <v>20000</v>
      </c>
      <c r="AA109" s="498">
        <v>0</v>
      </c>
      <c r="AB109" s="498">
        <v>0</v>
      </c>
      <c r="AC109" s="498">
        <v>0</v>
      </c>
      <c r="AD109" s="498">
        <v>0</v>
      </c>
      <c r="AE109" s="498">
        <v>0</v>
      </c>
      <c r="AF109" s="498">
        <v>0</v>
      </c>
      <c r="AG109" s="498">
        <v>0</v>
      </c>
      <c r="AH109" s="498">
        <v>0</v>
      </c>
      <c r="AI109" s="498">
        <v>0</v>
      </c>
      <c r="AJ109" s="498">
        <v>0</v>
      </c>
      <c r="AK109" s="498">
        <v>0</v>
      </c>
      <c r="AL109" s="498">
        <v>0</v>
      </c>
      <c r="AM109" s="498">
        <v>0</v>
      </c>
      <c r="AN109" s="498">
        <v>0</v>
      </c>
      <c r="AO109" s="498">
        <v>0</v>
      </c>
      <c r="AP109" s="498">
        <v>0</v>
      </c>
      <c r="AQ109" s="498">
        <v>0</v>
      </c>
      <c r="AR109" s="498">
        <v>0</v>
      </c>
      <c r="AS109" s="498">
        <v>0</v>
      </c>
      <c r="AT109" s="498">
        <v>0</v>
      </c>
      <c r="AU109" s="498">
        <v>0</v>
      </c>
      <c r="AV109" s="498">
        <v>0</v>
      </c>
      <c r="AW109" s="498">
        <v>0</v>
      </c>
      <c r="AX109" s="498">
        <v>0</v>
      </c>
      <c r="AY109" s="498">
        <v>0</v>
      </c>
      <c r="AZ109" s="498">
        <v>0</v>
      </c>
      <c r="BA109" s="498">
        <v>0</v>
      </c>
      <c r="BB109" s="498">
        <v>0</v>
      </c>
      <c r="BC109" s="498">
        <v>0</v>
      </c>
      <c r="BD109" s="498">
        <v>0</v>
      </c>
      <c r="BE109" s="498">
        <v>0</v>
      </c>
      <c r="BF109" s="498">
        <v>0</v>
      </c>
      <c r="BG109" s="498">
        <v>0</v>
      </c>
      <c r="BH109" s="498">
        <v>0</v>
      </c>
      <c r="BI109" s="498">
        <v>0</v>
      </c>
      <c r="BJ109" s="498">
        <v>0</v>
      </c>
      <c r="BK109" s="498">
        <v>0</v>
      </c>
      <c r="BL109" s="498">
        <v>0</v>
      </c>
      <c r="BM109" s="498">
        <v>0</v>
      </c>
      <c r="BN109" s="498">
        <v>0</v>
      </c>
      <c r="BO109" s="498">
        <v>0</v>
      </c>
      <c r="BP109" s="498">
        <v>0</v>
      </c>
      <c r="BQ109" s="498">
        <v>0</v>
      </c>
      <c r="BR109" s="498">
        <v>0</v>
      </c>
      <c r="BS109" s="498">
        <v>0</v>
      </c>
      <c r="BT109" s="498">
        <v>0</v>
      </c>
      <c r="BU109" s="498">
        <v>0</v>
      </c>
      <c r="BV109" s="498">
        <v>0</v>
      </c>
      <c r="BW109" s="498">
        <v>0</v>
      </c>
      <c r="BX109" s="498">
        <v>0</v>
      </c>
      <c r="BY109" s="498">
        <v>0</v>
      </c>
      <c r="BZ109" s="498">
        <v>0</v>
      </c>
      <c r="CA109" s="498">
        <v>0</v>
      </c>
      <c r="CB109" s="498">
        <v>0</v>
      </c>
      <c r="CC109" s="498">
        <v>0</v>
      </c>
      <c r="CD109" s="498">
        <v>0</v>
      </c>
      <c r="CE109" s="498">
        <v>0</v>
      </c>
      <c r="CF109" s="498">
        <v>0</v>
      </c>
      <c r="CG109" s="498">
        <v>0</v>
      </c>
      <c r="CH109" s="498">
        <v>0</v>
      </c>
      <c r="CI109" s="498">
        <v>0</v>
      </c>
      <c r="CJ109" s="498">
        <v>0</v>
      </c>
      <c r="CK109" s="498">
        <v>0</v>
      </c>
      <c r="CL109" s="498">
        <v>0</v>
      </c>
      <c r="CM109" s="498">
        <v>0</v>
      </c>
      <c r="CN109" s="498">
        <v>0</v>
      </c>
      <c r="CO109" s="498">
        <v>0</v>
      </c>
      <c r="CP109" s="498">
        <v>0</v>
      </c>
      <c r="CQ109" s="498">
        <v>0</v>
      </c>
      <c r="CR109" s="498">
        <v>0</v>
      </c>
      <c r="CS109" s="498">
        <v>0</v>
      </c>
      <c r="CT109" s="498">
        <v>0</v>
      </c>
      <c r="CU109" s="498">
        <v>0</v>
      </c>
      <c r="CV109" s="498">
        <v>0</v>
      </c>
      <c r="CW109" s="498">
        <v>0</v>
      </c>
      <c r="CX109" s="498">
        <v>0</v>
      </c>
      <c r="CY109" s="498">
        <v>0</v>
      </c>
      <c r="CZ109" s="498">
        <v>0</v>
      </c>
      <c r="DA109" s="498">
        <v>0</v>
      </c>
      <c r="DB109" s="498">
        <v>0</v>
      </c>
      <c r="DC109" s="498">
        <v>0</v>
      </c>
      <c r="DD109" s="498">
        <v>0</v>
      </c>
      <c r="DE109" s="498">
        <v>0</v>
      </c>
      <c r="DF109" s="498">
        <v>0</v>
      </c>
      <c r="DG109" s="498">
        <v>0</v>
      </c>
      <c r="DH109" s="498">
        <v>0</v>
      </c>
      <c r="DI109" s="498">
        <v>0</v>
      </c>
      <c r="DJ109" s="498">
        <v>0</v>
      </c>
      <c r="DK109" s="498">
        <v>0</v>
      </c>
      <c r="DL109" s="498">
        <v>0</v>
      </c>
      <c r="DM109" s="498">
        <v>0</v>
      </c>
      <c r="DN109" s="498">
        <v>0</v>
      </c>
      <c r="DO109" s="498">
        <v>0</v>
      </c>
      <c r="DP109" s="498">
        <v>0</v>
      </c>
      <c r="DQ109" s="498">
        <v>0</v>
      </c>
      <c r="DR109" s="498">
        <v>0</v>
      </c>
      <c r="DS109" s="498">
        <v>0</v>
      </c>
      <c r="DT109" s="498">
        <v>0</v>
      </c>
      <c r="DU109" s="498">
        <v>0</v>
      </c>
      <c r="DV109" s="498">
        <v>0</v>
      </c>
      <c r="DW109" s="498">
        <v>0</v>
      </c>
      <c r="DX109" s="477"/>
      <c r="DY109" s="497" t="s">
        <v>720</v>
      </c>
      <c r="DZ109" s="497" t="s">
        <v>617</v>
      </c>
      <c r="EA109" s="497" t="s">
        <v>25</v>
      </c>
      <c r="EB109" s="498">
        <v>23</v>
      </c>
      <c r="EC109" s="494" t="str">
        <f t="shared" si="6"/>
        <v>AIJ100123</v>
      </c>
      <c r="ED109" s="498">
        <v>0</v>
      </c>
      <c r="EE109" s="498">
        <v>239</v>
      </c>
      <c r="EF109" s="498">
        <v>573</v>
      </c>
      <c r="EG109" s="498">
        <v>862</v>
      </c>
      <c r="EH109" s="498">
        <v>1355</v>
      </c>
      <c r="EI109" s="498">
        <v>1926</v>
      </c>
      <c r="EJ109" s="498">
        <v>2696</v>
      </c>
      <c r="EK109" s="498">
        <v>4043</v>
      </c>
      <c r="EL109" s="498">
        <v>5694</v>
      </c>
      <c r="EM109" s="498">
        <v>0</v>
      </c>
      <c r="EN109" s="498">
        <v>0</v>
      </c>
      <c r="EO109" s="498">
        <v>0</v>
      </c>
      <c r="EP109" s="498">
        <v>0</v>
      </c>
      <c r="EQ109" s="498">
        <v>0</v>
      </c>
      <c r="ER109" s="498">
        <v>0</v>
      </c>
      <c r="ES109" s="498">
        <v>0</v>
      </c>
      <c r="ET109" s="498">
        <v>0</v>
      </c>
      <c r="EU109" s="498">
        <v>0</v>
      </c>
      <c r="EV109" s="498">
        <v>0</v>
      </c>
      <c r="EW109" s="498">
        <v>0</v>
      </c>
      <c r="EX109" s="498">
        <v>0</v>
      </c>
      <c r="EY109" s="498">
        <v>0</v>
      </c>
      <c r="EZ109" s="498">
        <v>0</v>
      </c>
      <c r="FA109" s="498">
        <v>0</v>
      </c>
      <c r="FB109" s="498">
        <v>0</v>
      </c>
      <c r="FC109" s="498">
        <v>0</v>
      </c>
      <c r="FD109" s="498">
        <v>0</v>
      </c>
      <c r="FE109" s="498">
        <v>0</v>
      </c>
      <c r="FF109" s="498">
        <v>0</v>
      </c>
      <c r="FG109" s="498">
        <v>0</v>
      </c>
      <c r="FH109" s="498">
        <v>0</v>
      </c>
      <c r="FI109" s="498">
        <v>0</v>
      </c>
      <c r="FJ109" s="498">
        <v>0</v>
      </c>
      <c r="FK109" s="498">
        <v>0</v>
      </c>
      <c r="FL109" s="498">
        <v>0</v>
      </c>
      <c r="FM109" s="498">
        <v>0</v>
      </c>
      <c r="FN109" s="498">
        <v>0</v>
      </c>
      <c r="FO109" s="498">
        <v>0</v>
      </c>
      <c r="FP109" s="498">
        <v>0</v>
      </c>
      <c r="FQ109" s="498">
        <v>0</v>
      </c>
      <c r="FR109" s="498">
        <v>0</v>
      </c>
      <c r="FS109" s="498">
        <v>0</v>
      </c>
      <c r="FT109" s="498">
        <v>0</v>
      </c>
      <c r="FU109" s="498">
        <v>0</v>
      </c>
      <c r="FV109" s="498">
        <v>0</v>
      </c>
      <c r="FW109" s="498">
        <v>0</v>
      </c>
      <c r="FX109" s="498">
        <v>0</v>
      </c>
      <c r="FY109" s="498">
        <v>0</v>
      </c>
      <c r="FZ109" s="498">
        <v>0</v>
      </c>
      <c r="GA109" s="498">
        <v>0</v>
      </c>
      <c r="GB109" s="498">
        <v>0</v>
      </c>
      <c r="GC109" s="498">
        <v>0</v>
      </c>
      <c r="GD109" s="498">
        <v>0</v>
      </c>
      <c r="GE109" s="498">
        <v>0</v>
      </c>
      <c r="GF109" s="498">
        <v>0</v>
      </c>
      <c r="GG109" s="498">
        <v>0</v>
      </c>
      <c r="GH109" s="498">
        <v>0</v>
      </c>
      <c r="GI109" s="498">
        <v>0</v>
      </c>
      <c r="GJ109" s="498">
        <v>0</v>
      </c>
      <c r="GK109" s="498">
        <v>0</v>
      </c>
      <c r="GL109" s="498">
        <v>0</v>
      </c>
      <c r="GM109" s="498">
        <v>0</v>
      </c>
      <c r="GN109" s="498">
        <v>0</v>
      </c>
      <c r="GO109" s="498">
        <v>0</v>
      </c>
      <c r="GP109" s="498">
        <v>0</v>
      </c>
      <c r="GQ109" s="498">
        <v>0</v>
      </c>
      <c r="GR109" s="498">
        <v>0</v>
      </c>
      <c r="GS109" s="498">
        <v>0</v>
      </c>
      <c r="GT109" s="498">
        <v>0</v>
      </c>
      <c r="GU109" s="498">
        <v>0</v>
      </c>
      <c r="GV109" s="498">
        <v>0</v>
      </c>
      <c r="GW109" s="498">
        <v>0</v>
      </c>
      <c r="GX109" s="498">
        <v>0</v>
      </c>
      <c r="GY109" s="498">
        <v>0</v>
      </c>
      <c r="GZ109" s="498">
        <v>0</v>
      </c>
      <c r="HA109" s="498">
        <v>0</v>
      </c>
      <c r="HB109" s="498">
        <v>0</v>
      </c>
      <c r="HC109" s="498">
        <v>0</v>
      </c>
      <c r="HD109" s="498">
        <v>0</v>
      </c>
      <c r="HE109" s="498">
        <v>0</v>
      </c>
      <c r="HF109" s="498">
        <v>0</v>
      </c>
      <c r="HG109" s="498">
        <v>0</v>
      </c>
      <c r="HH109" s="498">
        <v>0</v>
      </c>
      <c r="HI109" s="498">
        <v>0</v>
      </c>
      <c r="HJ109" s="498">
        <v>0</v>
      </c>
      <c r="HK109" s="498">
        <v>0</v>
      </c>
      <c r="HL109" s="498">
        <v>0</v>
      </c>
      <c r="HM109" s="498">
        <v>0</v>
      </c>
      <c r="HN109" s="498">
        <v>0</v>
      </c>
      <c r="HO109" s="498">
        <v>0</v>
      </c>
      <c r="HP109" s="498">
        <v>0</v>
      </c>
      <c r="HQ109" s="498">
        <v>0</v>
      </c>
      <c r="HR109" s="498">
        <v>0</v>
      </c>
      <c r="HS109" s="498">
        <v>0</v>
      </c>
      <c r="HT109" s="498">
        <v>0</v>
      </c>
      <c r="HU109" s="498">
        <v>0</v>
      </c>
      <c r="HV109" s="498">
        <v>0</v>
      </c>
      <c r="HW109" s="498">
        <v>0</v>
      </c>
      <c r="HX109" s="498">
        <v>0</v>
      </c>
      <c r="HY109" s="498">
        <v>0</v>
      </c>
      <c r="HZ109" s="498">
        <v>0</v>
      </c>
      <c r="IA109" s="498">
        <v>0</v>
      </c>
      <c r="IB109" s="498">
        <v>0</v>
      </c>
      <c r="IC109" s="498">
        <v>0</v>
      </c>
      <c r="ID109" s="498">
        <v>0</v>
      </c>
      <c r="IE109" s="498">
        <v>0</v>
      </c>
      <c r="IF109" s="498">
        <v>0</v>
      </c>
      <c r="IG109" s="498">
        <v>0</v>
      </c>
      <c r="IH109" s="498">
        <v>0</v>
      </c>
      <c r="II109" s="498">
        <v>0</v>
      </c>
      <c r="IJ109" s="498">
        <v>0</v>
      </c>
    </row>
    <row r="110" spans="1:244" ht="16.5" hidden="1">
      <c r="A110" s="484" t="s">
        <v>720</v>
      </c>
      <c r="B110" s="484" t="s">
        <v>617</v>
      </c>
      <c r="C110" s="484" t="s">
        <v>721</v>
      </c>
      <c r="D110" s="485"/>
      <c r="E110" s="484" t="s">
        <v>721</v>
      </c>
      <c r="F110" s="484" t="s">
        <v>25</v>
      </c>
      <c r="G110" s="485"/>
      <c r="H110" s="486">
        <v>59</v>
      </c>
      <c r="I110" s="471" t="str">
        <f t="shared" si="3"/>
        <v>AIJ100159</v>
      </c>
      <c r="J110" s="486">
        <v>300</v>
      </c>
      <c r="L110" s="497" t="s">
        <v>720</v>
      </c>
      <c r="M110" s="497" t="s">
        <v>617</v>
      </c>
      <c r="N110" s="497" t="s">
        <v>25</v>
      </c>
      <c r="O110" s="498">
        <v>24</v>
      </c>
      <c r="P110" s="494" t="str">
        <f t="shared" si="5"/>
        <v>AIJ100124</v>
      </c>
      <c r="Q110" s="498">
        <v>20000</v>
      </c>
      <c r="R110" s="498">
        <v>20000</v>
      </c>
      <c r="S110" s="498">
        <v>20000</v>
      </c>
      <c r="T110" s="498">
        <v>20000</v>
      </c>
      <c r="U110" s="498">
        <v>20000</v>
      </c>
      <c r="V110" s="498">
        <v>20000</v>
      </c>
      <c r="W110" s="498">
        <v>20000</v>
      </c>
      <c r="X110" s="498">
        <v>20000</v>
      </c>
      <c r="Y110" s="498">
        <v>20000</v>
      </c>
      <c r="Z110" s="498">
        <v>20000</v>
      </c>
      <c r="AA110" s="498">
        <v>0</v>
      </c>
      <c r="AB110" s="498">
        <v>0</v>
      </c>
      <c r="AC110" s="498">
        <v>0</v>
      </c>
      <c r="AD110" s="498">
        <v>0</v>
      </c>
      <c r="AE110" s="498">
        <v>0</v>
      </c>
      <c r="AF110" s="498">
        <v>0</v>
      </c>
      <c r="AG110" s="498">
        <v>0</v>
      </c>
      <c r="AH110" s="498">
        <v>0</v>
      </c>
      <c r="AI110" s="498">
        <v>0</v>
      </c>
      <c r="AJ110" s="498">
        <v>0</v>
      </c>
      <c r="AK110" s="498">
        <v>0</v>
      </c>
      <c r="AL110" s="498">
        <v>0</v>
      </c>
      <c r="AM110" s="498">
        <v>0</v>
      </c>
      <c r="AN110" s="498">
        <v>0</v>
      </c>
      <c r="AO110" s="498">
        <v>0</v>
      </c>
      <c r="AP110" s="498">
        <v>0</v>
      </c>
      <c r="AQ110" s="498">
        <v>0</v>
      </c>
      <c r="AR110" s="498">
        <v>0</v>
      </c>
      <c r="AS110" s="498">
        <v>0</v>
      </c>
      <c r="AT110" s="498">
        <v>0</v>
      </c>
      <c r="AU110" s="498">
        <v>0</v>
      </c>
      <c r="AV110" s="498">
        <v>0</v>
      </c>
      <c r="AW110" s="498">
        <v>0</v>
      </c>
      <c r="AX110" s="498">
        <v>0</v>
      </c>
      <c r="AY110" s="498">
        <v>0</v>
      </c>
      <c r="AZ110" s="498">
        <v>0</v>
      </c>
      <c r="BA110" s="498">
        <v>0</v>
      </c>
      <c r="BB110" s="498">
        <v>0</v>
      </c>
      <c r="BC110" s="498">
        <v>0</v>
      </c>
      <c r="BD110" s="498">
        <v>0</v>
      </c>
      <c r="BE110" s="498">
        <v>0</v>
      </c>
      <c r="BF110" s="498">
        <v>0</v>
      </c>
      <c r="BG110" s="498">
        <v>0</v>
      </c>
      <c r="BH110" s="498">
        <v>0</v>
      </c>
      <c r="BI110" s="498">
        <v>0</v>
      </c>
      <c r="BJ110" s="498">
        <v>0</v>
      </c>
      <c r="BK110" s="498">
        <v>0</v>
      </c>
      <c r="BL110" s="498">
        <v>0</v>
      </c>
      <c r="BM110" s="498">
        <v>0</v>
      </c>
      <c r="BN110" s="498">
        <v>0</v>
      </c>
      <c r="BO110" s="498">
        <v>0</v>
      </c>
      <c r="BP110" s="498">
        <v>0</v>
      </c>
      <c r="BQ110" s="498">
        <v>0</v>
      </c>
      <c r="BR110" s="498">
        <v>0</v>
      </c>
      <c r="BS110" s="498">
        <v>0</v>
      </c>
      <c r="BT110" s="498">
        <v>0</v>
      </c>
      <c r="BU110" s="498">
        <v>0</v>
      </c>
      <c r="BV110" s="498">
        <v>0</v>
      </c>
      <c r="BW110" s="498">
        <v>0</v>
      </c>
      <c r="BX110" s="498">
        <v>0</v>
      </c>
      <c r="BY110" s="498">
        <v>0</v>
      </c>
      <c r="BZ110" s="498">
        <v>0</v>
      </c>
      <c r="CA110" s="498">
        <v>0</v>
      </c>
      <c r="CB110" s="498">
        <v>0</v>
      </c>
      <c r="CC110" s="498">
        <v>0</v>
      </c>
      <c r="CD110" s="498">
        <v>0</v>
      </c>
      <c r="CE110" s="498">
        <v>0</v>
      </c>
      <c r="CF110" s="498">
        <v>0</v>
      </c>
      <c r="CG110" s="498">
        <v>0</v>
      </c>
      <c r="CH110" s="498">
        <v>0</v>
      </c>
      <c r="CI110" s="498">
        <v>0</v>
      </c>
      <c r="CJ110" s="498">
        <v>0</v>
      </c>
      <c r="CK110" s="498">
        <v>0</v>
      </c>
      <c r="CL110" s="498">
        <v>0</v>
      </c>
      <c r="CM110" s="498">
        <v>0</v>
      </c>
      <c r="CN110" s="498">
        <v>0</v>
      </c>
      <c r="CO110" s="498">
        <v>0</v>
      </c>
      <c r="CP110" s="498">
        <v>0</v>
      </c>
      <c r="CQ110" s="498">
        <v>0</v>
      </c>
      <c r="CR110" s="498">
        <v>0</v>
      </c>
      <c r="CS110" s="498">
        <v>0</v>
      </c>
      <c r="CT110" s="498">
        <v>0</v>
      </c>
      <c r="CU110" s="498">
        <v>0</v>
      </c>
      <c r="CV110" s="498">
        <v>0</v>
      </c>
      <c r="CW110" s="498">
        <v>0</v>
      </c>
      <c r="CX110" s="498">
        <v>0</v>
      </c>
      <c r="CY110" s="498">
        <v>0</v>
      </c>
      <c r="CZ110" s="498">
        <v>0</v>
      </c>
      <c r="DA110" s="498">
        <v>0</v>
      </c>
      <c r="DB110" s="498">
        <v>0</v>
      </c>
      <c r="DC110" s="498">
        <v>0</v>
      </c>
      <c r="DD110" s="498">
        <v>0</v>
      </c>
      <c r="DE110" s="498">
        <v>0</v>
      </c>
      <c r="DF110" s="498">
        <v>0</v>
      </c>
      <c r="DG110" s="498">
        <v>0</v>
      </c>
      <c r="DH110" s="498">
        <v>0</v>
      </c>
      <c r="DI110" s="498">
        <v>0</v>
      </c>
      <c r="DJ110" s="498">
        <v>0</v>
      </c>
      <c r="DK110" s="498">
        <v>0</v>
      </c>
      <c r="DL110" s="498">
        <v>0</v>
      </c>
      <c r="DM110" s="498">
        <v>0</v>
      </c>
      <c r="DN110" s="498">
        <v>0</v>
      </c>
      <c r="DO110" s="498">
        <v>0</v>
      </c>
      <c r="DP110" s="498">
        <v>0</v>
      </c>
      <c r="DQ110" s="498">
        <v>0</v>
      </c>
      <c r="DR110" s="498">
        <v>0</v>
      </c>
      <c r="DS110" s="498">
        <v>0</v>
      </c>
      <c r="DT110" s="498">
        <v>0</v>
      </c>
      <c r="DU110" s="498">
        <v>0</v>
      </c>
      <c r="DV110" s="498">
        <v>0</v>
      </c>
      <c r="DW110" s="498">
        <v>0</v>
      </c>
      <c r="DX110" s="477"/>
      <c r="DY110" s="497" t="s">
        <v>720</v>
      </c>
      <c r="DZ110" s="497" t="s">
        <v>617</v>
      </c>
      <c r="EA110" s="497" t="s">
        <v>25</v>
      </c>
      <c r="EB110" s="498">
        <v>24</v>
      </c>
      <c r="EC110" s="494" t="str">
        <f t="shared" si="6"/>
        <v>AIJ100124</v>
      </c>
      <c r="ED110" s="498">
        <v>0</v>
      </c>
      <c r="EE110" s="498">
        <v>234</v>
      </c>
      <c r="EF110" s="498">
        <v>558</v>
      </c>
      <c r="EG110" s="498">
        <v>899</v>
      </c>
      <c r="EH110" s="498">
        <v>1384</v>
      </c>
      <c r="EI110" s="498">
        <v>1871</v>
      </c>
      <c r="EJ110" s="498">
        <v>2689</v>
      </c>
      <c r="EK110" s="498">
        <v>4063</v>
      </c>
      <c r="EL110" s="498">
        <v>5676</v>
      </c>
      <c r="EM110" s="498">
        <v>0</v>
      </c>
      <c r="EN110" s="498">
        <v>0</v>
      </c>
      <c r="EO110" s="498">
        <v>0</v>
      </c>
      <c r="EP110" s="498">
        <v>0</v>
      </c>
      <c r="EQ110" s="498">
        <v>0</v>
      </c>
      <c r="ER110" s="498">
        <v>0</v>
      </c>
      <c r="ES110" s="498">
        <v>0</v>
      </c>
      <c r="ET110" s="498">
        <v>0</v>
      </c>
      <c r="EU110" s="498">
        <v>0</v>
      </c>
      <c r="EV110" s="498">
        <v>0</v>
      </c>
      <c r="EW110" s="498">
        <v>0</v>
      </c>
      <c r="EX110" s="498">
        <v>0</v>
      </c>
      <c r="EY110" s="498">
        <v>0</v>
      </c>
      <c r="EZ110" s="498">
        <v>0</v>
      </c>
      <c r="FA110" s="498">
        <v>0</v>
      </c>
      <c r="FB110" s="498">
        <v>0</v>
      </c>
      <c r="FC110" s="498">
        <v>0</v>
      </c>
      <c r="FD110" s="498">
        <v>0</v>
      </c>
      <c r="FE110" s="498">
        <v>0</v>
      </c>
      <c r="FF110" s="498">
        <v>0</v>
      </c>
      <c r="FG110" s="498">
        <v>0</v>
      </c>
      <c r="FH110" s="498">
        <v>0</v>
      </c>
      <c r="FI110" s="498">
        <v>0</v>
      </c>
      <c r="FJ110" s="498">
        <v>0</v>
      </c>
      <c r="FK110" s="498">
        <v>0</v>
      </c>
      <c r="FL110" s="498">
        <v>0</v>
      </c>
      <c r="FM110" s="498">
        <v>0</v>
      </c>
      <c r="FN110" s="498">
        <v>0</v>
      </c>
      <c r="FO110" s="498">
        <v>0</v>
      </c>
      <c r="FP110" s="498">
        <v>0</v>
      </c>
      <c r="FQ110" s="498">
        <v>0</v>
      </c>
      <c r="FR110" s="498">
        <v>0</v>
      </c>
      <c r="FS110" s="498">
        <v>0</v>
      </c>
      <c r="FT110" s="498">
        <v>0</v>
      </c>
      <c r="FU110" s="498">
        <v>0</v>
      </c>
      <c r="FV110" s="498">
        <v>0</v>
      </c>
      <c r="FW110" s="498">
        <v>0</v>
      </c>
      <c r="FX110" s="498">
        <v>0</v>
      </c>
      <c r="FY110" s="498">
        <v>0</v>
      </c>
      <c r="FZ110" s="498">
        <v>0</v>
      </c>
      <c r="GA110" s="498">
        <v>0</v>
      </c>
      <c r="GB110" s="498">
        <v>0</v>
      </c>
      <c r="GC110" s="498">
        <v>0</v>
      </c>
      <c r="GD110" s="498">
        <v>0</v>
      </c>
      <c r="GE110" s="498">
        <v>0</v>
      </c>
      <c r="GF110" s="498">
        <v>0</v>
      </c>
      <c r="GG110" s="498">
        <v>0</v>
      </c>
      <c r="GH110" s="498">
        <v>0</v>
      </c>
      <c r="GI110" s="498">
        <v>0</v>
      </c>
      <c r="GJ110" s="498">
        <v>0</v>
      </c>
      <c r="GK110" s="498">
        <v>0</v>
      </c>
      <c r="GL110" s="498">
        <v>0</v>
      </c>
      <c r="GM110" s="498">
        <v>0</v>
      </c>
      <c r="GN110" s="498">
        <v>0</v>
      </c>
      <c r="GO110" s="498">
        <v>0</v>
      </c>
      <c r="GP110" s="498">
        <v>0</v>
      </c>
      <c r="GQ110" s="498">
        <v>0</v>
      </c>
      <c r="GR110" s="498">
        <v>0</v>
      </c>
      <c r="GS110" s="498">
        <v>0</v>
      </c>
      <c r="GT110" s="498">
        <v>0</v>
      </c>
      <c r="GU110" s="498">
        <v>0</v>
      </c>
      <c r="GV110" s="498">
        <v>0</v>
      </c>
      <c r="GW110" s="498">
        <v>0</v>
      </c>
      <c r="GX110" s="498">
        <v>0</v>
      </c>
      <c r="GY110" s="498">
        <v>0</v>
      </c>
      <c r="GZ110" s="498">
        <v>0</v>
      </c>
      <c r="HA110" s="498">
        <v>0</v>
      </c>
      <c r="HB110" s="498">
        <v>0</v>
      </c>
      <c r="HC110" s="498">
        <v>0</v>
      </c>
      <c r="HD110" s="498">
        <v>0</v>
      </c>
      <c r="HE110" s="498">
        <v>0</v>
      </c>
      <c r="HF110" s="498">
        <v>0</v>
      </c>
      <c r="HG110" s="498">
        <v>0</v>
      </c>
      <c r="HH110" s="498">
        <v>0</v>
      </c>
      <c r="HI110" s="498">
        <v>0</v>
      </c>
      <c r="HJ110" s="498">
        <v>0</v>
      </c>
      <c r="HK110" s="498">
        <v>0</v>
      </c>
      <c r="HL110" s="498">
        <v>0</v>
      </c>
      <c r="HM110" s="498">
        <v>0</v>
      </c>
      <c r="HN110" s="498">
        <v>0</v>
      </c>
      <c r="HO110" s="498">
        <v>0</v>
      </c>
      <c r="HP110" s="498">
        <v>0</v>
      </c>
      <c r="HQ110" s="498">
        <v>0</v>
      </c>
      <c r="HR110" s="498">
        <v>0</v>
      </c>
      <c r="HS110" s="498">
        <v>0</v>
      </c>
      <c r="HT110" s="498">
        <v>0</v>
      </c>
      <c r="HU110" s="498">
        <v>0</v>
      </c>
      <c r="HV110" s="498">
        <v>0</v>
      </c>
      <c r="HW110" s="498">
        <v>0</v>
      </c>
      <c r="HX110" s="498">
        <v>0</v>
      </c>
      <c r="HY110" s="498">
        <v>0</v>
      </c>
      <c r="HZ110" s="498">
        <v>0</v>
      </c>
      <c r="IA110" s="498">
        <v>0</v>
      </c>
      <c r="IB110" s="498">
        <v>0</v>
      </c>
      <c r="IC110" s="498">
        <v>0</v>
      </c>
      <c r="ID110" s="498">
        <v>0</v>
      </c>
      <c r="IE110" s="498">
        <v>0</v>
      </c>
      <c r="IF110" s="498">
        <v>0</v>
      </c>
      <c r="IG110" s="498">
        <v>0</v>
      </c>
      <c r="IH110" s="498">
        <v>0</v>
      </c>
      <c r="II110" s="498">
        <v>0</v>
      </c>
      <c r="IJ110" s="498">
        <v>0</v>
      </c>
    </row>
    <row r="111" spans="1:244" ht="16.5" hidden="1">
      <c r="A111" s="484" t="s">
        <v>720</v>
      </c>
      <c r="B111" s="484" t="s">
        <v>617</v>
      </c>
      <c r="C111" s="484" t="s">
        <v>721</v>
      </c>
      <c r="D111" s="485"/>
      <c r="E111" s="484" t="s">
        <v>721</v>
      </c>
      <c r="F111" s="484" t="s">
        <v>25</v>
      </c>
      <c r="G111" s="485"/>
      <c r="H111" s="486">
        <v>60</v>
      </c>
      <c r="I111" s="471" t="str">
        <f t="shared" si="3"/>
        <v>AIJ100160</v>
      </c>
      <c r="J111" s="486">
        <v>322</v>
      </c>
      <c r="L111" s="497" t="s">
        <v>720</v>
      </c>
      <c r="M111" s="497" t="s">
        <v>617</v>
      </c>
      <c r="N111" s="497" t="s">
        <v>25</v>
      </c>
      <c r="O111" s="498">
        <v>25</v>
      </c>
      <c r="P111" s="494" t="str">
        <f t="shared" si="5"/>
        <v>AIJ100125</v>
      </c>
      <c r="Q111" s="498">
        <v>20000</v>
      </c>
      <c r="R111" s="498">
        <v>20000</v>
      </c>
      <c r="S111" s="498">
        <v>20000</v>
      </c>
      <c r="T111" s="498">
        <v>20000</v>
      </c>
      <c r="U111" s="498">
        <v>20000</v>
      </c>
      <c r="V111" s="498">
        <v>20000</v>
      </c>
      <c r="W111" s="498">
        <v>20000</v>
      </c>
      <c r="X111" s="498">
        <v>20000</v>
      </c>
      <c r="Y111" s="498">
        <v>20000</v>
      </c>
      <c r="Z111" s="498">
        <v>20000</v>
      </c>
      <c r="AA111" s="498">
        <v>0</v>
      </c>
      <c r="AB111" s="498">
        <v>0</v>
      </c>
      <c r="AC111" s="498">
        <v>0</v>
      </c>
      <c r="AD111" s="498">
        <v>0</v>
      </c>
      <c r="AE111" s="498">
        <v>0</v>
      </c>
      <c r="AF111" s="498">
        <v>0</v>
      </c>
      <c r="AG111" s="498">
        <v>0</v>
      </c>
      <c r="AH111" s="498">
        <v>0</v>
      </c>
      <c r="AI111" s="498">
        <v>0</v>
      </c>
      <c r="AJ111" s="498">
        <v>0</v>
      </c>
      <c r="AK111" s="498">
        <v>0</v>
      </c>
      <c r="AL111" s="498">
        <v>0</v>
      </c>
      <c r="AM111" s="498">
        <v>0</v>
      </c>
      <c r="AN111" s="498">
        <v>0</v>
      </c>
      <c r="AO111" s="498">
        <v>0</v>
      </c>
      <c r="AP111" s="498">
        <v>0</v>
      </c>
      <c r="AQ111" s="498">
        <v>0</v>
      </c>
      <c r="AR111" s="498">
        <v>0</v>
      </c>
      <c r="AS111" s="498">
        <v>0</v>
      </c>
      <c r="AT111" s="498">
        <v>0</v>
      </c>
      <c r="AU111" s="498">
        <v>0</v>
      </c>
      <c r="AV111" s="498">
        <v>0</v>
      </c>
      <c r="AW111" s="498">
        <v>0</v>
      </c>
      <c r="AX111" s="498">
        <v>0</v>
      </c>
      <c r="AY111" s="498">
        <v>0</v>
      </c>
      <c r="AZ111" s="498">
        <v>0</v>
      </c>
      <c r="BA111" s="498">
        <v>0</v>
      </c>
      <c r="BB111" s="498">
        <v>0</v>
      </c>
      <c r="BC111" s="498">
        <v>0</v>
      </c>
      <c r="BD111" s="498">
        <v>0</v>
      </c>
      <c r="BE111" s="498">
        <v>0</v>
      </c>
      <c r="BF111" s="498">
        <v>0</v>
      </c>
      <c r="BG111" s="498">
        <v>0</v>
      </c>
      <c r="BH111" s="498">
        <v>0</v>
      </c>
      <c r="BI111" s="498">
        <v>0</v>
      </c>
      <c r="BJ111" s="498">
        <v>0</v>
      </c>
      <c r="BK111" s="498">
        <v>0</v>
      </c>
      <c r="BL111" s="498">
        <v>0</v>
      </c>
      <c r="BM111" s="498">
        <v>0</v>
      </c>
      <c r="BN111" s="498">
        <v>0</v>
      </c>
      <c r="BO111" s="498">
        <v>0</v>
      </c>
      <c r="BP111" s="498">
        <v>0</v>
      </c>
      <c r="BQ111" s="498">
        <v>0</v>
      </c>
      <c r="BR111" s="498">
        <v>0</v>
      </c>
      <c r="BS111" s="498">
        <v>0</v>
      </c>
      <c r="BT111" s="498">
        <v>0</v>
      </c>
      <c r="BU111" s="498">
        <v>0</v>
      </c>
      <c r="BV111" s="498">
        <v>0</v>
      </c>
      <c r="BW111" s="498">
        <v>0</v>
      </c>
      <c r="BX111" s="498">
        <v>0</v>
      </c>
      <c r="BY111" s="498">
        <v>0</v>
      </c>
      <c r="BZ111" s="498">
        <v>0</v>
      </c>
      <c r="CA111" s="498">
        <v>0</v>
      </c>
      <c r="CB111" s="498">
        <v>0</v>
      </c>
      <c r="CC111" s="498">
        <v>0</v>
      </c>
      <c r="CD111" s="498">
        <v>0</v>
      </c>
      <c r="CE111" s="498">
        <v>0</v>
      </c>
      <c r="CF111" s="498">
        <v>0</v>
      </c>
      <c r="CG111" s="498">
        <v>0</v>
      </c>
      <c r="CH111" s="498">
        <v>0</v>
      </c>
      <c r="CI111" s="498">
        <v>0</v>
      </c>
      <c r="CJ111" s="498">
        <v>0</v>
      </c>
      <c r="CK111" s="498">
        <v>0</v>
      </c>
      <c r="CL111" s="498">
        <v>0</v>
      </c>
      <c r="CM111" s="498">
        <v>0</v>
      </c>
      <c r="CN111" s="498">
        <v>0</v>
      </c>
      <c r="CO111" s="498">
        <v>0</v>
      </c>
      <c r="CP111" s="498">
        <v>0</v>
      </c>
      <c r="CQ111" s="498">
        <v>0</v>
      </c>
      <c r="CR111" s="498">
        <v>0</v>
      </c>
      <c r="CS111" s="498">
        <v>0</v>
      </c>
      <c r="CT111" s="498">
        <v>0</v>
      </c>
      <c r="CU111" s="498">
        <v>0</v>
      </c>
      <c r="CV111" s="498">
        <v>0</v>
      </c>
      <c r="CW111" s="498">
        <v>0</v>
      </c>
      <c r="CX111" s="498">
        <v>0</v>
      </c>
      <c r="CY111" s="498">
        <v>0</v>
      </c>
      <c r="CZ111" s="498">
        <v>0</v>
      </c>
      <c r="DA111" s="498">
        <v>0</v>
      </c>
      <c r="DB111" s="498">
        <v>0</v>
      </c>
      <c r="DC111" s="498">
        <v>0</v>
      </c>
      <c r="DD111" s="498">
        <v>0</v>
      </c>
      <c r="DE111" s="498">
        <v>0</v>
      </c>
      <c r="DF111" s="498">
        <v>0</v>
      </c>
      <c r="DG111" s="498">
        <v>0</v>
      </c>
      <c r="DH111" s="498">
        <v>0</v>
      </c>
      <c r="DI111" s="498">
        <v>0</v>
      </c>
      <c r="DJ111" s="498">
        <v>0</v>
      </c>
      <c r="DK111" s="498">
        <v>0</v>
      </c>
      <c r="DL111" s="498">
        <v>0</v>
      </c>
      <c r="DM111" s="498">
        <v>0</v>
      </c>
      <c r="DN111" s="498">
        <v>0</v>
      </c>
      <c r="DO111" s="498">
        <v>0</v>
      </c>
      <c r="DP111" s="498">
        <v>0</v>
      </c>
      <c r="DQ111" s="498">
        <v>0</v>
      </c>
      <c r="DR111" s="498">
        <v>0</v>
      </c>
      <c r="DS111" s="498">
        <v>0</v>
      </c>
      <c r="DT111" s="498">
        <v>0</v>
      </c>
      <c r="DU111" s="498">
        <v>0</v>
      </c>
      <c r="DV111" s="498">
        <v>0</v>
      </c>
      <c r="DW111" s="498">
        <v>0</v>
      </c>
      <c r="DX111" s="477"/>
      <c r="DY111" s="497" t="s">
        <v>720</v>
      </c>
      <c r="DZ111" s="497" t="s">
        <v>617</v>
      </c>
      <c r="EA111" s="497" t="s">
        <v>25</v>
      </c>
      <c r="EB111" s="498">
        <v>25</v>
      </c>
      <c r="EC111" s="494" t="str">
        <f t="shared" si="6"/>
        <v>AIJ100125</v>
      </c>
      <c r="ED111" s="498">
        <v>0</v>
      </c>
      <c r="EE111" s="498">
        <v>227</v>
      </c>
      <c r="EF111" s="498">
        <v>545</v>
      </c>
      <c r="EG111" s="498">
        <v>874</v>
      </c>
      <c r="EH111" s="498">
        <v>1350</v>
      </c>
      <c r="EI111" s="498">
        <v>1888</v>
      </c>
      <c r="EJ111" s="498">
        <v>2705</v>
      </c>
      <c r="EK111" s="498">
        <v>4040</v>
      </c>
      <c r="EL111" s="498">
        <v>5658</v>
      </c>
      <c r="EM111" s="498">
        <v>0</v>
      </c>
      <c r="EN111" s="498">
        <v>0</v>
      </c>
      <c r="EO111" s="498">
        <v>0</v>
      </c>
      <c r="EP111" s="498">
        <v>0</v>
      </c>
      <c r="EQ111" s="498">
        <v>0</v>
      </c>
      <c r="ER111" s="498">
        <v>0</v>
      </c>
      <c r="ES111" s="498">
        <v>0</v>
      </c>
      <c r="ET111" s="498">
        <v>0</v>
      </c>
      <c r="EU111" s="498">
        <v>0</v>
      </c>
      <c r="EV111" s="498">
        <v>0</v>
      </c>
      <c r="EW111" s="498">
        <v>0</v>
      </c>
      <c r="EX111" s="498">
        <v>0</v>
      </c>
      <c r="EY111" s="498">
        <v>0</v>
      </c>
      <c r="EZ111" s="498">
        <v>0</v>
      </c>
      <c r="FA111" s="498">
        <v>0</v>
      </c>
      <c r="FB111" s="498">
        <v>0</v>
      </c>
      <c r="FC111" s="498">
        <v>0</v>
      </c>
      <c r="FD111" s="498">
        <v>0</v>
      </c>
      <c r="FE111" s="498">
        <v>0</v>
      </c>
      <c r="FF111" s="498">
        <v>0</v>
      </c>
      <c r="FG111" s="498">
        <v>0</v>
      </c>
      <c r="FH111" s="498">
        <v>0</v>
      </c>
      <c r="FI111" s="498">
        <v>0</v>
      </c>
      <c r="FJ111" s="498">
        <v>0</v>
      </c>
      <c r="FK111" s="498">
        <v>0</v>
      </c>
      <c r="FL111" s="498">
        <v>0</v>
      </c>
      <c r="FM111" s="498">
        <v>0</v>
      </c>
      <c r="FN111" s="498">
        <v>0</v>
      </c>
      <c r="FO111" s="498">
        <v>0</v>
      </c>
      <c r="FP111" s="498">
        <v>0</v>
      </c>
      <c r="FQ111" s="498">
        <v>0</v>
      </c>
      <c r="FR111" s="498">
        <v>0</v>
      </c>
      <c r="FS111" s="498">
        <v>0</v>
      </c>
      <c r="FT111" s="498">
        <v>0</v>
      </c>
      <c r="FU111" s="498">
        <v>0</v>
      </c>
      <c r="FV111" s="498">
        <v>0</v>
      </c>
      <c r="FW111" s="498">
        <v>0</v>
      </c>
      <c r="FX111" s="498">
        <v>0</v>
      </c>
      <c r="FY111" s="498">
        <v>0</v>
      </c>
      <c r="FZ111" s="498">
        <v>0</v>
      </c>
      <c r="GA111" s="498">
        <v>0</v>
      </c>
      <c r="GB111" s="498">
        <v>0</v>
      </c>
      <c r="GC111" s="498">
        <v>0</v>
      </c>
      <c r="GD111" s="498">
        <v>0</v>
      </c>
      <c r="GE111" s="498">
        <v>0</v>
      </c>
      <c r="GF111" s="498">
        <v>0</v>
      </c>
      <c r="GG111" s="498">
        <v>0</v>
      </c>
      <c r="GH111" s="498">
        <v>0</v>
      </c>
      <c r="GI111" s="498">
        <v>0</v>
      </c>
      <c r="GJ111" s="498">
        <v>0</v>
      </c>
      <c r="GK111" s="498">
        <v>0</v>
      </c>
      <c r="GL111" s="498">
        <v>0</v>
      </c>
      <c r="GM111" s="498">
        <v>0</v>
      </c>
      <c r="GN111" s="498">
        <v>0</v>
      </c>
      <c r="GO111" s="498">
        <v>0</v>
      </c>
      <c r="GP111" s="498">
        <v>0</v>
      </c>
      <c r="GQ111" s="498">
        <v>0</v>
      </c>
      <c r="GR111" s="498">
        <v>0</v>
      </c>
      <c r="GS111" s="498">
        <v>0</v>
      </c>
      <c r="GT111" s="498">
        <v>0</v>
      </c>
      <c r="GU111" s="498">
        <v>0</v>
      </c>
      <c r="GV111" s="498">
        <v>0</v>
      </c>
      <c r="GW111" s="498">
        <v>0</v>
      </c>
      <c r="GX111" s="498">
        <v>0</v>
      </c>
      <c r="GY111" s="498">
        <v>0</v>
      </c>
      <c r="GZ111" s="498">
        <v>0</v>
      </c>
      <c r="HA111" s="498">
        <v>0</v>
      </c>
      <c r="HB111" s="498">
        <v>0</v>
      </c>
      <c r="HC111" s="498">
        <v>0</v>
      </c>
      <c r="HD111" s="498">
        <v>0</v>
      </c>
      <c r="HE111" s="498">
        <v>0</v>
      </c>
      <c r="HF111" s="498">
        <v>0</v>
      </c>
      <c r="HG111" s="498">
        <v>0</v>
      </c>
      <c r="HH111" s="498">
        <v>0</v>
      </c>
      <c r="HI111" s="498">
        <v>0</v>
      </c>
      <c r="HJ111" s="498">
        <v>0</v>
      </c>
      <c r="HK111" s="498">
        <v>0</v>
      </c>
      <c r="HL111" s="498">
        <v>0</v>
      </c>
      <c r="HM111" s="498">
        <v>0</v>
      </c>
      <c r="HN111" s="498">
        <v>0</v>
      </c>
      <c r="HO111" s="498">
        <v>0</v>
      </c>
      <c r="HP111" s="498">
        <v>0</v>
      </c>
      <c r="HQ111" s="498">
        <v>0</v>
      </c>
      <c r="HR111" s="498">
        <v>0</v>
      </c>
      <c r="HS111" s="498">
        <v>0</v>
      </c>
      <c r="HT111" s="498">
        <v>0</v>
      </c>
      <c r="HU111" s="498">
        <v>0</v>
      </c>
      <c r="HV111" s="498">
        <v>0</v>
      </c>
      <c r="HW111" s="498">
        <v>0</v>
      </c>
      <c r="HX111" s="498">
        <v>0</v>
      </c>
      <c r="HY111" s="498">
        <v>0</v>
      </c>
      <c r="HZ111" s="498">
        <v>0</v>
      </c>
      <c r="IA111" s="498">
        <v>0</v>
      </c>
      <c r="IB111" s="498">
        <v>0</v>
      </c>
      <c r="IC111" s="498">
        <v>0</v>
      </c>
      <c r="ID111" s="498">
        <v>0</v>
      </c>
      <c r="IE111" s="498">
        <v>0</v>
      </c>
      <c r="IF111" s="498">
        <v>0</v>
      </c>
      <c r="IG111" s="498">
        <v>0</v>
      </c>
      <c r="IH111" s="498">
        <v>0</v>
      </c>
      <c r="II111" s="498">
        <v>0</v>
      </c>
      <c r="IJ111" s="498">
        <v>0</v>
      </c>
    </row>
    <row r="112" spans="1:244" ht="16.5" hidden="1">
      <c r="A112" s="484" t="s">
        <v>720</v>
      </c>
      <c r="B112" s="484" t="s">
        <v>617</v>
      </c>
      <c r="C112" s="484" t="s">
        <v>721</v>
      </c>
      <c r="D112" s="485"/>
      <c r="E112" s="484" t="s">
        <v>721</v>
      </c>
      <c r="F112" s="484" t="s">
        <v>25</v>
      </c>
      <c r="G112" s="485"/>
      <c r="H112" s="486">
        <v>61</v>
      </c>
      <c r="I112" s="471" t="str">
        <f t="shared" si="3"/>
        <v>AIJ100161</v>
      </c>
      <c r="J112" s="486">
        <v>348</v>
      </c>
      <c r="L112" s="497" t="s">
        <v>720</v>
      </c>
      <c r="M112" s="497" t="s">
        <v>617</v>
      </c>
      <c r="N112" s="497" t="s">
        <v>25</v>
      </c>
      <c r="O112" s="498">
        <v>26</v>
      </c>
      <c r="P112" s="494" t="str">
        <f t="shared" si="5"/>
        <v>AIJ100126</v>
      </c>
      <c r="Q112" s="498">
        <v>20000</v>
      </c>
      <c r="R112" s="498">
        <v>20000</v>
      </c>
      <c r="S112" s="498">
        <v>20000</v>
      </c>
      <c r="T112" s="498">
        <v>20000</v>
      </c>
      <c r="U112" s="498">
        <v>20000</v>
      </c>
      <c r="V112" s="498">
        <v>20000</v>
      </c>
      <c r="W112" s="498">
        <v>20000</v>
      </c>
      <c r="X112" s="498">
        <v>20000</v>
      </c>
      <c r="Y112" s="498">
        <v>20000</v>
      </c>
      <c r="Z112" s="498">
        <v>20000</v>
      </c>
      <c r="AA112" s="498">
        <v>0</v>
      </c>
      <c r="AB112" s="498">
        <v>0</v>
      </c>
      <c r="AC112" s="498">
        <v>0</v>
      </c>
      <c r="AD112" s="498">
        <v>0</v>
      </c>
      <c r="AE112" s="498">
        <v>0</v>
      </c>
      <c r="AF112" s="498">
        <v>0</v>
      </c>
      <c r="AG112" s="498">
        <v>0</v>
      </c>
      <c r="AH112" s="498">
        <v>0</v>
      </c>
      <c r="AI112" s="498">
        <v>0</v>
      </c>
      <c r="AJ112" s="498">
        <v>0</v>
      </c>
      <c r="AK112" s="498">
        <v>0</v>
      </c>
      <c r="AL112" s="498">
        <v>0</v>
      </c>
      <c r="AM112" s="498">
        <v>0</v>
      </c>
      <c r="AN112" s="498">
        <v>0</v>
      </c>
      <c r="AO112" s="498">
        <v>0</v>
      </c>
      <c r="AP112" s="498">
        <v>0</v>
      </c>
      <c r="AQ112" s="498">
        <v>0</v>
      </c>
      <c r="AR112" s="498">
        <v>0</v>
      </c>
      <c r="AS112" s="498">
        <v>0</v>
      </c>
      <c r="AT112" s="498">
        <v>0</v>
      </c>
      <c r="AU112" s="498">
        <v>0</v>
      </c>
      <c r="AV112" s="498">
        <v>0</v>
      </c>
      <c r="AW112" s="498">
        <v>0</v>
      </c>
      <c r="AX112" s="498">
        <v>0</v>
      </c>
      <c r="AY112" s="498">
        <v>0</v>
      </c>
      <c r="AZ112" s="498">
        <v>0</v>
      </c>
      <c r="BA112" s="498">
        <v>0</v>
      </c>
      <c r="BB112" s="498">
        <v>0</v>
      </c>
      <c r="BC112" s="498">
        <v>0</v>
      </c>
      <c r="BD112" s="498">
        <v>0</v>
      </c>
      <c r="BE112" s="498">
        <v>0</v>
      </c>
      <c r="BF112" s="498">
        <v>0</v>
      </c>
      <c r="BG112" s="498">
        <v>0</v>
      </c>
      <c r="BH112" s="498">
        <v>0</v>
      </c>
      <c r="BI112" s="498">
        <v>0</v>
      </c>
      <c r="BJ112" s="498">
        <v>0</v>
      </c>
      <c r="BK112" s="498">
        <v>0</v>
      </c>
      <c r="BL112" s="498">
        <v>0</v>
      </c>
      <c r="BM112" s="498">
        <v>0</v>
      </c>
      <c r="BN112" s="498">
        <v>0</v>
      </c>
      <c r="BO112" s="498">
        <v>0</v>
      </c>
      <c r="BP112" s="498">
        <v>0</v>
      </c>
      <c r="BQ112" s="498">
        <v>0</v>
      </c>
      <c r="BR112" s="498">
        <v>0</v>
      </c>
      <c r="BS112" s="498">
        <v>0</v>
      </c>
      <c r="BT112" s="498">
        <v>0</v>
      </c>
      <c r="BU112" s="498">
        <v>0</v>
      </c>
      <c r="BV112" s="498">
        <v>0</v>
      </c>
      <c r="BW112" s="498">
        <v>0</v>
      </c>
      <c r="BX112" s="498">
        <v>0</v>
      </c>
      <c r="BY112" s="498">
        <v>0</v>
      </c>
      <c r="BZ112" s="498">
        <v>0</v>
      </c>
      <c r="CA112" s="498">
        <v>0</v>
      </c>
      <c r="CB112" s="498">
        <v>0</v>
      </c>
      <c r="CC112" s="498">
        <v>0</v>
      </c>
      <c r="CD112" s="498">
        <v>0</v>
      </c>
      <c r="CE112" s="498">
        <v>0</v>
      </c>
      <c r="CF112" s="498">
        <v>0</v>
      </c>
      <c r="CG112" s="498">
        <v>0</v>
      </c>
      <c r="CH112" s="498">
        <v>0</v>
      </c>
      <c r="CI112" s="498">
        <v>0</v>
      </c>
      <c r="CJ112" s="498">
        <v>0</v>
      </c>
      <c r="CK112" s="498">
        <v>0</v>
      </c>
      <c r="CL112" s="498">
        <v>0</v>
      </c>
      <c r="CM112" s="498">
        <v>0</v>
      </c>
      <c r="CN112" s="498">
        <v>0</v>
      </c>
      <c r="CO112" s="498">
        <v>0</v>
      </c>
      <c r="CP112" s="498">
        <v>0</v>
      </c>
      <c r="CQ112" s="498">
        <v>0</v>
      </c>
      <c r="CR112" s="498">
        <v>0</v>
      </c>
      <c r="CS112" s="498">
        <v>0</v>
      </c>
      <c r="CT112" s="498">
        <v>0</v>
      </c>
      <c r="CU112" s="498">
        <v>0</v>
      </c>
      <c r="CV112" s="498">
        <v>0</v>
      </c>
      <c r="CW112" s="498">
        <v>0</v>
      </c>
      <c r="CX112" s="498">
        <v>0</v>
      </c>
      <c r="CY112" s="498">
        <v>0</v>
      </c>
      <c r="CZ112" s="498">
        <v>0</v>
      </c>
      <c r="DA112" s="498">
        <v>0</v>
      </c>
      <c r="DB112" s="498">
        <v>0</v>
      </c>
      <c r="DC112" s="498">
        <v>0</v>
      </c>
      <c r="DD112" s="498">
        <v>0</v>
      </c>
      <c r="DE112" s="498">
        <v>0</v>
      </c>
      <c r="DF112" s="498">
        <v>0</v>
      </c>
      <c r="DG112" s="498">
        <v>0</v>
      </c>
      <c r="DH112" s="498">
        <v>0</v>
      </c>
      <c r="DI112" s="498">
        <v>0</v>
      </c>
      <c r="DJ112" s="498">
        <v>0</v>
      </c>
      <c r="DK112" s="498">
        <v>0</v>
      </c>
      <c r="DL112" s="498">
        <v>0</v>
      </c>
      <c r="DM112" s="498">
        <v>0</v>
      </c>
      <c r="DN112" s="498">
        <v>0</v>
      </c>
      <c r="DO112" s="498">
        <v>0</v>
      </c>
      <c r="DP112" s="498">
        <v>0</v>
      </c>
      <c r="DQ112" s="498">
        <v>0</v>
      </c>
      <c r="DR112" s="498">
        <v>0</v>
      </c>
      <c r="DS112" s="498">
        <v>0</v>
      </c>
      <c r="DT112" s="498">
        <v>0</v>
      </c>
      <c r="DU112" s="498">
        <v>0</v>
      </c>
      <c r="DV112" s="498">
        <v>0</v>
      </c>
      <c r="DW112" s="498">
        <v>0</v>
      </c>
      <c r="DX112" s="477"/>
      <c r="DY112" s="497" t="s">
        <v>720</v>
      </c>
      <c r="DZ112" s="497" t="s">
        <v>617</v>
      </c>
      <c r="EA112" s="497" t="s">
        <v>25</v>
      </c>
      <c r="EB112" s="498">
        <v>26</v>
      </c>
      <c r="EC112" s="494" t="str">
        <f t="shared" si="6"/>
        <v>AIJ100126</v>
      </c>
      <c r="ED112" s="498">
        <v>0</v>
      </c>
      <c r="EE112" s="498">
        <v>265</v>
      </c>
      <c r="EF112" s="498">
        <v>529</v>
      </c>
      <c r="EG112" s="498">
        <v>899</v>
      </c>
      <c r="EH112" s="498">
        <v>1361</v>
      </c>
      <c r="EI112" s="498">
        <v>1959</v>
      </c>
      <c r="EJ112" s="498">
        <v>2778</v>
      </c>
      <c r="EK112" s="498">
        <v>4020</v>
      </c>
      <c r="EL112" s="498">
        <v>5641</v>
      </c>
      <c r="EM112" s="498">
        <v>0</v>
      </c>
      <c r="EN112" s="498">
        <v>0</v>
      </c>
      <c r="EO112" s="498">
        <v>0</v>
      </c>
      <c r="EP112" s="498">
        <v>0</v>
      </c>
      <c r="EQ112" s="498">
        <v>0</v>
      </c>
      <c r="ER112" s="498">
        <v>0</v>
      </c>
      <c r="ES112" s="498">
        <v>0</v>
      </c>
      <c r="ET112" s="498">
        <v>0</v>
      </c>
      <c r="EU112" s="498">
        <v>0</v>
      </c>
      <c r="EV112" s="498">
        <v>0</v>
      </c>
      <c r="EW112" s="498">
        <v>0</v>
      </c>
      <c r="EX112" s="498">
        <v>0</v>
      </c>
      <c r="EY112" s="498">
        <v>0</v>
      </c>
      <c r="EZ112" s="498">
        <v>0</v>
      </c>
      <c r="FA112" s="498">
        <v>0</v>
      </c>
      <c r="FB112" s="498">
        <v>0</v>
      </c>
      <c r="FC112" s="498">
        <v>0</v>
      </c>
      <c r="FD112" s="498">
        <v>0</v>
      </c>
      <c r="FE112" s="498">
        <v>0</v>
      </c>
      <c r="FF112" s="498">
        <v>0</v>
      </c>
      <c r="FG112" s="498">
        <v>0</v>
      </c>
      <c r="FH112" s="498">
        <v>0</v>
      </c>
      <c r="FI112" s="498">
        <v>0</v>
      </c>
      <c r="FJ112" s="498">
        <v>0</v>
      </c>
      <c r="FK112" s="498">
        <v>0</v>
      </c>
      <c r="FL112" s="498">
        <v>0</v>
      </c>
      <c r="FM112" s="498">
        <v>0</v>
      </c>
      <c r="FN112" s="498">
        <v>0</v>
      </c>
      <c r="FO112" s="498">
        <v>0</v>
      </c>
      <c r="FP112" s="498">
        <v>0</v>
      </c>
      <c r="FQ112" s="498">
        <v>0</v>
      </c>
      <c r="FR112" s="498">
        <v>0</v>
      </c>
      <c r="FS112" s="498">
        <v>0</v>
      </c>
      <c r="FT112" s="498">
        <v>0</v>
      </c>
      <c r="FU112" s="498">
        <v>0</v>
      </c>
      <c r="FV112" s="498">
        <v>0</v>
      </c>
      <c r="FW112" s="498">
        <v>0</v>
      </c>
      <c r="FX112" s="498">
        <v>0</v>
      </c>
      <c r="FY112" s="498">
        <v>0</v>
      </c>
      <c r="FZ112" s="498">
        <v>0</v>
      </c>
      <c r="GA112" s="498">
        <v>0</v>
      </c>
      <c r="GB112" s="498">
        <v>0</v>
      </c>
      <c r="GC112" s="498">
        <v>0</v>
      </c>
      <c r="GD112" s="498">
        <v>0</v>
      </c>
      <c r="GE112" s="498">
        <v>0</v>
      </c>
      <c r="GF112" s="498">
        <v>0</v>
      </c>
      <c r="GG112" s="498">
        <v>0</v>
      </c>
      <c r="GH112" s="498">
        <v>0</v>
      </c>
      <c r="GI112" s="498">
        <v>0</v>
      </c>
      <c r="GJ112" s="498">
        <v>0</v>
      </c>
      <c r="GK112" s="498">
        <v>0</v>
      </c>
      <c r="GL112" s="498">
        <v>0</v>
      </c>
      <c r="GM112" s="498">
        <v>0</v>
      </c>
      <c r="GN112" s="498">
        <v>0</v>
      </c>
      <c r="GO112" s="498">
        <v>0</v>
      </c>
      <c r="GP112" s="498">
        <v>0</v>
      </c>
      <c r="GQ112" s="498">
        <v>0</v>
      </c>
      <c r="GR112" s="498">
        <v>0</v>
      </c>
      <c r="GS112" s="498">
        <v>0</v>
      </c>
      <c r="GT112" s="498">
        <v>0</v>
      </c>
      <c r="GU112" s="498">
        <v>0</v>
      </c>
      <c r="GV112" s="498">
        <v>0</v>
      </c>
      <c r="GW112" s="498">
        <v>0</v>
      </c>
      <c r="GX112" s="498">
        <v>0</v>
      </c>
      <c r="GY112" s="498">
        <v>0</v>
      </c>
      <c r="GZ112" s="498">
        <v>0</v>
      </c>
      <c r="HA112" s="498">
        <v>0</v>
      </c>
      <c r="HB112" s="498">
        <v>0</v>
      </c>
      <c r="HC112" s="498">
        <v>0</v>
      </c>
      <c r="HD112" s="498">
        <v>0</v>
      </c>
      <c r="HE112" s="498">
        <v>0</v>
      </c>
      <c r="HF112" s="498">
        <v>0</v>
      </c>
      <c r="HG112" s="498">
        <v>0</v>
      </c>
      <c r="HH112" s="498">
        <v>0</v>
      </c>
      <c r="HI112" s="498">
        <v>0</v>
      </c>
      <c r="HJ112" s="498">
        <v>0</v>
      </c>
      <c r="HK112" s="498">
        <v>0</v>
      </c>
      <c r="HL112" s="498">
        <v>0</v>
      </c>
      <c r="HM112" s="498">
        <v>0</v>
      </c>
      <c r="HN112" s="498">
        <v>0</v>
      </c>
      <c r="HO112" s="498">
        <v>0</v>
      </c>
      <c r="HP112" s="498">
        <v>0</v>
      </c>
      <c r="HQ112" s="498">
        <v>0</v>
      </c>
      <c r="HR112" s="498">
        <v>0</v>
      </c>
      <c r="HS112" s="498">
        <v>0</v>
      </c>
      <c r="HT112" s="498">
        <v>0</v>
      </c>
      <c r="HU112" s="498">
        <v>0</v>
      </c>
      <c r="HV112" s="498">
        <v>0</v>
      </c>
      <c r="HW112" s="498">
        <v>0</v>
      </c>
      <c r="HX112" s="498">
        <v>0</v>
      </c>
      <c r="HY112" s="498">
        <v>0</v>
      </c>
      <c r="HZ112" s="498">
        <v>0</v>
      </c>
      <c r="IA112" s="498">
        <v>0</v>
      </c>
      <c r="IB112" s="498">
        <v>0</v>
      </c>
      <c r="IC112" s="498">
        <v>0</v>
      </c>
      <c r="ID112" s="498">
        <v>0</v>
      </c>
      <c r="IE112" s="498">
        <v>0</v>
      </c>
      <c r="IF112" s="498">
        <v>0</v>
      </c>
      <c r="IG112" s="498">
        <v>0</v>
      </c>
      <c r="IH112" s="498">
        <v>0</v>
      </c>
      <c r="II112" s="498">
        <v>0</v>
      </c>
      <c r="IJ112" s="498">
        <v>0</v>
      </c>
    </row>
    <row r="113" spans="1:245" ht="16.5" hidden="1">
      <c r="A113" s="484" t="s">
        <v>720</v>
      </c>
      <c r="B113" s="484" t="s">
        <v>617</v>
      </c>
      <c r="C113" s="484" t="s">
        <v>721</v>
      </c>
      <c r="D113" s="485"/>
      <c r="E113" s="484" t="s">
        <v>721</v>
      </c>
      <c r="F113" s="484" t="s">
        <v>25</v>
      </c>
      <c r="G113" s="485"/>
      <c r="H113" s="486">
        <v>62</v>
      </c>
      <c r="I113" s="471" t="str">
        <f t="shared" si="3"/>
        <v>AIJ100162</v>
      </c>
      <c r="J113" s="486">
        <v>376</v>
      </c>
      <c r="L113" s="497" t="s">
        <v>720</v>
      </c>
      <c r="M113" s="497" t="s">
        <v>617</v>
      </c>
      <c r="N113" s="497" t="s">
        <v>25</v>
      </c>
      <c r="O113" s="498">
        <v>27</v>
      </c>
      <c r="P113" s="494" t="str">
        <f t="shared" si="5"/>
        <v>AIJ100127</v>
      </c>
      <c r="Q113" s="498">
        <v>20000</v>
      </c>
      <c r="R113" s="498">
        <v>20000</v>
      </c>
      <c r="S113" s="498">
        <v>20000</v>
      </c>
      <c r="T113" s="498">
        <v>20000</v>
      </c>
      <c r="U113" s="498">
        <v>20000</v>
      </c>
      <c r="V113" s="498">
        <v>20000</v>
      </c>
      <c r="W113" s="498">
        <v>20000</v>
      </c>
      <c r="X113" s="498">
        <v>20000</v>
      </c>
      <c r="Y113" s="498">
        <v>20000</v>
      </c>
      <c r="Z113" s="498">
        <v>20000</v>
      </c>
      <c r="AA113" s="498">
        <v>0</v>
      </c>
      <c r="AB113" s="498">
        <v>0</v>
      </c>
      <c r="AC113" s="498">
        <v>0</v>
      </c>
      <c r="AD113" s="498">
        <v>0</v>
      </c>
      <c r="AE113" s="498">
        <v>0</v>
      </c>
      <c r="AF113" s="498">
        <v>0</v>
      </c>
      <c r="AG113" s="498">
        <v>0</v>
      </c>
      <c r="AH113" s="498">
        <v>0</v>
      </c>
      <c r="AI113" s="498">
        <v>0</v>
      </c>
      <c r="AJ113" s="498">
        <v>0</v>
      </c>
      <c r="AK113" s="498">
        <v>0</v>
      </c>
      <c r="AL113" s="498">
        <v>0</v>
      </c>
      <c r="AM113" s="498">
        <v>0</v>
      </c>
      <c r="AN113" s="498">
        <v>0</v>
      </c>
      <c r="AO113" s="498">
        <v>0</v>
      </c>
      <c r="AP113" s="498">
        <v>0</v>
      </c>
      <c r="AQ113" s="498">
        <v>0</v>
      </c>
      <c r="AR113" s="498">
        <v>0</v>
      </c>
      <c r="AS113" s="498">
        <v>0</v>
      </c>
      <c r="AT113" s="498">
        <v>0</v>
      </c>
      <c r="AU113" s="498">
        <v>0</v>
      </c>
      <c r="AV113" s="498">
        <v>0</v>
      </c>
      <c r="AW113" s="498">
        <v>0</v>
      </c>
      <c r="AX113" s="498">
        <v>0</v>
      </c>
      <c r="AY113" s="498">
        <v>0</v>
      </c>
      <c r="AZ113" s="498">
        <v>0</v>
      </c>
      <c r="BA113" s="498">
        <v>0</v>
      </c>
      <c r="BB113" s="498">
        <v>0</v>
      </c>
      <c r="BC113" s="498">
        <v>0</v>
      </c>
      <c r="BD113" s="498">
        <v>0</v>
      </c>
      <c r="BE113" s="498">
        <v>0</v>
      </c>
      <c r="BF113" s="498">
        <v>0</v>
      </c>
      <c r="BG113" s="498">
        <v>0</v>
      </c>
      <c r="BH113" s="498">
        <v>0</v>
      </c>
      <c r="BI113" s="498">
        <v>0</v>
      </c>
      <c r="BJ113" s="498">
        <v>0</v>
      </c>
      <c r="BK113" s="498">
        <v>0</v>
      </c>
      <c r="BL113" s="498">
        <v>0</v>
      </c>
      <c r="BM113" s="498">
        <v>0</v>
      </c>
      <c r="BN113" s="498">
        <v>0</v>
      </c>
      <c r="BO113" s="498">
        <v>0</v>
      </c>
      <c r="BP113" s="498">
        <v>0</v>
      </c>
      <c r="BQ113" s="498">
        <v>0</v>
      </c>
      <c r="BR113" s="498">
        <v>0</v>
      </c>
      <c r="BS113" s="498">
        <v>0</v>
      </c>
      <c r="BT113" s="498">
        <v>0</v>
      </c>
      <c r="BU113" s="498">
        <v>0</v>
      </c>
      <c r="BV113" s="498">
        <v>0</v>
      </c>
      <c r="BW113" s="498">
        <v>0</v>
      </c>
      <c r="BX113" s="498">
        <v>0</v>
      </c>
      <c r="BY113" s="498">
        <v>0</v>
      </c>
      <c r="BZ113" s="498">
        <v>0</v>
      </c>
      <c r="CA113" s="498">
        <v>0</v>
      </c>
      <c r="CB113" s="498">
        <v>0</v>
      </c>
      <c r="CC113" s="498">
        <v>0</v>
      </c>
      <c r="CD113" s="498">
        <v>0</v>
      </c>
      <c r="CE113" s="498">
        <v>0</v>
      </c>
      <c r="CF113" s="498">
        <v>0</v>
      </c>
      <c r="CG113" s="498">
        <v>0</v>
      </c>
      <c r="CH113" s="498">
        <v>0</v>
      </c>
      <c r="CI113" s="498">
        <v>0</v>
      </c>
      <c r="CJ113" s="498">
        <v>0</v>
      </c>
      <c r="CK113" s="498">
        <v>0</v>
      </c>
      <c r="CL113" s="498">
        <v>0</v>
      </c>
      <c r="CM113" s="498">
        <v>0</v>
      </c>
      <c r="CN113" s="498">
        <v>0</v>
      </c>
      <c r="CO113" s="498">
        <v>0</v>
      </c>
      <c r="CP113" s="498">
        <v>0</v>
      </c>
      <c r="CQ113" s="498">
        <v>0</v>
      </c>
      <c r="CR113" s="498">
        <v>0</v>
      </c>
      <c r="CS113" s="498">
        <v>0</v>
      </c>
      <c r="CT113" s="498">
        <v>0</v>
      </c>
      <c r="CU113" s="498">
        <v>0</v>
      </c>
      <c r="CV113" s="498">
        <v>0</v>
      </c>
      <c r="CW113" s="498">
        <v>0</v>
      </c>
      <c r="CX113" s="498">
        <v>0</v>
      </c>
      <c r="CY113" s="498">
        <v>0</v>
      </c>
      <c r="CZ113" s="498">
        <v>0</v>
      </c>
      <c r="DA113" s="498">
        <v>0</v>
      </c>
      <c r="DB113" s="498">
        <v>0</v>
      </c>
      <c r="DC113" s="498">
        <v>0</v>
      </c>
      <c r="DD113" s="498">
        <v>0</v>
      </c>
      <c r="DE113" s="498">
        <v>0</v>
      </c>
      <c r="DF113" s="498">
        <v>0</v>
      </c>
      <c r="DG113" s="498">
        <v>0</v>
      </c>
      <c r="DH113" s="498">
        <v>0</v>
      </c>
      <c r="DI113" s="498">
        <v>0</v>
      </c>
      <c r="DJ113" s="498">
        <v>0</v>
      </c>
      <c r="DK113" s="498">
        <v>0</v>
      </c>
      <c r="DL113" s="498">
        <v>0</v>
      </c>
      <c r="DM113" s="498">
        <v>0</v>
      </c>
      <c r="DN113" s="498">
        <v>0</v>
      </c>
      <c r="DO113" s="498">
        <v>0</v>
      </c>
      <c r="DP113" s="498">
        <v>0</v>
      </c>
      <c r="DQ113" s="498">
        <v>0</v>
      </c>
      <c r="DR113" s="498">
        <v>0</v>
      </c>
      <c r="DS113" s="498">
        <v>0</v>
      </c>
      <c r="DT113" s="498">
        <v>0</v>
      </c>
      <c r="DU113" s="498">
        <v>0</v>
      </c>
      <c r="DV113" s="498">
        <v>0</v>
      </c>
      <c r="DW113" s="498">
        <v>0</v>
      </c>
      <c r="DX113" s="477"/>
      <c r="DY113" s="497" t="s">
        <v>720</v>
      </c>
      <c r="DZ113" s="497" t="s">
        <v>617</v>
      </c>
      <c r="EA113" s="497" t="s">
        <v>25</v>
      </c>
      <c r="EB113" s="498">
        <v>27</v>
      </c>
      <c r="EC113" s="494" t="str">
        <f t="shared" si="6"/>
        <v>AIJ100127</v>
      </c>
      <c r="ED113" s="498">
        <v>0</v>
      </c>
      <c r="EE113" s="498">
        <v>258</v>
      </c>
      <c r="EF113" s="498">
        <v>558</v>
      </c>
      <c r="EG113" s="498">
        <v>923</v>
      </c>
      <c r="EH113" s="498">
        <v>1429</v>
      </c>
      <c r="EI113" s="498">
        <v>1961</v>
      </c>
      <c r="EJ113" s="498">
        <v>2846</v>
      </c>
      <c r="EK113" s="498">
        <v>3962</v>
      </c>
      <c r="EL113" s="498">
        <v>5625</v>
      </c>
      <c r="EM113" s="498">
        <v>0</v>
      </c>
      <c r="EN113" s="498">
        <v>0</v>
      </c>
      <c r="EO113" s="498">
        <v>0</v>
      </c>
      <c r="EP113" s="498">
        <v>0</v>
      </c>
      <c r="EQ113" s="498">
        <v>0</v>
      </c>
      <c r="ER113" s="498">
        <v>0</v>
      </c>
      <c r="ES113" s="498">
        <v>0</v>
      </c>
      <c r="ET113" s="498">
        <v>0</v>
      </c>
      <c r="EU113" s="498">
        <v>0</v>
      </c>
      <c r="EV113" s="498">
        <v>0</v>
      </c>
      <c r="EW113" s="498">
        <v>0</v>
      </c>
      <c r="EX113" s="498">
        <v>0</v>
      </c>
      <c r="EY113" s="498">
        <v>0</v>
      </c>
      <c r="EZ113" s="498">
        <v>0</v>
      </c>
      <c r="FA113" s="498">
        <v>0</v>
      </c>
      <c r="FB113" s="498">
        <v>0</v>
      </c>
      <c r="FC113" s="498">
        <v>0</v>
      </c>
      <c r="FD113" s="498">
        <v>0</v>
      </c>
      <c r="FE113" s="498">
        <v>0</v>
      </c>
      <c r="FF113" s="498">
        <v>0</v>
      </c>
      <c r="FG113" s="498">
        <v>0</v>
      </c>
      <c r="FH113" s="498">
        <v>0</v>
      </c>
      <c r="FI113" s="498">
        <v>0</v>
      </c>
      <c r="FJ113" s="498">
        <v>0</v>
      </c>
      <c r="FK113" s="498">
        <v>0</v>
      </c>
      <c r="FL113" s="498">
        <v>0</v>
      </c>
      <c r="FM113" s="498">
        <v>0</v>
      </c>
      <c r="FN113" s="498">
        <v>0</v>
      </c>
      <c r="FO113" s="498">
        <v>0</v>
      </c>
      <c r="FP113" s="498">
        <v>0</v>
      </c>
      <c r="FQ113" s="498">
        <v>0</v>
      </c>
      <c r="FR113" s="498">
        <v>0</v>
      </c>
      <c r="FS113" s="498">
        <v>0</v>
      </c>
      <c r="FT113" s="498">
        <v>0</v>
      </c>
      <c r="FU113" s="498">
        <v>0</v>
      </c>
      <c r="FV113" s="498">
        <v>0</v>
      </c>
      <c r="FW113" s="498">
        <v>0</v>
      </c>
      <c r="FX113" s="498">
        <v>0</v>
      </c>
      <c r="FY113" s="498">
        <v>0</v>
      </c>
      <c r="FZ113" s="498">
        <v>0</v>
      </c>
      <c r="GA113" s="498">
        <v>0</v>
      </c>
      <c r="GB113" s="498">
        <v>0</v>
      </c>
      <c r="GC113" s="498">
        <v>0</v>
      </c>
      <c r="GD113" s="498">
        <v>0</v>
      </c>
      <c r="GE113" s="498">
        <v>0</v>
      </c>
      <c r="GF113" s="498">
        <v>0</v>
      </c>
      <c r="GG113" s="498">
        <v>0</v>
      </c>
      <c r="GH113" s="498">
        <v>0</v>
      </c>
      <c r="GI113" s="498">
        <v>0</v>
      </c>
      <c r="GJ113" s="498">
        <v>0</v>
      </c>
      <c r="GK113" s="498">
        <v>0</v>
      </c>
      <c r="GL113" s="498">
        <v>0</v>
      </c>
      <c r="GM113" s="498">
        <v>0</v>
      </c>
      <c r="GN113" s="498">
        <v>0</v>
      </c>
      <c r="GO113" s="498">
        <v>0</v>
      </c>
      <c r="GP113" s="498">
        <v>0</v>
      </c>
      <c r="GQ113" s="498">
        <v>0</v>
      </c>
      <c r="GR113" s="498">
        <v>0</v>
      </c>
      <c r="GS113" s="498">
        <v>0</v>
      </c>
      <c r="GT113" s="498">
        <v>0</v>
      </c>
      <c r="GU113" s="498">
        <v>0</v>
      </c>
      <c r="GV113" s="498">
        <v>0</v>
      </c>
      <c r="GW113" s="498">
        <v>0</v>
      </c>
      <c r="GX113" s="498">
        <v>0</v>
      </c>
      <c r="GY113" s="498">
        <v>0</v>
      </c>
      <c r="GZ113" s="498">
        <v>0</v>
      </c>
      <c r="HA113" s="498">
        <v>0</v>
      </c>
      <c r="HB113" s="498">
        <v>0</v>
      </c>
      <c r="HC113" s="498">
        <v>0</v>
      </c>
      <c r="HD113" s="498">
        <v>0</v>
      </c>
      <c r="HE113" s="498">
        <v>0</v>
      </c>
      <c r="HF113" s="498">
        <v>0</v>
      </c>
      <c r="HG113" s="498">
        <v>0</v>
      </c>
      <c r="HH113" s="498">
        <v>0</v>
      </c>
      <c r="HI113" s="498">
        <v>0</v>
      </c>
      <c r="HJ113" s="498">
        <v>0</v>
      </c>
      <c r="HK113" s="498">
        <v>0</v>
      </c>
      <c r="HL113" s="498">
        <v>0</v>
      </c>
      <c r="HM113" s="498">
        <v>0</v>
      </c>
      <c r="HN113" s="498">
        <v>0</v>
      </c>
      <c r="HO113" s="498">
        <v>0</v>
      </c>
      <c r="HP113" s="498">
        <v>0</v>
      </c>
      <c r="HQ113" s="498">
        <v>0</v>
      </c>
      <c r="HR113" s="498">
        <v>0</v>
      </c>
      <c r="HS113" s="498">
        <v>0</v>
      </c>
      <c r="HT113" s="498">
        <v>0</v>
      </c>
      <c r="HU113" s="498">
        <v>0</v>
      </c>
      <c r="HV113" s="498">
        <v>0</v>
      </c>
      <c r="HW113" s="498">
        <v>0</v>
      </c>
      <c r="HX113" s="498">
        <v>0</v>
      </c>
      <c r="HY113" s="498">
        <v>0</v>
      </c>
      <c r="HZ113" s="498">
        <v>0</v>
      </c>
      <c r="IA113" s="498">
        <v>0</v>
      </c>
      <c r="IB113" s="498">
        <v>0</v>
      </c>
      <c r="IC113" s="498">
        <v>0</v>
      </c>
      <c r="ID113" s="498">
        <v>0</v>
      </c>
      <c r="IE113" s="498">
        <v>0</v>
      </c>
      <c r="IF113" s="498">
        <v>0</v>
      </c>
      <c r="IG113" s="498">
        <v>0</v>
      </c>
      <c r="IH113" s="498">
        <v>0</v>
      </c>
      <c r="II113" s="498">
        <v>0</v>
      </c>
      <c r="IJ113" s="498">
        <v>0</v>
      </c>
    </row>
    <row r="114" spans="1:245" ht="16.5" hidden="1">
      <c r="A114" s="484" t="s">
        <v>720</v>
      </c>
      <c r="B114" s="484" t="s">
        <v>617</v>
      </c>
      <c r="C114" s="484" t="s">
        <v>721</v>
      </c>
      <c r="D114" s="485"/>
      <c r="E114" s="484" t="s">
        <v>721</v>
      </c>
      <c r="F114" s="484" t="s">
        <v>25</v>
      </c>
      <c r="G114" s="485"/>
      <c r="H114" s="486">
        <v>63</v>
      </c>
      <c r="I114" s="471" t="str">
        <f t="shared" si="3"/>
        <v>AIJ100163</v>
      </c>
      <c r="J114" s="486">
        <v>406</v>
      </c>
      <c r="L114" s="497" t="s">
        <v>720</v>
      </c>
      <c r="M114" s="497" t="s">
        <v>617</v>
      </c>
      <c r="N114" s="497" t="s">
        <v>25</v>
      </c>
      <c r="O114" s="498">
        <v>28</v>
      </c>
      <c r="P114" s="494" t="str">
        <f t="shared" si="5"/>
        <v>AIJ100128</v>
      </c>
      <c r="Q114" s="498">
        <v>20000</v>
      </c>
      <c r="R114" s="498">
        <v>20000</v>
      </c>
      <c r="S114" s="498">
        <v>20000</v>
      </c>
      <c r="T114" s="498">
        <v>20000</v>
      </c>
      <c r="U114" s="498">
        <v>20000</v>
      </c>
      <c r="V114" s="498">
        <v>20000</v>
      </c>
      <c r="W114" s="498">
        <v>20000</v>
      </c>
      <c r="X114" s="498">
        <v>20000</v>
      </c>
      <c r="Y114" s="498">
        <v>20000</v>
      </c>
      <c r="Z114" s="498">
        <v>20000</v>
      </c>
      <c r="AA114" s="498">
        <v>0</v>
      </c>
      <c r="AB114" s="498">
        <v>0</v>
      </c>
      <c r="AC114" s="498">
        <v>0</v>
      </c>
      <c r="AD114" s="498">
        <v>0</v>
      </c>
      <c r="AE114" s="498">
        <v>0</v>
      </c>
      <c r="AF114" s="498">
        <v>0</v>
      </c>
      <c r="AG114" s="498">
        <v>0</v>
      </c>
      <c r="AH114" s="498">
        <v>0</v>
      </c>
      <c r="AI114" s="498">
        <v>0</v>
      </c>
      <c r="AJ114" s="498">
        <v>0</v>
      </c>
      <c r="AK114" s="498">
        <v>0</v>
      </c>
      <c r="AL114" s="498">
        <v>0</v>
      </c>
      <c r="AM114" s="498">
        <v>0</v>
      </c>
      <c r="AN114" s="498">
        <v>0</v>
      </c>
      <c r="AO114" s="498">
        <v>0</v>
      </c>
      <c r="AP114" s="498">
        <v>0</v>
      </c>
      <c r="AQ114" s="498">
        <v>0</v>
      </c>
      <c r="AR114" s="498">
        <v>0</v>
      </c>
      <c r="AS114" s="498">
        <v>0</v>
      </c>
      <c r="AT114" s="498">
        <v>0</v>
      </c>
      <c r="AU114" s="498">
        <v>0</v>
      </c>
      <c r="AV114" s="498">
        <v>0</v>
      </c>
      <c r="AW114" s="498">
        <v>0</v>
      </c>
      <c r="AX114" s="498">
        <v>0</v>
      </c>
      <c r="AY114" s="498">
        <v>0</v>
      </c>
      <c r="AZ114" s="498">
        <v>0</v>
      </c>
      <c r="BA114" s="498">
        <v>0</v>
      </c>
      <c r="BB114" s="498">
        <v>0</v>
      </c>
      <c r="BC114" s="498">
        <v>0</v>
      </c>
      <c r="BD114" s="498">
        <v>0</v>
      </c>
      <c r="BE114" s="498">
        <v>0</v>
      </c>
      <c r="BF114" s="498">
        <v>0</v>
      </c>
      <c r="BG114" s="498">
        <v>0</v>
      </c>
      <c r="BH114" s="498">
        <v>0</v>
      </c>
      <c r="BI114" s="498">
        <v>0</v>
      </c>
      <c r="BJ114" s="498">
        <v>0</v>
      </c>
      <c r="BK114" s="498">
        <v>0</v>
      </c>
      <c r="BL114" s="498">
        <v>0</v>
      </c>
      <c r="BM114" s="498">
        <v>0</v>
      </c>
      <c r="BN114" s="498">
        <v>0</v>
      </c>
      <c r="BO114" s="498">
        <v>0</v>
      </c>
      <c r="BP114" s="498">
        <v>0</v>
      </c>
      <c r="BQ114" s="498">
        <v>0</v>
      </c>
      <c r="BR114" s="498">
        <v>0</v>
      </c>
      <c r="BS114" s="498">
        <v>0</v>
      </c>
      <c r="BT114" s="498">
        <v>0</v>
      </c>
      <c r="BU114" s="498">
        <v>0</v>
      </c>
      <c r="BV114" s="498">
        <v>0</v>
      </c>
      <c r="BW114" s="498">
        <v>0</v>
      </c>
      <c r="BX114" s="498">
        <v>0</v>
      </c>
      <c r="BY114" s="498">
        <v>0</v>
      </c>
      <c r="BZ114" s="498">
        <v>0</v>
      </c>
      <c r="CA114" s="498">
        <v>0</v>
      </c>
      <c r="CB114" s="498">
        <v>0</v>
      </c>
      <c r="CC114" s="498">
        <v>0</v>
      </c>
      <c r="CD114" s="498">
        <v>0</v>
      </c>
      <c r="CE114" s="498">
        <v>0</v>
      </c>
      <c r="CF114" s="498">
        <v>0</v>
      </c>
      <c r="CG114" s="498">
        <v>0</v>
      </c>
      <c r="CH114" s="498">
        <v>0</v>
      </c>
      <c r="CI114" s="498">
        <v>0</v>
      </c>
      <c r="CJ114" s="498">
        <v>0</v>
      </c>
      <c r="CK114" s="498">
        <v>0</v>
      </c>
      <c r="CL114" s="498">
        <v>0</v>
      </c>
      <c r="CM114" s="498">
        <v>0</v>
      </c>
      <c r="CN114" s="498">
        <v>0</v>
      </c>
      <c r="CO114" s="498">
        <v>0</v>
      </c>
      <c r="CP114" s="498">
        <v>0</v>
      </c>
      <c r="CQ114" s="498">
        <v>0</v>
      </c>
      <c r="CR114" s="498">
        <v>0</v>
      </c>
      <c r="CS114" s="498">
        <v>0</v>
      </c>
      <c r="CT114" s="498">
        <v>0</v>
      </c>
      <c r="CU114" s="498">
        <v>0</v>
      </c>
      <c r="CV114" s="498">
        <v>0</v>
      </c>
      <c r="CW114" s="498">
        <v>0</v>
      </c>
      <c r="CX114" s="498">
        <v>0</v>
      </c>
      <c r="CY114" s="498">
        <v>0</v>
      </c>
      <c r="CZ114" s="498">
        <v>0</v>
      </c>
      <c r="DA114" s="498">
        <v>0</v>
      </c>
      <c r="DB114" s="498">
        <v>0</v>
      </c>
      <c r="DC114" s="498">
        <v>0</v>
      </c>
      <c r="DD114" s="498">
        <v>0</v>
      </c>
      <c r="DE114" s="498">
        <v>0</v>
      </c>
      <c r="DF114" s="498">
        <v>0</v>
      </c>
      <c r="DG114" s="498">
        <v>0</v>
      </c>
      <c r="DH114" s="498">
        <v>0</v>
      </c>
      <c r="DI114" s="498">
        <v>0</v>
      </c>
      <c r="DJ114" s="498">
        <v>0</v>
      </c>
      <c r="DK114" s="498">
        <v>0</v>
      </c>
      <c r="DL114" s="498">
        <v>0</v>
      </c>
      <c r="DM114" s="498">
        <v>0</v>
      </c>
      <c r="DN114" s="498">
        <v>0</v>
      </c>
      <c r="DO114" s="498">
        <v>0</v>
      </c>
      <c r="DP114" s="498">
        <v>0</v>
      </c>
      <c r="DQ114" s="498">
        <v>0</v>
      </c>
      <c r="DR114" s="498">
        <v>0</v>
      </c>
      <c r="DS114" s="498">
        <v>0</v>
      </c>
      <c r="DT114" s="498">
        <v>0</v>
      </c>
      <c r="DU114" s="498">
        <v>0</v>
      </c>
      <c r="DV114" s="498">
        <v>0</v>
      </c>
      <c r="DW114" s="498">
        <v>0</v>
      </c>
      <c r="DX114" s="477"/>
      <c r="DY114" s="497" t="s">
        <v>720</v>
      </c>
      <c r="DZ114" s="497" t="s">
        <v>617</v>
      </c>
      <c r="EA114" s="497" t="s">
        <v>25</v>
      </c>
      <c r="EB114" s="498">
        <v>28</v>
      </c>
      <c r="EC114" s="494" t="str">
        <f t="shared" si="6"/>
        <v>AIJ100128</v>
      </c>
      <c r="ED114" s="498">
        <v>0</v>
      </c>
      <c r="EE114" s="498">
        <v>289</v>
      </c>
      <c r="EF114" s="498">
        <v>583</v>
      </c>
      <c r="EG114" s="498">
        <v>936</v>
      </c>
      <c r="EH114" s="498">
        <v>1436</v>
      </c>
      <c r="EI114" s="498">
        <v>1950</v>
      </c>
      <c r="EJ114" s="498">
        <v>2741</v>
      </c>
      <c r="EK114" s="498">
        <v>4037</v>
      </c>
      <c r="EL114" s="498">
        <v>5663</v>
      </c>
      <c r="EM114" s="498">
        <v>0</v>
      </c>
      <c r="EN114" s="498">
        <v>0</v>
      </c>
      <c r="EO114" s="498">
        <v>0</v>
      </c>
      <c r="EP114" s="498">
        <v>0</v>
      </c>
      <c r="EQ114" s="498">
        <v>0</v>
      </c>
      <c r="ER114" s="498">
        <v>0</v>
      </c>
      <c r="ES114" s="498">
        <v>0</v>
      </c>
      <c r="ET114" s="498">
        <v>0</v>
      </c>
      <c r="EU114" s="498">
        <v>0</v>
      </c>
      <c r="EV114" s="498">
        <v>0</v>
      </c>
      <c r="EW114" s="498">
        <v>0</v>
      </c>
      <c r="EX114" s="498">
        <v>0</v>
      </c>
      <c r="EY114" s="498">
        <v>0</v>
      </c>
      <c r="EZ114" s="498">
        <v>0</v>
      </c>
      <c r="FA114" s="498">
        <v>0</v>
      </c>
      <c r="FB114" s="498">
        <v>0</v>
      </c>
      <c r="FC114" s="498">
        <v>0</v>
      </c>
      <c r="FD114" s="498">
        <v>0</v>
      </c>
      <c r="FE114" s="498">
        <v>0</v>
      </c>
      <c r="FF114" s="498">
        <v>0</v>
      </c>
      <c r="FG114" s="498">
        <v>0</v>
      </c>
      <c r="FH114" s="498">
        <v>0</v>
      </c>
      <c r="FI114" s="498">
        <v>0</v>
      </c>
      <c r="FJ114" s="498">
        <v>0</v>
      </c>
      <c r="FK114" s="498">
        <v>0</v>
      </c>
      <c r="FL114" s="498">
        <v>0</v>
      </c>
      <c r="FM114" s="498">
        <v>0</v>
      </c>
      <c r="FN114" s="498">
        <v>0</v>
      </c>
      <c r="FO114" s="498">
        <v>0</v>
      </c>
      <c r="FP114" s="498">
        <v>0</v>
      </c>
      <c r="FQ114" s="498">
        <v>0</v>
      </c>
      <c r="FR114" s="498">
        <v>0</v>
      </c>
      <c r="FS114" s="498">
        <v>0</v>
      </c>
      <c r="FT114" s="498">
        <v>0</v>
      </c>
      <c r="FU114" s="498">
        <v>0</v>
      </c>
      <c r="FV114" s="498">
        <v>0</v>
      </c>
      <c r="FW114" s="498">
        <v>0</v>
      </c>
      <c r="FX114" s="498">
        <v>0</v>
      </c>
      <c r="FY114" s="498">
        <v>0</v>
      </c>
      <c r="FZ114" s="498">
        <v>0</v>
      </c>
      <c r="GA114" s="498">
        <v>0</v>
      </c>
      <c r="GB114" s="498">
        <v>0</v>
      </c>
      <c r="GC114" s="498">
        <v>0</v>
      </c>
      <c r="GD114" s="498">
        <v>0</v>
      </c>
      <c r="GE114" s="498">
        <v>0</v>
      </c>
      <c r="GF114" s="498">
        <v>0</v>
      </c>
      <c r="GG114" s="498">
        <v>0</v>
      </c>
      <c r="GH114" s="498">
        <v>0</v>
      </c>
      <c r="GI114" s="498">
        <v>0</v>
      </c>
      <c r="GJ114" s="498">
        <v>0</v>
      </c>
      <c r="GK114" s="498">
        <v>0</v>
      </c>
      <c r="GL114" s="498">
        <v>0</v>
      </c>
      <c r="GM114" s="498">
        <v>0</v>
      </c>
      <c r="GN114" s="498">
        <v>0</v>
      </c>
      <c r="GO114" s="498">
        <v>0</v>
      </c>
      <c r="GP114" s="498">
        <v>0</v>
      </c>
      <c r="GQ114" s="498">
        <v>0</v>
      </c>
      <c r="GR114" s="498">
        <v>0</v>
      </c>
      <c r="GS114" s="498">
        <v>0</v>
      </c>
      <c r="GT114" s="498">
        <v>0</v>
      </c>
      <c r="GU114" s="498">
        <v>0</v>
      </c>
      <c r="GV114" s="498">
        <v>0</v>
      </c>
      <c r="GW114" s="498">
        <v>0</v>
      </c>
      <c r="GX114" s="498">
        <v>0</v>
      </c>
      <c r="GY114" s="498">
        <v>0</v>
      </c>
      <c r="GZ114" s="498">
        <v>0</v>
      </c>
      <c r="HA114" s="498">
        <v>0</v>
      </c>
      <c r="HB114" s="498">
        <v>0</v>
      </c>
      <c r="HC114" s="498">
        <v>0</v>
      </c>
      <c r="HD114" s="498">
        <v>0</v>
      </c>
      <c r="HE114" s="498">
        <v>0</v>
      </c>
      <c r="HF114" s="498">
        <v>0</v>
      </c>
      <c r="HG114" s="498">
        <v>0</v>
      </c>
      <c r="HH114" s="498">
        <v>0</v>
      </c>
      <c r="HI114" s="498">
        <v>0</v>
      </c>
      <c r="HJ114" s="498">
        <v>0</v>
      </c>
      <c r="HK114" s="498">
        <v>0</v>
      </c>
      <c r="HL114" s="498">
        <v>0</v>
      </c>
      <c r="HM114" s="498">
        <v>0</v>
      </c>
      <c r="HN114" s="498">
        <v>0</v>
      </c>
      <c r="HO114" s="498">
        <v>0</v>
      </c>
      <c r="HP114" s="498">
        <v>0</v>
      </c>
      <c r="HQ114" s="498">
        <v>0</v>
      </c>
      <c r="HR114" s="498">
        <v>0</v>
      </c>
      <c r="HS114" s="498">
        <v>0</v>
      </c>
      <c r="HT114" s="498">
        <v>0</v>
      </c>
      <c r="HU114" s="498">
        <v>0</v>
      </c>
      <c r="HV114" s="498">
        <v>0</v>
      </c>
      <c r="HW114" s="498">
        <v>0</v>
      </c>
      <c r="HX114" s="498">
        <v>0</v>
      </c>
      <c r="HY114" s="498">
        <v>0</v>
      </c>
      <c r="HZ114" s="498">
        <v>0</v>
      </c>
      <c r="IA114" s="498">
        <v>0</v>
      </c>
      <c r="IB114" s="498">
        <v>0</v>
      </c>
      <c r="IC114" s="498">
        <v>0</v>
      </c>
      <c r="ID114" s="498">
        <v>0</v>
      </c>
      <c r="IE114" s="498">
        <v>0</v>
      </c>
      <c r="IF114" s="498">
        <v>0</v>
      </c>
      <c r="IG114" s="498">
        <v>0</v>
      </c>
      <c r="IH114" s="498">
        <v>0</v>
      </c>
      <c r="II114" s="498">
        <v>0</v>
      </c>
      <c r="IJ114" s="498">
        <v>0</v>
      </c>
    </row>
    <row r="115" spans="1:245" ht="16.5" hidden="1">
      <c r="A115" s="484" t="s">
        <v>720</v>
      </c>
      <c r="B115" s="484" t="s">
        <v>617</v>
      </c>
      <c r="C115" s="484" t="s">
        <v>721</v>
      </c>
      <c r="D115" s="485"/>
      <c r="E115" s="484" t="s">
        <v>721</v>
      </c>
      <c r="F115" s="484" t="s">
        <v>25</v>
      </c>
      <c r="G115" s="485"/>
      <c r="H115" s="486">
        <v>64</v>
      </c>
      <c r="I115" s="471" t="str">
        <f t="shared" si="3"/>
        <v>AIJ100164</v>
      </c>
      <c r="J115" s="486">
        <v>435</v>
      </c>
      <c r="L115" s="497" t="s">
        <v>720</v>
      </c>
      <c r="M115" s="497" t="s">
        <v>617</v>
      </c>
      <c r="N115" s="497" t="s">
        <v>25</v>
      </c>
      <c r="O115" s="498">
        <v>29</v>
      </c>
      <c r="P115" s="494" t="str">
        <f t="shared" si="5"/>
        <v>AIJ100129</v>
      </c>
      <c r="Q115" s="498">
        <v>20000</v>
      </c>
      <c r="R115" s="498">
        <v>20000</v>
      </c>
      <c r="S115" s="498">
        <v>20000</v>
      </c>
      <c r="T115" s="498">
        <v>20000</v>
      </c>
      <c r="U115" s="498">
        <v>20000</v>
      </c>
      <c r="V115" s="498">
        <v>20000</v>
      </c>
      <c r="W115" s="498">
        <v>20000</v>
      </c>
      <c r="X115" s="498">
        <v>20000</v>
      </c>
      <c r="Y115" s="498">
        <v>20000</v>
      </c>
      <c r="Z115" s="498">
        <v>20000</v>
      </c>
      <c r="AA115" s="498">
        <v>0</v>
      </c>
      <c r="AB115" s="498">
        <v>0</v>
      </c>
      <c r="AC115" s="498">
        <v>0</v>
      </c>
      <c r="AD115" s="498">
        <v>0</v>
      </c>
      <c r="AE115" s="498">
        <v>0</v>
      </c>
      <c r="AF115" s="498">
        <v>0</v>
      </c>
      <c r="AG115" s="498">
        <v>0</v>
      </c>
      <c r="AH115" s="498">
        <v>0</v>
      </c>
      <c r="AI115" s="498">
        <v>0</v>
      </c>
      <c r="AJ115" s="498">
        <v>0</v>
      </c>
      <c r="AK115" s="498">
        <v>0</v>
      </c>
      <c r="AL115" s="498">
        <v>0</v>
      </c>
      <c r="AM115" s="498">
        <v>0</v>
      </c>
      <c r="AN115" s="498">
        <v>0</v>
      </c>
      <c r="AO115" s="498">
        <v>0</v>
      </c>
      <c r="AP115" s="498">
        <v>0</v>
      </c>
      <c r="AQ115" s="498">
        <v>0</v>
      </c>
      <c r="AR115" s="498">
        <v>0</v>
      </c>
      <c r="AS115" s="498">
        <v>0</v>
      </c>
      <c r="AT115" s="498">
        <v>0</v>
      </c>
      <c r="AU115" s="498">
        <v>0</v>
      </c>
      <c r="AV115" s="498">
        <v>0</v>
      </c>
      <c r="AW115" s="498">
        <v>0</v>
      </c>
      <c r="AX115" s="498">
        <v>0</v>
      </c>
      <c r="AY115" s="498">
        <v>0</v>
      </c>
      <c r="AZ115" s="498">
        <v>0</v>
      </c>
      <c r="BA115" s="498">
        <v>0</v>
      </c>
      <c r="BB115" s="498">
        <v>0</v>
      </c>
      <c r="BC115" s="498">
        <v>0</v>
      </c>
      <c r="BD115" s="498">
        <v>0</v>
      </c>
      <c r="BE115" s="498">
        <v>0</v>
      </c>
      <c r="BF115" s="498">
        <v>0</v>
      </c>
      <c r="BG115" s="498">
        <v>0</v>
      </c>
      <c r="BH115" s="498">
        <v>0</v>
      </c>
      <c r="BI115" s="498">
        <v>0</v>
      </c>
      <c r="BJ115" s="498">
        <v>0</v>
      </c>
      <c r="BK115" s="498">
        <v>0</v>
      </c>
      <c r="BL115" s="498">
        <v>0</v>
      </c>
      <c r="BM115" s="498">
        <v>0</v>
      </c>
      <c r="BN115" s="498">
        <v>0</v>
      </c>
      <c r="BO115" s="498">
        <v>0</v>
      </c>
      <c r="BP115" s="498">
        <v>0</v>
      </c>
      <c r="BQ115" s="498">
        <v>0</v>
      </c>
      <c r="BR115" s="498">
        <v>0</v>
      </c>
      <c r="BS115" s="498">
        <v>0</v>
      </c>
      <c r="BT115" s="498">
        <v>0</v>
      </c>
      <c r="BU115" s="498">
        <v>0</v>
      </c>
      <c r="BV115" s="498">
        <v>0</v>
      </c>
      <c r="BW115" s="498">
        <v>0</v>
      </c>
      <c r="BX115" s="498">
        <v>0</v>
      </c>
      <c r="BY115" s="498">
        <v>0</v>
      </c>
      <c r="BZ115" s="498">
        <v>0</v>
      </c>
      <c r="CA115" s="498">
        <v>0</v>
      </c>
      <c r="CB115" s="498">
        <v>0</v>
      </c>
      <c r="CC115" s="498">
        <v>0</v>
      </c>
      <c r="CD115" s="498">
        <v>0</v>
      </c>
      <c r="CE115" s="498">
        <v>0</v>
      </c>
      <c r="CF115" s="498">
        <v>0</v>
      </c>
      <c r="CG115" s="498">
        <v>0</v>
      </c>
      <c r="CH115" s="498">
        <v>0</v>
      </c>
      <c r="CI115" s="498">
        <v>0</v>
      </c>
      <c r="CJ115" s="498">
        <v>0</v>
      </c>
      <c r="CK115" s="498">
        <v>0</v>
      </c>
      <c r="CL115" s="498">
        <v>0</v>
      </c>
      <c r="CM115" s="498">
        <v>0</v>
      </c>
      <c r="CN115" s="498">
        <v>0</v>
      </c>
      <c r="CO115" s="498">
        <v>0</v>
      </c>
      <c r="CP115" s="498">
        <v>0</v>
      </c>
      <c r="CQ115" s="498">
        <v>0</v>
      </c>
      <c r="CR115" s="498">
        <v>0</v>
      </c>
      <c r="CS115" s="498">
        <v>0</v>
      </c>
      <c r="CT115" s="498">
        <v>0</v>
      </c>
      <c r="CU115" s="498">
        <v>0</v>
      </c>
      <c r="CV115" s="498">
        <v>0</v>
      </c>
      <c r="CW115" s="498">
        <v>0</v>
      </c>
      <c r="CX115" s="498">
        <v>0</v>
      </c>
      <c r="CY115" s="498">
        <v>0</v>
      </c>
      <c r="CZ115" s="498">
        <v>0</v>
      </c>
      <c r="DA115" s="498">
        <v>0</v>
      </c>
      <c r="DB115" s="498">
        <v>0</v>
      </c>
      <c r="DC115" s="498">
        <v>0</v>
      </c>
      <c r="DD115" s="498">
        <v>0</v>
      </c>
      <c r="DE115" s="498">
        <v>0</v>
      </c>
      <c r="DF115" s="498">
        <v>0</v>
      </c>
      <c r="DG115" s="498">
        <v>0</v>
      </c>
      <c r="DH115" s="498">
        <v>0</v>
      </c>
      <c r="DI115" s="498">
        <v>0</v>
      </c>
      <c r="DJ115" s="498">
        <v>0</v>
      </c>
      <c r="DK115" s="498">
        <v>0</v>
      </c>
      <c r="DL115" s="498">
        <v>0</v>
      </c>
      <c r="DM115" s="498">
        <v>0</v>
      </c>
      <c r="DN115" s="498">
        <v>0</v>
      </c>
      <c r="DO115" s="498">
        <v>0</v>
      </c>
      <c r="DP115" s="498">
        <v>0</v>
      </c>
      <c r="DQ115" s="498">
        <v>0</v>
      </c>
      <c r="DR115" s="498">
        <v>0</v>
      </c>
      <c r="DS115" s="498">
        <v>0</v>
      </c>
      <c r="DT115" s="498">
        <v>0</v>
      </c>
      <c r="DU115" s="498">
        <v>0</v>
      </c>
      <c r="DV115" s="498">
        <v>0</v>
      </c>
      <c r="DW115" s="498">
        <v>0</v>
      </c>
      <c r="DX115" s="477"/>
      <c r="DY115" s="497" t="s">
        <v>720</v>
      </c>
      <c r="DZ115" s="497" t="s">
        <v>617</v>
      </c>
      <c r="EA115" s="497" t="s">
        <v>25</v>
      </c>
      <c r="EB115" s="498">
        <v>29</v>
      </c>
      <c r="EC115" s="494" t="str">
        <f t="shared" si="6"/>
        <v>AIJ100129</v>
      </c>
      <c r="ED115" s="498">
        <v>0</v>
      </c>
      <c r="EE115" s="498">
        <v>319</v>
      </c>
      <c r="EF115" s="498">
        <v>603</v>
      </c>
      <c r="EG115" s="498">
        <v>948</v>
      </c>
      <c r="EH115" s="498">
        <v>1481</v>
      </c>
      <c r="EI115" s="498">
        <v>1988</v>
      </c>
      <c r="EJ115" s="498">
        <v>2837</v>
      </c>
      <c r="EK115" s="498">
        <v>4035</v>
      </c>
      <c r="EL115" s="498">
        <v>5698</v>
      </c>
      <c r="EM115" s="498">
        <v>0</v>
      </c>
      <c r="EN115" s="498">
        <v>0</v>
      </c>
      <c r="EO115" s="498">
        <v>0</v>
      </c>
      <c r="EP115" s="498">
        <v>0</v>
      </c>
      <c r="EQ115" s="498">
        <v>0</v>
      </c>
      <c r="ER115" s="498">
        <v>0</v>
      </c>
      <c r="ES115" s="498">
        <v>0</v>
      </c>
      <c r="ET115" s="498">
        <v>0</v>
      </c>
      <c r="EU115" s="498">
        <v>0</v>
      </c>
      <c r="EV115" s="498">
        <v>0</v>
      </c>
      <c r="EW115" s="498">
        <v>0</v>
      </c>
      <c r="EX115" s="498">
        <v>0</v>
      </c>
      <c r="EY115" s="498">
        <v>0</v>
      </c>
      <c r="EZ115" s="498">
        <v>0</v>
      </c>
      <c r="FA115" s="498">
        <v>0</v>
      </c>
      <c r="FB115" s="498">
        <v>0</v>
      </c>
      <c r="FC115" s="498">
        <v>0</v>
      </c>
      <c r="FD115" s="498">
        <v>0</v>
      </c>
      <c r="FE115" s="498">
        <v>0</v>
      </c>
      <c r="FF115" s="498">
        <v>0</v>
      </c>
      <c r="FG115" s="498">
        <v>0</v>
      </c>
      <c r="FH115" s="498">
        <v>0</v>
      </c>
      <c r="FI115" s="498">
        <v>0</v>
      </c>
      <c r="FJ115" s="498">
        <v>0</v>
      </c>
      <c r="FK115" s="498">
        <v>0</v>
      </c>
      <c r="FL115" s="498">
        <v>0</v>
      </c>
      <c r="FM115" s="498">
        <v>0</v>
      </c>
      <c r="FN115" s="498">
        <v>0</v>
      </c>
      <c r="FO115" s="498">
        <v>0</v>
      </c>
      <c r="FP115" s="498">
        <v>0</v>
      </c>
      <c r="FQ115" s="498">
        <v>0</v>
      </c>
      <c r="FR115" s="498">
        <v>0</v>
      </c>
      <c r="FS115" s="498">
        <v>0</v>
      </c>
      <c r="FT115" s="498">
        <v>0</v>
      </c>
      <c r="FU115" s="498">
        <v>0</v>
      </c>
      <c r="FV115" s="498">
        <v>0</v>
      </c>
      <c r="FW115" s="498">
        <v>0</v>
      </c>
      <c r="FX115" s="498">
        <v>0</v>
      </c>
      <c r="FY115" s="498">
        <v>0</v>
      </c>
      <c r="FZ115" s="498">
        <v>0</v>
      </c>
      <c r="GA115" s="498">
        <v>0</v>
      </c>
      <c r="GB115" s="498">
        <v>0</v>
      </c>
      <c r="GC115" s="498">
        <v>0</v>
      </c>
      <c r="GD115" s="498">
        <v>0</v>
      </c>
      <c r="GE115" s="498">
        <v>0</v>
      </c>
      <c r="GF115" s="498">
        <v>0</v>
      </c>
      <c r="GG115" s="498">
        <v>0</v>
      </c>
      <c r="GH115" s="498">
        <v>0</v>
      </c>
      <c r="GI115" s="498">
        <v>0</v>
      </c>
      <c r="GJ115" s="498">
        <v>0</v>
      </c>
      <c r="GK115" s="498">
        <v>0</v>
      </c>
      <c r="GL115" s="498">
        <v>0</v>
      </c>
      <c r="GM115" s="498">
        <v>0</v>
      </c>
      <c r="GN115" s="498">
        <v>0</v>
      </c>
      <c r="GO115" s="498">
        <v>0</v>
      </c>
      <c r="GP115" s="498">
        <v>0</v>
      </c>
      <c r="GQ115" s="498">
        <v>0</v>
      </c>
      <c r="GR115" s="498">
        <v>0</v>
      </c>
      <c r="GS115" s="498">
        <v>0</v>
      </c>
      <c r="GT115" s="498">
        <v>0</v>
      </c>
      <c r="GU115" s="498">
        <v>0</v>
      </c>
      <c r="GV115" s="498">
        <v>0</v>
      </c>
      <c r="GW115" s="498">
        <v>0</v>
      </c>
      <c r="GX115" s="498">
        <v>0</v>
      </c>
      <c r="GY115" s="498">
        <v>0</v>
      </c>
      <c r="GZ115" s="498">
        <v>0</v>
      </c>
      <c r="HA115" s="498">
        <v>0</v>
      </c>
      <c r="HB115" s="498">
        <v>0</v>
      </c>
      <c r="HC115" s="498">
        <v>0</v>
      </c>
      <c r="HD115" s="498">
        <v>0</v>
      </c>
      <c r="HE115" s="498">
        <v>0</v>
      </c>
      <c r="HF115" s="498">
        <v>0</v>
      </c>
      <c r="HG115" s="498">
        <v>0</v>
      </c>
      <c r="HH115" s="498">
        <v>0</v>
      </c>
      <c r="HI115" s="498">
        <v>0</v>
      </c>
      <c r="HJ115" s="498">
        <v>0</v>
      </c>
      <c r="HK115" s="498">
        <v>0</v>
      </c>
      <c r="HL115" s="498">
        <v>0</v>
      </c>
      <c r="HM115" s="498">
        <v>0</v>
      </c>
      <c r="HN115" s="498">
        <v>0</v>
      </c>
      <c r="HO115" s="498">
        <v>0</v>
      </c>
      <c r="HP115" s="498">
        <v>0</v>
      </c>
      <c r="HQ115" s="498">
        <v>0</v>
      </c>
      <c r="HR115" s="498">
        <v>0</v>
      </c>
      <c r="HS115" s="498">
        <v>0</v>
      </c>
      <c r="HT115" s="498">
        <v>0</v>
      </c>
      <c r="HU115" s="498">
        <v>0</v>
      </c>
      <c r="HV115" s="498">
        <v>0</v>
      </c>
      <c r="HW115" s="498">
        <v>0</v>
      </c>
      <c r="HX115" s="498">
        <v>0</v>
      </c>
      <c r="HY115" s="498">
        <v>0</v>
      </c>
      <c r="HZ115" s="498">
        <v>0</v>
      </c>
      <c r="IA115" s="498">
        <v>0</v>
      </c>
      <c r="IB115" s="498">
        <v>0</v>
      </c>
      <c r="IC115" s="498">
        <v>0</v>
      </c>
      <c r="ID115" s="498">
        <v>0</v>
      </c>
      <c r="IE115" s="498">
        <v>0</v>
      </c>
      <c r="IF115" s="498">
        <v>0</v>
      </c>
      <c r="IG115" s="498">
        <v>0</v>
      </c>
      <c r="IH115" s="498">
        <v>0</v>
      </c>
      <c r="II115" s="498">
        <v>0</v>
      </c>
      <c r="IJ115" s="498">
        <v>0</v>
      </c>
    </row>
    <row r="116" spans="1:245" ht="16.5" hidden="1">
      <c r="A116" s="484" t="s">
        <v>720</v>
      </c>
      <c r="B116" s="484" t="s">
        <v>617</v>
      </c>
      <c r="C116" s="484" t="s">
        <v>721</v>
      </c>
      <c r="D116" s="485"/>
      <c r="E116" s="484" t="s">
        <v>721</v>
      </c>
      <c r="F116" s="484" t="s">
        <v>25</v>
      </c>
      <c r="G116" s="485"/>
      <c r="H116" s="486">
        <v>65</v>
      </c>
      <c r="I116" s="471" t="str">
        <f t="shared" si="3"/>
        <v>AIJ100165</v>
      </c>
      <c r="J116" s="486">
        <v>468</v>
      </c>
      <c r="L116" s="497" t="s">
        <v>720</v>
      </c>
      <c r="M116" s="497" t="s">
        <v>617</v>
      </c>
      <c r="N116" s="497" t="s">
        <v>25</v>
      </c>
      <c r="O116" s="498">
        <v>30</v>
      </c>
      <c r="P116" s="494" t="str">
        <f t="shared" si="5"/>
        <v>AIJ100130</v>
      </c>
      <c r="Q116" s="498">
        <v>20000</v>
      </c>
      <c r="R116" s="498">
        <v>20000</v>
      </c>
      <c r="S116" s="498">
        <v>20000</v>
      </c>
      <c r="T116" s="498">
        <v>20000</v>
      </c>
      <c r="U116" s="498">
        <v>20000</v>
      </c>
      <c r="V116" s="498">
        <v>20000</v>
      </c>
      <c r="W116" s="498">
        <v>20000</v>
      </c>
      <c r="X116" s="498">
        <v>20000</v>
      </c>
      <c r="Y116" s="498">
        <v>20000</v>
      </c>
      <c r="Z116" s="498">
        <v>20000</v>
      </c>
      <c r="AA116" s="498">
        <v>0</v>
      </c>
      <c r="AB116" s="498">
        <v>0</v>
      </c>
      <c r="AC116" s="498">
        <v>0</v>
      </c>
      <c r="AD116" s="498">
        <v>0</v>
      </c>
      <c r="AE116" s="498">
        <v>0</v>
      </c>
      <c r="AF116" s="498">
        <v>0</v>
      </c>
      <c r="AG116" s="498">
        <v>0</v>
      </c>
      <c r="AH116" s="498">
        <v>0</v>
      </c>
      <c r="AI116" s="498">
        <v>0</v>
      </c>
      <c r="AJ116" s="498">
        <v>0</v>
      </c>
      <c r="AK116" s="498">
        <v>0</v>
      </c>
      <c r="AL116" s="498">
        <v>0</v>
      </c>
      <c r="AM116" s="498">
        <v>0</v>
      </c>
      <c r="AN116" s="498">
        <v>0</v>
      </c>
      <c r="AO116" s="498">
        <v>0</v>
      </c>
      <c r="AP116" s="498">
        <v>0</v>
      </c>
      <c r="AQ116" s="498">
        <v>0</v>
      </c>
      <c r="AR116" s="498">
        <v>0</v>
      </c>
      <c r="AS116" s="498">
        <v>0</v>
      </c>
      <c r="AT116" s="498">
        <v>0</v>
      </c>
      <c r="AU116" s="498">
        <v>0</v>
      </c>
      <c r="AV116" s="498">
        <v>0</v>
      </c>
      <c r="AW116" s="498">
        <v>0</v>
      </c>
      <c r="AX116" s="498">
        <v>0</v>
      </c>
      <c r="AY116" s="498">
        <v>0</v>
      </c>
      <c r="AZ116" s="498">
        <v>0</v>
      </c>
      <c r="BA116" s="498">
        <v>0</v>
      </c>
      <c r="BB116" s="498">
        <v>0</v>
      </c>
      <c r="BC116" s="498">
        <v>0</v>
      </c>
      <c r="BD116" s="498">
        <v>0</v>
      </c>
      <c r="BE116" s="498">
        <v>0</v>
      </c>
      <c r="BF116" s="498">
        <v>0</v>
      </c>
      <c r="BG116" s="498">
        <v>0</v>
      </c>
      <c r="BH116" s="498">
        <v>0</v>
      </c>
      <c r="BI116" s="498">
        <v>0</v>
      </c>
      <c r="BJ116" s="498">
        <v>0</v>
      </c>
      <c r="BK116" s="498">
        <v>0</v>
      </c>
      <c r="BL116" s="498">
        <v>0</v>
      </c>
      <c r="BM116" s="498">
        <v>0</v>
      </c>
      <c r="BN116" s="498">
        <v>0</v>
      </c>
      <c r="BO116" s="498">
        <v>0</v>
      </c>
      <c r="BP116" s="498">
        <v>0</v>
      </c>
      <c r="BQ116" s="498">
        <v>0</v>
      </c>
      <c r="BR116" s="498">
        <v>0</v>
      </c>
      <c r="BS116" s="498">
        <v>0</v>
      </c>
      <c r="BT116" s="498">
        <v>0</v>
      </c>
      <c r="BU116" s="498">
        <v>0</v>
      </c>
      <c r="BV116" s="498">
        <v>0</v>
      </c>
      <c r="BW116" s="498">
        <v>0</v>
      </c>
      <c r="BX116" s="498">
        <v>0</v>
      </c>
      <c r="BY116" s="498">
        <v>0</v>
      </c>
      <c r="BZ116" s="498">
        <v>0</v>
      </c>
      <c r="CA116" s="498">
        <v>0</v>
      </c>
      <c r="CB116" s="498">
        <v>0</v>
      </c>
      <c r="CC116" s="498">
        <v>0</v>
      </c>
      <c r="CD116" s="498">
        <v>0</v>
      </c>
      <c r="CE116" s="498">
        <v>0</v>
      </c>
      <c r="CF116" s="498">
        <v>0</v>
      </c>
      <c r="CG116" s="498">
        <v>0</v>
      </c>
      <c r="CH116" s="498">
        <v>0</v>
      </c>
      <c r="CI116" s="498">
        <v>0</v>
      </c>
      <c r="CJ116" s="498">
        <v>0</v>
      </c>
      <c r="CK116" s="498">
        <v>0</v>
      </c>
      <c r="CL116" s="498">
        <v>0</v>
      </c>
      <c r="CM116" s="498">
        <v>0</v>
      </c>
      <c r="CN116" s="498">
        <v>0</v>
      </c>
      <c r="CO116" s="498">
        <v>0</v>
      </c>
      <c r="CP116" s="498">
        <v>0</v>
      </c>
      <c r="CQ116" s="498">
        <v>0</v>
      </c>
      <c r="CR116" s="498">
        <v>0</v>
      </c>
      <c r="CS116" s="498">
        <v>0</v>
      </c>
      <c r="CT116" s="498">
        <v>0</v>
      </c>
      <c r="CU116" s="498">
        <v>0</v>
      </c>
      <c r="CV116" s="498">
        <v>0</v>
      </c>
      <c r="CW116" s="498">
        <v>0</v>
      </c>
      <c r="CX116" s="498">
        <v>0</v>
      </c>
      <c r="CY116" s="498">
        <v>0</v>
      </c>
      <c r="CZ116" s="498">
        <v>0</v>
      </c>
      <c r="DA116" s="498">
        <v>0</v>
      </c>
      <c r="DB116" s="498">
        <v>0</v>
      </c>
      <c r="DC116" s="498">
        <v>0</v>
      </c>
      <c r="DD116" s="498">
        <v>0</v>
      </c>
      <c r="DE116" s="498">
        <v>0</v>
      </c>
      <c r="DF116" s="498">
        <v>0</v>
      </c>
      <c r="DG116" s="498">
        <v>0</v>
      </c>
      <c r="DH116" s="498">
        <v>0</v>
      </c>
      <c r="DI116" s="498">
        <v>0</v>
      </c>
      <c r="DJ116" s="498">
        <v>0</v>
      </c>
      <c r="DK116" s="498">
        <v>0</v>
      </c>
      <c r="DL116" s="498">
        <v>0</v>
      </c>
      <c r="DM116" s="498">
        <v>0</v>
      </c>
      <c r="DN116" s="498">
        <v>0</v>
      </c>
      <c r="DO116" s="498">
        <v>0</v>
      </c>
      <c r="DP116" s="498">
        <v>0</v>
      </c>
      <c r="DQ116" s="498">
        <v>0</v>
      </c>
      <c r="DR116" s="498">
        <v>0</v>
      </c>
      <c r="DS116" s="498">
        <v>0</v>
      </c>
      <c r="DT116" s="498">
        <v>0</v>
      </c>
      <c r="DU116" s="498">
        <v>0</v>
      </c>
      <c r="DV116" s="498">
        <v>0</v>
      </c>
      <c r="DW116" s="498">
        <v>0</v>
      </c>
      <c r="DX116" s="477"/>
      <c r="DY116" s="497" t="s">
        <v>720</v>
      </c>
      <c r="DZ116" s="497" t="s">
        <v>617</v>
      </c>
      <c r="EA116" s="497" t="s">
        <v>25</v>
      </c>
      <c r="EB116" s="498">
        <v>30</v>
      </c>
      <c r="EC116" s="494" t="str">
        <f t="shared" si="6"/>
        <v>AIJ100130</v>
      </c>
      <c r="ED116" s="498">
        <v>0</v>
      </c>
      <c r="EE116" s="498">
        <v>305</v>
      </c>
      <c r="EF116" s="498">
        <v>620</v>
      </c>
      <c r="EG116" s="498">
        <v>1000</v>
      </c>
      <c r="EH116" s="498">
        <v>1472</v>
      </c>
      <c r="EI116" s="498">
        <v>1977</v>
      </c>
      <c r="EJ116" s="498">
        <v>2789</v>
      </c>
      <c r="EK116" s="498">
        <v>4068</v>
      </c>
      <c r="EL116" s="498">
        <v>5618</v>
      </c>
      <c r="EM116" s="498">
        <v>0</v>
      </c>
      <c r="EN116" s="498">
        <v>0</v>
      </c>
      <c r="EO116" s="498">
        <v>0</v>
      </c>
      <c r="EP116" s="498">
        <v>0</v>
      </c>
      <c r="EQ116" s="498">
        <v>0</v>
      </c>
      <c r="ER116" s="498">
        <v>0</v>
      </c>
      <c r="ES116" s="498">
        <v>0</v>
      </c>
      <c r="ET116" s="498">
        <v>0</v>
      </c>
      <c r="EU116" s="498">
        <v>0</v>
      </c>
      <c r="EV116" s="498">
        <v>0</v>
      </c>
      <c r="EW116" s="498">
        <v>0</v>
      </c>
      <c r="EX116" s="498">
        <v>0</v>
      </c>
      <c r="EY116" s="498">
        <v>0</v>
      </c>
      <c r="EZ116" s="498">
        <v>0</v>
      </c>
      <c r="FA116" s="498">
        <v>0</v>
      </c>
      <c r="FB116" s="498">
        <v>0</v>
      </c>
      <c r="FC116" s="498">
        <v>0</v>
      </c>
      <c r="FD116" s="498">
        <v>0</v>
      </c>
      <c r="FE116" s="498">
        <v>0</v>
      </c>
      <c r="FF116" s="498">
        <v>0</v>
      </c>
      <c r="FG116" s="498">
        <v>0</v>
      </c>
      <c r="FH116" s="498">
        <v>0</v>
      </c>
      <c r="FI116" s="498">
        <v>0</v>
      </c>
      <c r="FJ116" s="498">
        <v>0</v>
      </c>
      <c r="FK116" s="498">
        <v>0</v>
      </c>
      <c r="FL116" s="498">
        <v>0</v>
      </c>
      <c r="FM116" s="498">
        <v>0</v>
      </c>
      <c r="FN116" s="498">
        <v>0</v>
      </c>
      <c r="FO116" s="498">
        <v>0</v>
      </c>
      <c r="FP116" s="498">
        <v>0</v>
      </c>
      <c r="FQ116" s="498">
        <v>0</v>
      </c>
      <c r="FR116" s="498">
        <v>0</v>
      </c>
      <c r="FS116" s="498">
        <v>0</v>
      </c>
      <c r="FT116" s="498">
        <v>0</v>
      </c>
      <c r="FU116" s="498">
        <v>0</v>
      </c>
      <c r="FV116" s="498">
        <v>0</v>
      </c>
      <c r="FW116" s="498">
        <v>0</v>
      </c>
      <c r="FX116" s="498">
        <v>0</v>
      </c>
      <c r="FY116" s="498">
        <v>0</v>
      </c>
      <c r="FZ116" s="498">
        <v>0</v>
      </c>
      <c r="GA116" s="498">
        <v>0</v>
      </c>
      <c r="GB116" s="498">
        <v>0</v>
      </c>
      <c r="GC116" s="498">
        <v>0</v>
      </c>
      <c r="GD116" s="498">
        <v>0</v>
      </c>
      <c r="GE116" s="498">
        <v>0</v>
      </c>
      <c r="GF116" s="498">
        <v>0</v>
      </c>
      <c r="GG116" s="498">
        <v>0</v>
      </c>
      <c r="GH116" s="498">
        <v>0</v>
      </c>
      <c r="GI116" s="498">
        <v>0</v>
      </c>
      <c r="GJ116" s="498">
        <v>0</v>
      </c>
      <c r="GK116" s="498">
        <v>0</v>
      </c>
      <c r="GL116" s="498">
        <v>0</v>
      </c>
      <c r="GM116" s="498">
        <v>0</v>
      </c>
      <c r="GN116" s="498">
        <v>0</v>
      </c>
      <c r="GO116" s="498">
        <v>0</v>
      </c>
      <c r="GP116" s="498">
        <v>0</v>
      </c>
      <c r="GQ116" s="498">
        <v>0</v>
      </c>
      <c r="GR116" s="498">
        <v>0</v>
      </c>
      <c r="GS116" s="498">
        <v>0</v>
      </c>
      <c r="GT116" s="498">
        <v>0</v>
      </c>
      <c r="GU116" s="498">
        <v>0</v>
      </c>
      <c r="GV116" s="498">
        <v>0</v>
      </c>
      <c r="GW116" s="498">
        <v>0</v>
      </c>
      <c r="GX116" s="498">
        <v>0</v>
      </c>
      <c r="GY116" s="498">
        <v>0</v>
      </c>
      <c r="GZ116" s="498">
        <v>0</v>
      </c>
      <c r="HA116" s="498">
        <v>0</v>
      </c>
      <c r="HB116" s="498">
        <v>0</v>
      </c>
      <c r="HC116" s="498">
        <v>0</v>
      </c>
      <c r="HD116" s="498">
        <v>0</v>
      </c>
      <c r="HE116" s="498">
        <v>0</v>
      </c>
      <c r="HF116" s="498">
        <v>0</v>
      </c>
      <c r="HG116" s="498">
        <v>0</v>
      </c>
      <c r="HH116" s="498">
        <v>0</v>
      </c>
      <c r="HI116" s="498">
        <v>0</v>
      </c>
      <c r="HJ116" s="498">
        <v>0</v>
      </c>
      <c r="HK116" s="498">
        <v>0</v>
      </c>
      <c r="HL116" s="498">
        <v>0</v>
      </c>
      <c r="HM116" s="498">
        <v>0</v>
      </c>
      <c r="HN116" s="498">
        <v>0</v>
      </c>
      <c r="HO116" s="498">
        <v>0</v>
      </c>
      <c r="HP116" s="498">
        <v>0</v>
      </c>
      <c r="HQ116" s="498">
        <v>0</v>
      </c>
      <c r="HR116" s="498">
        <v>0</v>
      </c>
      <c r="HS116" s="498">
        <v>0</v>
      </c>
      <c r="HT116" s="498">
        <v>0</v>
      </c>
      <c r="HU116" s="498">
        <v>0</v>
      </c>
      <c r="HV116" s="498">
        <v>0</v>
      </c>
      <c r="HW116" s="498">
        <v>0</v>
      </c>
      <c r="HX116" s="498">
        <v>0</v>
      </c>
      <c r="HY116" s="498">
        <v>0</v>
      </c>
      <c r="HZ116" s="498">
        <v>0</v>
      </c>
      <c r="IA116" s="498">
        <v>0</v>
      </c>
      <c r="IB116" s="498">
        <v>0</v>
      </c>
      <c r="IC116" s="498">
        <v>0</v>
      </c>
      <c r="ID116" s="498">
        <v>0</v>
      </c>
      <c r="IE116" s="498">
        <v>0</v>
      </c>
      <c r="IF116" s="498">
        <v>0</v>
      </c>
      <c r="IG116" s="498">
        <v>0</v>
      </c>
      <c r="IH116" s="498">
        <v>0</v>
      </c>
      <c r="II116" s="498">
        <v>0</v>
      </c>
      <c r="IJ116" s="498">
        <v>0</v>
      </c>
    </row>
    <row r="117" spans="1:245" hidden="1">
      <c r="L117" s="497" t="s">
        <v>720</v>
      </c>
      <c r="M117" s="497" t="s">
        <v>617</v>
      </c>
      <c r="N117" s="497" t="s">
        <v>25</v>
      </c>
      <c r="O117" s="498">
        <v>31</v>
      </c>
      <c r="P117" s="494" t="str">
        <f t="shared" si="5"/>
        <v>AIJ100131</v>
      </c>
      <c r="Q117" s="498">
        <v>20000</v>
      </c>
      <c r="R117" s="498">
        <v>20000</v>
      </c>
      <c r="S117" s="498">
        <v>20000</v>
      </c>
      <c r="T117" s="498">
        <v>20000</v>
      </c>
      <c r="U117" s="498">
        <v>20000</v>
      </c>
      <c r="V117" s="498">
        <v>20000</v>
      </c>
      <c r="W117" s="498">
        <v>20000</v>
      </c>
      <c r="X117" s="498">
        <v>20000</v>
      </c>
      <c r="Y117" s="498">
        <v>20000</v>
      </c>
      <c r="Z117" s="498">
        <v>20000</v>
      </c>
      <c r="AA117" s="498">
        <v>0</v>
      </c>
      <c r="AB117" s="498">
        <v>0</v>
      </c>
      <c r="AC117" s="498">
        <v>0</v>
      </c>
      <c r="AD117" s="498">
        <v>0</v>
      </c>
      <c r="AE117" s="498">
        <v>0</v>
      </c>
      <c r="AF117" s="498">
        <v>0</v>
      </c>
      <c r="AG117" s="498">
        <v>0</v>
      </c>
      <c r="AH117" s="498">
        <v>0</v>
      </c>
      <c r="AI117" s="498">
        <v>0</v>
      </c>
      <c r="AJ117" s="498">
        <v>0</v>
      </c>
      <c r="AK117" s="498">
        <v>0</v>
      </c>
      <c r="AL117" s="498">
        <v>0</v>
      </c>
      <c r="AM117" s="498">
        <v>0</v>
      </c>
      <c r="AN117" s="498">
        <v>0</v>
      </c>
      <c r="AO117" s="498">
        <v>0</v>
      </c>
      <c r="AP117" s="498">
        <v>0</v>
      </c>
      <c r="AQ117" s="498">
        <v>0</v>
      </c>
      <c r="AR117" s="498">
        <v>0</v>
      </c>
      <c r="AS117" s="498">
        <v>0</v>
      </c>
      <c r="AT117" s="498">
        <v>0</v>
      </c>
      <c r="AU117" s="498">
        <v>0</v>
      </c>
      <c r="AV117" s="498">
        <v>0</v>
      </c>
      <c r="AW117" s="498">
        <v>0</v>
      </c>
      <c r="AX117" s="498">
        <v>0</v>
      </c>
      <c r="AY117" s="498">
        <v>0</v>
      </c>
      <c r="AZ117" s="498">
        <v>0</v>
      </c>
      <c r="BA117" s="498">
        <v>0</v>
      </c>
      <c r="BB117" s="498">
        <v>0</v>
      </c>
      <c r="BC117" s="498">
        <v>0</v>
      </c>
      <c r="BD117" s="498">
        <v>0</v>
      </c>
      <c r="BE117" s="498">
        <v>0</v>
      </c>
      <c r="BF117" s="498">
        <v>0</v>
      </c>
      <c r="BG117" s="498">
        <v>0</v>
      </c>
      <c r="BH117" s="498">
        <v>0</v>
      </c>
      <c r="BI117" s="498">
        <v>0</v>
      </c>
      <c r="BJ117" s="498">
        <v>0</v>
      </c>
      <c r="BK117" s="498">
        <v>0</v>
      </c>
      <c r="BL117" s="498">
        <v>0</v>
      </c>
      <c r="BM117" s="498">
        <v>0</v>
      </c>
      <c r="BN117" s="498">
        <v>0</v>
      </c>
      <c r="BO117" s="498">
        <v>0</v>
      </c>
      <c r="BP117" s="498">
        <v>0</v>
      </c>
      <c r="BQ117" s="498">
        <v>0</v>
      </c>
      <c r="BR117" s="498">
        <v>0</v>
      </c>
      <c r="BS117" s="498">
        <v>0</v>
      </c>
      <c r="BT117" s="498">
        <v>0</v>
      </c>
      <c r="BU117" s="498">
        <v>0</v>
      </c>
      <c r="BV117" s="498">
        <v>0</v>
      </c>
      <c r="BW117" s="498">
        <v>0</v>
      </c>
      <c r="BX117" s="498">
        <v>0</v>
      </c>
      <c r="BY117" s="498">
        <v>0</v>
      </c>
      <c r="BZ117" s="498">
        <v>0</v>
      </c>
      <c r="CA117" s="498">
        <v>0</v>
      </c>
      <c r="CB117" s="498">
        <v>0</v>
      </c>
      <c r="CC117" s="498">
        <v>0</v>
      </c>
      <c r="CD117" s="498">
        <v>0</v>
      </c>
      <c r="CE117" s="498">
        <v>0</v>
      </c>
      <c r="CF117" s="498">
        <v>0</v>
      </c>
      <c r="CG117" s="498">
        <v>0</v>
      </c>
      <c r="CH117" s="498">
        <v>0</v>
      </c>
      <c r="CI117" s="498">
        <v>0</v>
      </c>
      <c r="CJ117" s="498">
        <v>0</v>
      </c>
      <c r="CK117" s="498">
        <v>0</v>
      </c>
      <c r="CL117" s="498">
        <v>0</v>
      </c>
      <c r="CM117" s="498">
        <v>0</v>
      </c>
      <c r="CN117" s="498">
        <v>0</v>
      </c>
      <c r="CO117" s="498">
        <v>0</v>
      </c>
      <c r="CP117" s="498">
        <v>0</v>
      </c>
      <c r="CQ117" s="498">
        <v>0</v>
      </c>
      <c r="CR117" s="498">
        <v>0</v>
      </c>
      <c r="CS117" s="498">
        <v>0</v>
      </c>
      <c r="CT117" s="498">
        <v>0</v>
      </c>
      <c r="CU117" s="498">
        <v>0</v>
      </c>
      <c r="CV117" s="498">
        <v>0</v>
      </c>
      <c r="CW117" s="498">
        <v>0</v>
      </c>
      <c r="CX117" s="498">
        <v>0</v>
      </c>
      <c r="CY117" s="498">
        <v>0</v>
      </c>
      <c r="CZ117" s="498">
        <v>0</v>
      </c>
      <c r="DA117" s="498">
        <v>0</v>
      </c>
      <c r="DB117" s="498">
        <v>0</v>
      </c>
      <c r="DC117" s="498">
        <v>0</v>
      </c>
      <c r="DD117" s="498">
        <v>0</v>
      </c>
      <c r="DE117" s="498">
        <v>0</v>
      </c>
      <c r="DF117" s="498">
        <v>0</v>
      </c>
      <c r="DG117" s="498">
        <v>0</v>
      </c>
      <c r="DH117" s="498">
        <v>0</v>
      </c>
      <c r="DI117" s="498">
        <v>0</v>
      </c>
      <c r="DJ117" s="498">
        <v>0</v>
      </c>
      <c r="DK117" s="498">
        <v>0</v>
      </c>
      <c r="DL117" s="498">
        <v>0</v>
      </c>
      <c r="DM117" s="498">
        <v>0</v>
      </c>
      <c r="DN117" s="498">
        <v>0</v>
      </c>
      <c r="DO117" s="498">
        <v>0</v>
      </c>
      <c r="DP117" s="498">
        <v>0</v>
      </c>
      <c r="DQ117" s="498">
        <v>0</v>
      </c>
      <c r="DR117" s="498">
        <v>0</v>
      </c>
      <c r="DS117" s="498">
        <v>0</v>
      </c>
      <c r="DT117" s="498">
        <v>0</v>
      </c>
      <c r="DU117" s="498">
        <v>0</v>
      </c>
      <c r="DV117" s="498">
        <v>0</v>
      </c>
      <c r="DW117" s="498">
        <v>0</v>
      </c>
      <c r="DX117" s="477"/>
      <c r="DY117" s="497" t="s">
        <v>720</v>
      </c>
      <c r="DZ117" s="497" t="s">
        <v>617</v>
      </c>
      <c r="EA117" s="497" t="s">
        <v>25</v>
      </c>
      <c r="EB117" s="498">
        <v>31</v>
      </c>
      <c r="EC117" s="494" t="str">
        <f t="shared" si="6"/>
        <v>AIJ100131</v>
      </c>
      <c r="ED117" s="498">
        <v>0</v>
      </c>
      <c r="EE117" s="498">
        <v>293</v>
      </c>
      <c r="EF117" s="498">
        <v>637</v>
      </c>
      <c r="EG117" s="498">
        <v>1000</v>
      </c>
      <c r="EH117" s="498">
        <v>1463</v>
      </c>
      <c r="EI117" s="498">
        <v>2000</v>
      </c>
      <c r="EJ117" s="498">
        <v>2810</v>
      </c>
      <c r="EK117" s="498">
        <v>3984</v>
      </c>
      <c r="EL117" s="498">
        <v>5543</v>
      </c>
      <c r="EM117" s="498">
        <v>0</v>
      </c>
      <c r="EN117" s="498">
        <v>0</v>
      </c>
      <c r="EO117" s="498">
        <v>0</v>
      </c>
      <c r="EP117" s="498">
        <v>0</v>
      </c>
      <c r="EQ117" s="498">
        <v>0</v>
      </c>
      <c r="ER117" s="498">
        <v>0</v>
      </c>
      <c r="ES117" s="498">
        <v>0</v>
      </c>
      <c r="ET117" s="498">
        <v>0</v>
      </c>
      <c r="EU117" s="498">
        <v>0</v>
      </c>
      <c r="EV117" s="498">
        <v>0</v>
      </c>
      <c r="EW117" s="498">
        <v>0</v>
      </c>
      <c r="EX117" s="498">
        <v>0</v>
      </c>
      <c r="EY117" s="498">
        <v>0</v>
      </c>
      <c r="EZ117" s="498">
        <v>0</v>
      </c>
      <c r="FA117" s="498">
        <v>0</v>
      </c>
      <c r="FB117" s="498">
        <v>0</v>
      </c>
      <c r="FC117" s="498">
        <v>0</v>
      </c>
      <c r="FD117" s="498">
        <v>0</v>
      </c>
      <c r="FE117" s="498">
        <v>0</v>
      </c>
      <c r="FF117" s="498">
        <v>0</v>
      </c>
      <c r="FG117" s="498">
        <v>0</v>
      </c>
      <c r="FH117" s="498">
        <v>0</v>
      </c>
      <c r="FI117" s="498">
        <v>0</v>
      </c>
      <c r="FJ117" s="498">
        <v>0</v>
      </c>
      <c r="FK117" s="498">
        <v>0</v>
      </c>
      <c r="FL117" s="498">
        <v>0</v>
      </c>
      <c r="FM117" s="498">
        <v>0</v>
      </c>
      <c r="FN117" s="498">
        <v>0</v>
      </c>
      <c r="FO117" s="498">
        <v>0</v>
      </c>
      <c r="FP117" s="498">
        <v>0</v>
      </c>
      <c r="FQ117" s="498">
        <v>0</v>
      </c>
      <c r="FR117" s="498">
        <v>0</v>
      </c>
      <c r="FS117" s="498">
        <v>0</v>
      </c>
      <c r="FT117" s="498">
        <v>0</v>
      </c>
      <c r="FU117" s="498">
        <v>0</v>
      </c>
      <c r="FV117" s="498">
        <v>0</v>
      </c>
      <c r="FW117" s="498">
        <v>0</v>
      </c>
      <c r="FX117" s="498">
        <v>0</v>
      </c>
      <c r="FY117" s="498">
        <v>0</v>
      </c>
      <c r="FZ117" s="498">
        <v>0</v>
      </c>
      <c r="GA117" s="498">
        <v>0</v>
      </c>
      <c r="GB117" s="498">
        <v>0</v>
      </c>
      <c r="GC117" s="498">
        <v>0</v>
      </c>
      <c r="GD117" s="498">
        <v>0</v>
      </c>
      <c r="GE117" s="498">
        <v>0</v>
      </c>
      <c r="GF117" s="498">
        <v>0</v>
      </c>
      <c r="GG117" s="498">
        <v>0</v>
      </c>
      <c r="GH117" s="498">
        <v>0</v>
      </c>
      <c r="GI117" s="498">
        <v>0</v>
      </c>
      <c r="GJ117" s="498">
        <v>0</v>
      </c>
      <c r="GK117" s="498">
        <v>0</v>
      </c>
      <c r="GL117" s="498">
        <v>0</v>
      </c>
      <c r="GM117" s="498">
        <v>0</v>
      </c>
      <c r="GN117" s="498">
        <v>0</v>
      </c>
      <c r="GO117" s="498">
        <v>0</v>
      </c>
      <c r="GP117" s="498">
        <v>0</v>
      </c>
      <c r="GQ117" s="498">
        <v>0</v>
      </c>
      <c r="GR117" s="498">
        <v>0</v>
      </c>
      <c r="GS117" s="498">
        <v>0</v>
      </c>
      <c r="GT117" s="498">
        <v>0</v>
      </c>
      <c r="GU117" s="498">
        <v>0</v>
      </c>
      <c r="GV117" s="498">
        <v>0</v>
      </c>
      <c r="GW117" s="498">
        <v>0</v>
      </c>
      <c r="GX117" s="498">
        <v>0</v>
      </c>
      <c r="GY117" s="498">
        <v>0</v>
      </c>
      <c r="GZ117" s="498">
        <v>0</v>
      </c>
      <c r="HA117" s="498">
        <v>0</v>
      </c>
      <c r="HB117" s="498">
        <v>0</v>
      </c>
      <c r="HC117" s="498">
        <v>0</v>
      </c>
      <c r="HD117" s="498">
        <v>0</v>
      </c>
      <c r="HE117" s="498">
        <v>0</v>
      </c>
      <c r="HF117" s="498">
        <v>0</v>
      </c>
      <c r="HG117" s="498">
        <v>0</v>
      </c>
      <c r="HH117" s="498">
        <v>0</v>
      </c>
      <c r="HI117" s="498">
        <v>0</v>
      </c>
      <c r="HJ117" s="498">
        <v>0</v>
      </c>
      <c r="HK117" s="498">
        <v>0</v>
      </c>
      <c r="HL117" s="498">
        <v>0</v>
      </c>
      <c r="HM117" s="498">
        <v>0</v>
      </c>
      <c r="HN117" s="498">
        <v>0</v>
      </c>
      <c r="HO117" s="498">
        <v>0</v>
      </c>
      <c r="HP117" s="498">
        <v>0</v>
      </c>
      <c r="HQ117" s="498">
        <v>0</v>
      </c>
      <c r="HR117" s="498">
        <v>0</v>
      </c>
      <c r="HS117" s="498">
        <v>0</v>
      </c>
      <c r="HT117" s="498">
        <v>0</v>
      </c>
      <c r="HU117" s="498">
        <v>0</v>
      </c>
      <c r="HV117" s="498">
        <v>0</v>
      </c>
      <c r="HW117" s="498">
        <v>0</v>
      </c>
      <c r="HX117" s="498">
        <v>0</v>
      </c>
      <c r="HY117" s="498">
        <v>0</v>
      </c>
      <c r="HZ117" s="498">
        <v>0</v>
      </c>
      <c r="IA117" s="498">
        <v>0</v>
      </c>
      <c r="IB117" s="498">
        <v>0</v>
      </c>
      <c r="IC117" s="498">
        <v>0</v>
      </c>
      <c r="ID117" s="498">
        <v>0</v>
      </c>
      <c r="IE117" s="498">
        <v>0</v>
      </c>
      <c r="IF117" s="498">
        <v>0</v>
      </c>
      <c r="IG117" s="498">
        <v>0</v>
      </c>
      <c r="IH117" s="498">
        <v>0</v>
      </c>
      <c r="II117" s="498">
        <v>0</v>
      </c>
      <c r="IJ117" s="498">
        <v>0</v>
      </c>
    </row>
    <row r="118" spans="1:245" hidden="1">
      <c r="L118" s="497" t="s">
        <v>720</v>
      </c>
      <c r="M118" s="497" t="s">
        <v>617</v>
      </c>
      <c r="N118" s="497" t="s">
        <v>25</v>
      </c>
      <c r="O118" s="498">
        <v>32</v>
      </c>
      <c r="P118" s="494" t="str">
        <f t="shared" si="5"/>
        <v>AIJ100132</v>
      </c>
      <c r="Q118" s="498">
        <v>20000</v>
      </c>
      <c r="R118" s="498">
        <v>20000</v>
      </c>
      <c r="S118" s="498">
        <v>20000</v>
      </c>
      <c r="T118" s="498">
        <v>20000</v>
      </c>
      <c r="U118" s="498">
        <v>20000</v>
      </c>
      <c r="V118" s="498">
        <v>20000</v>
      </c>
      <c r="W118" s="498">
        <v>20000</v>
      </c>
      <c r="X118" s="498">
        <v>20000</v>
      </c>
      <c r="Y118" s="498">
        <v>20000</v>
      </c>
      <c r="Z118" s="498">
        <v>20000</v>
      </c>
      <c r="AA118" s="498">
        <v>0</v>
      </c>
      <c r="AB118" s="498">
        <v>0</v>
      </c>
      <c r="AC118" s="498">
        <v>0</v>
      </c>
      <c r="AD118" s="498">
        <v>0</v>
      </c>
      <c r="AE118" s="498">
        <v>0</v>
      </c>
      <c r="AF118" s="498">
        <v>0</v>
      </c>
      <c r="AG118" s="498">
        <v>0</v>
      </c>
      <c r="AH118" s="498">
        <v>0</v>
      </c>
      <c r="AI118" s="498">
        <v>0</v>
      </c>
      <c r="AJ118" s="498">
        <v>0</v>
      </c>
      <c r="AK118" s="498">
        <v>0</v>
      </c>
      <c r="AL118" s="498">
        <v>0</v>
      </c>
      <c r="AM118" s="498">
        <v>0</v>
      </c>
      <c r="AN118" s="498">
        <v>0</v>
      </c>
      <c r="AO118" s="498">
        <v>0</v>
      </c>
      <c r="AP118" s="498">
        <v>0</v>
      </c>
      <c r="AQ118" s="498">
        <v>0</v>
      </c>
      <c r="AR118" s="498">
        <v>0</v>
      </c>
      <c r="AS118" s="498">
        <v>0</v>
      </c>
      <c r="AT118" s="498">
        <v>0</v>
      </c>
      <c r="AU118" s="498">
        <v>0</v>
      </c>
      <c r="AV118" s="498">
        <v>0</v>
      </c>
      <c r="AW118" s="498">
        <v>0</v>
      </c>
      <c r="AX118" s="498">
        <v>0</v>
      </c>
      <c r="AY118" s="498">
        <v>0</v>
      </c>
      <c r="AZ118" s="498">
        <v>0</v>
      </c>
      <c r="BA118" s="498">
        <v>0</v>
      </c>
      <c r="BB118" s="498">
        <v>0</v>
      </c>
      <c r="BC118" s="498">
        <v>0</v>
      </c>
      <c r="BD118" s="498">
        <v>0</v>
      </c>
      <c r="BE118" s="498">
        <v>0</v>
      </c>
      <c r="BF118" s="498">
        <v>0</v>
      </c>
      <c r="BG118" s="498">
        <v>0</v>
      </c>
      <c r="BH118" s="498">
        <v>0</v>
      </c>
      <c r="BI118" s="498">
        <v>0</v>
      </c>
      <c r="BJ118" s="498">
        <v>0</v>
      </c>
      <c r="BK118" s="498">
        <v>0</v>
      </c>
      <c r="BL118" s="498">
        <v>0</v>
      </c>
      <c r="BM118" s="498">
        <v>0</v>
      </c>
      <c r="BN118" s="498">
        <v>0</v>
      </c>
      <c r="BO118" s="498">
        <v>0</v>
      </c>
      <c r="BP118" s="498">
        <v>0</v>
      </c>
      <c r="BQ118" s="498">
        <v>0</v>
      </c>
      <c r="BR118" s="498">
        <v>0</v>
      </c>
      <c r="BS118" s="498">
        <v>0</v>
      </c>
      <c r="BT118" s="498">
        <v>0</v>
      </c>
      <c r="BU118" s="498">
        <v>0</v>
      </c>
      <c r="BV118" s="498">
        <v>0</v>
      </c>
      <c r="BW118" s="498">
        <v>0</v>
      </c>
      <c r="BX118" s="498">
        <v>0</v>
      </c>
      <c r="BY118" s="498">
        <v>0</v>
      </c>
      <c r="BZ118" s="498">
        <v>0</v>
      </c>
      <c r="CA118" s="498">
        <v>0</v>
      </c>
      <c r="CB118" s="498">
        <v>0</v>
      </c>
      <c r="CC118" s="498">
        <v>0</v>
      </c>
      <c r="CD118" s="498">
        <v>0</v>
      </c>
      <c r="CE118" s="498">
        <v>0</v>
      </c>
      <c r="CF118" s="498">
        <v>0</v>
      </c>
      <c r="CG118" s="498">
        <v>0</v>
      </c>
      <c r="CH118" s="498">
        <v>0</v>
      </c>
      <c r="CI118" s="498">
        <v>0</v>
      </c>
      <c r="CJ118" s="498">
        <v>0</v>
      </c>
      <c r="CK118" s="498">
        <v>0</v>
      </c>
      <c r="CL118" s="498">
        <v>0</v>
      </c>
      <c r="CM118" s="498">
        <v>0</v>
      </c>
      <c r="CN118" s="498">
        <v>0</v>
      </c>
      <c r="CO118" s="498">
        <v>0</v>
      </c>
      <c r="CP118" s="498">
        <v>0</v>
      </c>
      <c r="CQ118" s="498">
        <v>0</v>
      </c>
      <c r="CR118" s="498">
        <v>0</v>
      </c>
      <c r="CS118" s="498">
        <v>0</v>
      </c>
      <c r="CT118" s="498">
        <v>0</v>
      </c>
      <c r="CU118" s="498">
        <v>0</v>
      </c>
      <c r="CV118" s="498">
        <v>0</v>
      </c>
      <c r="CW118" s="498">
        <v>0</v>
      </c>
      <c r="CX118" s="498">
        <v>0</v>
      </c>
      <c r="CY118" s="498">
        <v>0</v>
      </c>
      <c r="CZ118" s="498">
        <v>0</v>
      </c>
      <c r="DA118" s="498">
        <v>0</v>
      </c>
      <c r="DB118" s="498">
        <v>0</v>
      </c>
      <c r="DC118" s="498">
        <v>0</v>
      </c>
      <c r="DD118" s="498">
        <v>0</v>
      </c>
      <c r="DE118" s="498">
        <v>0</v>
      </c>
      <c r="DF118" s="498">
        <v>0</v>
      </c>
      <c r="DG118" s="498">
        <v>0</v>
      </c>
      <c r="DH118" s="498">
        <v>0</v>
      </c>
      <c r="DI118" s="498">
        <v>0</v>
      </c>
      <c r="DJ118" s="498">
        <v>0</v>
      </c>
      <c r="DK118" s="498">
        <v>0</v>
      </c>
      <c r="DL118" s="498">
        <v>0</v>
      </c>
      <c r="DM118" s="498">
        <v>0</v>
      </c>
      <c r="DN118" s="498">
        <v>0</v>
      </c>
      <c r="DO118" s="498">
        <v>0</v>
      </c>
      <c r="DP118" s="498">
        <v>0</v>
      </c>
      <c r="DQ118" s="498">
        <v>0</v>
      </c>
      <c r="DR118" s="498">
        <v>0</v>
      </c>
      <c r="DS118" s="498">
        <v>0</v>
      </c>
      <c r="DT118" s="498">
        <v>0</v>
      </c>
      <c r="DU118" s="498">
        <v>0</v>
      </c>
      <c r="DV118" s="498">
        <v>0</v>
      </c>
      <c r="DW118" s="498">
        <v>0</v>
      </c>
      <c r="DX118" s="477"/>
      <c r="DY118" s="497" t="s">
        <v>720</v>
      </c>
      <c r="DZ118" s="497" t="s">
        <v>617</v>
      </c>
      <c r="EA118" s="497" t="s">
        <v>25</v>
      </c>
      <c r="EB118" s="498">
        <v>32</v>
      </c>
      <c r="EC118" s="494" t="str">
        <f t="shared" si="6"/>
        <v>AIJ100132</v>
      </c>
      <c r="ED118" s="498">
        <v>0</v>
      </c>
      <c r="EE118" s="498">
        <v>281</v>
      </c>
      <c r="EF118" s="498">
        <v>649</v>
      </c>
      <c r="EG118" s="498">
        <v>958</v>
      </c>
      <c r="EH118" s="498">
        <v>1495</v>
      </c>
      <c r="EI118" s="498">
        <v>2032</v>
      </c>
      <c r="EJ118" s="498">
        <v>2767</v>
      </c>
      <c r="EK118" s="498">
        <v>3906</v>
      </c>
      <c r="EL118" s="498">
        <v>5579</v>
      </c>
      <c r="EM118" s="498">
        <v>0</v>
      </c>
      <c r="EN118" s="498">
        <v>0</v>
      </c>
      <c r="EO118" s="498">
        <v>0</v>
      </c>
      <c r="EP118" s="498">
        <v>0</v>
      </c>
      <c r="EQ118" s="498">
        <v>0</v>
      </c>
      <c r="ER118" s="498">
        <v>0</v>
      </c>
      <c r="ES118" s="498">
        <v>0</v>
      </c>
      <c r="ET118" s="498">
        <v>0</v>
      </c>
      <c r="EU118" s="498">
        <v>0</v>
      </c>
      <c r="EV118" s="498">
        <v>0</v>
      </c>
      <c r="EW118" s="498">
        <v>0</v>
      </c>
      <c r="EX118" s="498">
        <v>0</v>
      </c>
      <c r="EY118" s="498">
        <v>0</v>
      </c>
      <c r="EZ118" s="498">
        <v>0</v>
      </c>
      <c r="FA118" s="498">
        <v>0</v>
      </c>
      <c r="FB118" s="498">
        <v>0</v>
      </c>
      <c r="FC118" s="498">
        <v>0</v>
      </c>
      <c r="FD118" s="498">
        <v>0</v>
      </c>
      <c r="FE118" s="498">
        <v>0</v>
      </c>
      <c r="FF118" s="498">
        <v>0</v>
      </c>
      <c r="FG118" s="498">
        <v>0</v>
      </c>
      <c r="FH118" s="498">
        <v>0</v>
      </c>
      <c r="FI118" s="498">
        <v>0</v>
      </c>
      <c r="FJ118" s="498">
        <v>0</v>
      </c>
      <c r="FK118" s="498">
        <v>0</v>
      </c>
      <c r="FL118" s="498">
        <v>0</v>
      </c>
      <c r="FM118" s="498">
        <v>0</v>
      </c>
      <c r="FN118" s="498">
        <v>0</v>
      </c>
      <c r="FO118" s="498">
        <v>0</v>
      </c>
      <c r="FP118" s="498">
        <v>0</v>
      </c>
      <c r="FQ118" s="498">
        <v>0</v>
      </c>
      <c r="FR118" s="498">
        <v>0</v>
      </c>
      <c r="FS118" s="498">
        <v>0</v>
      </c>
      <c r="FT118" s="498">
        <v>0</v>
      </c>
      <c r="FU118" s="498">
        <v>0</v>
      </c>
      <c r="FV118" s="498">
        <v>0</v>
      </c>
      <c r="FW118" s="498">
        <v>0</v>
      </c>
      <c r="FX118" s="498">
        <v>0</v>
      </c>
      <c r="FY118" s="498">
        <v>0</v>
      </c>
      <c r="FZ118" s="498">
        <v>0</v>
      </c>
      <c r="GA118" s="498">
        <v>0</v>
      </c>
      <c r="GB118" s="498">
        <v>0</v>
      </c>
      <c r="GC118" s="498">
        <v>0</v>
      </c>
      <c r="GD118" s="498">
        <v>0</v>
      </c>
      <c r="GE118" s="498">
        <v>0</v>
      </c>
      <c r="GF118" s="498">
        <v>0</v>
      </c>
      <c r="GG118" s="498">
        <v>0</v>
      </c>
      <c r="GH118" s="498">
        <v>0</v>
      </c>
      <c r="GI118" s="498">
        <v>0</v>
      </c>
      <c r="GJ118" s="498">
        <v>0</v>
      </c>
      <c r="GK118" s="498">
        <v>0</v>
      </c>
      <c r="GL118" s="498">
        <v>0</v>
      </c>
      <c r="GM118" s="498">
        <v>0</v>
      </c>
      <c r="GN118" s="498">
        <v>0</v>
      </c>
      <c r="GO118" s="498">
        <v>0</v>
      </c>
      <c r="GP118" s="498">
        <v>0</v>
      </c>
      <c r="GQ118" s="498">
        <v>0</v>
      </c>
      <c r="GR118" s="498">
        <v>0</v>
      </c>
      <c r="GS118" s="498">
        <v>0</v>
      </c>
      <c r="GT118" s="498">
        <v>0</v>
      </c>
      <c r="GU118" s="498">
        <v>0</v>
      </c>
      <c r="GV118" s="498">
        <v>0</v>
      </c>
      <c r="GW118" s="498">
        <v>0</v>
      </c>
      <c r="GX118" s="498">
        <v>0</v>
      </c>
      <c r="GY118" s="498">
        <v>0</v>
      </c>
      <c r="GZ118" s="498">
        <v>0</v>
      </c>
      <c r="HA118" s="498">
        <v>0</v>
      </c>
      <c r="HB118" s="498">
        <v>0</v>
      </c>
      <c r="HC118" s="498">
        <v>0</v>
      </c>
      <c r="HD118" s="498">
        <v>0</v>
      </c>
      <c r="HE118" s="498">
        <v>0</v>
      </c>
      <c r="HF118" s="498">
        <v>0</v>
      </c>
      <c r="HG118" s="498">
        <v>0</v>
      </c>
      <c r="HH118" s="498">
        <v>0</v>
      </c>
      <c r="HI118" s="498">
        <v>0</v>
      </c>
      <c r="HJ118" s="498">
        <v>0</v>
      </c>
      <c r="HK118" s="498">
        <v>0</v>
      </c>
      <c r="HL118" s="498">
        <v>0</v>
      </c>
      <c r="HM118" s="498">
        <v>0</v>
      </c>
      <c r="HN118" s="498">
        <v>0</v>
      </c>
      <c r="HO118" s="498">
        <v>0</v>
      </c>
      <c r="HP118" s="498">
        <v>0</v>
      </c>
      <c r="HQ118" s="498">
        <v>0</v>
      </c>
      <c r="HR118" s="498">
        <v>0</v>
      </c>
      <c r="HS118" s="498">
        <v>0</v>
      </c>
      <c r="HT118" s="498">
        <v>0</v>
      </c>
      <c r="HU118" s="498">
        <v>0</v>
      </c>
      <c r="HV118" s="498">
        <v>0</v>
      </c>
      <c r="HW118" s="498">
        <v>0</v>
      </c>
      <c r="HX118" s="498">
        <v>0</v>
      </c>
      <c r="HY118" s="498">
        <v>0</v>
      </c>
      <c r="HZ118" s="498">
        <v>0</v>
      </c>
      <c r="IA118" s="498">
        <v>0</v>
      </c>
      <c r="IB118" s="498">
        <v>0</v>
      </c>
      <c r="IC118" s="498">
        <v>0</v>
      </c>
      <c r="ID118" s="498">
        <v>0</v>
      </c>
      <c r="IE118" s="498">
        <v>0</v>
      </c>
      <c r="IF118" s="498">
        <v>0</v>
      </c>
      <c r="IG118" s="498">
        <v>0</v>
      </c>
      <c r="IH118" s="498">
        <v>0</v>
      </c>
      <c r="II118" s="498">
        <v>0</v>
      </c>
      <c r="IJ118" s="498">
        <v>0</v>
      </c>
      <c r="IK118" s="249"/>
    </row>
    <row r="119" spans="1:245" hidden="1">
      <c r="L119" s="497" t="s">
        <v>720</v>
      </c>
      <c r="M119" s="497" t="s">
        <v>617</v>
      </c>
      <c r="N119" s="497" t="s">
        <v>25</v>
      </c>
      <c r="O119" s="498">
        <v>33</v>
      </c>
      <c r="P119" s="494" t="str">
        <f t="shared" si="5"/>
        <v>AIJ100133</v>
      </c>
      <c r="Q119" s="498">
        <v>20000</v>
      </c>
      <c r="R119" s="498">
        <v>20000</v>
      </c>
      <c r="S119" s="498">
        <v>20000</v>
      </c>
      <c r="T119" s="498">
        <v>20000</v>
      </c>
      <c r="U119" s="498">
        <v>20000</v>
      </c>
      <c r="V119" s="498">
        <v>20000</v>
      </c>
      <c r="W119" s="498">
        <v>20000</v>
      </c>
      <c r="X119" s="498">
        <v>20000</v>
      </c>
      <c r="Y119" s="498">
        <v>20000</v>
      </c>
      <c r="Z119" s="498">
        <v>20000</v>
      </c>
      <c r="AA119" s="498">
        <v>0</v>
      </c>
      <c r="AB119" s="498">
        <v>0</v>
      </c>
      <c r="AC119" s="498">
        <v>0</v>
      </c>
      <c r="AD119" s="498">
        <v>0</v>
      </c>
      <c r="AE119" s="498">
        <v>0</v>
      </c>
      <c r="AF119" s="498">
        <v>0</v>
      </c>
      <c r="AG119" s="498">
        <v>0</v>
      </c>
      <c r="AH119" s="498">
        <v>0</v>
      </c>
      <c r="AI119" s="498">
        <v>0</v>
      </c>
      <c r="AJ119" s="498">
        <v>0</v>
      </c>
      <c r="AK119" s="498">
        <v>0</v>
      </c>
      <c r="AL119" s="498">
        <v>0</v>
      </c>
      <c r="AM119" s="498">
        <v>0</v>
      </c>
      <c r="AN119" s="498">
        <v>0</v>
      </c>
      <c r="AO119" s="498">
        <v>0</v>
      </c>
      <c r="AP119" s="498">
        <v>0</v>
      </c>
      <c r="AQ119" s="498">
        <v>0</v>
      </c>
      <c r="AR119" s="498">
        <v>0</v>
      </c>
      <c r="AS119" s="498">
        <v>0</v>
      </c>
      <c r="AT119" s="498">
        <v>0</v>
      </c>
      <c r="AU119" s="498">
        <v>0</v>
      </c>
      <c r="AV119" s="498">
        <v>0</v>
      </c>
      <c r="AW119" s="498">
        <v>0</v>
      </c>
      <c r="AX119" s="498">
        <v>0</v>
      </c>
      <c r="AY119" s="498">
        <v>0</v>
      </c>
      <c r="AZ119" s="498">
        <v>0</v>
      </c>
      <c r="BA119" s="498">
        <v>0</v>
      </c>
      <c r="BB119" s="498">
        <v>0</v>
      </c>
      <c r="BC119" s="498">
        <v>0</v>
      </c>
      <c r="BD119" s="498">
        <v>0</v>
      </c>
      <c r="BE119" s="498">
        <v>0</v>
      </c>
      <c r="BF119" s="498">
        <v>0</v>
      </c>
      <c r="BG119" s="498">
        <v>0</v>
      </c>
      <c r="BH119" s="498">
        <v>0</v>
      </c>
      <c r="BI119" s="498">
        <v>0</v>
      </c>
      <c r="BJ119" s="498">
        <v>0</v>
      </c>
      <c r="BK119" s="498">
        <v>0</v>
      </c>
      <c r="BL119" s="498">
        <v>0</v>
      </c>
      <c r="BM119" s="498">
        <v>0</v>
      </c>
      <c r="BN119" s="498">
        <v>0</v>
      </c>
      <c r="BO119" s="498">
        <v>0</v>
      </c>
      <c r="BP119" s="498">
        <v>0</v>
      </c>
      <c r="BQ119" s="498">
        <v>0</v>
      </c>
      <c r="BR119" s="498">
        <v>0</v>
      </c>
      <c r="BS119" s="498">
        <v>0</v>
      </c>
      <c r="BT119" s="498">
        <v>0</v>
      </c>
      <c r="BU119" s="498">
        <v>0</v>
      </c>
      <c r="BV119" s="498">
        <v>0</v>
      </c>
      <c r="BW119" s="498">
        <v>0</v>
      </c>
      <c r="BX119" s="498">
        <v>0</v>
      </c>
      <c r="BY119" s="498">
        <v>0</v>
      </c>
      <c r="BZ119" s="498">
        <v>0</v>
      </c>
      <c r="CA119" s="498">
        <v>0</v>
      </c>
      <c r="CB119" s="498">
        <v>0</v>
      </c>
      <c r="CC119" s="498">
        <v>0</v>
      </c>
      <c r="CD119" s="498">
        <v>0</v>
      </c>
      <c r="CE119" s="498">
        <v>0</v>
      </c>
      <c r="CF119" s="498">
        <v>0</v>
      </c>
      <c r="CG119" s="498">
        <v>0</v>
      </c>
      <c r="CH119" s="498">
        <v>0</v>
      </c>
      <c r="CI119" s="498">
        <v>0</v>
      </c>
      <c r="CJ119" s="498">
        <v>0</v>
      </c>
      <c r="CK119" s="498">
        <v>0</v>
      </c>
      <c r="CL119" s="498">
        <v>0</v>
      </c>
      <c r="CM119" s="498">
        <v>0</v>
      </c>
      <c r="CN119" s="498">
        <v>0</v>
      </c>
      <c r="CO119" s="498">
        <v>0</v>
      </c>
      <c r="CP119" s="498">
        <v>0</v>
      </c>
      <c r="CQ119" s="498">
        <v>0</v>
      </c>
      <c r="CR119" s="498">
        <v>0</v>
      </c>
      <c r="CS119" s="498">
        <v>0</v>
      </c>
      <c r="CT119" s="498">
        <v>0</v>
      </c>
      <c r="CU119" s="498">
        <v>0</v>
      </c>
      <c r="CV119" s="498">
        <v>0</v>
      </c>
      <c r="CW119" s="498">
        <v>0</v>
      </c>
      <c r="CX119" s="498">
        <v>0</v>
      </c>
      <c r="CY119" s="498">
        <v>0</v>
      </c>
      <c r="CZ119" s="498">
        <v>0</v>
      </c>
      <c r="DA119" s="498">
        <v>0</v>
      </c>
      <c r="DB119" s="498">
        <v>0</v>
      </c>
      <c r="DC119" s="498">
        <v>0</v>
      </c>
      <c r="DD119" s="498">
        <v>0</v>
      </c>
      <c r="DE119" s="498">
        <v>0</v>
      </c>
      <c r="DF119" s="498">
        <v>0</v>
      </c>
      <c r="DG119" s="498">
        <v>0</v>
      </c>
      <c r="DH119" s="498">
        <v>0</v>
      </c>
      <c r="DI119" s="498">
        <v>0</v>
      </c>
      <c r="DJ119" s="498">
        <v>0</v>
      </c>
      <c r="DK119" s="498">
        <v>0</v>
      </c>
      <c r="DL119" s="498">
        <v>0</v>
      </c>
      <c r="DM119" s="498">
        <v>0</v>
      </c>
      <c r="DN119" s="498">
        <v>0</v>
      </c>
      <c r="DO119" s="498">
        <v>0</v>
      </c>
      <c r="DP119" s="498">
        <v>0</v>
      </c>
      <c r="DQ119" s="498">
        <v>0</v>
      </c>
      <c r="DR119" s="498">
        <v>0</v>
      </c>
      <c r="DS119" s="498">
        <v>0</v>
      </c>
      <c r="DT119" s="498">
        <v>0</v>
      </c>
      <c r="DU119" s="498">
        <v>0</v>
      </c>
      <c r="DV119" s="498">
        <v>0</v>
      </c>
      <c r="DW119" s="498">
        <v>0</v>
      </c>
      <c r="DX119" s="477"/>
      <c r="DY119" s="497" t="s">
        <v>720</v>
      </c>
      <c r="DZ119" s="497" t="s">
        <v>617</v>
      </c>
      <c r="EA119" s="497" t="s">
        <v>25</v>
      </c>
      <c r="EB119" s="498">
        <v>33</v>
      </c>
      <c r="EC119" s="494" t="str">
        <f t="shared" si="6"/>
        <v>AIJ100133</v>
      </c>
      <c r="ED119" s="498">
        <v>0</v>
      </c>
      <c r="EE119" s="498">
        <v>302</v>
      </c>
      <c r="EF119" s="498">
        <v>620</v>
      </c>
      <c r="EG119" s="498">
        <v>1000</v>
      </c>
      <c r="EH119" s="498">
        <v>1473</v>
      </c>
      <c r="EI119" s="498">
        <v>1939</v>
      </c>
      <c r="EJ119" s="498">
        <v>2771</v>
      </c>
      <c r="EK119" s="498">
        <v>3985</v>
      </c>
      <c r="EL119" s="498">
        <v>5556</v>
      </c>
      <c r="EM119" s="498">
        <v>0</v>
      </c>
      <c r="EN119" s="498">
        <v>0</v>
      </c>
      <c r="EO119" s="498">
        <v>0</v>
      </c>
      <c r="EP119" s="498">
        <v>0</v>
      </c>
      <c r="EQ119" s="498">
        <v>0</v>
      </c>
      <c r="ER119" s="498">
        <v>0</v>
      </c>
      <c r="ES119" s="498">
        <v>0</v>
      </c>
      <c r="ET119" s="498">
        <v>0</v>
      </c>
      <c r="EU119" s="498">
        <v>0</v>
      </c>
      <c r="EV119" s="498">
        <v>0</v>
      </c>
      <c r="EW119" s="498">
        <v>0</v>
      </c>
      <c r="EX119" s="498">
        <v>0</v>
      </c>
      <c r="EY119" s="498">
        <v>0</v>
      </c>
      <c r="EZ119" s="498">
        <v>0</v>
      </c>
      <c r="FA119" s="498">
        <v>0</v>
      </c>
      <c r="FB119" s="498">
        <v>0</v>
      </c>
      <c r="FC119" s="498">
        <v>0</v>
      </c>
      <c r="FD119" s="498">
        <v>0</v>
      </c>
      <c r="FE119" s="498">
        <v>0</v>
      </c>
      <c r="FF119" s="498">
        <v>0</v>
      </c>
      <c r="FG119" s="498">
        <v>0</v>
      </c>
      <c r="FH119" s="498">
        <v>0</v>
      </c>
      <c r="FI119" s="498">
        <v>0</v>
      </c>
      <c r="FJ119" s="498">
        <v>0</v>
      </c>
      <c r="FK119" s="498">
        <v>0</v>
      </c>
      <c r="FL119" s="498">
        <v>0</v>
      </c>
      <c r="FM119" s="498">
        <v>0</v>
      </c>
      <c r="FN119" s="498">
        <v>0</v>
      </c>
      <c r="FO119" s="498">
        <v>0</v>
      </c>
      <c r="FP119" s="498">
        <v>0</v>
      </c>
      <c r="FQ119" s="498">
        <v>0</v>
      </c>
      <c r="FR119" s="498">
        <v>0</v>
      </c>
      <c r="FS119" s="498">
        <v>0</v>
      </c>
      <c r="FT119" s="498">
        <v>0</v>
      </c>
      <c r="FU119" s="498">
        <v>0</v>
      </c>
      <c r="FV119" s="498">
        <v>0</v>
      </c>
      <c r="FW119" s="498">
        <v>0</v>
      </c>
      <c r="FX119" s="498">
        <v>0</v>
      </c>
      <c r="FY119" s="498">
        <v>0</v>
      </c>
      <c r="FZ119" s="498">
        <v>0</v>
      </c>
      <c r="GA119" s="498">
        <v>0</v>
      </c>
      <c r="GB119" s="498">
        <v>0</v>
      </c>
      <c r="GC119" s="498">
        <v>0</v>
      </c>
      <c r="GD119" s="498">
        <v>0</v>
      </c>
      <c r="GE119" s="498">
        <v>0</v>
      </c>
      <c r="GF119" s="498">
        <v>0</v>
      </c>
      <c r="GG119" s="498">
        <v>0</v>
      </c>
      <c r="GH119" s="498">
        <v>0</v>
      </c>
      <c r="GI119" s="498">
        <v>0</v>
      </c>
      <c r="GJ119" s="498">
        <v>0</v>
      </c>
      <c r="GK119" s="498">
        <v>0</v>
      </c>
      <c r="GL119" s="498">
        <v>0</v>
      </c>
      <c r="GM119" s="498">
        <v>0</v>
      </c>
      <c r="GN119" s="498">
        <v>0</v>
      </c>
      <c r="GO119" s="498">
        <v>0</v>
      </c>
      <c r="GP119" s="498">
        <v>0</v>
      </c>
      <c r="GQ119" s="498">
        <v>0</v>
      </c>
      <c r="GR119" s="498">
        <v>0</v>
      </c>
      <c r="GS119" s="498">
        <v>0</v>
      </c>
      <c r="GT119" s="498">
        <v>0</v>
      </c>
      <c r="GU119" s="498">
        <v>0</v>
      </c>
      <c r="GV119" s="498">
        <v>0</v>
      </c>
      <c r="GW119" s="498">
        <v>0</v>
      </c>
      <c r="GX119" s="498">
        <v>0</v>
      </c>
      <c r="GY119" s="498">
        <v>0</v>
      </c>
      <c r="GZ119" s="498">
        <v>0</v>
      </c>
      <c r="HA119" s="498">
        <v>0</v>
      </c>
      <c r="HB119" s="498">
        <v>0</v>
      </c>
      <c r="HC119" s="498">
        <v>0</v>
      </c>
      <c r="HD119" s="498">
        <v>0</v>
      </c>
      <c r="HE119" s="498">
        <v>0</v>
      </c>
      <c r="HF119" s="498">
        <v>0</v>
      </c>
      <c r="HG119" s="498">
        <v>0</v>
      </c>
      <c r="HH119" s="498">
        <v>0</v>
      </c>
      <c r="HI119" s="498">
        <v>0</v>
      </c>
      <c r="HJ119" s="498">
        <v>0</v>
      </c>
      <c r="HK119" s="498">
        <v>0</v>
      </c>
      <c r="HL119" s="498">
        <v>0</v>
      </c>
      <c r="HM119" s="498">
        <v>0</v>
      </c>
      <c r="HN119" s="498">
        <v>0</v>
      </c>
      <c r="HO119" s="498">
        <v>0</v>
      </c>
      <c r="HP119" s="498">
        <v>0</v>
      </c>
      <c r="HQ119" s="498">
        <v>0</v>
      </c>
      <c r="HR119" s="498">
        <v>0</v>
      </c>
      <c r="HS119" s="498">
        <v>0</v>
      </c>
      <c r="HT119" s="498">
        <v>0</v>
      </c>
      <c r="HU119" s="498">
        <v>0</v>
      </c>
      <c r="HV119" s="498">
        <v>0</v>
      </c>
      <c r="HW119" s="498">
        <v>0</v>
      </c>
      <c r="HX119" s="498">
        <v>0</v>
      </c>
      <c r="HY119" s="498">
        <v>0</v>
      </c>
      <c r="HZ119" s="498">
        <v>0</v>
      </c>
      <c r="IA119" s="498">
        <v>0</v>
      </c>
      <c r="IB119" s="498">
        <v>0</v>
      </c>
      <c r="IC119" s="498">
        <v>0</v>
      </c>
      <c r="ID119" s="498">
        <v>0</v>
      </c>
      <c r="IE119" s="498">
        <v>0</v>
      </c>
      <c r="IF119" s="498">
        <v>0</v>
      </c>
      <c r="IG119" s="498">
        <v>0</v>
      </c>
      <c r="IH119" s="498">
        <v>0</v>
      </c>
      <c r="II119" s="498">
        <v>0</v>
      </c>
      <c r="IJ119" s="498">
        <v>0</v>
      </c>
    </row>
    <row r="120" spans="1:245" hidden="1">
      <c r="L120" s="497" t="s">
        <v>720</v>
      </c>
      <c r="M120" s="497" t="s">
        <v>617</v>
      </c>
      <c r="N120" s="497" t="s">
        <v>25</v>
      </c>
      <c r="O120" s="498">
        <v>34</v>
      </c>
      <c r="P120" s="494" t="str">
        <f t="shared" si="5"/>
        <v>AIJ100134</v>
      </c>
      <c r="Q120" s="498">
        <v>20000</v>
      </c>
      <c r="R120" s="498">
        <v>20000</v>
      </c>
      <c r="S120" s="498">
        <v>20000</v>
      </c>
      <c r="T120" s="498">
        <v>20000</v>
      </c>
      <c r="U120" s="498">
        <v>20000</v>
      </c>
      <c r="V120" s="498">
        <v>20000</v>
      </c>
      <c r="W120" s="498">
        <v>20000</v>
      </c>
      <c r="X120" s="498">
        <v>20000</v>
      </c>
      <c r="Y120" s="498">
        <v>20000</v>
      </c>
      <c r="Z120" s="498">
        <v>20000</v>
      </c>
      <c r="AA120" s="498">
        <v>0</v>
      </c>
      <c r="AB120" s="498">
        <v>0</v>
      </c>
      <c r="AC120" s="498">
        <v>0</v>
      </c>
      <c r="AD120" s="498">
        <v>0</v>
      </c>
      <c r="AE120" s="498">
        <v>0</v>
      </c>
      <c r="AF120" s="498">
        <v>0</v>
      </c>
      <c r="AG120" s="498">
        <v>0</v>
      </c>
      <c r="AH120" s="498">
        <v>0</v>
      </c>
      <c r="AI120" s="498">
        <v>0</v>
      </c>
      <c r="AJ120" s="498">
        <v>0</v>
      </c>
      <c r="AK120" s="498">
        <v>0</v>
      </c>
      <c r="AL120" s="498">
        <v>0</v>
      </c>
      <c r="AM120" s="498">
        <v>0</v>
      </c>
      <c r="AN120" s="498">
        <v>0</v>
      </c>
      <c r="AO120" s="498">
        <v>0</v>
      </c>
      <c r="AP120" s="498">
        <v>0</v>
      </c>
      <c r="AQ120" s="498">
        <v>0</v>
      </c>
      <c r="AR120" s="498">
        <v>0</v>
      </c>
      <c r="AS120" s="498">
        <v>0</v>
      </c>
      <c r="AT120" s="498">
        <v>0</v>
      </c>
      <c r="AU120" s="498">
        <v>0</v>
      </c>
      <c r="AV120" s="498">
        <v>0</v>
      </c>
      <c r="AW120" s="498">
        <v>0</v>
      </c>
      <c r="AX120" s="498">
        <v>0</v>
      </c>
      <c r="AY120" s="498">
        <v>0</v>
      </c>
      <c r="AZ120" s="498">
        <v>0</v>
      </c>
      <c r="BA120" s="498">
        <v>0</v>
      </c>
      <c r="BB120" s="498">
        <v>0</v>
      </c>
      <c r="BC120" s="498">
        <v>0</v>
      </c>
      <c r="BD120" s="498">
        <v>0</v>
      </c>
      <c r="BE120" s="498">
        <v>0</v>
      </c>
      <c r="BF120" s="498">
        <v>0</v>
      </c>
      <c r="BG120" s="498">
        <v>0</v>
      </c>
      <c r="BH120" s="498">
        <v>0</v>
      </c>
      <c r="BI120" s="498">
        <v>0</v>
      </c>
      <c r="BJ120" s="498">
        <v>0</v>
      </c>
      <c r="BK120" s="498">
        <v>0</v>
      </c>
      <c r="BL120" s="498">
        <v>0</v>
      </c>
      <c r="BM120" s="498">
        <v>0</v>
      </c>
      <c r="BN120" s="498">
        <v>0</v>
      </c>
      <c r="BO120" s="498">
        <v>0</v>
      </c>
      <c r="BP120" s="498">
        <v>0</v>
      </c>
      <c r="BQ120" s="498">
        <v>0</v>
      </c>
      <c r="BR120" s="498">
        <v>0</v>
      </c>
      <c r="BS120" s="498">
        <v>0</v>
      </c>
      <c r="BT120" s="498">
        <v>0</v>
      </c>
      <c r="BU120" s="498">
        <v>0</v>
      </c>
      <c r="BV120" s="498">
        <v>0</v>
      </c>
      <c r="BW120" s="498">
        <v>0</v>
      </c>
      <c r="BX120" s="498">
        <v>0</v>
      </c>
      <c r="BY120" s="498">
        <v>0</v>
      </c>
      <c r="BZ120" s="498">
        <v>0</v>
      </c>
      <c r="CA120" s="498">
        <v>0</v>
      </c>
      <c r="CB120" s="498">
        <v>0</v>
      </c>
      <c r="CC120" s="498">
        <v>0</v>
      </c>
      <c r="CD120" s="498">
        <v>0</v>
      </c>
      <c r="CE120" s="498">
        <v>0</v>
      </c>
      <c r="CF120" s="498">
        <v>0</v>
      </c>
      <c r="CG120" s="498">
        <v>0</v>
      </c>
      <c r="CH120" s="498">
        <v>0</v>
      </c>
      <c r="CI120" s="498">
        <v>0</v>
      </c>
      <c r="CJ120" s="498">
        <v>0</v>
      </c>
      <c r="CK120" s="498">
        <v>0</v>
      </c>
      <c r="CL120" s="498">
        <v>0</v>
      </c>
      <c r="CM120" s="498">
        <v>0</v>
      </c>
      <c r="CN120" s="498">
        <v>0</v>
      </c>
      <c r="CO120" s="498">
        <v>0</v>
      </c>
      <c r="CP120" s="498">
        <v>0</v>
      </c>
      <c r="CQ120" s="498">
        <v>0</v>
      </c>
      <c r="CR120" s="498">
        <v>0</v>
      </c>
      <c r="CS120" s="498">
        <v>0</v>
      </c>
      <c r="CT120" s="498">
        <v>0</v>
      </c>
      <c r="CU120" s="498">
        <v>0</v>
      </c>
      <c r="CV120" s="498">
        <v>0</v>
      </c>
      <c r="CW120" s="498">
        <v>0</v>
      </c>
      <c r="CX120" s="498">
        <v>0</v>
      </c>
      <c r="CY120" s="498">
        <v>0</v>
      </c>
      <c r="CZ120" s="498">
        <v>0</v>
      </c>
      <c r="DA120" s="498">
        <v>0</v>
      </c>
      <c r="DB120" s="498">
        <v>0</v>
      </c>
      <c r="DC120" s="498">
        <v>0</v>
      </c>
      <c r="DD120" s="498">
        <v>0</v>
      </c>
      <c r="DE120" s="498">
        <v>0</v>
      </c>
      <c r="DF120" s="498">
        <v>0</v>
      </c>
      <c r="DG120" s="498">
        <v>0</v>
      </c>
      <c r="DH120" s="498">
        <v>0</v>
      </c>
      <c r="DI120" s="498">
        <v>0</v>
      </c>
      <c r="DJ120" s="498">
        <v>0</v>
      </c>
      <c r="DK120" s="498">
        <v>0</v>
      </c>
      <c r="DL120" s="498">
        <v>0</v>
      </c>
      <c r="DM120" s="498">
        <v>0</v>
      </c>
      <c r="DN120" s="498">
        <v>0</v>
      </c>
      <c r="DO120" s="498">
        <v>0</v>
      </c>
      <c r="DP120" s="498">
        <v>0</v>
      </c>
      <c r="DQ120" s="498">
        <v>0</v>
      </c>
      <c r="DR120" s="498">
        <v>0</v>
      </c>
      <c r="DS120" s="498">
        <v>0</v>
      </c>
      <c r="DT120" s="498">
        <v>0</v>
      </c>
      <c r="DU120" s="498">
        <v>0</v>
      </c>
      <c r="DV120" s="498">
        <v>0</v>
      </c>
      <c r="DW120" s="498">
        <v>0</v>
      </c>
      <c r="DX120" s="477"/>
      <c r="DY120" s="497" t="s">
        <v>720</v>
      </c>
      <c r="DZ120" s="497" t="s">
        <v>617</v>
      </c>
      <c r="EA120" s="497" t="s">
        <v>25</v>
      </c>
      <c r="EB120" s="498">
        <v>34</v>
      </c>
      <c r="EC120" s="494" t="str">
        <f t="shared" si="6"/>
        <v>AIJ100134</v>
      </c>
      <c r="ED120" s="498">
        <v>0</v>
      </c>
      <c r="EE120" s="498">
        <v>321</v>
      </c>
      <c r="EF120" s="498">
        <v>627</v>
      </c>
      <c r="EG120" s="498">
        <v>992</v>
      </c>
      <c r="EH120" s="498">
        <v>1453</v>
      </c>
      <c r="EI120" s="498">
        <v>2000</v>
      </c>
      <c r="EJ120" s="498">
        <v>2775</v>
      </c>
      <c r="EK120" s="498">
        <v>3957</v>
      </c>
      <c r="EL120" s="498">
        <v>5534</v>
      </c>
      <c r="EM120" s="498">
        <v>0</v>
      </c>
      <c r="EN120" s="498">
        <v>0</v>
      </c>
      <c r="EO120" s="498">
        <v>0</v>
      </c>
      <c r="EP120" s="498">
        <v>0</v>
      </c>
      <c r="EQ120" s="498">
        <v>0</v>
      </c>
      <c r="ER120" s="498">
        <v>0</v>
      </c>
      <c r="ES120" s="498">
        <v>0</v>
      </c>
      <c r="ET120" s="498">
        <v>0</v>
      </c>
      <c r="EU120" s="498">
        <v>0</v>
      </c>
      <c r="EV120" s="498">
        <v>0</v>
      </c>
      <c r="EW120" s="498">
        <v>0</v>
      </c>
      <c r="EX120" s="498">
        <v>0</v>
      </c>
      <c r="EY120" s="498">
        <v>0</v>
      </c>
      <c r="EZ120" s="498">
        <v>0</v>
      </c>
      <c r="FA120" s="498">
        <v>0</v>
      </c>
      <c r="FB120" s="498">
        <v>0</v>
      </c>
      <c r="FC120" s="498">
        <v>0</v>
      </c>
      <c r="FD120" s="498">
        <v>0</v>
      </c>
      <c r="FE120" s="498">
        <v>0</v>
      </c>
      <c r="FF120" s="498">
        <v>0</v>
      </c>
      <c r="FG120" s="498">
        <v>0</v>
      </c>
      <c r="FH120" s="498">
        <v>0</v>
      </c>
      <c r="FI120" s="498">
        <v>0</v>
      </c>
      <c r="FJ120" s="498">
        <v>0</v>
      </c>
      <c r="FK120" s="498">
        <v>0</v>
      </c>
      <c r="FL120" s="498">
        <v>0</v>
      </c>
      <c r="FM120" s="498">
        <v>0</v>
      </c>
      <c r="FN120" s="498">
        <v>0</v>
      </c>
      <c r="FO120" s="498">
        <v>0</v>
      </c>
      <c r="FP120" s="498">
        <v>0</v>
      </c>
      <c r="FQ120" s="498">
        <v>0</v>
      </c>
      <c r="FR120" s="498">
        <v>0</v>
      </c>
      <c r="FS120" s="498">
        <v>0</v>
      </c>
      <c r="FT120" s="498">
        <v>0</v>
      </c>
      <c r="FU120" s="498">
        <v>0</v>
      </c>
      <c r="FV120" s="498">
        <v>0</v>
      </c>
      <c r="FW120" s="498">
        <v>0</v>
      </c>
      <c r="FX120" s="498">
        <v>0</v>
      </c>
      <c r="FY120" s="498">
        <v>0</v>
      </c>
      <c r="FZ120" s="498">
        <v>0</v>
      </c>
      <c r="GA120" s="498">
        <v>0</v>
      </c>
      <c r="GB120" s="498">
        <v>0</v>
      </c>
      <c r="GC120" s="498">
        <v>0</v>
      </c>
      <c r="GD120" s="498">
        <v>0</v>
      </c>
      <c r="GE120" s="498">
        <v>0</v>
      </c>
      <c r="GF120" s="498">
        <v>0</v>
      </c>
      <c r="GG120" s="498">
        <v>0</v>
      </c>
      <c r="GH120" s="498">
        <v>0</v>
      </c>
      <c r="GI120" s="498">
        <v>0</v>
      </c>
      <c r="GJ120" s="498">
        <v>0</v>
      </c>
      <c r="GK120" s="498">
        <v>0</v>
      </c>
      <c r="GL120" s="498">
        <v>0</v>
      </c>
      <c r="GM120" s="498">
        <v>0</v>
      </c>
      <c r="GN120" s="498">
        <v>0</v>
      </c>
      <c r="GO120" s="498">
        <v>0</v>
      </c>
      <c r="GP120" s="498">
        <v>0</v>
      </c>
      <c r="GQ120" s="498">
        <v>0</v>
      </c>
      <c r="GR120" s="498">
        <v>0</v>
      </c>
      <c r="GS120" s="498">
        <v>0</v>
      </c>
      <c r="GT120" s="498">
        <v>0</v>
      </c>
      <c r="GU120" s="498">
        <v>0</v>
      </c>
      <c r="GV120" s="498">
        <v>0</v>
      </c>
      <c r="GW120" s="498">
        <v>0</v>
      </c>
      <c r="GX120" s="498">
        <v>0</v>
      </c>
      <c r="GY120" s="498">
        <v>0</v>
      </c>
      <c r="GZ120" s="498">
        <v>0</v>
      </c>
      <c r="HA120" s="498">
        <v>0</v>
      </c>
      <c r="HB120" s="498">
        <v>0</v>
      </c>
      <c r="HC120" s="498">
        <v>0</v>
      </c>
      <c r="HD120" s="498">
        <v>0</v>
      </c>
      <c r="HE120" s="498">
        <v>0</v>
      </c>
      <c r="HF120" s="498">
        <v>0</v>
      </c>
      <c r="HG120" s="498">
        <v>0</v>
      </c>
      <c r="HH120" s="498">
        <v>0</v>
      </c>
      <c r="HI120" s="498">
        <v>0</v>
      </c>
      <c r="HJ120" s="498">
        <v>0</v>
      </c>
      <c r="HK120" s="498">
        <v>0</v>
      </c>
      <c r="HL120" s="498">
        <v>0</v>
      </c>
      <c r="HM120" s="498">
        <v>0</v>
      </c>
      <c r="HN120" s="498">
        <v>0</v>
      </c>
      <c r="HO120" s="498">
        <v>0</v>
      </c>
      <c r="HP120" s="498">
        <v>0</v>
      </c>
      <c r="HQ120" s="498">
        <v>0</v>
      </c>
      <c r="HR120" s="498">
        <v>0</v>
      </c>
      <c r="HS120" s="498">
        <v>0</v>
      </c>
      <c r="HT120" s="498">
        <v>0</v>
      </c>
      <c r="HU120" s="498">
        <v>0</v>
      </c>
      <c r="HV120" s="498">
        <v>0</v>
      </c>
      <c r="HW120" s="498">
        <v>0</v>
      </c>
      <c r="HX120" s="498">
        <v>0</v>
      </c>
      <c r="HY120" s="498">
        <v>0</v>
      </c>
      <c r="HZ120" s="498">
        <v>0</v>
      </c>
      <c r="IA120" s="498">
        <v>0</v>
      </c>
      <c r="IB120" s="498">
        <v>0</v>
      </c>
      <c r="IC120" s="498">
        <v>0</v>
      </c>
      <c r="ID120" s="498">
        <v>0</v>
      </c>
      <c r="IE120" s="498">
        <v>0</v>
      </c>
      <c r="IF120" s="498">
        <v>0</v>
      </c>
      <c r="IG120" s="498">
        <v>0</v>
      </c>
      <c r="IH120" s="498">
        <v>0</v>
      </c>
      <c r="II120" s="498">
        <v>0</v>
      </c>
      <c r="IJ120" s="498">
        <v>0</v>
      </c>
    </row>
    <row r="121" spans="1:245" hidden="1">
      <c r="L121" s="497" t="s">
        <v>720</v>
      </c>
      <c r="M121" s="497" t="s">
        <v>617</v>
      </c>
      <c r="N121" s="497" t="s">
        <v>25</v>
      </c>
      <c r="O121" s="498">
        <v>35</v>
      </c>
      <c r="P121" s="494" t="str">
        <f t="shared" si="5"/>
        <v>AIJ100135</v>
      </c>
      <c r="Q121" s="498">
        <v>20000</v>
      </c>
      <c r="R121" s="498">
        <v>20000</v>
      </c>
      <c r="S121" s="498">
        <v>20000</v>
      </c>
      <c r="T121" s="498">
        <v>20000</v>
      </c>
      <c r="U121" s="498">
        <v>20000</v>
      </c>
      <c r="V121" s="498">
        <v>20000</v>
      </c>
      <c r="W121" s="498">
        <v>20000</v>
      </c>
      <c r="X121" s="498">
        <v>20000</v>
      </c>
      <c r="Y121" s="498">
        <v>20000</v>
      </c>
      <c r="Z121" s="498">
        <v>20000</v>
      </c>
      <c r="AA121" s="498">
        <v>0</v>
      </c>
      <c r="AB121" s="498">
        <v>0</v>
      </c>
      <c r="AC121" s="498">
        <v>0</v>
      </c>
      <c r="AD121" s="498">
        <v>0</v>
      </c>
      <c r="AE121" s="498">
        <v>0</v>
      </c>
      <c r="AF121" s="498">
        <v>0</v>
      </c>
      <c r="AG121" s="498">
        <v>0</v>
      </c>
      <c r="AH121" s="498">
        <v>0</v>
      </c>
      <c r="AI121" s="498">
        <v>0</v>
      </c>
      <c r="AJ121" s="498">
        <v>0</v>
      </c>
      <c r="AK121" s="498">
        <v>0</v>
      </c>
      <c r="AL121" s="498">
        <v>0</v>
      </c>
      <c r="AM121" s="498">
        <v>0</v>
      </c>
      <c r="AN121" s="498">
        <v>0</v>
      </c>
      <c r="AO121" s="498">
        <v>0</v>
      </c>
      <c r="AP121" s="498">
        <v>0</v>
      </c>
      <c r="AQ121" s="498">
        <v>0</v>
      </c>
      <c r="AR121" s="498">
        <v>0</v>
      </c>
      <c r="AS121" s="498">
        <v>0</v>
      </c>
      <c r="AT121" s="498">
        <v>0</v>
      </c>
      <c r="AU121" s="498">
        <v>0</v>
      </c>
      <c r="AV121" s="498">
        <v>0</v>
      </c>
      <c r="AW121" s="498">
        <v>0</v>
      </c>
      <c r="AX121" s="498">
        <v>0</v>
      </c>
      <c r="AY121" s="498">
        <v>0</v>
      </c>
      <c r="AZ121" s="498">
        <v>0</v>
      </c>
      <c r="BA121" s="498">
        <v>0</v>
      </c>
      <c r="BB121" s="498">
        <v>0</v>
      </c>
      <c r="BC121" s="498">
        <v>0</v>
      </c>
      <c r="BD121" s="498">
        <v>0</v>
      </c>
      <c r="BE121" s="498">
        <v>0</v>
      </c>
      <c r="BF121" s="498">
        <v>0</v>
      </c>
      <c r="BG121" s="498">
        <v>0</v>
      </c>
      <c r="BH121" s="498">
        <v>0</v>
      </c>
      <c r="BI121" s="498">
        <v>0</v>
      </c>
      <c r="BJ121" s="498">
        <v>0</v>
      </c>
      <c r="BK121" s="498">
        <v>0</v>
      </c>
      <c r="BL121" s="498">
        <v>0</v>
      </c>
      <c r="BM121" s="498">
        <v>0</v>
      </c>
      <c r="BN121" s="498">
        <v>0</v>
      </c>
      <c r="BO121" s="498">
        <v>0</v>
      </c>
      <c r="BP121" s="498">
        <v>0</v>
      </c>
      <c r="BQ121" s="498">
        <v>0</v>
      </c>
      <c r="BR121" s="498">
        <v>0</v>
      </c>
      <c r="BS121" s="498">
        <v>0</v>
      </c>
      <c r="BT121" s="498">
        <v>0</v>
      </c>
      <c r="BU121" s="498">
        <v>0</v>
      </c>
      <c r="BV121" s="498">
        <v>0</v>
      </c>
      <c r="BW121" s="498">
        <v>0</v>
      </c>
      <c r="BX121" s="498">
        <v>0</v>
      </c>
      <c r="BY121" s="498">
        <v>0</v>
      </c>
      <c r="BZ121" s="498">
        <v>0</v>
      </c>
      <c r="CA121" s="498">
        <v>0</v>
      </c>
      <c r="CB121" s="498">
        <v>0</v>
      </c>
      <c r="CC121" s="498">
        <v>0</v>
      </c>
      <c r="CD121" s="498">
        <v>0</v>
      </c>
      <c r="CE121" s="498">
        <v>0</v>
      </c>
      <c r="CF121" s="498">
        <v>0</v>
      </c>
      <c r="CG121" s="498">
        <v>0</v>
      </c>
      <c r="CH121" s="498">
        <v>0</v>
      </c>
      <c r="CI121" s="498">
        <v>0</v>
      </c>
      <c r="CJ121" s="498">
        <v>0</v>
      </c>
      <c r="CK121" s="498">
        <v>0</v>
      </c>
      <c r="CL121" s="498">
        <v>0</v>
      </c>
      <c r="CM121" s="498">
        <v>0</v>
      </c>
      <c r="CN121" s="498">
        <v>0</v>
      </c>
      <c r="CO121" s="498">
        <v>0</v>
      </c>
      <c r="CP121" s="498">
        <v>0</v>
      </c>
      <c r="CQ121" s="498">
        <v>0</v>
      </c>
      <c r="CR121" s="498">
        <v>0</v>
      </c>
      <c r="CS121" s="498">
        <v>0</v>
      </c>
      <c r="CT121" s="498">
        <v>0</v>
      </c>
      <c r="CU121" s="498">
        <v>0</v>
      </c>
      <c r="CV121" s="498">
        <v>0</v>
      </c>
      <c r="CW121" s="498">
        <v>0</v>
      </c>
      <c r="CX121" s="498">
        <v>0</v>
      </c>
      <c r="CY121" s="498">
        <v>0</v>
      </c>
      <c r="CZ121" s="498">
        <v>0</v>
      </c>
      <c r="DA121" s="498">
        <v>0</v>
      </c>
      <c r="DB121" s="498">
        <v>0</v>
      </c>
      <c r="DC121" s="498">
        <v>0</v>
      </c>
      <c r="DD121" s="498">
        <v>0</v>
      </c>
      <c r="DE121" s="498">
        <v>0</v>
      </c>
      <c r="DF121" s="498">
        <v>0</v>
      </c>
      <c r="DG121" s="498">
        <v>0</v>
      </c>
      <c r="DH121" s="498">
        <v>0</v>
      </c>
      <c r="DI121" s="498">
        <v>0</v>
      </c>
      <c r="DJ121" s="498">
        <v>0</v>
      </c>
      <c r="DK121" s="498">
        <v>0</v>
      </c>
      <c r="DL121" s="498">
        <v>0</v>
      </c>
      <c r="DM121" s="498">
        <v>0</v>
      </c>
      <c r="DN121" s="498">
        <v>0</v>
      </c>
      <c r="DO121" s="498">
        <v>0</v>
      </c>
      <c r="DP121" s="498">
        <v>0</v>
      </c>
      <c r="DQ121" s="498">
        <v>0</v>
      </c>
      <c r="DR121" s="498">
        <v>0</v>
      </c>
      <c r="DS121" s="498">
        <v>0</v>
      </c>
      <c r="DT121" s="498">
        <v>0</v>
      </c>
      <c r="DU121" s="498">
        <v>0</v>
      </c>
      <c r="DV121" s="498">
        <v>0</v>
      </c>
      <c r="DW121" s="498">
        <v>0</v>
      </c>
      <c r="DX121" s="477"/>
      <c r="DY121" s="497" t="s">
        <v>720</v>
      </c>
      <c r="DZ121" s="497" t="s">
        <v>617</v>
      </c>
      <c r="EA121" s="497" t="s">
        <v>25</v>
      </c>
      <c r="EB121" s="498">
        <v>35</v>
      </c>
      <c r="EC121" s="494" t="str">
        <f t="shared" si="6"/>
        <v>AIJ100135</v>
      </c>
      <c r="ED121" s="498">
        <v>0</v>
      </c>
      <c r="EE121" s="498">
        <v>306</v>
      </c>
      <c r="EF121" s="498">
        <v>631</v>
      </c>
      <c r="EG121" s="498">
        <v>982</v>
      </c>
      <c r="EH121" s="498">
        <v>1463</v>
      </c>
      <c r="EI121" s="498">
        <v>1953</v>
      </c>
      <c r="EJ121" s="498">
        <v>2802</v>
      </c>
      <c r="EK121" s="498">
        <v>3973</v>
      </c>
      <c r="EL121" s="498">
        <v>5514</v>
      </c>
      <c r="EM121" s="498">
        <v>0</v>
      </c>
      <c r="EN121" s="498">
        <v>0</v>
      </c>
      <c r="EO121" s="498">
        <v>0</v>
      </c>
      <c r="EP121" s="498">
        <v>0</v>
      </c>
      <c r="EQ121" s="498">
        <v>0</v>
      </c>
      <c r="ER121" s="498">
        <v>0</v>
      </c>
      <c r="ES121" s="498">
        <v>0</v>
      </c>
      <c r="ET121" s="498">
        <v>0</v>
      </c>
      <c r="EU121" s="498">
        <v>0</v>
      </c>
      <c r="EV121" s="498">
        <v>0</v>
      </c>
      <c r="EW121" s="498">
        <v>0</v>
      </c>
      <c r="EX121" s="498">
        <v>0</v>
      </c>
      <c r="EY121" s="498">
        <v>0</v>
      </c>
      <c r="EZ121" s="498">
        <v>0</v>
      </c>
      <c r="FA121" s="498">
        <v>0</v>
      </c>
      <c r="FB121" s="498">
        <v>0</v>
      </c>
      <c r="FC121" s="498">
        <v>0</v>
      </c>
      <c r="FD121" s="498">
        <v>0</v>
      </c>
      <c r="FE121" s="498">
        <v>0</v>
      </c>
      <c r="FF121" s="498">
        <v>0</v>
      </c>
      <c r="FG121" s="498">
        <v>0</v>
      </c>
      <c r="FH121" s="498">
        <v>0</v>
      </c>
      <c r="FI121" s="498">
        <v>0</v>
      </c>
      <c r="FJ121" s="498">
        <v>0</v>
      </c>
      <c r="FK121" s="498">
        <v>0</v>
      </c>
      <c r="FL121" s="498">
        <v>0</v>
      </c>
      <c r="FM121" s="498">
        <v>0</v>
      </c>
      <c r="FN121" s="498">
        <v>0</v>
      </c>
      <c r="FO121" s="498">
        <v>0</v>
      </c>
      <c r="FP121" s="498">
        <v>0</v>
      </c>
      <c r="FQ121" s="498">
        <v>0</v>
      </c>
      <c r="FR121" s="498">
        <v>0</v>
      </c>
      <c r="FS121" s="498">
        <v>0</v>
      </c>
      <c r="FT121" s="498">
        <v>0</v>
      </c>
      <c r="FU121" s="498">
        <v>0</v>
      </c>
      <c r="FV121" s="498">
        <v>0</v>
      </c>
      <c r="FW121" s="498">
        <v>0</v>
      </c>
      <c r="FX121" s="498">
        <v>0</v>
      </c>
      <c r="FY121" s="498">
        <v>0</v>
      </c>
      <c r="FZ121" s="498">
        <v>0</v>
      </c>
      <c r="GA121" s="498">
        <v>0</v>
      </c>
      <c r="GB121" s="498">
        <v>0</v>
      </c>
      <c r="GC121" s="498">
        <v>0</v>
      </c>
      <c r="GD121" s="498">
        <v>0</v>
      </c>
      <c r="GE121" s="498">
        <v>0</v>
      </c>
      <c r="GF121" s="498">
        <v>0</v>
      </c>
      <c r="GG121" s="498">
        <v>0</v>
      </c>
      <c r="GH121" s="498">
        <v>0</v>
      </c>
      <c r="GI121" s="498">
        <v>0</v>
      </c>
      <c r="GJ121" s="498">
        <v>0</v>
      </c>
      <c r="GK121" s="498">
        <v>0</v>
      </c>
      <c r="GL121" s="498">
        <v>0</v>
      </c>
      <c r="GM121" s="498">
        <v>0</v>
      </c>
      <c r="GN121" s="498">
        <v>0</v>
      </c>
      <c r="GO121" s="498">
        <v>0</v>
      </c>
      <c r="GP121" s="498">
        <v>0</v>
      </c>
      <c r="GQ121" s="498">
        <v>0</v>
      </c>
      <c r="GR121" s="498">
        <v>0</v>
      </c>
      <c r="GS121" s="498">
        <v>0</v>
      </c>
      <c r="GT121" s="498">
        <v>0</v>
      </c>
      <c r="GU121" s="498">
        <v>0</v>
      </c>
      <c r="GV121" s="498">
        <v>0</v>
      </c>
      <c r="GW121" s="498">
        <v>0</v>
      </c>
      <c r="GX121" s="498">
        <v>0</v>
      </c>
      <c r="GY121" s="498">
        <v>0</v>
      </c>
      <c r="GZ121" s="498">
        <v>0</v>
      </c>
      <c r="HA121" s="498">
        <v>0</v>
      </c>
      <c r="HB121" s="498">
        <v>0</v>
      </c>
      <c r="HC121" s="498">
        <v>0</v>
      </c>
      <c r="HD121" s="498">
        <v>0</v>
      </c>
      <c r="HE121" s="498">
        <v>0</v>
      </c>
      <c r="HF121" s="498">
        <v>0</v>
      </c>
      <c r="HG121" s="498">
        <v>0</v>
      </c>
      <c r="HH121" s="498">
        <v>0</v>
      </c>
      <c r="HI121" s="498">
        <v>0</v>
      </c>
      <c r="HJ121" s="498">
        <v>0</v>
      </c>
      <c r="HK121" s="498">
        <v>0</v>
      </c>
      <c r="HL121" s="498">
        <v>0</v>
      </c>
      <c r="HM121" s="498">
        <v>0</v>
      </c>
      <c r="HN121" s="498">
        <v>0</v>
      </c>
      <c r="HO121" s="498">
        <v>0</v>
      </c>
      <c r="HP121" s="498">
        <v>0</v>
      </c>
      <c r="HQ121" s="498">
        <v>0</v>
      </c>
      <c r="HR121" s="498">
        <v>0</v>
      </c>
      <c r="HS121" s="498">
        <v>0</v>
      </c>
      <c r="HT121" s="498">
        <v>0</v>
      </c>
      <c r="HU121" s="498">
        <v>0</v>
      </c>
      <c r="HV121" s="498">
        <v>0</v>
      </c>
      <c r="HW121" s="498">
        <v>0</v>
      </c>
      <c r="HX121" s="498">
        <v>0</v>
      </c>
      <c r="HY121" s="498">
        <v>0</v>
      </c>
      <c r="HZ121" s="498">
        <v>0</v>
      </c>
      <c r="IA121" s="498">
        <v>0</v>
      </c>
      <c r="IB121" s="498">
        <v>0</v>
      </c>
      <c r="IC121" s="498">
        <v>0</v>
      </c>
      <c r="ID121" s="498">
        <v>0</v>
      </c>
      <c r="IE121" s="498">
        <v>0</v>
      </c>
      <c r="IF121" s="498">
        <v>0</v>
      </c>
      <c r="IG121" s="498">
        <v>0</v>
      </c>
      <c r="IH121" s="498">
        <v>0</v>
      </c>
      <c r="II121" s="498">
        <v>0</v>
      </c>
      <c r="IJ121" s="498">
        <v>0</v>
      </c>
    </row>
    <row r="122" spans="1:245" hidden="1">
      <c r="L122" s="497" t="s">
        <v>720</v>
      </c>
      <c r="M122" s="497" t="s">
        <v>617</v>
      </c>
      <c r="N122" s="497" t="s">
        <v>25</v>
      </c>
      <c r="O122" s="498">
        <v>36</v>
      </c>
      <c r="P122" s="494" t="str">
        <f t="shared" si="5"/>
        <v>AIJ100136</v>
      </c>
      <c r="Q122" s="498">
        <v>20000</v>
      </c>
      <c r="R122" s="498">
        <v>20000</v>
      </c>
      <c r="S122" s="498">
        <v>20000</v>
      </c>
      <c r="T122" s="498">
        <v>20000</v>
      </c>
      <c r="U122" s="498">
        <v>20000</v>
      </c>
      <c r="V122" s="498">
        <v>20000</v>
      </c>
      <c r="W122" s="498">
        <v>20000</v>
      </c>
      <c r="X122" s="498">
        <v>20000</v>
      </c>
      <c r="Y122" s="498">
        <v>20000</v>
      </c>
      <c r="Z122" s="498">
        <v>20000</v>
      </c>
      <c r="AA122" s="498">
        <v>0</v>
      </c>
      <c r="AB122" s="498">
        <v>0</v>
      </c>
      <c r="AC122" s="498">
        <v>0</v>
      </c>
      <c r="AD122" s="498">
        <v>0</v>
      </c>
      <c r="AE122" s="498">
        <v>0</v>
      </c>
      <c r="AF122" s="498">
        <v>0</v>
      </c>
      <c r="AG122" s="498">
        <v>0</v>
      </c>
      <c r="AH122" s="498">
        <v>0</v>
      </c>
      <c r="AI122" s="498">
        <v>0</v>
      </c>
      <c r="AJ122" s="498">
        <v>0</v>
      </c>
      <c r="AK122" s="498">
        <v>0</v>
      </c>
      <c r="AL122" s="498">
        <v>0</v>
      </c>
      <c r="AM122" s="498">
        <v>0</v>
      </c>
      <c r="AN122" s="498">
        <v>0</v>
      </c>
      <c r="AO122" s="498">
        <v>0</v>
      </c>
      <c r="AP122" s="498">
        <v>0</v>
      </c>
      <c r="AQ122" s="498">
        <v>0</v>
      </c>
      <c r="AR122" s="498">
        <v>0</v>
      </c>
      <c r="AS122" s="498">
        <v>0</v>
      </c>
      <c r="AT122" s="498">
        <v>0</v>
      </c>
      <c r="AU122" s="498">
        <v>0</v>
      </c>
      <c r="AV122" s="498">
        <v>0</v>
      </c>
      <c r="AW122" s="498">
        <v>0</v>
      </c>
      <c r="AX122" s="498">
        <v>0</v>
      </c>
      <c r="AY122" s="498">
        <v>0</v>
      </c>
      <c r="AZ122" s="498">
        <v>0</v>
      </c>
      <c r="BA122" s="498">
        <v>0</v>
      </c>
      <c r="BB122" s="498">
        <v>0</v>
      </c>
      <c r="BC122" s="498">
        <v>0</v>
      </c>
      <c r="BD122" s="498">
        <v>0</v>
      </c>
      <c r="BE122" s="498">
        <v>0</v>
      </c>
      <c r="BF122" s="498">
        <v>0</v>
      </c>
      <c r="BG122" s="498">
        <v>0</v>
      </c>
      <c r="BH122" s="498">
        <v>0</v>
      </c>
      <c r="BI122" s="498">
        <v>0</v>
      </c>
      <c r="BJ122" s="498">
        <v>0</v>
      </c>
      <c r="BK122" s="498">
        <v>0</v>
      </c>
      <c r="BL122" s="498">
        <v>0</v>
      </c>
      <c r="BM122" s="498">
        <v>0</v>
      </c>
      <c r="BN122" s="498">
        <v>0</v>
      </c>
      <c r="BO122" s="498">
        <v>0</v>
      </c>
      <c r="BP122" s="498">
        <v>0</v>
      </c>
      <c r="BQ122" s="498">
        <v>0</v>
      </c>
      <c r="BR122" s="498">
        <v>0</v>
      </c>
      <c r="BS122" s="498">
        <v>0</v>
      </c>
      <c r="BT122" s="498">
        <v>0</v>
      </c>
      <c r="BU122" s="498">
        <v>0</v>
      </c>
      <c r="BV122" s="498">
        <v>0</v>
      </c>
      <c r="BW122" s="498">
        <v>0</v>
      </c>
      <c r="BX122" s="498">
        <v>0</v>
      </c>
      <c r="BY122" s="498">
        <v>0</v>
      </c>
      <c r="BZ122" s="498">
        <v>0</v>
      </c>
      <c r="CA122" s="498">
        <v>0</v>
      </c>
      <c r="CB122" s="498">
        <v>0</v>
      </c>
      <c r="CC122" s="498">
        <v>0</v>
      </c>
      <c r="CD122" s="498">
        <v>0</v>
      </c>
      <c r="CE122" s="498">
        <v>0</v>
      </c>
      <c r="CF122" s="498">
        <v>0</v>
      </c>
      <c r="CG122" s="498">
        <v>0</v>
      </c>
      <c r="CH122" s="498">
        <v>0</v>
      </c>
      <c r="CI122" s="498">
        <v>0</v>
      </c>
      <c r="CJ122" s="498">
        <v>0</v>
      </c>
      <c r="CK122" s="498">
        <v>0</v>
      </c>
      <c r="CL122" s="498">
        <v>0</v>
      </c>
      <c r="CM122" s="498">
        <v>0</v>
      </c>
      <c r="CN122" s="498">
        <v>0</v>
      </c>
      <c r="CO122" s="498">
        <v>0</v>
      </c>
      <c r="CP122" s="498">
        <v>0</v>
      </c>
      <c r="CQ122" s="498">
        <v>0</v>
      </c>
      <c r="CR122" s="498">
        <v>0</v>
      </c>
      <c r="CS122" s="498">
        <v>0</v>
      </c>
      <c r="CT122" s="498">
        <v>0</v>
      </c>
      <c r="CU122" s="498">
        <v>0</v>
      </c>
      <c r="CV122" s="498">
        <v>0</v>
      </c>
      <c r="CW122" s="498">
        <v>0</v>
      </c>
      <c r="CX122" s="498">
        <v>0</v>
      </c>
      <c r="CY122" s="498">
        <v>0</v>
      </c>
      <c r="CZ122" s="498">
        <v>0</v>
      </c>
      <c r="DA122" s="498">
        <v>0</v>
      </c>
      <c r="DB122" s="498">
        <v>0</v>
      </c>
      <c r="DC122" s="498">
        <v>0</v>
      </c>
      <c r="DD122" s="498">
        <v>0</v>
      </c>
      <c r="DE122" s="498">
        <v>0</v>
      </c>
      <c r="DF122" s="498">
        <v>0</v>
      </c>
      <c r="DG122" s="498">
        <v>0</v>
      </c>
      <c r="DH122" s="498">
        <v>0</v>
      </c>
      <c r="DI122" s="498">
        <v>0</v>
      </c>
      <c r="DJ122" s="498">
        <v>0</v>
      </c>
      <c r="DK122" s="498">
        <v>0</v>
      </c>
      <c r="DL122" s="498">
        <v>0</v>
      </c>
      <c r="DM122" s="498">
        <v>0</v>
      </c>
      <c r="DN122" s="498">
        <v>0</v>
      </c>
      <c r="DO122" s="498">
        <v>0</v>
      </c>
      <c r="DP122" s="498">
        <v>0</v>
      </c>
      <c r="DQ122" s="498">
        <v>0</v>
      </c>
      <c r="DR122" s="498">
        <v>0</v>
      </c>
      <c r="DS122" s="498">
        <v>0</v>
      </c>
      <c r="DT122" s="498">
        <v>0</v>
      </c>
      <c r="DU122" s="498">
        <v>0</v>
      </c>
      <c r="DV122" s="498">
        <v>0</v>
      </c>
      <c r="DW122" s="498">
        <v>0</v>
      </c>
      <c r="DX122" s="477"/>
      <c r="DY122" s="497" t="s">
        <v>720</v>
      </c>
      <c r="DZ122" s="497" t="s">
        <v>617</v>
      </c>
      <c r="EA122" s="497" t="s">
        <v>25</v>
      </c>
      <c r="EB122" s="498">
        <v>36</v>
      </c>
      <c r="EC122" s="494" t="str">
        <f t="shared" si="6"/>
        <v>AIJ100136</v>
      </c>
      <c r="ED122" s="498">
        <v>0</v>
      </c>
      <c r="EE122" s="498">
        <v>320</v>
      </c>
      <c r="EF122" s="498">
        <v>631</v>
      </c>
      <c r="EG122" s="498">
        <v>1000</v>
      </c>
      <c r="EH122" s="498">
        <v>1467</v>
      </c>
      <c r="EI122" s="498">
        <v>2026</v>
      </c>
      <c r="EJ122" s="498">
        <v>2813</v>
      </c>
      <c r="EK122" s="498">
        <v>3922</v>
      </c>
      <c r="EL122" s="498">
        <v>5487</v>
      </c>
      <c r="EM122" s="498">
        <v>0</v>
      </c>
      <c r="EN122" s="498">
        <v>0</v>
      </c>
      <c r="EO122" s="498">
        <v>0</v>
      </c>
      <c r="EP122" s="498">
        <v>0</v>
      </c>
      <c r="EQ122" s="498">
        <v>0</v>
      </c>
      <c r="ER122" s="498">
        <v>0</v>
      </c>
      <c r="ES122" s="498">
        <v>0</v>
      </c>
      <c r="ET122" s="498">
        <v>0</v>
      </c>
      <c r="EU122" s="498">
        <v>0</v>
      </c>
      <c r="EV122" s="498">
        <v>0</v>
      </c>
      <c r="EW122" s="498">
        <v>0</v>
      </c>
      <c r="EX122" s="498">
        <v>0</v>
      </c>
      <c r="EY122" s="498">
        <v>0</v>
      </c>
      <c r="EZ122" s="498">
        <v>0</v>
      </c>
      <c r="FA122" s="498">
        <v>0</v>
      </c>
      <c r="FB122" s="498">
        <v>0</v>
      </c>
      <c r="FC122" s="498">
        <v>0</v>
      </c>
      <c r="FD122" s="498">
        <v>0</v>
      </c>
      <c r="FE122" s="498">
        <v>0</v>
      </c>
      <c r="FF122" s="498">
        <v>0</v>
      </c>
      <c r="FG122" s="498">
        <v>0</v>
      </c>
      <c r="FH122" s="498">
        <v>0</v>
      </c>
      <c r="FI122" s="498">
        <v>0</v>
      </c>
      <c r="FJ122" s="498">
        <v>0</v>
      </c>
      <c r="FK122" s="498">
        <v>0</v>
      </c>
      <c r="FL122" s="498">
        <v>0</v>
      </c>
      <c r="FM122" s="498">
        <v>0</v>
      </c>
      <c r="FN122" s="498">
        <v>0</v>
      </c>
      <c r="FO122" s="498">
        <v>0</v>
      </c>
      <c r="FP122" s="498">
        <v>0</v>
      </c>
      <c r="FQ122" s="498">
        <v>0</v>
      </c>
      <c r="FR122" s="498">
        <v>0</v>
      </c>
      <c r="FS122" s="498">
        <v>0</v>
      </c>
      <c r="FT122" s="498">
        <v>0</v>
      </c>
      <c r="FU122" s="498">
        <v>0</v>
      </c>
      <c r="FV122" s="498">
        <v>0</v>
      </c>
      <c r="FW122" s="498">
        <v>0</v>
      </c>
      <c r="FX122" s="498">
        <v>0</v>
      </c>
      <c r="FY122" s="498">
        <v>0</v>
      </c>
      <c r="FZ122" s="498">
        <v>0</v>
      </c>
      <c r="GA122" s="498">
        <v>0</v>
      </c>
      <c r="GB122" s="498">
        <v>0</v>
      </c>
      <c r="GC122" s="498">
        <v>0</v>
      </c>
      <c r="GD122" s="498">
        <v>0</v>
      </c>
      <c r="GE122" s="498">
        <v>0</v>
      </c>
      <c r="GF122" s="498">
        <v>0</v>
      </c>
      <c r="GG122" s="498">
        <v>0</v>
      </c>
      <c r="GH122" s="498">
        <v>0</v>
      </c>
      <c r="GI122" s="498">
        <v>0</v>
      </c>
      <c r="GJ122" s="498">
        <v>0</v>
      </c>
      <c r="GK122" s="498">
        <v>0</v>
      </c>
      <c r="GL122" s="498">
        <v>0</v>
      </c>
      <c r="GM122" s="498">
        <v>0</v>
      </c>
      <c r="GN122" s="498">
        <v>0</v>
      </c>
      <c r="GO122" s="498">
        <v>0</v>
      </c>
      <c r="GP122" s="498">
        <v>0</v>
      </c>
      <c r="GQ122" s="498">
        <v>0</v>
      </c>
      <c r="GR122" s="498">
        <v>0</v>
      </c>
      <c r="GS122" s="498">
        <v>0</v>
      </c>
      <c r="GT122" s="498">
        <v>0</v>
      </c>
      <c r="GU122" s="498">
        <v>0</v>
      </c>
      <c r="GV122" s="498">
        <v>0</v>
      </c>
      <c r="GW122" s="498">
        <v>0</v>
      </c>
      <c r="GX122" s="498">
        <v>0</v>
      </c>
      <c r="GY122" s="498">
        <v>0</v>
      </c>
      <c r="GZ122" s="498">
        <v>0</v>
      </c>
      <c r="HA122" s="498">
        <v>0</v>
      </c>
      <c r="HB122" s="498">
        <v>0</v>
      </c>
      <c r="HC122" s="498">
        <v>0</v>
      </c>
      <c r="HD122" s="498">
        <v>0</v>
      </c>
      <c r="HE122" s="498">
        <v>0</v>
      </c>
      <c r="HF122" s="498">
        <v>0</v>
      </c>
      <c r="HG122" s="498">
        <v>0</v>
      </c>
      <c r="HH122" s="498">
        <v>0</v>
      </c>
      <c r="HI122" s="498">
        <v>0</v>
      </c>
      <c r="HJ122" s="498">
        <v>0</v>
      </c>
      <c r="HK122" s="498">
        <v>0</v>
      </c>
      <c r="HL122" s="498">
        <v>0</v>
      </c>
      <c r="HM122" s="498">
        <v>0</v>
      </c>
      <c r="HN122" s="498">
        <v>0</v>
      </c>
      <c r="HO122" s="498">
        <v>0</v>
      </c>
      <c r="HP122" s="498">
        <v>0</v>
      </c>
      <c r="HQ122" s="498">
        <v>0</v>
      </c>
      <c r="HR122" s="498">
        <v>0</v>
      </c>
      <c r="HS122" s="498">
        <v>0</v>
      </c>
      <c r="HT122" s="498">
        <v>0</v>
      </c>
      <c r="HU122" s="498">
        <v>0</v>
      </c>
      <c r="HV122" s="498">
        <v>0</v>
      </c>
      <c r="HW122" s="498">
        <v>0</v>
      </c>
      <c r="HX122" s="498">
        <v>0</v>
      </c>
      <c r="HY122" s="498">
        <v>0</v>
      </c>
      <c r="HZ122" s="498">
        <v>0</v>
      </c>
      <c r="IA122" s="498">
        <v>0</v>
      </c>
      <c r="IB122" s="498">
        <v>0</v>
      </c>
      <c r="IC122" s="498">
        <v>0</v>
      </c>
      <c r="ID122" s="498">
        <v>0</v>
      </c>
      <c r="IE122" s="498">
        <v>0</v>
      </c>
      <c r="IF122" s="498">
        <v>0</v>
      </c>
      <c r="IG122" s="498">
        <v>0</v>
      </c>
      <c r="IH122" s="498">
        <v>0</v>
      </c>
      <c r="II122" s="498">
        <v>0</v>
      </c>
      <c r="IJ122" s="498">
        <v>0</v>
      </c>
    </row>
    <row r="123" spans="1:245" hidden="1">
      <c r="L123" s="497" t="s">
        <v>720</v>
      </c>
      <c r="M123" s="497" t="s">
        <v>617</v>
      </c>
      <c r="N123" s="497" t="s">
        <v>25</v>
      </c>
      <c r="O123" s="498">
        <v>37</v>
      </c>
      <c r="P123" s="494" t="str">
        <f t="shared" si="5"/>
        <v>AIJ100137</v>
      </c>
      <c r="Q123" s="498">
        <v>20000</v>
      </c>
      <c r="R123" s="498">
        <v>20000</v>
      </c>
      <c r="S123" s="498">
        <v>20000</v>
      </c>
      <c r="T123" s="498">
        <v>20000</v>
      </c>
      <c r="U123" s="498">
        <v>20000</v>
      </c>
      <c r="V123" s="498">
        <v>20000</v>
      </c>
      <c r="W123" s="498">
        <v>20000</v>
      </c>
      <c r="X123" s="498">
        <v>20000</v>
      </c>
      <c r="Y123" s="498">
        <v>20000</v>
      </c>
      <c r="Z123" s="498">
        <v>20000</v>
      </c>
      <c r="AA123" s="498">
        <v>0</v>
      </c>
      <c r="AB123" s="498">
        <v>0</v>
      </c>
      <c r="AC123" s="498">
        <v>0</v>
      </c>
      <c r="AD123" s="498">
        <v>0</v>
      </c>
      <c r="AE123" s="498">
        <v>0</v>
      </c>
      <c r="AF123" s="498">
        <v>0</v>
      </c>
      <c r="AG123" s="498">
        <v>0</v>
      </c>
      <c r="AH123" s="498">
        <v>0</v>
      </c>
      <c r="AI123" s="498">
        <v>0</v>
      </c>
      <c r="AJ123" s="498">
        <v>0</v>
      </c>
      <c r="AK123" s="498">
        <v>0</v>
      </c>
      <c r="AL123" s="498">
        <v>0</v>
      </c>
      <c r="AM123" s="498">
        <v>0</v>
      </c>
      <c r="AN123" s="498">
        <v>0</v>
      </c>
      <c r="AO123" s="498">
        <v>0</v>
      </c>
      <c r="AP123" s="498">
        <v>0</v>
      </c>
      <c r="AQ123" s="498">
        <v>0</v>
      </c>
      <c r="AR123" s="498">
        <v>0</v>
      </c>
      <c r="AS123" s="498">
        <v>0</v>
      </c>
      <c r="AT123" s="498">
        <v>0</v>
      </c>
      <c r="AU123" s="498">
        <v>0</v>
      </c>
      <c r="AV123" s="498">
        <v>0</v>
      </c>
      <c r="AW123" s="498">
        <v>0</v>
      </c>
      <c r="AX123" s="498">
        <v>0</v>
      </c>
      <c r="AY123" s="498">
        <v>0</v>
      </c>
      <c r="AZ123" s="498">
        <v>0</v>
      </c>
      <c r="BA123" s="498">
        <v>0</v>
      </c>
      <c r="BB123" s="498">
        <v>0</v>
      </c>
      <c r="BC123" s="498">
        <v>0</v>
      </c>
      <c r="BD123" s="498">
        <v>0</v>
      </c>
      <c r="BE123" s="498">
        <v>0</v>
      </c>
      <c r="BF123" s="498">
        <v>0</v>
      </c>
      <c r="BG123" s="498">
        <v>0</v>
      </c>
      <c r="BH123" s="498">
        <v>0</v>
      </c>
      <c r="BI123" s="498">
        <v>0</v>
      </c>
      <c r="BJ123" s="498">
        <v>0</v>
      </c>
      <c r="BK123" s="498">
        <v>0</v>
      </c>
      <c r="BL123" s="498">
        <v>0</v>
      </c>
      <c r="BM123" s="498">
        <v>0</v>
      </c>
      <c r="BN123" s="498">
        <v>0</v>
      </c>
      <c r="BO123" s="498">
        <v>0</v>
      </c>
      <c r="BP123" s="498">
        <v>0</v>
      </c>
      <c r="BQ123" s="498">
        <v>0</v>
      </c>
      <c r="BR123" s="498">
        <v>0</v>
      </c>
      <c r="BS123" s="498">
        <v>0</v>
      </c>
      <c r="BT123" s="498">
        <v>0</v>
      </c>
      <c r="BU123" s="498">
        <v>0</v>
      </c>
      <c r="BV123" s="498">
        <v>0</v>
      </c>
      <c r="BW123" s="498">
        <v>0</v>
      </c>
      <c r="BX123" s="498">
        <v>0</v>
      </c>
      <c r="BY123" s="498">
        <v>0</v>
      </c>
      <c r="BZ123" s="498">
        <v>0</v>
      </c>
      <c r="CA123" s="498">
        <v>0</v>
      </c>
      <c r="CB123" s="498">
        <v>0</v>
      </c>
      <c r="CC123" s="498">
        <v>0</v>
      </c>
      <c r="CD123" s="498">
        <v>0</v>
      </c>
      <c r="CE123" s="498">
        <v>0</v>
      </c>
      <c r="CF123" s="498">
        <v>0</v>
      </c>
      <c r="CG123" s="498">
        <v>0</v>
      </c>
      <c r="CH123" s="498">
        <v>0</v>
      </c>
      <c r="CI123" s="498">
        <v>0</v>
      </c>
      <c r="CJ123" s="498">
        <v>0</v>
      </c>
      <c r="CK123" s="498">
        <v>0</v>
      </c>
      <c r="CL123" s="498">
        <v>0</v>
      </c>
      <c r="CM123" s="498">
        <v>0</v>
      </c>
      <c r="CN123" s="498">
        <v>0</v>
      </c>
      <c r="CO123" s="498">
        <v>0</v>
      </c>
      <c r="CP123" s="498">
        <v>0</v>
      </c>
      <c r="CQ123" s="498">
        <v>0</v>
      </c>
      <c r="CR123" s="498">
        <v>0</v>
      </c>
      <c r="CS123" s="498">
        <v>0</v>
      </c>
      <c r="CT123" s="498">
        <v>0</v>
      </c>
      <c r="CU123" s="498">
        <v>0</v>
      </c>
      <c r="CV123" s="498">
        <v>0</v>
      </c>
      <c r="CW123" s="498">
        <v>0</v>
      </c>
      <c r="CX123" s="498">
        <v>0</v>
      </c>
      <c r="CY123" s="498">
        <v>0</v>
      </c>
      <c r="CZ123" s="498">
        <v>0</v>
      </c>
      <c r="DA123" s="498">
        <v>0</v>
      </c>
      <c r="DB123" s="498">
        <v>0</v>
      </c>
      <c r="DC123" s="498">
        <v>0</v>
      </c>
      <c r="DD123" s="498">
        <v>0</v>
      </c>
      <c r="DE123" s="498">
        <v>0</v>
      </c>
      <c r="DF123" s="498">
        <v>0</v>
      </c>
      <c r="DG123" s="498">
        <v>0</v>
      </c>
      <c r="DH123" s="498">
        <v>0</v>
      </c>
      <c r="DI123" s="498">
        <v>0</v>
      </c>
      <c r="DJ123" s="498">
        <v>0</v>
      </c>
      <c r="DK123" s="498">
        <v>0</v>
      </c>
      <c r="DL123" s="498">
        <v>0</v>
      </c>
      <c r="DM123" s="498">
        <v>0</v>
      </c>
      <c r="DN123" s="498">
        <v>0</v>
      </c>
      <c r="DO123" s="498">
        <v>0</v>
      </c>
      <c r="DP123" s="498">
        <v>0</v>
      </c>
      <c r="DQ123" s="498">
        <v>0</v>
      </c>
      <c r="DR123" s="498">
        <v>0</v>
      </c>
      <c r="DS123" s="498">
        <v>0</v>
      </c>
      <c r="DT123" s="498">
        <v>0</v>
      </c>
      <c r="DU123" s="498">
        <v>0</v>
      </c>
      <c r="DV123" s="498">
        <v>0</v>
      </c>
      <c r="DW123" s="498">
        <v>0</v>
      </c>
      <c r="DX123" s="477"/>
      <c r="DY123" s="497" t="s">
        <v>720</v>
      </c>
      <c r="DZ123" s="497" t="s">
        <v>617</v>
      </c>
      <c r="EA123" s="497" t="s">
        <v>25</v>
      </c>
      <c r="EB123" s="498">
        <v>37</v>
      </c>
      <c r="EC123" s="494" t="str">
        <f t="shared" si="6"/>
        <v>AIJ100137</v>
      </c>
      <c r="ED123" s="498">
        <v>0</v>
      </c>
      <c r="EE123" s="498">
        <v>303</v>
      </c>
      <c r="EF123" s="498">
        <v>657</v>
      </c>
      <c r="EG123" s="498">
        <v>1013</v>
      </c>
      <c r="EH123" s="498">
        <v>1533</v>
      </c>
      <c r="EI123" s="498">
        <v>2008</v>
      </c>
      <c r="EJ123" s="498">
        <v>2822</v>
      </c>
      <c r="EK123" s="498">
        <v>3975</v>
      </c>
      <c r="EL123" s="498">
        <v>5508</v>
      </c>
      <c r="EM123" s="498">
        <v>0</v>
      </c>
      <c r="EN123" s="498">
        <v>0</v>
      </c>
      <c r="EO123" s="498">
        <v>0</v>
      </c>
      <c r="EP123" s="498">
        <v>0</v>
      </c>
      <c r="EQ123" s="498">
        <v>0</v>
      </c>
      <c r="ER123" s="498">
        <v>0</v>
      </c>
      <c r="ES123" s="498">
        <v>0</v>
      </c>
      <c r="ET123" s="498">
        <v>0</v>
      </c>
      <c r="EU123" s="498">
        <v>0</v>
      </c>
      <c r="EV123" s="498">
        <v>0</v>
      </c>
      <c r="EW123" s="498">
        <v>0</v>
      </c>
      <c r="EX123" s="498">
        <v>0</v>
      </c>
      <c r="EY123" s="498">
        <v>0</v>
      </c>
      <c r="EZ123" s="498">
        <v>0</v>
      </c>
      <c r="FA123" s="498">
        <v>0</v>
      </c>
      <c r="FB123" s="498">
        <v>0</v>
      </c>
      <c r="FC123" s="498">
        <v>0</v>
      </c>
      <c r="FD123" s="498">
        <v>0</v>
      </c>
      <c r="FE123" s="498">
        <v>0</v>
      </c>
      <c r="FF123" s="498">
        <v>0</v>
      </c>
      <c r="FG123" s="498">
        <v>0</v>
      </c>
      <c r="FH123" s="498">
        <v>0</v>
      </c>
      <c r="FI123" s="498">
        <v>0</v>
      </c>
      <c r="FJ123" s="498">
        <v>0</v>
      </c>
      <c r="FK123" s="498">
        <v>0</v>
      </c>
      <c r="FL123" s="498">
        <v>0</v>
      </c>
      <c r="FM123" s="498">
        <v>0</v>
      </c>
      <c r="FN123" s="498">
        <v>0</v>
      </c>
      <c r="FO123" s="498">
        <v>0</v>
      </c>
      <c r="FP123" s="498">
        <v>0</v>
      </c>
      <c r="FQ123" s="498">
        <v>0</v>
      </c>
      <c r="FR123" s="498">
        <v>0</v>
      </c>
      <c r="FS123" s="498">
        <v>0</v>
      </c>
      <c r="FT123" s="498">
        <v>0</v>
      </c>
      <c r="FU123" s="498">
        <v>0</v>
      </c>
      <c r="FV123" s="498">
        <v>0</v>
      </c>
      <c r="FW123" s="498">
        <v>0</v>
      </c>
      <c r="FX123" s="498">
        <v>0</v>
      </c>
      <c r="FY123" s="498">
        <v>0</v>
      </c>
      <c r="FZ123" s="498">
        <v>0</v>
      </c>
      <c r="GA123" s="498">
        <v>0</v>
      </c>
      <c r="GB123" s="498">
        <v>0</v>
      </c>
      <c r="GC123" s="498">
        <v>0</v>
      </c>
      <c r="GD123" s="498">
        <v>0</v>
      </c>
      <c r="GE123" s="498">
        <v>0</v>
      </c>
      <c r="GF123" s="498">
        <v>0</v>
      </c>
      <c r="GG123" s="498">
        <v>0</v>
      </c>
      <c r="GH123" s="498">
        <v>0</v>
      </c>
      <c r="GI123" s="498">
        <v>0</v>
      </c>
      <c r="GJ123" s="498">
        <v>0</v>
      </c>
      <c r="GK123" s="498">
        <v>0</v>
      </c>
      <c r="GL123" s="498">
        <v>0</v>
      </c>
      <c r="GM123" s="498">
        <v>0</v>
      </c>
      <c r="GN123" s="498">
        <v>0</v>
      </c>
      <c r="GO123" s="498">
        <v>0</v>
      </c>
      <c r="GP123" s="498">
        <v>0</v>
      </c>
      <c r="GQ123" s="498">
        <v>0</v>
      </c>
      <c r="GR123" s="498">
        <v>0</v>
      </c>
      <c r="GS123" s="498">
        <v>0</v>
      </c>
      <c r="GT123" s="498">
        <v>0</v>
      </c>
      <c r="GU123" s="498">
        <v>0</v>
      </c>
      <c r="GV123" s="498">
        <v>0</v>
      </c>
      <c r="GW123" s="498">
        <v>0</v>
      </c>
      <c r="GX123" s="498">
        <v>0</v>
      </c>
      <c r="GY123" s="498">
        <v>0</v>
      </c>
      <c r="GZ123" s="498">
        <v>0</v>
      </c>
      <c r="HA123" s="498">
        <v>0</v>
      </c>
      <c r="HB123" s="498">
        <v>0</v>
      </c>
      <c r="HC123" s="498">
        <v>0</v>
      </c>
      <c r="HD123" s="498">
        <v>0</v>
      </c>
      <c r="HE123" s="498">
        <v>0</v>
      </c>
      <c r="HF123" s="498">
        <v>0</v>
      </c>
      <c r="HG123" s="498">
        <v>0</v>
      </c>
      <c r="HH123" s="498">
        <v>0</v>
      </c>
      <c r="HI123" s="498">
        <v>0</v>
      </c>
      <c r="HJ123" s="498">
        <v>0</v>
      </c>
      <c r="HK123" s="498">
        <v>0</v>
      </c>
      <c r="HL123" s="498">
        <v>0</v>
      </c>
      <c r="HM123" s="498">
        <v>0</v>
      </c>
      <c r="HN123" s="498">
        <v>0</v>
      </c>
      <c r="HO123" s="498">
        <v>0</v>
      </c>
      <c r="HP123" s="498">
        <v>0</v>
      </c>
      <c r="HQ123" s="498">
        <v>0</v>
      </c>
      <c r="HR123" s="498">
        <v>0</v>
      </c>
      <c r="HS123" s="498">
        <v>0</v>
      </c>
      <c r="HT123" s="498">
        <v>0</v>
      </c>
      <c r="HU123" s="498">
        <v>0</v>
      </c>
      <c r="HV123" s="498">
        <v>0</v>
      </c>
      <c r="HW123" s="498">
        <v>0</v>
      </c>
      <c r="HX123" s="498">
        <v>0</v>
      </c>
      <c r="HY123" s="498">
        <v>0</v>
      </c>
      <c r="HZ123" s="498">
        <v>0</v>
      </c>
      <c r="IA123" s="498">
        <v>0</v>
      </c>
      <c r="IB123" s="498">
        <v>0</v>
      </c>
      <c r="IC123" s="498">
        <v>0</v>
      </c>
      <c r="ID123" s="498">
        <v>0</v>
      </c>
      <c r="IE123" s="498">
        <v>0</v>
      </c>
      <c r="IF123" s="498">
        <v>0</v>
      </c>
      <c r="IG123" s="498">
        <v>0</v>
      </c>
      <c r="IH123" s="498">
        <v>0</v>
      </c>
      <c r="II123" s="498">
        <v>0</v>
      </c>
      <c r="IJ123" s="498">
        <v>0</v>
      </c>
    </row>
    <row r="124" spans="1:245" hidden="1">
      <c r="L124" s="497" t="s">
        <v>720</v>
      </c>
      <c r="M124" s="497" t="s">
        <v>617</v>
      </c>
      <c r="N124" s="497" t="s">
        <v>25</v>
      </c>
      <c r="O124" s="498">
        <v>38</v>
      </c>
      <c r="P124" s="494" t="str">
        <f t="shared" si="5"/>
        <v>AIJ100138</v>
      </c>
      <c r="Q124" s="498">
        <v>20000</v>
      </c>
      <c r="R124" s="498">
        <v>20000</v>
      </c>
      <c r="S124" s="498">
        <v>20000</v>
      </c>
      <c r="T124" s="498">
        <v>20000</v>
      </c>
      <c r="U124" s="498">
        <v>20000</v>
      </c>
      <c r="V124" s="498">
        <v>20000</v>
      </c>
      <c r="W124" s="498">
        <v>20000</v>
      </c>
      <c r="X124" s="498">
        <v>20000</v>
      </c>
      <c r="Y124" s="498">
        <v>20000</v>
      </c>
      <c r="Z124" s="498">
        <v>20000</v>
      </c>
      <c r="AA124" s="498">
        <v>0</v>
      </c>
      <c r="AB124" s="498">
        <v>0</v>
      </c>
      <c r="AC124" s="498">
        <v>0</v>
      </c>
      <c r="AD124" s="498">
        <v>0</v>
      </c>
      <c r="AE124" s="498">
        <v>0</v>
      </c>
      <c r="AF124" s="498">
        <v>0</v>
      </c>
      <c r="AG124" s="498">
        <v>0</v>
      </c>
      <c r="AH124" s="498">
        <v>0</v>
      </c>
      <c r="AI124" s="498">
        <v>0</v>
      </c>
      <c r="AJ124" s="498">
        <v>0</v>
      </c>
      <c r="AK124" s="498">
        <v>0</v>
      </c>
      <c r="AL124" s="498">
        <v>0</v>
      </c>
      <c r="AM124" s="498">
        <v>0</v>
      </c>
      <c r="AN124" s="498">
        <v>0</v>
      </c>
      <c r="AO124" s="498">
        <v>0</v>
      </c>
      <c r="AP124" s="498">
        <v>0</v>
      </c>
      <c r="AQ124" s="498">
        <v>0</v>
      </c>
      <c r="AR124" s="498">
        <v>0</v>
      </c>
      <c r="AS124" s="498">
        <v>0</v>
      </c>
      <c r="AT124" s="498">
        <v>0</v>
      </c>
      <c r="AU124" s="498">
        <v>0</v>
      </c>
      <c r="AV124" s="498">
        <v>0</v>
      </c>
      <c r="AW124" s="498">
        <v>0</v>
      </c>
      <c r="AX124" s="498">
        <v>0</v>
      </c>
      <c r="AY124" s="498">
        <v>0</v>
      </c>
      <c r="AZ124" s="498">
        <v>0</v>
      </c>
      <c r="BA124" s="498">
        <v>0</v>
      </c>
      <c r="BB124" s="498">
        <v>0</v>
      </c>
      <c r="BC124" s="498">
        <v>0</v>
      </c>
      <c r="BD124" s="498">
        <v>0</v>
      </c>
      <c r="BE124" s="498">
        <v>0</v>
      </c>
      <c r="BF124" s="498">
        <v>0</v>
      </c>
      <c r="BG124" s="498">
        <v>0</v>
      </c>
      <c r="BH124" s="498">
        <v>0</v>
      </c>
      <c r="BI124" s="498">
        <v>0</v>
      </c>
      <c r="BJ124" s="498">
        <v>0</v>
      </c>
      <c r="BK124" s="498">
        <v>0</v>
      </c>
      <c r="BL124" s="498">
        <v>0</v>
      </c>
      <c r="BM124" s="498">
        <v>0</v>
      </c>
      <c r="BN124" s="498">
        <v>0</v>
      </c>
      <c r="BO124" s="498">
        <v>0</v>
      </c>
      <c r="BP124" s="498">
        <v>0</v>
      </c>
      <c r="BQ124" s="498">
        <v>0</v>
      </c>
      <c r="BR124" s="498">
        <v>0</v>
      </c>
      <c r="BS124" s="498">
        <v>0</v>
      </c>
      <c r="BT124" s="498">
        <v>0</v>
      </c>
      <c r="BU124" s="498">
        <v>0</v>
      </c>
      <c r="BV124" s="498">
        <v>0</v>
      </c>
      <c r="BW124" s="498">
        <v>0</v>
      </c>
      <c r="BX124" s="498">
        <v>0</v>
      </c>
      <c r="BY124" s="498">
        <v>0</v>
      </c>
      <c r="BZ124" s="498">
        <v>0</v>
      </c>
      <c r="CA124" s="498">
        <v>0</v>
      </c>
      <c r="CB124" s="498">
        <v>0</v>
      </c>
      <c r="CC124" s="498">
        <v>0</v>
      </c>
      <c r="CD124" s="498">
        <v>0</v>
      </c>
      <c r="CE124" s="498">
        <v>0</v>
      </c>
      <c r="CF124" s="498">
        <v>0</v>
      </c>
      <c r="CG124" s="498">
        <v>0</v>
      </c>
      <c r="CH124" s="498">
        <v>0</v>
      </c>
      <c r="CI124" s="498">
        <v>0</v>
      </c>
      <c r="CJ124" s="498">
        <v>0</v>
      </c>
      <c r="CK124" s="498">
        <v>0</v>
      </c>
      <c r="CL124" s="498">
        <v>0</v>
      </c>
      <c r="CM124" s="498">
        <v>0</v>
      </c>
      <c r="CN124" s="498">
        <v>0</v>
      </c>
      <c r="CO124" s="498">
        <v>0</v>
      </c>
      <c r="CP124" s="498">
        <v>0</v>
      </c>
      <c r="CQ124" s="498">
        <v>0</v>
      </c>
      <c r="CR124" s="498">
        <v>0</v>
      </c>
      <c r="CS124" s="498">
        <v>0</v>
      </c>
      <c r="CT124" s="498">
        <v>0</v>
      </c>
      <c r="CU124" s="498">
        <v>0</v>
      </c>
      <c r="CV124" s="498">
        <v>0</v>
      </c>
      <c r="CW124" s="498">
        <v>0</v>
      </c>
      <c r="CX124" s="498">
        <v>0</v>
      </c>
      <c r="CY124" s="498">
        <v>0</v>
      </c>
      <c r="CZ124" s="498">
        <v>0</v>
      </c>
      <c r="DA124" s="498">
        <v>0</v>
      </c>
      <c r="DB124" s="498">
        <v>0</v>
      </c>
      <c r="DC124" s="498">
        <v>0</v>
      </c>
      <c r="DD124" s="498">
        <v>0</v>
      </c>
      <c r="DE124" s="498">
        <v>0</v>
      </c>
      <c r="DF124" s="498">
        <v>0</v>
      </c>
      <c r="DG124" s="498">
        <v>0</v>
      </c>
      <c r="DH124" s="498">
        <v>0</v>
      </c>
      <c r="DI124" s="498">
        <v>0</v>
      </c>
      <c r="DJ124" s="498">
        <v>0</v>
      </c>
      <c r="DK124" s="498">
        <v>0</v>
      </c>
      <c r="DL124" s="498">
        <v>0</v>
      </c>
      <c r="DM124" s="498">
        <v>0</v>
      </c>
      <c r="DN124" s="498">
        <v>0</v>
      </c>
      <c r="DO124" s="498">
        <v>0</v>
      </c>
      <c r="DP124" s="498">
        <v>0</v>
      </c>
      <c r="DQ124" s="498">
        <v>0</v>
      </c>
      <c r="DR124" s="498">
        <v>0</v>
      </c>
      <c r="DS124" s="498">
        <v>0</v>
      </c>
      <c r="DT124" s="498">
        <v>0</v>
      </c>
      <c r="DU124" s="498">
        <v>0</v>
      </c>
      <c r="DV124" s="498">
        <v>0</v>
      </c>
      <c r="DW124" s="498">
        <v>0</v>
      </c>
      <c r="DX124" s="477"/>
      <c r="DY124" s="497" t="s">
        <v>720</v>
      </c>
      <c r="DZ124" s="497" t="s">
        <v>617</v>
      </c>
      <c r="EA124" s="497" t="s">
        <v>25</v>
      </c>
      <c r="EB124" s="498">
        <v>38</v>
      </c>
      <c r="EC124" s="494" t="str">
        <f t="shared" si="6"/>
        <v>AIJ100138</v>
      </c>
      <c r="ED124" s="498">
        <v>0</v>
      </c>
      <c r="EE124" s="498">
        <v>313</v>
      </c>
      <c r="EF124" s="498">
        <v>652</v>
      </c>
      <c r="EG124" s="498">
        <v>1022</v>
      </c>
      <c r="EH124" s="498">
        <v>1522</v>
      </c>
      <c r="EI124" s="498">
        <v>2016</v>
      </c>
      <c r="EJ124" s="498">
        <v>2817</v>
      </c>
      <c r="EK124" s="498">
        <v>3941</v>
      </c>
      <c r="EL124" s="498">
        <v>5484</v>
      </c>
      <c r="EM124" s="498">
        <v>0</v>
      </c>
      <c r="EN124" s="498">
        <v>0</v>
      </c>
      <c r="EO124" s="498">
        <v>0</v>
      </c>
      <c r="EP124" s="498">
        <v>0</v>
      </c>
      <c r="EQ124" s="498">
        <v>0</v>
      </c>
      <c r="ER124" s="498">
        <v>0</v>
      </c>
      <c r="ES124" s="498">
        <v>0</v>
      </c>
      <c r="ET124" s="498">
        <v>0</v>
      </c>
      <c r="EU124" s="498">
        <v>0</v>
      </c>
      <c r="EV124" s="498">
        <v>0</v>
      </c>
      <c r="EW124" s="498">
        <v>0</v>
      </c>
      <c r="EX124" s="498">
        <v>0</v>
      </c>
      <c r="EY124" s="498">
        <v>0</v>
      </c>
      <c r="EZ124" s="498">
        <v>0</v>
      </c>
      <c r="FA124" s="498">
        <v>0</v>
      </c>
      <c r="FB124" s="498">
        <v>0</v>
      </c>
      <c r="FC124" s="498">
        <v>0</v>
      </c>
      <c r="FD124" s="498">
        <v>0</v>
      </c>
      <c r="FE124" s="498">
        <v>0</v>
      </c>
      <c r="FF124" s="498">
        <v>0</v>
      </c>
      <c r="FG124" s="498">
        <v>0</v>
      </c>
      <c r="FH124" s="498">
        <v>0</v>
      </c>
      <c r="FI124" s="498">
        <v>0</v>
      </c>
      <c r="FJ124" s="498">
        <v>0</v>
      </c>
      <c r="FK124" s="498">
        <v>0</v>
      </c>
      <c r="FL124" s="498">
        <v>0</v>
      </c>
      <c r="FM124" s="498">
        <v>0</v>
      </c>
      <c r="FN124" s="498">
        <v>0</v>
      </c>
      <c r="FO124" s="498">
        <v>0</v>
      </c>
      <c r="FP124" s="498">
        <v>0</v>
      </c>
      <c r="FQ124" s="498">
        <v>0</v>
      </c>
      <c r="FR124" s="498">
        <v>0</v>
      </c>
      <c r="FS124" s="498">
        <v>0</v>
      </c>
      <c r="FT124" s="498">
        <v>0</v>
      </c>
      <c r="FU124" s="498">
        <v>0</v>
      </c>
      <c r="FV124" s="498">
        <v>0</v>
      </c>
      <c r="FW124" s="498">
        <v>0</v>
      </c>
      <c r="FX124" s="498">
        <v>0</v>
      </c>
      <c r="FY124" s="498">
        <v>0</v>
      </c>
      <c r="FZ124" s="498">
        <v>0</v>
      </c>
      <c r="GA124" s="498">
        <v>0</v>
      </c>
      <c r="GB124" s="498">
        <v>0</v>
      </c>
      <c r="GC124" s="498">
        <v>0</v>
      </c>
      <c r="GD124" s="498">
        <v>0</v>
      </c>
      <c r="GE124" s="498">
        <v>0</v>
      </c>
      <c r="GF124" s="498">
        <v>0</v>
      </c>
      <c r="GG124" s="498">
        <v>0</v>
      </c>
      <c r="GH124" s="498">
        <v>0</v>
      </c>
      <c r="GI124" s="498">
        <v>0</v>
      </c>
      <c r="GJ124" s="498">
        <v>0</v>
      </c>
      <c r="GK124" s="498">
        <v>0</v>
      </c>
      <c r="GL124" s="498">
        <v>0</v>
      </c>
      <c r="GM124" s="498">
        <v>0</v>
      </c>
      <c r="GN124" s="498">
        <v>0</v>
      </c>
      <c r="GO124" s="498">
        <v>0</v>
      </c>
      <c r="GP124" s="498">
        <v>0</v>
      </c>
      <c r="GQ124" s="498">
        <v>0</v>
      </c>
      <c r="GR124" s="498">
        <v>0</v>
      </c>
      <c r="GS124" s="498">
        <v>0</v>
      </c>
      <c r="GT124" s="498">
        <v>0</v>
      </c>
      <c r="GU124" s="498">
        <v>0</v>
      </c>
      <c r="GV124" s="498">
        <v>0</v>
      </c>
      <c r="GW124" s="498">
        <v>0</v>
      </c>
      <c r="GX124" s="498">
        <v>0</v>
      </c>
      <c r="GY124" s="498">
        <v>0</v>
      </c>
      <c r="GZ124" s="498">
        <v>0</v>
      </c>
      <c r="HA124" s="498">
        <v>0</v>
      </c>
      <c r="HB124" s="498">
        <v>0</v>
      </c>
      <c r="HC124" s="498">
        <v>0</v>
      </c>
      <c r="HD124" s="498">
        <v>0</v>
      </c>
      <c r="HE124" s="498">
        <v>0</v>
      </c>
      <c r="HF124" s="498">
        <v>0</v>
      </c>
      <c r="HG124" s="498">
        <v>0</v>
      </c>
      <c r="HH124" s="498">
        <v>0</v>
      </c>
      <c r="HI124" s="498">
        <v>0</v>
      </c>
      <c r="HJ124" s="498">
        <v>0</v>
      </c>
      <c r="HK124" s="498">
        <v>0</v>
      </c>
      <c r="HL124" s="498">
        <v>0</v>
      </c>
      <c r="HM124" s="498">
        <v>0</v>
      </c>
      <c r="HN124" s="498">
        <v>0</v>
      </c>
      <c r="HO124" s="498">
        <v>0</v>
      </c>
      <c r="HP124" s="498">
        <v>0</v>
      </c>
      <c r="HQ124" s="498">
        <v>0</v>
      </c>
      <c r="HR124" s="498">
        <v>0</v>
      </c>
      <c r="HS124" s="498">
        <v>0</v>
      </c>
      <c r="HT124" s="498">
        <v>0</v>
      </c>
      <c r="HU124" s="498">
        <v>0</v>
      </c>
      <c r="HV124" s="498">
        <v>0</v>
      </c>
      <c r="HW124" s="498">
        <v>0</v>
      </c>
      <c r="HX124" s="498">
        <v>0</v>
      </c>
      <c r="HY124" s="498">
        <v>0</v>
      </c>
      <c r="HZ124" s="498">
        <v>0</v>
      </c>
      <c r="IA124" s="498">
        <v>0</v>
      </c>
      <c r="IB124" s="498">
        <v>0</v>
      </c>
      <c r="IC124" s="498">
        <v>0</v>
      </c>
      <c r="ID124" s="498">
        <v>0</v>
      </c>
      <c r="IE124" s="498">
        <v>0</v>
      </c>
      <c r="IF124" s="498">
        <v>0</v>
      </c>
      <c r="IG124" s="498">
        <v>0</v>
      </c>
      <c r="IH124" s="498">
        <v>0</v>
      </c>
      <c r="II124" s="498">
        <v>0</v>
      </c>
      <c r="IJ124" s="498">
        <v>0</v>
      </c>
    </row>
    <row r="125" spans="1:245" hidden="1">
      <c r="L125" s="497" t="s">
        <v>720</v>
      </c>
      <c r="M125" s="497" t="s">
        <v>617</v>
      </c>
      <c r="N125" s="497" t="s">
        <v>25</v>
      </c>
      <c r="O125" s="498">
        <v>39</v>
      </c>
      <c r="P125" s="494" t="str">
        <f t="shared" si="5"/>
        <v>AIJ100139</v>
      </c>
      <c r="Q125" s="498">
        <v>20000</v>
      </c>
      <c r="R125" s="498">
        <v>20000</v>
      </c>
      <c r="S125" s="498">
        <v>20000</v>
      </c>
      <c r="T125" s="498">
        <v>20000</v>
      </c>
      <c r="U125" s="498">
        <v>20000</v>
      </c>
      <c r="V125" s="498">
        <v>20000</v>
      </c>
      <c r="W125" s="498">
        <v>20000</v>
      </c>
      <c r="X125" s="498">
        <v>20000</v>
      </c>
      <c r="Y125" s="498">
        <v>20000</v>
      </c>
      <c r="Z125" s="498">
        <v>20000</v>
      </c>
      <c r="AA125" s="498">
        <v>0</v>
      </c>
      <c r="AB125" s="498">
        <v>0</v>
      </c>
      <c r="AC125" s="498">
        <v>0</v>
      </c>
      <c r="AD125" s="498">
        <v>0</v>
      </c>
      <c r="AE125" s="498">
        <v>0</v>
      </c>
      <c r="AF125" s="498">
        <v>0</v>
      </c>
      <c r="AG125" s="498">
        <v>0</v>
      </c>
      <c r="AH125" s="498">
        <v>0</v>
      </c>
      <c r="AI125" s="498">
        <v>0</v>
      </c>
      <c r="AJ125" s="498">
        <v>0</v>
      </c>
      <c r="AK125" s="498">
        <v>0</v>
      </c>
      <c r="AL125" s="498">
        <v>0</v>
      </c>
      <c r="AM125" s="498">
        <v>0</v>
      </c>
      <c r="AN125" s="498">
        <v>0</v>
      </c>
      <c r="AO125" s="498">
        <v>0</v>
      </c>
      <c r="AP125" s="498">
        <v>0</v>
      </c>
      <c r="AQ125" s="498">
        <v>0</v>
      </c>
      <c r="AR125" s="498">
        <v>0</v>
      </c>
      <c r="AS125" s="498">
        <v>0</v>
      </c>
      <c r="AT125" s="498">
        <v>0</v>
      </c>
      <c r="AU125" s="498">
        <v>0</v>
      </c>
      <c r="AV125" s="498">
        <v>0</v>
      </c>
      <c r="AW125" s="498">
        <v>0</v>
      </c>
      <c r="AX125" s="498">
        <v>0</v>
      </c>
      <c r="AY125" s="498">
        <v>0</v>
      </c>
      <c r="AZ125" s="498">
        <v>0</v>
      </c>
      <c r="BA125" s="498">
        <v>0</v>
      </c>
      <c r="BB125" s="498">
        <v>0</v>
      </c>
      <c r="BC125" s="498">
        <v>0</v>
      </c>
      <c r="BD125" s="498">
        <v>0</v>
      </c>
      <c r="BE125" s="498">
        <v>0</v>
      </c>
      <c r="BF125" s="498">
        <v>0</v>
      </c>
      <c r="BG125" s="498">
        <v>0</v>
      </c>
      <c r="BH125" s="498">
        <v>0</v>
      </c>
      <c r="BI125" s="498">
        <v>0</v>
      </c>
      <c r="BJ125" s="498">
        <v>0</v>
      </c>
      <c r="BK125" s="498">
        <v>0</v>
      </c>
      <c r="BL125" s="498">
        <v>0</v>
      </c>
      <c r="BM125" s="498">
        <v>0</v>
      </c>
      <c r="BN125" s="498">
        <v>0</v>
      </c>
      <c r="BO125" s="498">
        <v>0</v>
      </c>
      <c r="BP125" s="498">
        <v>0</v>
      </c>
      <c r="BQ125" s="498">
        <v>0</v>
      </c>
      <c r="BR125" s="498">
        <v>0</v>
      </c>
      <c r="BS125" s="498">
        <v>0</v>
      </c>
      <c r="BT125" s="498">
        <v>0</v>
      </c>
      <c r="BU125" s="498">
        <v>0</v>
      </c>
      <c r="BV125" s="498">
        <v>0</v>
      </c>
      <c r="BW125" s="498">
        <v>0</v>
      </c>
      <c r="BX125" s="498">
        <v>0</v>
      </c>
      <c r="BY125" s="498">
        <v>0</v>
      </c>
      <c r="BZ125" s="498">
        <v>0</v>
      </c>
      <c r="CA125" s="498">
        <v>0</v>
      </c>
      <c r="CB125" s="498">
        <v>0</v>
      </c>
      <c r="CC125" s="498">
        <v>0</v>
      </c>
      <c r="CD125" s="498">
        <v>0</v>
      </c>
      <c r="CE125" s="498">
        <v>0</v>
      </c>
      <c r="CF125" s="498">
        <v>0</v>
      </c>
      <c r="CG125" s="498">
        <v>0</v>
      </c>
      <c r="CH125" s="498">
        <v>0</v>
      </c>
      <c r="CI125" s="498">
        <v>0</v>
      </c>
      <c r="CJ125" s="498">
        <v>0</v>
      </c>
      <c r="CK125" s="498">
        <v>0</v>
      </c>
      <c r="CL125" s="498">
        <v>0</v>
      </c>
      <c r="CM125" s="498">
        <v>0</v>
      </c>
      <c r="CN125" s="498">
        <v>0</v>
      </c>
      <c r="CO125" s="498">
        <v>0</v>
      </c>
      <c r="CP125" s="498">
        <v>0</v>
      </c>
      <c r="CQ125" s="498">
        <v>0</v>
      </c>
      <c r="CR125" s="498">
        <v>0</v>
      </c>
      <c r="CS125" s="498">
        <v>0</v>
      </c>
      <c r="CT125" s="498">
        <v>0</v>
      </c>
      <c r="CU125" s="498">
        <v>0</v>
      </c>
      <c r="CV125" s="498">
        <v>0</v>
      </c>
      <c r="CW125" s="498">
        <v>0</v>
      </c>
      <c r="CX125" s="498">
        <v>0</v>
      </c>
      <c r="CY125" s="498">
        <v>0</v>
      </c>
      <c r="CZ125" s="498">
        <v>0</v>
      </c>
      <c r="DA125" s="498">
        <v>0</v>
      </c>
      <c r="DB125" s="498">
        <v>0</v>
      </c>
      <c r="DC125" s="498">
        <v>0</v>
      </c>
      <c r="DD125" s="498">
        <v>0</v>
      </c>
      <c r="DE125" s="498">
        <v>0</v>
      </c>
      <c r="DF125" s="498">
        <v>0</v>
      </c>
      <c r="DG125" s="498">
        <v>0</v>
      </c>
      <c r="DH125" s="498">
        <v>0</v>
      </c>
      <c r="DI125" s="498">
        <v>0</v>
      </c>
      <c r="DJ125" s="498">
        <v>0</v>
      </c>
      <c r="DK125" s="498">
        <v>0</v>
      </c>
      <c r="DL125" s="498">
        <v>0</v>
      </c>
      <c r="DM125" s="498">
        <v>0</v>
      </c>
      <c r="DN125" s="498">
        <v>0</v>
      </c>
      <c r="DO125" s="498">
        <v>0</v>
      </c>
      <c r="DP125" s="498">
        <v>0</v>
      </c>
      <c r="DQ125" s="498">
        <v>0</v>
      </c>
      <c r="DR125" s="498">
        <v>0</v>
      </c>
      <c r="DS125" s="498">
        <v>0</v>
      </c>
      <c r="DT125" s="498">
        <v>0</v>
      </c>
      <c r="DU125" s="498">
        <v>0</v>
      </c>
      <c r="DV125" s="498">
        <v>0</v>
      </c>
      <c r="DW125" s="498">
        <v>0</v>
      </c>
      <c r="DX125" s="477"/>
      <c r="DY125" s="497" t="s">
        <v>720</v>
      </c>
      <c r="DZ125" s="497" t="s">
        <v>617</v>
      </c>
      <c r="EA125" s="497" t="s">
        <v>25</v>
      </c>
      <c r="EB125" s="498">
        <v>39</v>
      </c>
      <c r="EC125" s="494" t="str">
        <f t="shared" si="6"/>
        <v>AIJ100139</v>
      </c>
      <c r="ED125" s="498">
        <v>0</v>
      </c>
      <c r="EE125" s="498">
        <v>321</v>
      </c>
      <c r="EF125" s="498">
        <v>667</v>
      </c>
      <c r="EG125" s="498">
        <v>1023</v>
      </c>
      <c r="EH125" s="498">
        <v>1531</v>
      </c>
      <c r="EI125" s="498">
        <v>2015</v>
      </c>
      <c r="EJ125" s="498">
        <v>2832</v>
      </c>
      <c r="EK125" s="498">
        <v>3889</v>
      </c>
      <c r="EL125" s="498">
        <v>5462</v>
      </c>
      <c r="EM125" s="498">
        <v>0</v>
      </c>
      <c r="EN125" s="498">
        <v>0</v>
      </c>
      <c r="EO125" s="498">
        <v>0</v>
      </c>
      <c r="EP125" s="498">
        <v>0</v>
      </c>
      <c r="EQ125" s="498">
        <v>0</v>
      </c>
      <c r="ER125" s="498">
        <v>0</v>
      </c>
      <c r="ES125" s="498">
        <v>0</v>
      </c>
      <c r="ET125" s="498">
        <v>0</v>
      </c>
      <c r="EU125" s="498">
        <v>0</v>
      </c>
      <c r="EV125" s="498">
        <v>0</v>
      </c>
      <c r="EW125" s="498">
        <v>0</v>
      </c>
      <c r="EX125" s="498">
        <v>0</v>
      </c>
      <c r="EY125" s="498">
        <v>0</v>
      </c>
      <c r="EZ125" s="498">
        <v>0</v>
      </c>
      <c r="FA125" s="498">
        <v>0</v>
      </c>
      <c r="FB125" s="498">
        <v>0</v>
      </c>
      <c r="FC125" s="498">
        <v>0</v>
      </c>
      <c r="FD125" s="498">
        <v>0</v>
      </c>
      <c r="FE125" s="498">
        <v>0</v>
      </c>
      <c r="FF125" s="498">
        <v>0</v>
      </c>
      <c r="FG125" s="498">
        <v>0</v>
      </c>
      <c r="FH125" s="498">
        <v>0</v>
      </c>
      <c r="FI125" s="498">
        <v>0</v>
      </c>
      <c r="FJ125" s="498">
        <v>0</v>
      </c>
      <c r="FK125" s="498">
        <v>0</v>
      </c>
      <c r="FL125" s="498">
        <v>0</v>
      </c>
      <c r="FM125" s="498">
        <v>0</v>
      </c>
      <c r="FN125" s="498">
        <v>0</v>
      </c>
      <c r="FO125" s="498">
        <v>0</v>
      </c>
      <c r="FP125" s="498">
        <v>0</v>
      </c>
      <c r="FQ125" s="498">
        <v>0</v>
      </c>
      <c r="FR125" s="498">
        <v>0</v>
      </c>
      <c r="FS125" s="498">
        <v>0</v>
      </c>
      <c r="FT125" s="498">
        <v>0</v>
      </c>
      <c r="FU125" s="498">
        <v>0</v>
      </c>
      <c r="FV125" s="498">
        <v>0</v>
      </c>
      <c r="FW125" s="498">
        <v>0</v>
      </c>
      <c r="FX125" s="498">
        <v>0</v>
      </c>
      <c r="FY125" s="498">
        <v>0</v>
      </c>
      <c r="FZ125" s="498">
        <v>0</v>
      </c>
      <c r="GA125" s="498">
        <v>0</v>
      </c>
      <c r="GB125" s="498">
        <v>0</v>
      </c>
      <c r="GC125" s="498">
        <v>0</v>
      </c>
      <c r="GD125" s="498">
        <v>0</v>
      </c>
      <c r="GE125" s="498">
        <v>0</v>
      </c>
      <c r="GF125" s="498">
        <v>0</v>
      </c>
      <c r="GG125" s="498">
        <v>0</v>
      </c>
      <c r="GH125" s="498">
        <v>0</v>
      </c>
      <c r="GI125" s="498">
        <v>0</v>
      </c>
      <c r="GJ125" s="498">
        <v>0</v>
      </c>
      <c r="GK125" s="498">
        <v>0</v>
      </c>
      <c r="GL125" s="498">
        <v>0</v>
      </c>
      <c r="GM125" s="498">
        <v>0</v>
      </c>
      <c r="GN125" s="498">
        <v>0</v>
      </c>
      <c r="GO125" s="498">
        <v>0</v>
      </c>
      <c r="GP125" s="498">
        <v>0</v>
      </c>
      <c r="GQ125" s="498">
        <v>0</v>
      </c>
      <c r="GR125" s="498">
        <v>0</v>
      </c>
      <c r="GS125" s="498">
        <v>0</v>
      </c>
      <c r="GT125" s="498">
        <v>0</v>
      </c>
      <c r="GU125" s="498">
        <v>0</v>
      </c>
      <c r="GV125" s="498">
        <v>0</v>
      </c>
      <c r="GW125" s="498">
        <v>0</v>
      </c>
      <c r="GX125" s="498">
        <v>0</v>
      </c>
      <c r="GY125" s="498">
        <v>0</v>
      </c>
      <c r="GZ125" s="498">
        <v>0</v>
      </c>
      <c r="HA125" s="498">
        <v>0</v>
      </c>
      <c r="HB125" s="498">
        <v>0</v>
      </c>
      <c r="HC125" s="498">
        <v>0</v>
      </c>
      <c r="HD125" s="498">
        <v>0</v>
      </c>
      <c r="HE125" s="498">
        <v>0</v>
      </c>
      <c r="HF125" s="498">
        <v>0</v>
      </c>
      <c r="HG125" s="498">
        <v>0</v>
      </c>
      <c r="HH125" s="498">
        <v>0</v>
      </c>
      <c r="HI125" s="498">
        <v>0</v>
      </c>
      <c r="HJ125" s="498">
        <v>0</v>
      </c>
      <c r="HK125" s="498">
        <v>0</v>
      </c>
      <c r="HL125" s="498">
        <v>0</v>
      </c>
      <c r="HM125" s="498">
        <v>0</v>
      </c>
      <c r="HN125" s="498">
        <v>0</v>
      </c>
      <c r="HO125" s="498">
        <v>0</v>
      </c>
      <c r="HP125" s="498">
        <v>0</v>
      </c>
      <c r="HQ125" s="498">
        <v>0</v>
      </c>
      <c r="HR125" s="498">
        <v>0</v>
      </c>
      <c r="HS125" s="498">
        <v>0</v>
      </c>
      <c r="HT125" s="498">
        <v>0</v>
      </c>
      <c r="HU125" s="498">
        <v>0</v>
      </c>
      <c r="HV125" s="498">
        <v>0</v>
      </c>
      <c r="HW125" s="498">
        <v>0</v>
      </c>
      <c r="HX125" s="498">
        <v>0</v>
      </c>
      <c r="HY125" s="498">
        <v>0</v>
      </c>
      <c r="HZ125" s="498">
        <v>0</v>
      </c>
      <c r="IA125" s="498">
        <v>0</v>
      </c>
      <c r="IB125" s="498">
        <v>0</v>
      </c>
      <c r="IC125" s="498">
        <v>0</v>
      </c>
      <c r="ID125" s="498">
        <v>0</v>
      </c>
      <c r="IE125" s="498">
        <v>0</v>
      </c>
      <c r="IF125" s="498">
        <v>0</v>
      </c>
      <c r="IG125" s="498">
        <v>0</v>
      </c>
      <c r="IH125" s="498">
        <v>0</v>
      </c>
      <c r="II125" s="498">
        <v>0</v>
      </c>
      <c r="IJ125" s="498">
        <v>0</v>
      </c>
    </row>
    <row r="126" spans="1:245" hidden="1">
      <c r="L126" s="497" t="s">
        <v>720</v>
      </c>
      <c r="M126" s="497" t="s">
        <v>617</v>
      </c>
      <c r="N126" s="497" t="s">
        <v>25</v>
      </c>
      <c r="O126" s="498">
        <v>40</v>
      </c>
      <c r="P126" s="494" t="str">
        <f t="shared" si="5"/>
        <v>AIJ100140</v>
      </c>
      <c r="Q126" s="498">
        <v>20000</v>
      </c>
      <c r="R126" s="498">
        <v>20000</v>
      </c>
      <c r="S126" s="498">
        <v>20000</v>
      </c>
      <c r="T126" s="498">
        <v>20000</v>
      </c>
      <c r="U126" s="498">
        <v>20000</v>
      </c>
      <c r="V126" s="498">
        <v>20000</v>
      </c>
      <c r="W126" s="498">
        <v>20000</v>
      </c>
      <c r="X126" s="498">
        <v>20000</v>
      </c>
      <c r="Y126" s="498">
        <v>20000</v>
      </c>
      <c r="Z126" s="498">
        <v>20000</v>
      </c>
      <c r="AA126" s="498">
        <v>0</v>
      </c>
      <c r="AB126" s="498">
        <v>0</v>
      </c>
      <c r="AC126" s="498">
        <v>0</v>
      </c>
      <c r="AD126" s="498">
        <v>0</v>
      </c>
      <c r="AE126" s="498">
        <v>0</v>
      </c>
      <c r="AF126" s="498">
        <v>0</v>
      </c>
      <c r="AG126" s="498">
        <v>0</v>
      </c>
      <c r="AH126" s="498">
        <v>0</v>
      </c>
      <c r="AI126" s="498">
        <v>0</v>
      </c>
      <c r="AJ126" s="498">
        <v>0</v>
      </c>
      <c r="AK126" s="498">
        <v>0</v>
      </c>
      <c r="AL126" s="498">
        <v>0</v>
      </c>
      <c r="AM126" s="498">
        <v>0</v>
      </c>
      <c r="AN126" s="498">
        <v>0</v>
      </c>
      <c r="AO126" s="498">
        <v>0</v>
      </c>
      <c r="AP126" s="498">
        <v>0</v>
      </c>
      <c r="AQ126" s="498">
        <v>0</v>
      </c>
      <c r="AR126" s="498">
        <v>0</v>
      </c>
      <c r="AS126" s="498">
        <v>0</v>
      </c>
      <c r="AT126" s="498">
        <v>0</v>
      </c>
      <c r="AU126" s="498">
        <v>0</v>
      </c>
      <c r="AV126" s="498">
        <v>0</v>
      </c>
      <c r="AW126" s="498">
        <v>0</v>
      </c>
      <c r="AX126" s="498">
        <v>0</v>
      </c>
      <c r="AY126" s="498">
        <v>0</v>
      </c>
      <c r="AZ126" s="498">
        <v>0</v>
      </c>
      <c r="BA126" s="498">
        <v>0</v>
      </c>
      <c r="BB126" s="498">
        <v>0</v>
      </c>
      <c r="BC126" s="498">
        <v>0</v>
      </c>
      <c r="BD126" s="498">
        <v>0</v>
      </c>
      <c r="BE126" s="498">
        <v>0</v>
      </c>
      <c r="BF126" s="498">
        <v>0</v>
      </c>
      <c r="BG126" s="498">
        <v>0</v>
      </c>
      <c r="BH126" s="498">
        <v>0</v>
      </c>
      <c r="BI126" s="498">
        <v>0</v>
      </c>
      <c r="BJ126" s="498">
        <v>0</v>
      </c>
      <c r="BK126" s="498">
        <v>0</v>
      </c>
      <c r="BL126" s="498">
        <v>0</v>
      </c>
      <c r="BM126" s="498">
        <v>0</v>
      </c>
      <c r="BN126" s="498">
        <v>0</v>
      </c>
      <c r="BO126" s="498">
        <v>0</v>
      </c>
      <c r="BP126" s="498">
        <v>0</v>
      </c>
      <c r="BQ126" s="498">
        <v>0</v>
      </c>
      <c r="BR126" s="498">
        <v>0</v>
      </c>
      <c r="BS126" s="498">
        <v>0</v>
      </c>
      <c r="BT126" s="498">
        <v>0</v>
      </c>
      <c r="BU126" s="498">
        <v>0</v>
      </c>
      <c r="BV126" s="498">
        <v>0</v>
      </c>
      <c r="BW126" s="498">
        <v>0</v>
      </c>
      <c r="BX126" s="498">
        <v>0</v>
      </c>
      <c r="BY126" s="498">
        <v>0</v>
      </c>
      <c r="BZ126" s="498">
        <v>0</v>
      </c>
      <c r="CA126" s="498">
        <v>0</v>
      </c>
      <c r="CB126" s="498">
        <v>0</v>
      </c>
      <c r="CC126" s="498">
        <v>0</v>
      </c>
      <c r="CD126" s="498">
        <v>0</v>
      </c>
      <c r="CE126" s="498">
        <v>0</v>
      </c>
      <c r="CF126" s="498">
        <v>0</v>
      </c>
      <c r="CG126" s="498">
        <v>0</v>
      </c>
      <c r="CH126" s="498">
        <v>0</v>
      </c>
      <c r="CI126" s="498">
        <v>0</v>
      </c>
      <c r="CJ126" s="498">
        <v>0</v>
      </c>
      <c r="CK126" s="498">
        <v>0</v>
      </c>
      <c r="CL126" s="498">
        <v>0</v>
      </c>
      <c r="CM126" s="498">
        <v>0</v>
      </c>
      <c r="CN126" s="498">
        <v>0</v>
      </c>
      <c r="CO126" s="498">
        <v>0</v>
      </c>
      <c r="CP126" s="498">
        <v>0</v>
      </c>
      <c r="CQ126" s="498">
        <v>0</v>
      </c>
      <c r="CR126" s="498">
        <v>0</v>
      </c>
      <c r="CS126" s="498">
        <v>0</v>
      </c>
      <c r="CT126" s="498">
        <v>0</v>
      </c>
      <c r="CU126" s="498">
        <v>0</v>
      </c>
      <c r="CV126" s="498">
        <v>0</v>
      </c>
      <c r="CW126" s="498">
        <v>0</v>
      </c>
      <c r="CX126" s="498">
        <v>0</v>
      </c>
      <c r="CY126" s="498">
        <v>0</v>
      </c>
      <c r="CZ126" s="498">
        <v>0</v>
      </c>
      <c r="DA126" s="498">
        <v>0</v>
      </c>
      <c r="DB126" s="498">
        <v>0</v>
      </c>
      <c r="DC126" s="498">
        <v>0</v>
      </c>
      <c r="DD126" s="498">
        <v>0</v>
      </c>
      <c r="DE126" s="498">
        <v>0</v>
      </c>
      <c r="DF126" s="498">
        <v>0</v>
      </c>
      <c r="DG126" s="498">
        <v>0</v>
      </c>
      <c r="DH126" s="498">
        <v>0</v>
      </c>
      <c r="DI126" s="498">
        <v>0</v>
      </c>
      <c r="DJ126" s="498">
        <v>0</v>
      </c>
      <c r="DK126" s="498">
        <v>0</v>
      </c>
      <c r="DL126" s="498">
        <v>0</v>
      </c>
      <c r="DM126" s="498">
        <v>0</v>
      </c>
      <c r="DN126" s="498">
        <v>0</v>
      </c>
      <c r="DO126" s="498">
        <v>0</v>
      </c>
      <c r="DP126" s="498">
        <v>0</v>
      </c>
      <c r="DQ126" s="498">
        <v>0</v>
      </c>
      <c r="DR126" s="498">
        <v>0</v>
      </c>
      <c r="DS126" s="498">
        <v>0</v>
      </c>
      <c r="DT126" s="498">
        <v>0</v>
      </c>
      <c r="DU126" s="498">
        <v>0</v>
      </c>
      <c r="DV126" s="498">
        <v>0</v>
      </c>
      <c r="DW126" s="498">
        <v>0</v>
      </c>
      <c r="DX126" s="477"/>
      <c r="DY126" s="497" t="s">
        <v>720</v>
      </c>
      <c r="DZ126" s="497" t="s">
        <v>617</v>
      </c>
      <c r="EA126" s="497" t="s">
        <v>25</v>
      </c>
      <c r="EB126" s="498">
        <v>40</v>
      </c>
      <c r="EC126" s="494" t="str">
        <f t="shared" si="6"/>
        <v>AIJ100140</v>
      </c>
      <c r="ED126" s="498">
        <v>0</v>
      </c>
      <c r="EE126" s="498">
        <v>325</v>
      </c>
      <c r="EF126" s="498">
        <v>678</v>
      </c>
      <c r="EG126" s="498">
        <v>1047</v>
      </c>
      <c r="EH126" s="498">
        <v>1534</v>
      </c>
      <c r="EI126" s="498">
        <v>2035</v>
      </c>
      <c r="EJ126" s="498">
        <v>2845</v>
      </c>
      <c r="EK126" s="498">
        <v>3927</v>
      </c>
      <c r="EL126" s="498">
        <v>5507</v>
      </c>
      <c r="EM126" s="498">
        <v>0</v>
      </c>
      <c r="EN126" s="498">
        <v>0</v>
      </c>
      <c r="EO126" s="498">
        <v>0</v>
      </c>
      <c r="EP126" s="498">
        <v>0</v>
      </c>
      <c r="EQ126" s="498">
        <v>0</v>
      </c>
      <c r="ER126" s="498">
        <v>0</v>
      </c>
      <c r="ES126" s="498">
        <v>0</v>
      </c>
      <c r="ET126" s="498">
        <v>0</v>
      </c>
      <c r="EU126" s="498">
        <v>0</v>
      </c>
      <c r="EV126" s="498">
        <v>0</v>
      </c>
      <c r="EW126" s="498">
        <v>0</v>
      </c>
      <c r="EX126" s="498">
        <v>0</v>
      </c>
      <c r="EY126" s="498">
        <v>0</v>
      </c>
      <c r="EZ126" s="498">
        <v>0</v>
      </c>
      <c r="FA126" s="498">
        <v>0</v>
      </c>
      <c r="FB126" s="498">
        <v>0</v>
      </c>
      <c r="FC126" s="498">
        <v>0</v>
      </c>
      <c r="FD126" s="498">
        <v>0</v>
      </c>
      <c r="FE126" s="498">
        <v>0</v>
      </c>
      <c r="FF126" s="498">
        <v>0</v>
      </c>
      <c r="FG126" s="498">
        <v>0</v>
      </c>
      <c r="FH126" s="498">
        <v>0</v>
      </c>
      <c r="FI126" s="498">
        <v>0</v>
      </c>
      <c r="FJ126" s="498">
        <v>0</v>
      </c>
      <c r="FK126" s="498">
        <v>0</v>
      </c>
      <c r="FL126" s="498">
        <v>0</v>
      </c>
      <c r="FM126" s="498">
        <v>0</v>
      </c>
      <c r="FN126" s="498">
        <v>0</v>
      </c>
      <c r="FO126" s="498">
        <v>0</v>
      </c>
      <c r="FP126" s="498">
        <v>0</v>
      </c>
      <c r="FQ126" s="498">
        <v>0</v>
      </c>
      <c r="FR126" s="498">
        <v>0</v>
      </c>
      <c r="FS126" s="498">
        <v>0</v>
      </c>
      <c r="FT126" s="498">
        <v>0</v>
      </c>
      <c r="FU126" s="498">
        <v>0</v>
      </c>
      <c r="FV126" s="498">
        <v>0</v>
      </c>
      <c r="FW126" s="498">
        <v>0</v>
      </c>
      <c r="FX126" s="498">
        <v>0</v>
      </c>
      <c r="FY126" s="498">
        <v>0</v>
      </c>
      <c r="FZ126" s="498">
        <v>0</v>
      </c>
      <c r="GA126" s="498">
        <v>0</v>
      </c>
      <c r="GB126" s="498">
        <v>0</v>
      </c>
      <c r="GC126" s="498">
        <v>0</v>
      </c>
      <c r="GD126" s="498">
        <v>0</v>
      </c>
      <c r="GE126" s="498">
        <v>0</v>
      </c>
      <c r="GF126" s="498">
        <v>0</v>
      </c>
      <c r="GG126" s="498">
        <v>0</v>
      </c>
      <c r="GH126" s="498">
        <v>0</v>
      </c>
      <c r="GI126" s="498">
        <v>0</v>
      </c>
      <c r="GJ126" s="498">
        <v>0</v>
      </c>
      <c r="GK126" s="498">
        <v>0</v>
      </c>
      <c r="GL126" s="498">
        <v>0</v>
      </c>
      <c r="GM126" s="498">
        <v>0</v>
      </c>
      <c r="GN126" s="498">
        <v>0</v>
      </c>
      <c r="GO126" s="498">
        <v>0</v>
      </c>
      <c r="GP126" s="498">
        <v>0</v>
      </c>
      <c r="GQ126" s="498">
        <v>0</v>
      </c>
      <c r="GR126" s="498">
        <v>0</v>
      </c>
      <c r="GS126" s="498">
        <v>0</v>
      </c>
      <c r="GT126" s="498">
        <v>0</v>
      </c>
      <c r="GU126" s="498">
        <v>0</v>
      </c>
      <c r="GV126" s="498">
        <v>0</v>
      </c>
      <c r="GW126" s="498">
        <v>0</v>
      </c>
      <c r="GX126" s="498">
        <v>0</v>
      </c>
      <c r="GY126" s="498">
        <v>0</v>
      </c>
      <c r="GZ126" s="498">
        <v>0</v>
      </c>
      <c r="HA126" s="498">
        <v>0</v>
      </c>
      <c r="HB126" s="498">
        <v>0</v>
      </c>
      <c r="HC126" s="498">
        <v>0</v>
      </c>
      <c r="HD126" s="498">
        <v>0</v>
      </c>
      <c r="HE126" s="498">
        <v>0</v>
      </c>
      <c r="HF126" s="498">
        <v>0</v>
      </c>
      <c r="HG126" s="498">
        <v>0</v>
      </c>
      <c r="HH126" s="498">
        <v>0</v>
      </c>
      <c r="HI126" s="498">
        <v>0</v>
      </c>
      <c r="HJ126" s="498">
        <v>0</v>
      </c>
      <c r="HK126" s="498">
        <v>0</v>
      </c>
      <c r="HL126" s="498">
        <v>0</v>
      </c>
      <c r="HM126" s="498">
        <v>0</v>
      </c>
      <c r="HN126" s="498">
        <v>0</v>
      </c>
      <c r="HO126" s="498">
        <v>0</v>
      </c>
      <c r="HP126" s="498">
        <v>0</v>
      </c>
      <c r="HQ126" s="498">
        <v>0</v>
      </c>
      <c r="HR126" s="498">
        <v>0</v>
      </c>
      <c r="HS126" s="498">
        <v>0</v>
      </c>
      <c r="HT126" s="498">
        <v>0</v>
      </c>
      <c r="HU126" s="498">
        <v>0</v>
      </c>
      <c r="HV126" s="498">
        <v>0</v>
      </c>
      <c r="HW126" s="498">
        <v>0</v>
      </c>
      <c r="HX126" s="498">
        <v>0</v>
      </c>
      <c r="HY126" s="498">
        <v>0</v>
      </c>
      <c r="HZ126" s="498">
        <v>0</v>
      </c>
      <c r="IA126" s="498">
        <v>0</v>
      </c>
      <c r="IB126" s="498">
        <v>0</v>
      </c>
      <c r="IC126" s="498">
        <v>0</v>
      </c>
      <c r="ID126" s="498">
        <v>0</v>
      </c>
      <c r="IE126" s="498">
        <v>0</v>
      </c>
      <c r="IF126" s="498">
        <v>0</v>
      </c>
      <c r="IG126" s="498">
        <v>0</v>
      </c>
      <c r="IH126" s="498">
        <v>0</v>
      </c>
      <c r="II126" s="498">
        <v>0</v>
      </c>
      <c r="IJ126" s="498">
        <v>0</v>
      </c>
    </row>
    <row r="127" spans="1:245" hidden="1">
      <c r="L127" s="497" t="s">
        <v>720</v>
      </c>
      <c r="M127" s="497" t="s">
        <v>617</v>
      </c>
      <c r="N127" s="497" t="s">
        <v>25</v>
      </c>
      <c r="O127" s="498">
        <v>41</v>
      </c>
      <c r="P127" s="494" t="str">
        <f t="shared" si="5"/>
        <v>AIJ100141</v>
      </c>
      <c r="Q127" s="498">
        <v>20000</v>
      </c>
      <c r="R127" s="498">
        <v>20000</v>
      </c>
      <c r="S127" s="498">
        <v>20000</v>
      </c>
      <c r="T127" s="498">
        <v>20000</v>
      </c>
      <c r="U127" s="498">
        <v>20000</v>
      </c>
      <c r="V127" s="498">
        <v>20000</v>
      </c>
      <c r="W127" s="498">
        <v>20000</v>
      </c>
      <c r="X127" s="498">
        <v>20000</v>
      </c>
      <c r="Y127" s="498">
        <v>20000</v>
      </c>
      <c r="Z127" s="498">
        <v>20000</v>
      </c>
      <c r="AA127" s="498">
        <v>0</v>
      </c>
      <c r="AB127" s="498">
        <v>0</v>
      </c>
      <c r="AC127" s="498">
        <v>0</v>
      </c>
      <c r="AD127" s="498">
        <v>0</v>
      </c>
      <c r="AE127" s="498">
        <v>0</v>
      </c>
      <c r="AF127" s="498">
        <v>0</v>
      </c>
      <c r="AG127" s="498">
        <v>0</v>
      </c>
      <c r="AH127" s="498">
        <v>0</v>
      </c>
      <c r="AI127" s="498">
        <v>0</v>
      </c>
      <c r="AJ127" s="498">
        <v>0</v>
      </c>
      <c r="AK127" s="498">
        <v>0</v>
      </c>
      <c r="AL127" s="498">
        <v>0</v>
      </c>
      <c r="AM127" s="498">
        <v>0</v>
      </c>
      <c r="AN127" s="498">
        <v>0</v>
      </c>
      <c r="AO127" s="498">
        <v>0</v>
      </c>
      <c r="AP127" s="498">
        <v>0</v>
      </c>
      <c r="AQ127" s="498">
        <v>0</v>
      </c>
      <c r="AR127" s="498">
        <v>0</v>
      </c>
      <c r="AS127" s="498">
        <v>0</v>
      </c>
      <c r="AT127" s="498">
        <v>0</v>
      </c>
      <c r="AU127" s="498">
        <v>0</v>
      </c>
      <c r="AV127" s="498">
        <v>0</v>
      </c>
      <c r="AW127" s="498">
        <v>0</v>
      </c>
      <c r="AX127" s="498">
        <v>0</v>
      </c>
      <c r="AY127" s="498">
        <v>0</v>
      </c>
      <c r="AZ127" s="498">
        <v>0</v>
      </c>
      <c r="BA127" s="498">
        <v>0</v>
      </c>
      <c r="BB127" s="498">
        <v>0</v>
      </c>
      <c r="BC127" s="498">
        <v>0</v>
      </c>
      <c r="BD127" s="498">
        <v>0</v>
      </c>
      <c r="BE127" s="498">
        <v>0</v>
      </c>
      <c r="BF127" s="498">
        <v>0</v>
      </c>
      <c r="BG127" s="498">
        <v>0</v>
      </c>
      <c r="BH127" s="498">
        <v>0</v>
      </c>
      <c r="BI127" s="498">
        <v>0</v>
      </c>
      <c r="BJ127" s="498">
        <v>0</v>
      </c>
      <c r="BK127" s="498">
        <v>0</v>
      </c>
      <c r="BL127" s="498">
        <v>0</v>
      </c>
      <c r="BM127" s="498">
        <v>0</v>
      </c>
      <c r="BN127" s="498">
        <v>0</v>
      </c>
      <c r="BO127" s="498">
        <v>0</v>
      </c>
      <c r="BP127" s="498">
        <v>0</v>
      </c>
      <c r="BQ127" s="498">
        <v>0</v>
      </c>
      <c r="BR127" s="498">
        <v>0</v>
      </c>
      <c r="BS127" s="498">
        <v>0</v>
      </c>
      <c r="BT127" s="498">
        <v>0</v>
      </c>
      <c r="BU127" s="498">
        <v>0</v>
      </c>
      <c r="BV127" s="498">
        <v>0</v>
      </c>
      <c r="BW127" s="498">
        <v>0</v>
      </c>
      <c r="BX127" s="498">
        <v>0</v>
      </c>
      <c r="BY127" s="498">
        <v>0</v>
      </c>
      <c r="BZ127" s="498">
        <v>0</v>
      </c>
      <c r="CA127" s="498">
        <v>0</v>
      </c>
      <c r="CB127" s="498">
        <v>0</v>
      </c>
      <c r="CC127" s="498">
        <v>0</v>
      </c>
      <c r="CD127" s="498">
        <v>0</v>
      </c>
      <c r="CE127" s="498">
        <v>0</v>
      </c>
      <c r="CF127" s="498">
        <v>0</v>
      </c>
      <c r="CG127" s="498">
        <v>0</v>
      </c>
      <c r="CH127" s="498">
        <v>0</v>
      </c>
      <c r="CI127" s="498">
        <v>0</v>
      </c>
      <c r="CJ127" s="498">
        <v>0</v>
      </c>
      <c r="CK127" s="498">
        <v>0</v>
      </c>
      <c r="CL127" s="498">
        <v>0</v>
      </c>
      <c r="CM127" s="498">
        <v>0</v>
      </c>
      <c r="CN127" s="498">
        <v>0</v>
      </c>
      <c r="CO127" s="498">
        <v>0</v>
      </c>
      <c r="CP127" s="498">
        <v>0</v>
      </c>
      <c r="CQ127" s="498">
        <v>0</v>
      </c>
      <c r="CR127" s="498">
        <v>0</v>
      </c>
      <c r="CS127" s="498">
        <v>0</v>
      </c>
      <c r="CT127" s="498">
        <v>0</v>
      </c>
      <c r="CU127" s="498">
        <v>0</v>
      </c>
      <c r="CV127" s="498">
        <v>0</v>
      </c>
      <c r="CW127" s="498">
        <v>0</v>
      </c>
      <c r="CX127" s="498">
        <v>0</v>
      </c>
      <c r="CY127" s="498">
        <v>0</v>
      </c>
      <c r="CZ127" s="498">
        <v>0</v>
      </c>
      <c r="DA127" s="498">
        <v>0</v>
      </c>
      <c r="DB127" s="498">
        <v>0</v>
      </c>
      <c r="DC127" s="498">
        <v>0</v>
      </c>
      <c r="DD127" s="498">
        <v>0</v>
      </c>
      <c r="DE127" s="498">
        <v>0</v>
      </c>
      <c r="DF127" s="498">
        <v>0</v>
      </c>
      <c r="DG127" s="498">
        <v>0</v>
      </c>
      <c r="DH127" s="498">
        <v>0</v>
      </c>
      <c r="DI127" s="498">
        <v>0</v>
      </c>
      <c r="DJ127" s="498">
        <v>0</v>
      </c>
      <c r="DK127" s="498">
        <v>0</v>
      </c>
      <c r="DL127" s="498">
        <v>0</v>
      </c>
      <c r="DM127" s="498">
        <v>0</v>
      </c>
      <c r="DN127" s="498">
        <v>0</v>
      </c>
      <c r="DO127" s="498">
        <v>0</v>
      </c>
      <c r="DP127" s="498">
        <v>0</v>
      </c>
      <c r="DQ127" s="498">
        <v>0</v>
      </c>
      <c r="DR127" s="498">
        <v>0</v>
      </c>
      <c r="DS127" s="498">
        <v>0</v>
      </c>
      <c r="DT127" s="498">
        <v>0</v>
      </c>
      <c r="DU127" s="498">
        <v>0</v>
      </c>
      <c r="DV127" s="498">
        <v>0</v>
      </c>
      <c r="DW127" s="498">
        <v>0</v>
      </c>
      <c r="DX127" s="477"/>
      <c r="DY127" s="497" t="s">
        <v>720</v>
      </c>
      <c r="DZ127" s="497" t="s">
        <v>617</v>
      </c>
      <c r="EA127" s="497" t="s">
        <v>25</v>
      </c>
      <c r="EB127" s="498">
        <v>41</v>
      </c>
      <c r="EC127" s="494" t="str">
        <f t="shared" si="6"/>
        <v>AIJ100141</v>
      </c>
      <c r="ED127" s="498">
        <v>0</v>
      </c>
      <c r="EE127" s="498">
        <v>328</v>
      </c>
      <c r="EF127" s="498">
        <v>686</v>
      </c>
      <c r="EG127" s="498">
        <v>1062</v>
      </c>
      <c r="EH127" s="498">
        <v>1561</v>
      </c>
      <c r="EI127" s="498">
        <v>2053</v>
      </c>
      <c r="EJ127" s="498">
        <v>2795</v>
      </c>
      <c r="EK127" s="498">
        <v>3911</v>
      </c>
      <c r="EL127" s="498">
        <v>5411</v>
      </c>
      <c r="EM127" s="498">
        <v>0</v>
      </c>
      <c r="EN127" s="498">
        <v>0</v>
      </c>
      <c r="EO127" s="498">
        <v>0</v>
      </c>
      <c r="EP127" s="498">
        <v>0</v>
      </c>
      <c r="EQ127" s="498">
        <v>0</v>
      </c>
      <c r="ER127" s="498">
        <v>0</v>
      </c>
      <c r="ES127" s="498">
        <v>0</v>
      </c>
      <c r="ET127" s="498">
        <v>0</v>
      </c>
      <c r="EU127" s="498">
        <v>0</v>
      </c>
      <c r="EV127" s="498">
        <v>0</v>
      </c>
      <c r="EW127" s="498">
        <v>0</v>
      </c>
      <c r="EX127" s="498">
        <v>0</v>
      </c>
      <c r="EY127" s="498">
        <v>0</v>
      </c>
      <c r="EZ127" s="498">
        <v>0</v>
      </c>
      <c r="FA127" s="498">
        <v>0</v>
      </c>
      <c r="FB127" s="498">
        <v>0</v>
      </c>
      <c r="FC127" s="498">
        <v>0</v>
      </c>
      <c r="FD127" s="498">
        <v>0</v>
      </c>
      <c r="FE127" s="498">
        <v>0</v>
      </c>
      <c r="FF127" s="498">
        <v>0</v>
      </c>
      <c r="FG127" s="498">
        <v>0</v>
      </c>
      <c r="FH127" s="498">
        <v>0</v>
      </c>
      <c r="FI127" s="498">
        <v>0</v>
      </c>
      <c r="FJ127" s="498">
        <v>0</v>
      </c>
      <c r="FK127" s="498">
        <v>0</v>
      </c>
      <c r="FL127" s="498">
        <v>0</v>
      </c>
      <c r="FM127" s="498">
        <v>0</v>
      </c>
      <c r="FN127" s="498">
        <v>0</v>
      </c>
      <c r="FO127" s="498">
        <v>0</v>
      </c>
      <c r="FP127" s="498">
        <v>0</v>
      </c>
      <c r="FQ127" s="498">
        <v>0</v>
      </c>
      <c r="FR127" s="498">
        <v>0</v>
      </c>
      <c r="FS127" s="498">
        <v>0</v>
      </c>
      <c r="FT127" s="498">
        <v>0</v>
      </c>
      <c r="FU127" s="498">
        <v>0</v>
      </c>
      <c r="FV127" s="498">
        <v>0</v>
      </c>
      <c r="FW127" s="498">
        <v>0</v>
      </c>
      <c r="FX127" s="498">
        <v>0</v>
      </c>
      <c r="FY127" s="498">
        <v>0</v>
      </c>
      <c r="FZ127" s="498">
        <v>0</v>
      </c>
      <c r="GA127" s="498">
        <v>0</v>
      </c>
      <c r="GB127" s="498">
        <v>0</v>
      </c>
      <c r="GC127" s="498">
        <v>0</v>
      </c>
      <c r="GD127" s="498">
        <v>0</v>
      </c>
      <c r="GE127" s="498">
        <v>0</v>
      </c>
      <c r="GF127" s="498">
        <v>0</v>
      </c>
      <c r="GG127" s="498">
        <v>0</v>
      </c>
      <c r="GH127" s="498">
        <v>0</v>
      </c>
      <c r="GI127" s="498">
        <v>0</v>
      </c>
      <c r="GJ127" s="498">
        <v>0</v>
      </c>
      <c r="GK127" s="498">
        <v>0</v>
      </c>
      <c r="GL127" s="498">
        <v>0</v>
      </c>
      <c r="GM127" s="498">
        <v>0</v>
      </c>
      <c r="GN127" s="498">
        <v>0</v>
      </c>
      <c r="GO127" s="498">
        <v>0</v>
      </c>
      <c r="GP127" s="498">
        <v>0</v>
      </c>
      <c r="GQ127" s="498">
        <v>0</v>
      </c>
      <c r="GR127" s="498">
        <v>0</v>
      </c>
      <c r="GS127" s="498">
        <v>0</v>
      </c>
      <c r="GT127" s="498">
        <v>0</v>
      </c>
      <c r="GU127" s="498">
        <v>0</v>
      </c>
      <c r="GV127" s="498">
        <v>0</v>
      </c>
      <c r="GW127" s="498">
        <v>0</v>
      </c>
      <c r="GX127" s="498">
        <v>0</v>
      </c>
      <c r="GY127" s="498">
        <v>0</v>
      </c>
      <c r="GZ127" s="498">
        <v>0</v>
      </c>
      <c r="HA127" s="498">
        <v>0</v>
      </c>
      <c r="HB127" s="498">
        <v>0</v>
      </c>
      <c r="HC127" s="498">
        <v>0</v>
      </c>
      <c r="HD127" s="498">
        <v>0</v>
      </c>
      <c r="HE127" s="498">
        <v>0</v>
      </c>
      <c r="HF127" s="498">
        <v>0</v>
      </c>
      <c r="HG127" s="498">
        <v>0</v>
      </c>
      <c r="HH127" s="498">
        <v>0</v>
      </c>
      <c r="HI127" s="498">
        <v>0</v>
      </c>
      <c r="HJ127" s="498">
        <v>0</v>
      </c>
      <c r="HK127" s="498">
        <v>0</v>
      </c>
      <c r="HL127" s="498">
        <v>0</v>
      </c>
      <c r="HM127" s="498">
        <v>0</v>
      </c>
      <c r="HN127" s="498">
        <v>0</v>
      </c>
      <c r="HO127" s="498">
        <v>0</v>
      </c>
      <c r="HP127" s="498">
        <v>0</v>
      </c>
      <c r="HQ127" s="498">
        <v>0</v>
      </c>
      <c r="HR127" s="498">
        <v>0</v>
      </c>
      <c r="HS127" s="498">
        <v>0</v>
      </c>
      <c r="HT127" s="498">
        <v>0</v>
      </c>
      <c r="HU127" s="498">
        <v>0</v>
      </c>
      <c r="HV127" s="498">
        <v>0</v>
      </c>
      <c r="HW127" s="498">
        <v>0</v>
      </c>
      <c r="HX127" s="498">
        <v>0</v>
      </c>
      <c r="HY127" s="498">
        <v>0</v>
      </c>
      <c r="HZ127" s="498">
        <v>0</v>
      </c>
      <c r="IA127" s="498">
        <v>0</v>
      </c>
      <c r="IB127" s="498">
        <v>0</v>
      </c>
      <c r="IC127" s="498">
        <v>0</v>
      </c>
      <c r="ID127" s="498">
        <v>0</v>
      </c>
      <c r="IE127" s="498">
        <v>0</v>
      </c>
      <c r="IF127" s="498">
        <v>0</v>
      </c>
      <c r="IG127" s="498">
        <v>0</v>
      </c>
      <c r="IH127" s="498">
        <v>0</v>
      </c>
      <c r="II127" s="498">
        <v>0</v>
      </c>
      <c r="IJ127" s="498">
        <v>0</v>
      </c>
    </row>
    <row r="128" spans="1:245" hidden="1">
      <c r="L128" s="497" t="s">
        <v>720</v>
      </c>
      <c r="M128" s="497" t="s">
        <v>617</v>
      </c>
      <c r="N128" s="497" t="s">
        <v>25</v>
      </c>
      <c r="O128" s="498">
        <v>42</v>
      </c>
      <c r="P128" s="494" t="str">
        <f t="shared" si="5"/>
        <v>AIJ100142</v>
      </c>
      <c r="Q128" s="498">
        <v>20000</v>
      </c>
      <c r="R128" s="498">
        <v>20000</v>
      </c>
      <c r="S128" s="498">
        <v>20000</v>
      </c>
      <c r="T128" s="498">
        <v>20000</v>
      </c>
      <c r="U128" s="498">
        <v>20000</v>
      </c>
      <c r="V128" s="498">
        <v>20000</v>
      </c>
      <c r="W128" s="498">
        <v>20000</v>
      </c>
      <c r="X128" s="498">
        <v>20000</v>
      </c>
      <c r="Y128" s="498">
        <v>20000</v>
      </c>
      <c r="Z128" s="498">
        <v>20000</v>
      </c>
      <c r="AA128" s="498">
        <v>0</v>
      </c>
      <c r="AB128" s="498">
        <v>0</v>
      </c>
      <c r="AC128" s="498">
        <v>0</v>
      </c>
      <c r="AD128" s="498">
        <v>0</v>
      </c>
      <c r="AE128" s="498">
        <v>0</v>
      </c>
      <c r="AF128" s="498">
        <v>0</v>
      </c>
      <c r="AG128" s="498">
        <v>0</v>
      </c>
      <c r="AH128" s="498">
        <v>0</v>
      </c>
      <c r="AI128" s="498">
        <v>0</v>
      </c>
      <c r="AJ128" s="498">
        <v>0</v>
      </c>
      <c r="AK128" s="498">
        <v>0</v>
      </c>
      <c r="AL128" s="498">
        <v>0</v>
      </c>
      <c r="AM128" s="498">
        <v>0</v>
      </c>
      <c r="AN128" s="498">
        <v>0</v>
      </c>
      <c r="AO128" s="498">
        <v>0</v>
      </c>
      <c r="AP128" s="498">
        <v>0</v>
      </c>
      <c r="AQ128" s="498">
        <v>0</v>
      </c>
      <c r="AR128" s="498">
        <v>0</v>
      </c>
      <c r="AS128" s="498">
        <v>0</v>
      </c>
      <c r="AT128" s="498">
        <v>0</v>
      </c>
      <c r="AU128" s="498">
        <v>0</v>
      </c>
      <c r="AV128" s="498">
        <v>0</v>
      </c>
      <c r="AW128" s="498">
        <v>0</v>
      </c>
      <c r="AX128" s="498">
        <v>0</v>
      </c>
      <c r="AY128" s="498">
        <v>0</v>
      </c>
      <c r="AZ128" s="498">
        <v>0</v>
      </c>
      <c r="BA128" s="498">
        <v>0</v>
      </c>
      <c r="BB128" s="498">
        <v>0</v>
      </c>
      <c r="BC128" s="498">
        <v>0</v>
      </c>
      <c r="BD128" s="498">
        <v>0</v>
      </c>
      <c r="BE128" s="498">
        <v>0</v>
      </c>
      <c r="BF128" s="498">
        <v>0</v>
      </c>
      <c r="BG128" s="498">
        <v>0</v>
      </c>
      <c r="BH128" s="498">
        <v>0</v>
      </c>
      <c r="BI128" s="498">
        <v>0</v>
      </c>
      <c r="BJ128" s="498">
        <v>0</v>
      </c>
      <c r="BK128" s="498">
        <v>0</v>
      </c>
      <c r="BL128" s="498">
        <v>0</v>
      </c>
      <c r="BM128" s="498">
        <v>0</v>
      </c>
      <c r="BN128" s="498">
        <v>0</v>
      </c>
      <c r="BO128" s="498">
        <v>0</v>
      </c>
      <c r="BP128" s="498">
        <v>0</v>
      </c>
      <c r="BQ128" s="498">
        <v>0</v>
      </c>
      <c r="BR128" s="498">
        <v>0</v>
      </c>
      <c r="BS128" s="498">
        <v>0</v>
      </c>
      <c r="BT128" s="498">
        <v>0</v>
      </c>
      <c r="BU128" s="498">
        <v>0</v>
      </c>
      <c r="BV128" s="498">
        <v>0</v>
      </c>
      <c r="BW128" s="498">
        <v>0</v>
      </c>
      <c r="BX128" s="498">
        <v>0</v>
      </c>
      <c r="BY128" s="498">
        <v>0</v>
      </c>
      <c r="BZ128" s="498">
        <v>0</v>
      </c>
      <c r="CA128" s="498">
        <v>0</v>
      </c>
      <c r="CB128" s="498">
        <v>0</v>
      </c>
      <c r="CC128" s="498">
        <v>0</v>
      </c>
      <c r="CD128" s="498">
        <v>0</v>
      </c>
      <c r="CE128" s="498">
        <v>0</v>
      </c>
      <c r="CF128" s="498">
        <v>0</v>
      </c>
      <c r="CG128" s="498">
        <v>0</v>
      </c>
      <c r="CH128" s="498">
        <v>0</v>
      </c>
      <c r="CI128" s="498">
        <v>0</v>
      </c>
      <c r="CJ128" s="498">
        <v>0</v>
      </c>
      <c r="CK128" s="498">
        <v>0</v>
      </c>
      <c r="CL128" s="498">
        <v>0</v>
      </c>
      <c r="CM128" s="498">
        <v>0</v>
      </c>
      <c r="CN128" s="498">
        <v>0</v>
      </c>
      <c r="CO128" s="498">
        <v>0</v>
      </c>
      <c r="CP128" s="498">
        <v>0</v>
      </c>
      <c r="CQ128" s="498">
        <v>0</v>
      </c>
      <c r="CR128" s="498">
        <v>0</v>
      </c>
      <c r="CS128" s="498">
        <v>0</v>
      </c>
      <c r="CT128" s="498">
        <v>0</v>
      </c>
      <c r="CU128" s="498">
        <v>0</v>
      </c>
      <c r="CV128" s="498">
        <v>0</v>
      </c>
      <c r="CW128" s="498">
        <v>0</v>
      </c>
      <c r="CX128" s="498">
        <v>0</v>
      </c>
      <c r="CY128" s="498">
        <v>0</v>
      </c>
      <c r="CZ128" s="498">
        <v>0</v>
      </c>
      <c r="DA128" s="498">
        <v>0</v>
      </c>
      <c r="DB128" s="498">
        <v>0</v>
      </c>
      <c r="DC128" s="498">
        <v>0</v>
      </c>
      <c r="DD128" s="498">
        <v>0</v>
      </c>
      <c r="DE128" s="498">
        <v>0</v>
      </c>
      <c r="DF128" s="498">
        <v>0</v>
      </c>
      <c r="DG128" s="498">
        <v>0</v>
      </c>
      <c r="DH128" s="498">
        <v>0</v>
      </c>
      <c r="DI128" s="498">
        <v>0</v>
      </c>
      <c r="DJ128" s="498">
        <v>0</v>
      </c>
      <c r="DK128" s="498">
        <v>0</v>
      </c>
      <c r="DL128" s="498">
        <v>0</v>
      </c>
      <c r="DM128" s="498">
        <v>0</v>
      </c>
      <c r="DN128" s="498">
        <v>0</v>
      </c>
      <c r="DO128" s="498">
        <v>0</v>
      </c>
      <c r="DP128" s="498">
        <v>0</v>
      </c>
      <c r="DQ128" s="498">
        <v>0</v>
      </c>
      <c r="DR128" s="498">
        <v>0</v>
      </c>
      <c r="DS128" s="498">
        <v>0</v>
      </c>
      <c r="DT128" s="498">
        <v>0</v>
      </c>
      <c r="DU128" s="498">
        <v>0</v>
      </c>
      <c r="DV128" s="498">
        <v>0</v>
      </c>
      <c r="DW128" s="498">
        <v>0</v>
      </c>
      <c r="DX128" s="477"/>
      <c r="DY128" s="497" t="s">
        <v>720</v>
      </c>
      <c r="DZ128" s="497" t="s">
        <v>617</v>
      </c>
      <c r="EA128" s="497" t="s">
        <v>25</v>
      </c>
      <c r="EB128" s="498">
        <v>42</v>
      </c>
      <c r="EC128" s="494" t="str">
        <f t="shared" si="6"/>
        <v>AIJ100142</v>
      </c>
      <c r="ED128" s="498">
        <v>0</v>
      </c>
      <c r="EE128" s="498">
        <v>331</v>
      </c>
      <c r="EF128" s="498">
        <v>668</v>
      </c>
      <c r="EG128" s="498">
        <v>1051</v>
      </c>
      <c r="EH128" s="498">
        <v>1553</v>
      </c>
      <c r="EI128" s="498">
        <v>2025</v>
      </c>
      <c r="EJ128" s="498">
        <v>2825</v>
      </c>
      <c r="EK128" s="498">
        <v>3925</v>
      </c>
      <c r="EL128" s="498">
        <v>5455</v>
      </c>
      <c r="EM128" s="498">
        <v>0</v>
      </c>
      <c r="EN128" s="498">
        <v>0</v>
      </c>
      <c r="EO128" s="498">
        <v>0</v>
      </c>
      <c r="EP128" s="498">
        <v>0</v>
      </c>
      <c r="EQ128" s="498">
        <v>0</v>
      </c>
      <c r="ER128" s="498">
        <v>0</v>
      </c>
      <c r="ES128" s="498">
        <v>0</v>
      </c>
      <c r="ET128" s="498">
        <v>0</v>
      </c>
      <c r="EU128" s="498">
        <v>0</v>
      </c>
      <c r="EV128" s="498">
        <v>0</v>
      </c>
      <c r="EW128" s="498">
        <v>0</v>
      </c>
      <c r="EX128" s="498">
        <v>0</v>
      </c>
      <c r="EY128" s="498">
        <v>0</v>
      </c>
      <c r="EZ128" s="498">
        <v>0</v>
      </c>
      <c r="FA128" s="498">
        <v>0</v>
      </c>
      <c r="FB128" s="498">
        <v>0</v>
      </c>
      <c r="FC128" s="498">
        <v>0</v>
      </c>
      <c r="FD128" s="498">
        <v>0</v>
      </c>
      <c r="FE128" s="498">
        <v>0</v>
      </c>
      <c r="FF128" s="498">
        <v>0</v>
      </c>
      <c r="FG128" s="498">
        <v>0</v>
      </c>
      <c r="FH128" s="498">
        <v>0</v>
      </c>
      <c r="FI128" s="498">
        <v>0</v>
      </c>
      <c r="FJ128" s="498">
        <v>0</v>
      </c>
      <c r="FK128" s="498">
        <v>0</v>
      </c>
      <c r="FL128" s="498">
        <v>0</v>
      </c>
      <c r="FM128" s="498">
        <v>0</v>
      </c>
      <c r="FN128" s="498">
        <v>0</v>
      </c>
      <c r="FO128" s="498">
        <v>0</v>
      </c>
      <c r="FP128" s="498">
        <v>0</v>
      </c>
      <c r="FQ128" s="498">
        <v>0</v>
      </c>
      <c r="FR128" s="498">
        <v>0</v>
      </c>
      <c r="FS128" s="498">
        <v>0</v>
      </c>
      <c r="FT128" s="498">
        <v>0</v>
      </c>
      <c r="FU128" s="498">
        <v>0</v>
      </c>
      <c r="FV128" s="498">
        <v>0</v>
      </c>
      <c r="FW128" s="498">
        <v>0</v>
      </c>
      <c r="FX128" s="498">
        <v>0</v>
      </c>
      <c r="FY128" s="498">
        <v>0</v>
      </c>
      <c r="FZ128" s="498">
        <v>0</v>
      </c>
      <c r="GA128" s="498">
        <v>0</v>
      </c>
      <c r="GB128" s="498">
        <v>0</v>
      </c>
      <c r="GC128" s="498">
        <v>0</v>
      </c>
      <c r="GD128" s="498">
        <v>0</v>
      </c>
      <c r="GE128" s="498">
        <v>0</v>
      </c>
      <c r="GF128" s="498">
        <v>0</v>
      </c>
      <c r="GG128" s="498">
        <v>0</v>
      </c>
      <c r="GH128" s="498">
        <v>0</v>
      </c>
      <c r="GI128" s="498">
        <v>0</v>
      </c>
      <c r="GJ128" s="498">
        <v>0</v>
      </c>
      <c r="GK128" s="498">
        <v>0</v>
      </c>
      <c r="GL128" s="498">
        <v>0</v>
      </c>
      <c r="GM128" s="498">
        <v>0</v>
      </c>
      <c r="GN128" s="498">
        <v>0</v>
      </c>
      <c r="GO128" s="498">
        <v>0</v>
      </c>
      <c r="GP128" s="498">
        <v>0</v>
      </c>
      <c r="GQ128" s="498">
        <v>0</v>
      </c>
      <c r="GR128" s="498">
        <v>0</v>
      </c>
      <c r="GS128" s="498">
        <v>0</v>
      </c>
      <c r="GT128" s="498">
        <v>0</v>
      </c>
      <c r="GU128" s="498">
        <v>0</v>
      </c>
      <c r="GV128" s="498">
        <v>0</v>
      </c>
      <c r="GW128" s="498">
        <v>0</v>
      </c>
      <c r="GX128" s="498">
        <v>0</v>
      </c>
      <c r="GY128" s="498">
        <v>0</v>
      </c>
      <c r="GZ128" s="498">
        <v>0</v>
      </c>
      <c r="HA128" s="498">
        <v>0</v>
      </c>
      <c r="HB128" s="498">
        <v>0</v>
      </c>
      <c r="HC128" s="498">
        <v>0</v>
      </c>
      <c r="HD128" s="498">
        <v>0</v>
      </c>
      <c r="HE128" s="498">
        <v>0</v>
      </c>
      <c r="HF128" s="498">
        <v>0</v>
      </c>
      <c r="HG128" s="498">
        <v>0</v>
      </c>
      <c r="HH128" s="498">
        <v>0</v>
      </c>
      <c r="HI128" s="498">
        <v>0</v>
      </c>
      <c r="HJ128" s="498">
        <v>0</v>
      </c>
      <c r="HK128" s="498">
        <v>0</v>
      </c>
      <c r="HL128" s="498">
        <v>0</v>
      </c>
      <c r="HM128" s="498">
        <v>0</v>
      </c>
      <c r="HN128" s="498">
        <v>0</v>
      </c>
      <c r="HO128" s="498">
        <v>0</v>
      </c>
      <c r="HP128" s="498">
        <v>0</v>
      </c>
      <c r="HQ128" s="498">
        <v>0</v>
      </c>
      <c r="HR128" s="498">
        <v>0</v>
      </c>
      <c r="HS128" s="498">
        <v>0</v>
      </c>
      <c r="HT128" s="498">
        <v>0</v>
      </c>
      <c r="HU128" s="498">
        <v>0</v>
      </c>
      <c r="HV128" s="498">
        <v>0</v>
      </c>
      <c r="HW128" s="498">
        <v>0</v>
      </c>
      <c r="HX128" s="498">
        <v>0</v>
      </c>
      <c r="HY128" s="498">
        <v>0</v>
      </c>
      <c r="HZ128" s="498">
        <v>0</v>
      </c>
      <c r="IA128" s="498">
        <v>0</v>
      </c>
      <c r="IB128" s="498">
        <v>0</v>
      </c>
      <c r="IC128" s="498">
        <v>0</v>
      </c>
      <c r="ID128" s="498">
        <v>0</v>
      </c>
      <c r="IE128" s="498">
        <v>0</v>
      </c>
      <c r="IF128" s="498">
        <v>0</v>
      </c>
      <c r="IG128" s="498">
        <v>0</v>
      </c>
      <c r="IH128" s="498">
        <v>0</v>
      </c>
      <c r="II128" s="498">
        <v>0</v>
      </c>
      <c r="IJ128" s="498">
        <v>0</v>
      </c>
    </row>
    <row r="129" spans="12:244" hidden="1">
      <c r="L129" s="497" t="s">
        <v>720</v>
      </c>
      <c r="M129" s="497" t="s">
        <v>617</v>
      </c>
      <c r="N129" s="497" t="s">
        <v>25</v>
      </c>
      <c r="O129" s="498">
        <v>43</v>
      </c>
      <c r="P129" s="494" t="str">
        <f t="shared" si="5"/>
        <v>AIJ100143</v>
      </c>
      <c r="Q129" s="498">
        <v>20000</v>
      </c>
      <c r="R129" s="498">
        <v>20000</v>
      </c>
      <c r="S129" s="498">
        <v>20000</v>
      </c>
      <c r="T129" s="498">
        <v>20000</v>
      </c>
      <c r="U129" s="498">
        <v>20000</v>
      </c>
      <c r="V129" s="498">
        <v>20000</v>
      </c>
      <c r="W129" s="498">
        <v>20000</v>
      </c>
      <c r="X129" s="498">
        <v>20000</v>
      </c>
      <c r="Y129" s="498">
        <v>20000</v>
      </c>
      <c r="Z129" s="498">
        <v>20000</v>
      </c>
      <c r="AA129" s="498">
        <v>0</v>
      </c>
      <c r="AB129" s="498">
        <v>0</v>
      </c>
      <c r="AC129" s="498">
        <v>0</v>
      </c>
      <c r="AD129" s="498">
        <v>0</v>
      </c>
      <c r="AE129" s="498">
        <v>0</v>
      </c>
      <c r="AF129" s="498">
        <v>0</v>
      </c>
      <c r="AG129" s="498">
        <v>0</v>
      </c>
      <c r="AH129" s="498">
        <v>0</v>
      </c>
      <c r="AI129" s="498">
        <v>0</v>
      </c>
      <c r="AJ129" s="498">
        <v>0</v>
      </c>
      <c r="AK129" s="498">
        <v>0</v>
      </c>
      <c r="AL129" s="498">
        <v>0</v>
      </c>
      <c r="AM129" s="498">
        <v>0</v>
      </c>
      <c r="AN129" s="498">
        <v>0</v>
      </c>
      <c r="AO129" s="498">
        <v>0</v>
      </c>
      <c r="AP129" s="498">
        <v>0</v>
      </c>
      <c r="AQ129" s="498">
        <v>0</v>
      </c>
      <c r="AR129" s="498">
        <v>0</v>
      </c>
      <c r="AS129" s="498">
        <v>0</v>
      </c>
      <c r="AT129" s="498">
        <v>0</v>
      </c>
      <c r="AU129" s="498">
        <v>0</v>
      </c>
      <c r="AV129" s="498">
        <v>0</v>
      </c>
      <c r="AW129" s="498">
        <v>0</v>
      </c>
      <c r="AX129" s="498">
        <v>0</v>
      </c>
      <c r="AY129" s="498">
        <v>0</v>
      </c>
      <c r="AZ129" s="498">
        <v>0</v>
      </c>
      <c r="BA129" s="498">
        <v>0</v>
      </c>
      <c r="BB129" s="498">
        <v>0</v>
      </c>
      <c r="BC129" s="498">
        <v>0</v>
      </c>
      <c r="BD129" s="498">
        <v>0</v>
      </c>
      <c r="BE129" s="498">
        <v>0</v>
      </c>
      <c r="BF129" s="498">
        <v>0</v>
      </c>
      <c r="BG129" s="498">
        <v>0</v>
      </c>
      <c r="BH129" s="498">
        <v>0</v>
      </c>
      <c r="BI129" s="498">
        <v>0</v>
      </c>
      <c r="BJ129" s="498">
        <v>0</v>
      </c>
      <c r="BK129" s="498">
        <v>0</v>
      </c>
      <c r="BL129" s="498">
        <v>0</v>
      </c>
      <c r="BM129" s="498">
        <v>0</v>
      </c>
      <c r="BN129" s="498">
        <v>0</v>
      </c>
      <c r="BO129" s="498">
        <v>0</v>
      </c>
      <c r="BP129" s="498">
        <v>0</v>
      </c>
      <c r="BQ129" s="498">
        <v>0</v>
      </c>
      <c r="BR129" s="498">
        <v>0</v>
      </c>
      <c r="BS129" s="498">
        <v>0</v>
      </c>
      <c r="BT129" s="498">
        <v>0</v>
      </c>
      <c r="BU129" s="498">
        <v>0</v>
      </c>
      <c r="BV129" s="498">
        <v>0</v>
      </c>
      <c r="BW129" s="498">
        <v>0</v>
      </c>
      <c r="BX129" s="498">
        <v>0</v>
      </c>
      <c r="BY129" s="498">
        <v>0</v>
      </c>
      <c r="BZ129" s="498">
        <v>0</v>
      </c>
      <c r="CA129" s="498">
        <v>0</v>
      </c>
      <c r="CB129" s="498">
        <v>0</v>
      </c>
      <c r="CC129" s="498">
        <v>0</v>
      </c>
      <c r="CD129" s="498">
        <v>0</v>
      </c>
      <c r="CE129" s="498">
        <v>0</v>
      </c>
      <c r="CF129" s="498">
        <v>0</v>
      </c>
      <c r="CG129" s="498">
        <v>0</v>
      </c>
      <c r="CH129" s="498">
        <v>0</v>
      </c>
      <c r="CI129" s="498">
        <v>0</v>
      </c>
      <c r="CJ129" s="498">
        <v>0</v>
      </c>
      <c r="CK129" s="498">
        <v>0</v>
      </c>
      <c r="CL129" s="498">
        <v>0</v>
      </c>
      <c r="CM129" s="498">
        <v>0</v>
      </c>
      <c r="CN129" s="498">
        <v>0</v>
      </c>
      <c r="CO129" s="498">
        <v>0</v>
      </c>
      <c r="CP129" s="498">
        <v>0</v>
      </c>
      <c r="CQ129" s="498">
        <v>0</v>
      </c>
      <c r="CR129" s="498">
        <v>0</v>
      </c>
      <c r="CS129" s="498">
        <v>0</v>
      </c>
      <c r="CT129" s="498">
        <v>0</v>
      </c>
      <c r="CU129" s="498">
        <v>0</v>
      </c>
      <c r="CV129" s="498">
        <v>0</v>
      </c>
      <c r="CW129" s="498">
        <v>0</v>
      </c>
      <c r="CX129" s="498">
        <v>0</v>
      </c>
      <c r="CY129" s="498">
        <v>0</v>
      </c>
      <c r="CZ129" s="498">
        <v>0</v>
      </c>
      <c r="DA129" s="498">
        <v>0</v>
      </c>
      <c r="DB129" s="498">
        <v>0</v>
      </c>
      <c r="DC129" s="498">
        <v>0</v>
      </c>
      <c r="DD129" s="498">
        <v>0</v>
      </c>
      <c r="DE129" s="498">
        <v>0</v>
      </c>
      <c r="DF129" s="498">
        <v>0</v>
      </c>
      <c r="DG129" s="498">
        <v>0</v>
      </c>
      <c r="DH129" s="498">
        <v>0</v>
      </c>
      <c r="DI129" s="498">
        <v>0</v>
      </c>
      <c r="DJ129" s="498">
        <v>0</v>
      </c>
      <c r="DK129" s="498">
        <v>0</v>
      </c>
      <c r="DL129" s="498">
        <v>0</v>
      </c>
      <c r="DM129" s="498">
        <v>0</v>
      </c>
      <c r="DN129" s="498">
        <v>0</v>
      </c>
      <c r="DO129" s="498">
        <v>0</v>
      </c>
      <c r="DP129" s="498">
        <v>0</v>
      </c>
      <c r="DQ129" s="498">
        <v>0</v>
      </c>
      <c r="DR129" s="498">
        <v>0</v>
      </c>
      <c r="DS129" s="498">
        <v>0</v>
      </c>
      <c r="DT129" s="498">
        <v>0</v>
      </c>
      <c r="DU129" s="498">
        <v>0</v>
      </c>
      <c r="DV129" s="498">
        <v>0</v>
      </c>
      <c r="DW129" s="498">
        <v>0</v>
      </c>
      <c r="DX129" s="477"/>
      <c r="DY129" s="497" t="s">
        <v>720</v>
      </c>
      <c r="DZ129" s="497" t="s">
        <v>617</v>
      </c>
      <c r="EA129" s="497" t="s">
        <v>25</v>
      </c>
      <c r="EB129" s="498">
        <v>43</v>
      </c>
      <c r="EC129" s="494" t="str">
        <f t="shared" si="6"/>
        <v>AIJ100143</v>
      </c>
      <c r="ED129" s="498">
        <v>0</v>
      </c>
      <c r="EE129" s="498">
        <v>331</v>
      </c>
      <c r="EF129" s="498">
        <v>672</v>
      </c>
      <c r="EG129" s="498">
        <v>1037</v>
      </c>
      <c r="EH129" s="498">
        <v>1521</v>
      </c>
      <c r="EI129" s="498">
        <v>2035</v>
      </c>
      <c r="EJ129" s="498">
        <v>2782</v>
      </c>
      <c r="EK129" s="498">
        <v>3850</v>
      </c>
      <c r="EL129" s="498">
        <v>5370</v>
      </c>
      <c r="EM129" s="498">
        <v>0</v>
      </c>
      <c r="EN129" s="498">
        <v>0</v>
      </c>
      <c r="EO129" s="498">
        <v>0</v>
      </c>
      <c r="EP129" s="498">
        <v>0</v>
      </c>
      <c r="EQ129" s="498">
        <v>0</v>
      </c>
      <c r="ER129" s="498">
        <v>0</v>
      </c>
      <c r="ES129" s="498">
        <v>0</v>
      </c>
      <c r="ET129" s="498">
        <v>0</v>
      </c>
      <c r="EU129" s="498">
        <v>0</v>
      </c>
      <c r="EV129" s="498">
        <v>0</v>
      </c>
      <c r="EW129" s="498">
        <v>0</v>
      </c>
      <c r="EX129" s="498">
        <v>0</v>
      </c>
      <c r="EY129" s="498">
        <v>0</v>
      </c>
      <c r="EZ129" s="498">
        <v>0</v>
      </c>
      <c r="FA129" s="498">
        <v>0</v>
      </c>
      <c r="FB129" s="498">
        <v>0</v>
      </c>
      <c r="FC129" s="498">
        <v>0</v>
      </c>
      <c r="FD129" s="498">
        <v>0</v>
      </c>
      <c r="FE129" s="498">
        <v>0</v>
      </c>
      <c r="FF129" s="498">
        <v>0</v>
      </c>
      <c r="FG129" s="498">
        <v>0</v>
      </c>
      <c r="FH129" s="498">
        <v>0</v>
      </c>
      <c r="FI129" s="498">
        <v>0</v>
      </c>
      <c r="FJ129" s="498">
        <v>0</v>
      </c>
      <c r="FK129" s="498">
        <v>0</v>
      </c>
      <c r="FL129" s="498">
        <v>0</v>
      </c>
      <c r="FM129" s="498">
        <v>0</v>
      </c>
      <c r="FN129" s="498">
        <v>0</v>
      </c>
      <c r="FO129" s="498">
        <v>0</v>
      </c>
      <c r="FP129" s="498">
        <v>0</v>
      </c>
      <c r="FQ129" s="498">
        <v>0</v>
      </c>
      <c r="FR129" s="498">
        <v>0</v>
      </c>
      <c r="FS129" s="498">
        <v>0</v>
      </c>
      <c r="FT129" s="498">
        <v>0</v>
      </c>
      <c r="FU129" s="498">
        <v>0</v>
      </c>
      <c r="FV129" s="498">
        <v>0</v>
      </c>
      <c r="FW129" s="498">
        <v>0</v>
      </c>
      <c r="FX129" s="498">
        <v>0</v>
      </c>
      <c r="FY129" s="498">
        <v>0</v>
      </c>
      <c r="FZ129" s="498">
        <v>0</v>
      </c>
      <c r="GA129" s="498">
        <v>0</v>
      </c>
      <c r="GB129" s="498">
        <v>0</v>
      </c>
      <c r="GC129" s="498">
        <v>0</v>
      </c>
      <c r="GD129" s="498">
        <v>0</v>
      </c>
      <c r="GE129" s="498">
        <v>0</v>
      </c>
      <c r="GF129" s="498">
        <v>0</v>
      </c>
      <c r="GG129" s="498">
        <v>0</v>
      </c>
      <c r="GH129" s="498">
        <v>0</v>
      </c>
      <c r="GI129" s="498">
        <v>0</v>
      </c>
      <c r="GJ129" s="498">
        <v>0</v>
      </c>
      <c r="GK129" s="498">
        <v>0</v>
      </c>
      <c r="GL129" s="498">
        <v>0</v>
      </c>
      <c r="GM129" s="498">
        <v>0</v>
      </c>
      <c r="GN129" s="498">
        <v>0</v>
      </c>
      <c r="GO129" s="498">
        <v>0</v>
      </c>
      <c r="GP129" s="498">
        <v>0</v>
      </c>
      <c r="GQ129" s="498">
        <v>0</v>
      </c>
      <c r="GR129" s="498">
        <v>0</v>
      </c>
      <c r="GS129" s="498">
        <v>0</v>
      </c>
      <c r="GT129" s="498">
        <v>0</v>
      </c>
      <c r="GU129" s="498">
        <v>0</v>
      </c>
      <c r="GV129" s="498">
        <v>0</v>
      </c>
      <c r="GW129" s="498">
        <v>0</v>
      </c>
      <c r="GX129" s="498">
        <v>0</v>
      </c>
      <c r="GY129" s="498">
        <v>0</v>
      </c>
      <c r="GZ129" s="498">
        <v>0</v>
      </c>
      <c r="HA129" s="498">
        <v>0</v>
      </c>
      <c r="HB129" s="498">
        <v>0</v>
      </c>
      <c r="HC129" s="498">
        <v>0</v>
      </c>
      <c r="HD129" s="498">
        <v>0</v>
      </c>
      <c r="HE129" s="498">
        <v>0</v>
      </c>
      <c r="HF129" s="498">
        <v>0</v>
      </c>
      <c r="HG129" s="498">
        <v>0</v>
      </c>
      <c r="HH129" s="498">
        <v>0</v>
      </c>
      <c r="HI129" s="498">
        <v>0</v>
      </c>
      <c r="HJ129" s="498">
        <v>0</v>
      </c>
      <c r="HK129" s="498">
        <v>0</v>
      </c>
      <c r="HL129" s="498">
        <v>0</v>
      </c>
      <c r="HM129" s="498">
        <v>0</v>
      </c>
      <c r="HN129" s="498">
        <v>0</v>
      </c>
      <c r="HO129" s="498">
        <v>0</v>
      </c>
      <c r="HP129" s="498">
        <v>0</v>
      </c>
      <c r="HQ129" s="498">
        <v>0</v>
      </c>
      <c r="HR129" s="498">
        <v>0</v>
      </c>
      <c r="HS129" s="498">
        <v>0</v>
      </c>
      <c r="HT129" s="498">
        <v>0</v>
      </c>
      <c r="HU129" s="498">
        <v>0</v>
      </c>
      <c r="HV129" s="498">
        <v>0</v>
      </c>
      <c r="HW129" s="498">
        <v>0</v>
      </c>
      <c r="HX129" s="498">
        <v>0</v>
      </c>
      <c r="HY129" s="498">
        <v>0</v>
      </c>
      <c r="HZ129" s="498">
        <v>0</v>
      </c>
      <c r="IA129" s="498">
        <v>0</v>
      </c>
      <c r="IB129" s="498">
        <v>0</v>
      </c>
      <c r="IC129" s="498">
        <v>0</v>
      </c>
      <c r="ID129" s="498">
        <v>0</v>
      </c>
      <c r="IE129" s="498">
        <v>0</v>
      </c>
      <c r="IF129" s="498">
        <v>0</v>
      </c>
      <c r="IG129" s="498">
        <v>0</v>
      </c>
      <c r="IH129" s="498">
        <v>0</v>
      </c>
      <c r="II129" s="498">
        <v>0</v>
      </c>
      <c r="IJ129" s="498">
        <v>0</v>
      </c>
    </row>
    <row r="130" spans="12:244" hidden="1">
      <c r="L130" s="497" t="s">
        <v>720</v>
      </c>
      <c r="M130" s="497" t="s">
        <v>617</v>
      </c>
      <c r="N130" s="497" t="s">
        <v>25</v>
      </c>
      <c r="O130" s="498">
        <v>44</v>
      </c>
      <c r="P130" s="494" t="str">
        <f t="shared" si="5"/>
        <v>AIJ100144</v>
      </c>
      <c r="Q130" s="498">
        <v>20000</v>
      </c>
      <c r="R130" s="498">
        <v>20000</v>
      </c>
      <c r="S130" s="498">
        <v>20000</v>
      </c>
      <c r="T130" s="498">
        <v>20000</v>
      </c>
      <c r="U130" s="498">
        <v>20000</v>
      </c>
      <c r="V130" s="498">
        <v>20000</v>
      </c>
      <c r="W130" s="498">
        <v>20000</v>
      </c>
      <c r="X130" s="498">
        <v>20000</v>
      </c>
      <c r="Y130" s="498">
        <v>20000</v>
      </c>
      <c r="Z130" s="498">
        <v>20000</v>
      </c>
      <c r="AA130" s="498">
        <v>0</v>
      </c>
      <c r="AB130" s="498">
        <v>0</v>
      </c>
      <c r="AC130" s="498">
        <v>0</v>
      </c>
      <c r="AD130" s="498">
        <v>0</v>
      </c>
      <c r="AE130" s="498">
        <v>0</v>
      </c>
      <c r="AF130" s="498">
        <v>0</v>
      </c>
      <c r="AG130" s="498">
        <v>0</v>
      </c>
      <c r="AH130" s="498">
        <v>0</v>
      </c>
      <c r="AI130" s="498">
        <v>0</v>
      </c>
      <c r="AJ130" s="498">
        <v>0</v>
      </c>
      <c r="AK130" s="498">
        <v>0</v>
      </c>
      <c r="AL130" s="498">
        <v>0</v>
      </c>
      <c r="AM130" s="498">
        <v>0</v>
      </c>
      <c r="AN130" s="498">
        <v>0</v>
      </c>
      <c r="AO130" s="498">
        <v>0</v>
      </c>
      <c r="AP130" s="498">
        <v>0</v>
      </c>
      <c r="AQ130" s="498">
        <v>0</v>
      </c>
      <c r="AR130" s="498">
        <v>0</v>
      </c>
      <c r="AS130" s="498">
        <v>0</v>
      </c>
      <c r="AT130" s="498">
        <v>0</v>
      </c>
      <c r="AU130" s="498">
        <v>0</v>
      </c>
      <c r="AV130" s="498">
        <v>0</v>
      </c>
      <c r="AW130" s="498">
        <v>0</v>
      </c>
      <c r="AX130" s="498">
        <v>0</v>
      </c>
      <c r="AY130" s="498">
        <v>0</v>
      </c>
      <c r="AZ130" s="498">
        <v>0</v>
      </c>
      <c r="BA130" s="498">
        <v>0</v>
      </c>
      <c r="BB130" s="498">
        <v>0</v>
      </c>
      <c r="BC130" s="498">
        <v>0</v>
      </c>
      <c r="BD130" s="498">
        <v>0</v>
      </c>
      <c r="BE130" s="498">
        <v>0</v>
      </c>
      <c r="BF130" s="498">
        <v>0</v>
      </c>
      <c r="BG130" s="498">
        <v>0</v>
      </c>
      <c r="BH130" s="498">
        <v>0</v>
      </c>
      <c r="BI130" s="498">
        <v>0</v>
      </c>
      <c r="BJ130" s="498">
        <v>0</v>
      </c>
      <c r="BK130" s="498">
        <v>0</v>
      </c>
      <c r="BL130" s="498">
        <v>0</v>
      </c>
      <c r="BM130" s="498">
        <v>0</v>
      </c>
      <c r="BN130" s="498">
        <v>0</v>
      </c>
      <c r="BO130" s="498">
        <v>0</v>
      </c>
      <c r="BP130" s="498">
        <v>0</v>
      </c>
      <c r="BQ130" s="498">
        <v>0</v>
      </c>
      <c r="BR130" s="498">
        <v>0</v>
      </c>
      <c r="BS130" s="498">
        <v>0</v>
      </c>
      <c r="BT130" s="498">
        <v>0</v>
      </c>
      <c r="BU130" s="498">
        <v>0</v>
      </c>
      <c r="BV130" s="498">
        <v>0</v>
      </c>
      <c r="BW130" s="498">
        <v>0</v>
      </c>
      <c r="BX130" s="498">
        <v>0</v>
      </c>
      <c r="BY130" s="498">
        <v>0</v>
      </c>
      <c r="BZ130" s="498">
        <v>0</v>
      </c>
      <c r="CA130" s="498">
        <v>0</v>
      </c>
      <c r="CB130" s="498">
        <v>0</v>
      </c>
      <c r="CC130" s="498">
        <v>0</v>
      </c>
      <c r="CD130" s="498">
        <v>0</v>
      </c>
      <c r="CE130" s="498">
        <v>0</v>
      </c>
      <c r="CF130" s="498">
        <v>0</v>
      </c>
      <c r="CG130" s="498">
        <v>0</v>
      </c>
      <c r="CH130" s="498">
        <v>0</v>
      </c>
      <c r="CI130" s="498">
        <v>0</v>
      </c>
      <c r="CJ130" s="498">
        <v>0</v>
      </c>
      <c r="CK130" s="498">
        <v>0</v>
      </c>
      <c r="CL130" s="498">
        <v>0</v>
      </c>
      <c r="CM130" s="498">
        <v>0</v>
      </c>
      <c r="CN130" s="498">
        <v>0</v>
      </c>
      <c r="CO130" s="498">
        <v>0</v>
      </c>
      <c r="CP130" s="498">
        <v>0</v>
      </c>
      <c r="CQ130" s="498">
        <v>0</v>
      </c>
      <c r="CR130" s="498">
        <v>0</v>
      </c>
      <c r="CS130" s="498">
        <v>0</v>
      </c>
      <c r="CT130" s="498">
        <v>0</v>
      </c>
      <c r="CU130" s="498">
        <v>0</v>
      </c>
      <c r="CV130" s="498">
        <v>0</v>
      </c>
      <c r="CW130" s="498">
        <v>0</v>
      </c>
      <c r="CX130" s="498">
        <v>0</v>
      </c>
      <c r="CY130" s="498">
        <v>0</v>
      </c>
      <c r="CZ130" s="498">
        <v>0</v>
      </c>
      <c r="DA130" s="498">
        <v>0</v>
      </c>
      <c r="DB130" s="498">
        <v>0</v>
      </c>
      <c r="DC130" s="498">
        <v>0</v>
      </c>
      <c r="DD130" s="498">
        <v>0</v>
      </c>
      <c r="DE130" s="498">
        <v>0</v>
      </c>
      <c r="DF130" s="498">
        <v>0</v>
      </c>
      <c r="DG130" s="498">
        <v>0</v>
      </c>
      <c r="DH130" s="498">
        <v>0</v>
      </c>
      <c r="DI130" s="498">
        <v>0</v>
      </c>
      <c r="DJ130" s="498">
        <v>0</v>
      </c>
      <c r="DK130" s="498">
        <v>0</v>
      </c>
      <c r="DL130" s="498">
        <v>0</v>
      </c>
      <c r="DM130" s="498">
        <v>0</v>
      </c>
      <c r="DN130" s="498">
        <v>0</v>
      </c>
      <c r="DO130" s="498">
        <v>0</v>
      </c>
      <c r="DP130" s="498">
        <v>0</v>
      </c>
      <c r="DQ130" s="498">
        <v>0</v>
      </c>
      <c r="DR130" s="498">
        <v>0</v>
      </c>
      <c r="DS130" s="498">
        <v>0</v>
      </c>
      <c r="DT130" s="498">
        <v>0</v>
      </c>
      <c r="DU130" s="498">
        <v>0</v>
      </c>
      <c r="DV130" s="498">
        <v>0</v>
      </c>
      <c r="DW130" s="498">
        <v>0</v>
      </c>
      <c r="DX130" s="477"/>
      <c r="DY130" s="497" t="s">
        <v>720</v>
      </c>
      <c r="DZ130" s="497" t="s">
        <v>617</v>
      </c>
      <c r="EA130" s="497" t="s">
        <v>25</v>
      </c>
      <c r="EB130" s="498">
        <v>44</v>
      </c>
      <c r="EC130" s="494" t="str">
        <f t="shared" si="6"/>
        <v>AIJ100144</v>
      </c>
      <c r="ED130" s="498">
        <v>0</v>
      </c>
      <c r="EE130" s="498">
        <v>331</v>
      </c>
      <c r="EF130" s="498">
        <v>675</v>
      </c>
      <c r="EG130" s="498">
        <v>1022</v>
      </c>
      <c r="EH130" s="498">
        <v>1509</v>
      </c>
      <c r="EI130" s="498">
        <v>2006</v>
      </c>
      <c r="EJ130" s="498">
        <v>2757</v>
      </c>
      <c r="EK130" s="498">
        <v>3849</v>
      </c>
      <c r="EL130" s="498">
        <v>5349</v>
      </c>
      <c r="EM130" s="498">
        <v>0</v>
      </c>
      <c r="EN130" s="498">
        <v>0</v>
      </c>
      <c r="EO130" s="498">
        <v>0</v>
      </c>
      <c r="EP130" s="498">
        <v>0</v>
      </c>
      <c r="EQ130" s="498">
        <v>0</v>
      </c>
      <c r="ER130" s="498">
        <v>0</v>
      </c>
      <c r="ES130" s="498">
        <v>0</v>
      </c>
      <c r="ET130" s="498">
        <v>0</v>
      </c>
      <c r="EU130" s="498">
        <v>0</v>
      </c>
      <c r="EV130" s="498">
        <v>0</v>
      </c>
      <c r="EW130" s="498">
        <v>0</v>
      </c>
      <c r="EX130" s="498">
        <v>0</v>
      </c>
      <c r="EY130" s="498">
        <v>0</v>
      </c>
      <c r="EZ130" s="498">
        <v>0</v>
      </c>
      <c r="FA130" s="498">
        <v>0</v>
      </c>
      <c r="FB130" s="498">
        <v>0</v>
      </c>
      <c r="FC130" s="498">
        <v>0</v>
      </c>
      <c r="FD130" s="498">
        <v>0</v>
      </c>
      <c r="FE130" s="498">
        <v>0</v>
      </c>
      <c r="FF130" s="498">
        <v>0</v>
      </c>
      <c r="FG130" s="498">
        <v>0</v>
      </c>
      <c r="FH130" s="498">
        <v>0</v>
      </c>
      <c r="FI130" s="498">
        <v>0</v>
      </c>
      <c r="FJ130" s="498">
        <v>0</v>
      </c>
      <c r="FK130" s="498">
        <v>0</v>
      </c>
      <c r="FL130" s="498">
        <v>0</v>
      </c>
      <c r="FM130" s="498">
        <v>0</v>
      </c>
      <c r="FN130" s="498">
        <v>0</v>
      </c>
      <c r="FO130" s="498">
        <v>0</v>
      </c>
      <c r="FP130" s="498">
        <v>0</v>
      </c>
      <c r="FQ130" s="498">
        <v>0</v>
      </c>
      <c r="FR130" s="498">
        <v>0</v>
      </c>
      <c r="FS130" s="498">
        <v>0</v>
      </c>
      <c r="FT130" s="498">
        <v>0</v>
      </c>
      <c r="FU130" s="498">
        <v>0</v>
      </c>
      <c r="FV130" s="498">
        <v>0</v>
      </c>
      <c r="FW130" s="498">
        <v>0</v>
      </c>
      <c r="FX130" s="498">
        <v>0</v>
      </c>
      <c r="FY130" s="498">
        <v>0</v>
      </c>
      <c r="FZ130" s="498">
        <v>0</v>
      </c>
      <c r="GA130" s="498">
        <v>0</v>
      </c>
      <c r="GB130" s="498">
        <v>0</v>
      </c>
      <c r="GC130" s="498">
        <v>0</v>
      </c>
      <c r="GD130" s="498">
        <v>0</v>
      </c>
      <c r="GE130" s="498">
        <v>0</v>
      </c>
      <c r="GF130" s="498">
        <v>0</v>
      </c>
      <c r="GG130" s="498">
        <v>0</v>
      </c>
      <c r="GH130" s="498">
        <v>0</v>
      </c>
      <c r="GI130" s="498">
        <v>0</v>
      </c>
      <c r="GJ130" s="498">
        <v>0</v>
      </c>
      <c r="GK130" s="498">
        <v>0</v>
      </c>
      <c r="GL130" s="498">
        <v>0</v>
      </c>
      <c r="GM130" s="498">
        <v>0</v>
      </c>
      <c r="GN130" s="498">
        <v>0</v>
      </c>
      <c r="GO130" s="498">
        <v>0</v>
      </c>
      <c r="GP130" s="498">
        <v>0</v>
      </c>
      <c r="GQ130" s="498">
        <v>0</v>
      </c>
      <c r="GR130" s="498">
        <v>0</v>
      </c>
      <c r="GS130" s="498">
        <v>0</v>
      </c>
      <c r="GT130" s="498">
        <v>0</v>
      </c>
      <c r="GU130" s="498">
        <v>0</v>
      </c>
      <c r="GV130" s="498">
        <v>0</v>
      </c>
      <c r="GW130" s="498">
        <v>0</v>
      </c>
      <c r="GX130" s="498">
        <v>0</v>
      </c>
      <c r="GY130" s="498">
        <v>0</v>
      </c>
      <c r="GZ130" s="498">
        <v>0</v>
      </c>
      <c r="HA130" s="498">
        <v>0</v>
      </c>
      <c r="HB130" s="498">
        <v>0</v>
      </c>
      <c r="HC130" s="498">
        <v>0</v>
      </c>
      <c r="HD130" s="498">
        <v>0</v>
      </c>
      <c r="HE130" s="498">
        <v>0</v>
      </c>
      <c r="HF130" s="498">
        <v>0</v>
      </c>
      <c r="HG130" s="498">
        <v>0</v>
      </c>
      <c r="HH130" s="498">
        <v>0</v>
      </c>
      <c r="HI130" s="498">
        <v>0</v>
      </c>
      <c r="HJ130" s="498">
        <v>0</v>
      </c>
      <c r="HK130" s="498">
        <v>0</v>
      </c>
      <c r="HL130" s="498">
        <v>0</v>
      </c>
      <c r="HM130" s="498">
        <v>0</v>
      </c>
      <c r="HN130" s="498">
        <v>0</v>
      </c>
      <c r="HO130" s="498">
        <v>0</v>
      </c>
      <c r="HP130" s="498">
        <v>0</v>
      </c>
      <c r="HQ130" s="498">
        <v>0</v>
      </c>
      <c r="HR130" s="498">
        <v>0</v>
      </c>
      <c r="HS130" s="498">
        <v>0</v>
      </c>
      <c r="HT130" s="498">
        <v>0</v>
      </c>
      <c r="HU130" s="498">
        <v>0</v>
      </c>
      <c r="HV130" s="498">
        <v>0</v>
      </c>
      <c r="HW130" s="498">
        <v>0</v>
      </c>
      <c r="HX130" s="498">
        <v>0</v>
      </c>
      <c r="HY130" s="498">
        <v>0</v>
      </c>
      <c r="HZ130" s="498">
        <v>0</v>
      </c>
      <c r="IA130" s="498">
        <v>0</v>
      </c>
      <c r="IB130" s="498">
        <v>0</v>
      </c>
      <c r="IC130" s="498">
        <v>0</v>
      </c>
      <c r="ID130" s="498">
        <v>0</v>
      </c>
      <c r="IE130" s="498">
        <v>0</v>
      </c>
      <c r="IF130" s="498">
        <v>0</v>
      </c>
      <c r="IG130" s="498">
        <v>0</v>
      </c>
      <c r="IH130" s="498">
        <v>0</v>
      </c>
      <c r="II130" s="498">
        <v>0</v>
      </c>
      <c r="IJ130" s="498">
        <v>0</v>
      </c>
    </row>
    <row r="131" spans="12:244" hidden="1">
      <c r="L131" s="497" t="s">
        <v>720</v>
      </c>
      <c r="M131" s="497" t="s">
        <v>617</v>
      </c>
      <c r="N131" s="497" t="s">
        <v>25</v>
      </c>
      <c r="O131" s="498">
        <v>45</v>
      </c>
      <c r="P131" s="494" t="str">
        <f t="shared" si="5"/>
        <v>AIJ100145</v>
      </c>
      <c r="Q131" s="498">
        <v>20000</v>
      </c>
      <c r="R131" s="498">
        <v>20000</v>
      </c>
      <c r="S131" s="498">
        <v>20000</v>
      </c>
      <c r="T131" s="498">
        <v>20000</v>
      </c>
      <c r="U131" s="498">
        <v>20000</v>
      </c>
      <c r="V131" s="498">
        <v>20000</v>
      </c>
      <c r="W131" s="498">
        <v>20000</v>
      </c>
      <c r="X131" s="498">
        <v>20000</v>
      </c>
      <c r="Y131" s="498">
        <v>20000</v>
      </c>
      <c r="Z131" s="498">
        <v>20000</v>
      </c>
      <c r="AA131" s="498">
        <v>0</v>
      </c>
      <c r="AB131" s="498">
        <v>0</v>
      </c>
      <c r="AC131" s="498">
        <v>0</v>
      </c>
      <c r="AD131" s="498">
        <v>0</v>
      </c>
      <c r="AE131" s="498">
        <v>0</v>
      </c>
      <c r="AF131" s="498">
        <v>0</v>
      </c>
      <c r="AG131" s="498">
        <v>0</v>
      </c>
      <c r="AH131" s="498">
        <v>0</v>
      </c>
      <c r="AI131" s="498">
        <v>0</v>
      </c>
      <c r="AJ131" s="498">
        <v>0</v>
      </c>
      <c r="AK131" s="498">
        <v>0</v>
      </c>
      <c r="AL131" s="498">
        <v>0</v>
      </c>
      <c r="AM131" s="498">
        <v>0</v>
      </c>
      <c r="AN131" s="498">
        <v>0</v>
      </c>
      <c r="AO131" s="498">
        <v>0</v>
      </c>
      <c r="AP131" s="498">
        <v>0</v>
      </c>
      <c r="AQ131" s="498">
        <v>0</v>
      </c>
      <c r="AR131" s="498">
        <v>0</v>
      </c>
      <c r="AS131" s="498">
        <v>0</v>
      </c>
      <c r="AT131" s="498">
        <v>0</v>
      </c>
      <c r="AU131" s="498">
        <v>0</v>
      </c>
      <c r="AV131" s="498">
        <v>0</v>
      </c>
      <c r="AW131" s="498">
        <v>0</v>
      </c>
      <c r="AX131" s="498">
        <v>0</v>
      </c>
      <c r="AY131" s="498">
        <v>0</v>
      </c>
      <c r="AZ131" s="498">
        <v>0</v>
      </c>
      <c r="BA131" s="498">
        <v>0</v>
      </c>
      <c r="BB131" s="498">
        <v>0</v>
      </c>
      <c r="BC131" s="498">
        <v>0</v>
      </c>
      <c r="BD131" s="498">
        <v>0</v>
      </c>
      <c r="BE131" s="498">
        <v>0</v>
      </c>
      <c r="BF131" s="498">
        <v>0</v>
      </c>
      <c r="BG131" s="498">
        <v>0</v>
      </c>
      <c r="BH131" s="498">
        <v>0</v>
      </c>
      <c r="BI131" s="498">
        <v>0</v>
      </c>
      <c r="BJ131" s="498">
        <v>0</v>
      </c>
      <c r="BK131" s="498">
        <v>0</v>
      </c>
      <c r="BL131" s="498">
        <v>0</v>
      </c>
      <c r="BM131" s="498">
        <v>0</v>
      </c>
      <c r="BN131" s="498">
        <v>0</v>
      </c>
      <c r="BO131" s="498">
        <v>0</v>
      </c>
      <c r="BP131" s="498">
        <v>0</v>
      </c>
      <c r="BQ131" s="498">
        <v>0</v>
      </c>
      <c r="BR131" s="498">
        <v>0</v>
      </c>
      <c r="BS131" s="498">
        <v>0</v>
      </c>
      <c r="BT131" s="498">
        <v>0</v>
      </c>
      <c r="BU131" s="498">
        <v>0</v>
      </c>
      <c r="BV131" s="498">
        <v>0</v>
      </c>
      <c r="BW131" s="498">
        <v>0</v>
      </c>
      <c r="BX131" s="498">
        <v>0</v>
      </c>
      <c r="BY131" s="498">
        <v>0</v>
      </c>
      <c r="BZ131" s="498">
        <v>0</v>
      </c>
      <c r="CA131" s="498">
        <v>0</v>
      </c>
      <c r="CB131" s="498">
        <v>0</v>
      </c>
      <c r="CC131" s="498">
        <v>0</v>
      </c>
      <c r="CD131" s="498">
        <v>0</v>
      </c>
      <c r="CE131" s="498">
        <v>0</v>
      </c>
      <c r="CF131" s="498">
        <v>0</v>
      </c>
      <c r="CG131" s="498">
        <v>0</v>
      </c>
      <c r="CH131" s="498">
        <v>0</v>
      </c>
      <c r="CI131" s="498">
        <v>0</v>
      </c>
      <c r="CJ131" s="498">
        <v>0</v>
      </c>
      <c r="CK131" s="498">
        <v>0</v>
      </c>
      <c r="CL131" s="498">
        <v>0</v>
      </c>
      <c r="CM131" s="498">
        <v>0</v>
      </c>
      <c r="CN131" s="498">
        <v>0</v>
      </c>
      <c r="CO131" s="498">
        <v>0</v>
      </c>
      <c r="CP131" s="498">
        <v>0</v>
      </c>
      <c r="CQ131" s="498">
        <v>0</v>
      </c>
      <c r="CR131" s="498">
        <v>0</v>
      </c>
      <c r="CS131" s="498">
        <v>0</v>
      </c>
      <c r="CT131" s="498">
        <v>0</v>
      </c>
      <c r="CU131" s="498">
        <v>0</v>
      </c>
      <c r="CV131" s="498">
        <v>0</v>
      </c>
      <c r="CW131" s="498">
        <v>0</v>
      </c>
      <c r="CX131" s="498">
        <v>0</v>
      </c>
      <c r="CY131" s="498">
        <v>0</v>
      </c>
      <c r="CZ131" s="498">
        <v>0</v>
      </c>
      <c r="DA131" s="498">
        <v>0</v>
      </c>
      <c r="DB131" s="498">
        <v>0</v>
      </c>
      <c r="DC131" s="498">
        <v>0</v>
      </c>
      <c r="DD131" s="498">
        <v>0</v>
      </c>
      <c r="DE131" s="498">
        <v>0</v>
      </c>
      <c r="DF131" s="498">
        <v>0</v>
      </c>
      <c r="DG131" s="498">
        <v>0</v>
      </c>
      <c r="DH131" s="498">
        <v>0</v>
      </c>
      <c r="DI131" s="498">
        <v>0</v>
      </c>
      <c r="DJ131" s="498">
        <v>0</v>
      </c>
      <c r="DK131" s="498">
        <v>0</v>
      </c>
      <c r="DL131" s="498">
        <v>0</v>
      </c>
      <c r="DM131" s="498">
        <v>0</v>
      </c>
      <c r="DN131" s="498">
        <v>0</v>
      </c>
      <c r="DO131" s="498">
        <v>0</v>
      </c>
      <c r="DP131" s="498">
        <v>0</v>
      </c>
      <c r="DQ131" s="498">
        <v>0</v>
      </c>
      <c r="DR131" s="498">
        <v>0</v>
      </c>
      <c r="DS131" s="498">
        <v>0</v>
      </c>
      <c r="DT131" s="498">
        <v>0</v>
      </c>
      <c r="DU131" s="498">
        <v>0</v>
      </c>
      <c r="DV131" s="498">
        <v>0</v>
      </c>
      <c r="DW131" s="498">
        <v>0</v>
      </c>
      <c r="DX131" s="477"/>
      <c r="DY131" s="497" t="s">
        <v>720</v>
      </c>
      <c r="DZ131" s="497" t="s">
        <v>617</v>
      </c>
      <c r="EA131" s="497" t="s">
        <v>25</v>
      </c>
      <c r="EB131" s="498">
        <v>45</v>
      </c>
      <c r="EC131" s="494" t="str">
        <f t="shared" si="6"/>
        <v>AIJ100145</v>
      </c>
      <c r="ED131" s="498">
        <v>0</v>
      </c>
      <c r="EE131" s="498">
        <v>330</v>
      </c>
      <c r="EF131" s="498">
        <v>655</v>
      </c>
      <c r="EG131" s="498">
        <v>1029</v>
      </c>
      <c r="EH131" s="498">
        <v>1521</v>
      </c>
      <c r="EI131" s="498">
        <v>1979</v>
      </c>
      <c r="EJ131" s="498">
        <v>2744</v>
      </c>
      <c r="EK131" s="498">
        <v>3825</v>
      </c>
      <c r="EL131" s="498">
        <v>5333</v>
      </c>
      <c r="EM131" s="498">
        <v>0</v>
      </c>
      <c r="EN131" s="498">
        <v>0</v>
      </c>
      <c r="EO131" s="498">
        <v>0</v>
      </c>
      <c r="EP131" s="498">
        <v>0</v>
      </c>
      <c r="EQ131" s="498">
        <v>0</v>
      </c>
      <c r="ER131" s="498">
        <v>0</v>
      </c>
      <c r="ES131" s="498">
        <v>0</v>
      </c>
      <c r="ET131" s="498">
        <v>0</v>
      </c>
      <c r="EU131" s="498">
        <v>0</v>
      </c>
      <c r="EV131" s="498">
        <v>0</v>
      </c>
      <c r="EW131" s="498">
        <v>0</v>
      </c>
      <c r="EX131" s="498">
        <v>0</v>
      </c>
      <c r="EY131" s="498">
        <v>0</v>
      </c>
      <c r="EZ131" s="498">
        <v>0</v>
      </c>
      <c r="FA131" s="498">
        <v>0</v>
      </c>
      <c r="FB131" s="498">
        <v>0</v>
      </c>
      <c r="FC131" s="498">
        <v>0</v>
      </c>
      <c r="FD131" s="498">
        <v>0</v>
      </c>
      <c r="FE131" s="498">
        <v>0</v>
      </c>
      <c r="FF131" s="498">
        <v>0</v>
      </c>
      <c r="FG131" s="498">
        <v>0</v>
      </c>
      <c r="FH131" s="498">
        <v>0</v>
      </c>
      <c r="FI131" s="498">
        <v>0</v>
      </c>
      <c r="FJ131" s="498">
        <v>0</v>
      </c>
      <c r="FK131" s="498">
        <v>0</v>
      </c>
      <c r="FL131" s="498">
        <v>0</v>
      </c>
      <c r="FM131" s="498">
        <v>0</v>
      </c>
      <c r="FN131" s="498">
        <v>0</v>
      </c>
      <c r="FO131" s="498">
        <v>0</v>
      </c>
      <c r="FP131" s="498">
        <v>0</v>
      </c>
      <c r="FQ131" s="498">
        <v>0</v>
      </c>
      <c r="FR131" s="498">
        <v>0</v>
      </c>
      <c r="FS131" s="498">
        <v>0</v>
      </c>
      <c r="FT131" s="498">
        <v>0</v>
      </c>
      <c r="FU131" s="498">
        <v>0</v>
      </c>
      <c r="FV131" s="498">
        <v>0</v>
      </c>
      <c r="FW131" s="498">
        <v>0</v>
      </c>
      <c r="FX131" s="498">
        <v>0</v>
      </c>
      <c r="FY131" s="498">
        <v>0</v>
      </c>
      <c r="FZ131" s="498">
        <v>0</v>
      </c>
      <c r="GA131" s="498">
        <v>0</v>
      </c>
      <c r="GB131" s="498">
        <v>0</v>
      </c>
      <c r="GC131" s="498">
        <v>0</v>
      </c>
      <c r="GD131" s="498">
        <v>0</v>
      </c>
      <c r="GE131" s="498">
        <v>0</v>
      </c>
      <c r="GF131" s="498">
        <v>0</v>
      </c>
      <c r="GG131" s="498">
        <v>0</v>
      </c>
      <c r="GH131" s="498">
        <v>0</v>
      </c>
      <c r="GI131" s="498">
        <v>0</v>
      </c>
      <c r="GJ131" s="498">
        <v>0</v>
      </c>
      <c r="GK131" s="498">
        <v>0</v>
      </c>
      <c r="GL131" s="498">
        <v>0</v>
      </c>
      <c r="GM131" s="498">
        <v>0</v>
      </c>
      <c r="GN131" s="498">
        <v>0</v>
      </c>
      <c r="GO131" s="498">
        <v>0</v>
      </c>
      <c r="GP131" s="498">
        <v>0</v>
      </c>
      <c r="GQ131" s="498">
        <v>0</v>
      </c>
      <c r="GR131" s="498">
        <v>0</v>
      </c>
      <c r="GS131" s="498">
        <v>0</v>
      </c>
      <c r="GT131" s="498">
        <v>0</v>
      </c>
      <c r="GU131" s="498">
        <v>0</v>
      </c>
      <c r="GV131" s="498">
        <v>0</v>
      </c>
      <c r="GW131" s="498">
        <v>0</v>
      </c>
      <c r="GX131" s="498">
        <v>0</v>
      </c>
      <c r="GY131" s="498">
        <v>0</v>
      </c>
      <c r="GZ131" s="498">
        <v>0</v>
      </c>
      <c r="HA131" s="498">
        <v>0</v>
      </c>
      <c r="HB131" s="498">
        <v>0</v>
      </c>
      <c r="HC131" s="498">
        <v>0</v>
      </c>
      <c r="HD131" s="498">
        <v>0</v>
      </c>
      <c r="HE131" s="498">
        <v>0</v>
      </c>
      <c r="HF131" s="498">
        <v>0</v>
      </c>
      <c r="HG131" s="498">
        <v>0</v>
      </c>
      <c r="HH131" s="498">
        <v>0</v>
      </c>
      <c r="HI131" s="498">
        <v>0</v>
      </c>
      <c r="HJ131" s="498">
        <v>0</v>
      </c>
      <c r="HK131" s="498">
        <v>0</v>
      </c>
      <c r="HL131" s="498">
        <v>0</v>
      </c>
      <c r="HM131" s="498">
        <v>0</v>
      </c>
      <c r="HN131" s="498">
        <v>0</v>
      </c>
      <c r="HO131" s="498">
        <v>0</v>
      </c>
      <c r="HP131" s="498">
        <v>0</v>
      </c>
      <c r="HQ131" s="498">
        <v>0</v>
      </c>
      <c r="HR131" s="498">
        <v>0</v>
      </c>
      <c r="HS131" s="498">
        <v>0</v>
      </c>
      <c r="HT131" s="498">
        <v>0</v>
      </c>
      <c r="HU131" s="498">
        <v>0</v>
      </c>
      <c r="HV131" s="498">
        <v>0</v>
      </c>
      <c r="HW131" s="498">
        <v>0</v>
      </c>
      <c r="HX131" s="498">
        <v>0</v>
      </c>
      <c r="HY131" s="498">
        <v>0</v>
      </c>
      <c r="HZ131" s="498">
        <v>0</v>
      </c>
      <c r="IA131" s="498">
        <v>0</v>
      </c>
      <c r="IB131" s="498">
        <v>0</v>
      </c>
      <c r="IC131" s="498">
        <v>0</v>
      </c>
      <c r="ID131" s="498">
        <v>0</v>
      </c>
      <c r="IE131" s="498">
        <v>0</v>
      </c>
      <c r="IF131" s="498">
        <v>0</v>
      </c>
      <c r="IG131" s="498">
        <v>0</v>
      </c>
      <c r="IH131" s="498">
        <v>0</v>
      </c>
      <c r="II131" s="498">
        <v>0</v>
      </c>
      <c r="IJ131" s="498">
        <v>0</v>
      </c>
    </row>
    <row r="132" spans="12:244" hidden="1">
      <c r="L132" s="497" t="s">
        <v>720</v>
      </c>
      <c r="M132" s="497" t="s">
        <v>617</v>
      </c>
      <c r="N132" s="497" t="s">
        <v>25</v>
      </c>
      <c r="O132" s="498">
        <v>46</v>
      </c>
      <c r="P132" s="494" t="str">
        <f t="shared" si="5"/>
        <v>AIJ100146</v>
      </c>
      <c r="Q132" s="498">
        <v>20000</v>
      </c>
      <c r="R132" s="498">
        <v>20000</v>
      </c>
      <c r="S132" s="498">
        <v>20000</v>
      </c>
      <c r="T132" s="498">
        <v>20000</v>
      </c>
      <c r="U132" s="498">
        <v>20000</v>
      </c>
      <c r="V132" s="498">
        <v>20000</v>
      </c>
      <c r="W132" s="498">
        <v>20000</v>
      </c>
      <c r="X132" s="498">
        <v>20000</v>
      </c>
      <c r="Y132" s="498">
        <v>20000</v>
      </c>
      <c r="Z132" s="498">
        <v>20000</v>
      </c>
      <c r="AA132" s="498">
        <v>0</v>
      </c>
      <c r="AB132" s="498">
        <v>0</v>
      </c>
      <c r="AC132" s="498">
        <v>0</v>
      </c>
      <c r="AD132" s="498">
        <v>0</v>
      </c>
      <c r="AE132" s="498">
        <v>0</v>
      </c>
      <c r="AF132" s="498">
        <v>0</v>
      </c>
      <c r="AG132" s="498">
        <v>0</v>
      </c>
      <c r="AH132" s="498">
        <v>0</v>
      </c>
      <c r="AI132" s="498">
        <v>0</v>
      </c>
      <c r="AJ132" s="498">
        <v>0</v>
      </c>
      <c r="AK132" s="498">
        <v>0</v>
      </c>
      <c r="AL132" s="498">
        <v>0</v>
      </c>
      <c r="AM132" s="498">
        <v>0</v>
      </c>
      <c r="AN132" s="498">
        <v>0</v>
      </c>
      <c r="AO132" s="498">
        <v>0</v>
      </c>
      <c r="AP132" s="498">
        <v>0</v>
      </c>
      <c r="AQ132" s="498">
        <v>0</v>
      </c>
      <c r="AR132" s="498">
        <v>0</v>
      </c>
      <c r="AS132" s="498">
        <v>0</v>
      </c>
      <c r="AT132" s="498">
        <v>0</v>
      </c>
      <c r="AU132" s="498">
        <v>0</v>
      </c>
      <c r="AV132" s="498">
        <v>0</v>
      </c>
      <c r="AW132" s="498">
        <v>0</v>
      </c>
      <c r="AX132" s="498">
        <v>0</v>
      </c>
      <c r="AY132" s="498">
        <v>0</v>
      </c>
      <c r="AZ132" s="498">
        <v>0</v>
      </c>
      <c r="BA132" s="498">
        <v>0</v>
      </c>
      <c r="BB132" s="498">
        <v>0</v>
      </c>
      <c r="BC132" s="498">
        <v>0</v>
      </c>
      <c r="BD132" s="498">
        <v>0</v>
      </c>
      <c r="BE132" s="498">
        <v>0</v>
      </c>
      <c r="BF132" s="498">
        <v>0</v>
      </c>
      <c r="BG132" s="498">
        <v>0</v>
      </c>
      <c r="BH132" s="498">
        <v>0</v>
      </c>
      <c r="BI132" s="498">
        <v>0</v>
      </c>
      <c r="BJ132" s="498">
        <v>0</v>
      </c>
      <c r="BK132" s="498">
        <v>0</v>
      </c>
      <c r="BL132" s="498">
        <v>0</v>
      </c>
      <c r="BM132" s="498">
        <v>0</v>
      </c>
      <c r="BN132" s="498">
        <v>0</v>
      </c>
      <c r="BO132" s="498">
        <v>0</v>
      </c>
      <c r="BP132" s="498">
        <v>0</v>
      </c>
      <c r="BQ132" s="498">
        <v>0</v>
      </c>
      <c r="BR132" s="498">
        <v>0</v>
      </c>
      <c r="BS132" s="498">
        <v>0</v>
      </c>
      <c r="BT132" s="498">
        <v>0</v>
      </c>
      <c r="BU132" s="498">
        <v>0</v>
      </c>
      <c r="BV132" s="498">
        <v>0</v>
      </c>
      <c r="BW132" s="498">
        <v>0</v>
      </c>
      <c r="BX132" s="498">
        <v>0</v>
      </c>
      <c r="BY132" s="498">
        <v>0</v>
      </c>
      <c r="BZ132" s="498">
        <v>0</v>
      </c>
      <c r="CA132" s="498">
        <v>0</v>
      </c>
      <c r="CB132" s="498">
        <v>0</v>
      </c>
      <c r="CC132" s="498">
        <v>0</v>
      </c>
      <c r="CD132" s="498">
        <v>0</v>
      </c>
      <c r="CE132" s="498">
        <v>0</v>
      </c>
      <c r="CF132" s="498">
        <v>0</v>
      </c>
      <c r="CG132" s="498">
        <v>0</v>
      </c>
      <c r="CH132" s="498">
        <v>0</v>
      </c>
      <c r="CI132" s="498">
        <v>0</v>
      </c>
      <c r="CJ132" s="498">
        <v>0</v>
      </c>
      <c r="CK132" s="498">
        <v>0</v>
      </c>
      <c r="CL132" s="498">
        <v>0</v>
      </c>
      <c r="CM132" s="498">
        <v>0</v>
      </c>
      <c r="CN132" s="498">
        <v>0</v>
      </c>
      <c r="CO132" s="498">
        <v>0</v>
      </c>
      <c r="CP132" s="498">
        <v>0</v>
      </c>
      <c r="CQ132" s="498">
        <v>0</v>
      </c>
      <c r="CR132" s="498">
        <v>0</v>
      </c>
      <c r="CS132" s="498">
        <v>0</v>
      </c>
      <c r="CT132" s="498">
        <v>0</v>
      </c>
      <c r="CU132" s="498">
        <v>0</v>
      </c>
      <c r="CV132" s="498">
        <v>0</v>
      </c>
      <c r="CW132" s="498">
        <v>0</v>
      </c>
      <c r="CX132" s="498">
        <v>0</v>
      </c>
      <c r="CY132" s="498">
        <v>0</v>
      </c>
      <c r="CZ132" s="498">
        <v>0</v>
      </c>
      <c r="DA132" s="498">
        <v>0</v>
      </c>
      <c r="DB132" s="498">
        <v>0</v>
      </c>
      <c r="DC132" s="498">
        <v>0</v>
      </c>
      <c r="DD132" s="498">
        <v>0</v>
      </c>
      <c r="DE132" s="498">
        <v>0</v>
      </c>
      <c r="DF132" s="498">
        <v>0</v>
      </c>
      <c r="DG132" s="498">
        <v>0</v>
      </c>
      <c r="DH132" s="498">
        <v>0</v>
      </c>
      <c r="DI132" s="498">
        <v>0</v>
      </c>
      <c r="DJ132" s="498">
        <v>0</v>
      </c>
      <c r="DK132" s="498">
        <v>0</v>
      </c>
      <c r="DL132" s="498">
        <v>0</v>
      </c>
      <c r="DM132" s="498">
        <v>0</v>
      </c>
      <c r="DN132" s="498">
        <v>0</v>
      </c>
      <c r="DO132" s="498">
        <v>0</v>
      </c>
      <c r="DP132" s="498">
        <v>0</v>
      </c>
      <c r="DQ132" s="498">
        <v>0</v>
      </c>
      <c r="DR132" s="498">
        <v>0</v>
      </c>
      <c r="DS132" s="498">
        <v>0</v>
      </c>
      <c r="DT132" s="498">
        <v>0</v>
      </c>
      <c r="DU132" s="498">
        <v>0</v>
      </c>
      <c r="DV132" s="498">
        <v>0</v>
      </c>
      <c r="DW132" s="498">
        <v>0</v>
      </c>
      <c r="DX132" s="477"/>
      <c r="DY132" s="497" t="s">
        <v>720</v>
      </c>
      <c r="DZ132" s="497" t="s">
        <v>617</v>
      </c>
      <c r="EA132" s="497" t="s">
        <v>25</v>
      </c>
      <c r="EB132" s="498">
        <v>46</v>
      </c>
      <c r="EC132" s="494" t="str">
        <f t="shared" si="6"/>
        <v>AIJ100146</v>
      </c>
      <c r="ED132" s="498">
        <v>0</v>
      </c>
      <c r="EE132" s="498">
        <v>328</v>
      </c>
      <c r="EF132" s="498">
        <v>655</v>
      </c>
      <c r="EG132" s="498">
        <v>1012</v>
      </c>
      <c r="EH132" s="498">
        <v>1481</v>
      </c>
      <c r="EI132" s="498">
        <v>1955</v>
      </c>
      <c r="EJ132" s="498">
        <v>2716</v>
      </c>
      <c r="EK132" s="498">
        <v>3811</v>
      </c>
      <c r="EL132" s="498">
        <v>5340</v>
      </c>
      <c r="EM132" s="498">
        <v>0</v>
      </c>
      <c r="EN132" s="498">
        <v>0</v>
      </c>
      <c r="EO132" s="498">
        <v>0</v>
      </c>
      <c r="EP132" s="498">
        <v>0</v>
      </c>
      <c r="EQ132" s="498">
        <v>0</v>
      </c>
      <c r="ER132" s="498">
        <v>0</v>
      </c>
      <c r="ES132" s="498">
        <v>0</v>
      </c>
      <c r="ET132" s="498">
        <v>0</v>
      </c>
      <c r="EU132" s="498">
        <v>0</v>
      </c>
      <c r="EV132" s="498">
        <v>0</v>
      </c>
      <c r="EW132" s="498">
        <v>0</v>
      </c>
      <c r="EX132" s="498">
        <v>0</v>
      </c>
      <c r="EY132" s="498">
        <v>0</v>
      </c>
      <c r="EZ132" s="498">
        <v>0</v>
      </c>
      <c r="FA132" s="498">
        <v>0</v>
      </c>
      <c r="FB132" s="498">
        <v>0</v>
      </c>
      <c r="FC132" s="498">
        <v>0</v>
      </c>
      <c r="FD132" s="498">
        <v>0</v>
      </c>
      <c r="FE132" s="498">
        <v>0</v>
      </c>
      <c r="FF132" s="498">
        <v>0</v>
      </c>
      <c r="FG132" s="498">
        <v>0</v>
      </c>
      <c r="FH132" s="498">
        <v>0</v>
      </c>
      <c r="FI132" s="498">
        <v>0</v>
      </c>
      <c r="FJ132" s="498">
        <v>0</v>
      </c>
      <c r="FK132" s="498">
        <v>0</v>
      </c>
      <c r="FL132" s="498">
        <v>0</v>
      </c>
      <c r="FM132" s="498">
        <v>0</v>
      </c>
      <c r="FN132" s="498">
        <v>0</v>
      </c>
      <c r="FO132" s="498">
        <v>0</v>
      </c>
      <c r="FP132" s="498">
        <v>0</v>
      </c>
      <c r="FQ132" s="498">
        <v>0</v>
      </c>
      <c r="FR132" s="498">
        <v>0</v>
      </c>
      <c r="FS132" s="498">
        <v>0</v>
      </c>
      <c r="FT132" s="498">
        <v>0</v>
      </c>
      <c r="FU132" s="498">
        <v>0</v>
      </c>
      <c r="FV132" s="498">
        <v>0</v>
      </c>
      <c r="FW132" s="498">
        <v>0</v>
      </c>
      <c r="FX132" s="498">
        <v>0</v>
      </c>
      <c r="FY132" s="498">
        <v>0</v>
      </c>
      <c r="FZ132" s="498">
        <v>0</v>
      </c>
      <c r="GA132" s="498">
        <v>0</v>
      </c>
      <c r="GB132" s="498">
        <v>0</v>
      </c>
      <c r="GC132" s="498">
        <v>0</v>
      </c>
      <c r="GD132" s="498">
        <v>0</v>
      </c>
      <c r="GE132" s="498">
        <v>0</v>
      </c>
      <c r="GF132" s="498">
        <v>0</v>
      </c>
      <c r="GG132" s="498">
        <v>0</v>
      </c>
      <c r="GH132" s="498">
        <v>0</v>
      </c>
      <c r="GI132" s="498">
        <v>0</v>
      </c>
      <c r="GJ132" s="498">
        <v>0</v>
      </c>
      <c r="GK132" s="498">
        <v>0</v>
      </c>
      <c r="GL132" s="498">
        <v>0</v>
      </c>
      <c r="GM132" s="498">
        <v>0</v>
      </c>
      <c r="GN132" s="498">
        <v>0</v>
      </c>
      <c r="GO132" s="498">
        <v>0</v>
      </c>
      <c r="GP132" s="498">
        <v>0</v>
      </c>
      <c r="GQ132" s="498">
        <v>0</v>
      </c>
      <c r="GR132" s="498">
        <v>0</v>
      </c>
      <c r="GS132" s="498">
        <v>0</v>
      </c>
      <c r="GT132" s="498">
        <v>0</v>
      </c>
      <c r="GU132" s="498">
        <v>0</v>
      </c>
      <c r="GV132" s="498">
        <v>0</v>
      </c>
      <c r="GW132" s="498">
        <v>0</v>
      </c>
      <c r="GX132" s="498">
        <v>0</v>
      </c>
      <c r="GY132" s="498">
        <v>0</v>
      </c>
      <c r="GZ132" s="498">
        <v>0</v>
      </c>
      <c r="HA132" s="498">
        <v>0</v>
      </c>
      <c r="HB132" s="498">
        <v>0</v>
      </c>
      <c r="HC132" s="498">
        <v>0</v>
      </c>
      <c r="HD132" s="498">
        <v>0</v>
      </c>
      <c r="HE132" s="498">
        <v>0</v>
      </c>
      <c r="HF132" s="498">
        <v>0</v>
      </c>
      <c r="HG132" s="498">
        <v>0</v>
      </c>
      <c r="HH132" s="498">
        <v>0</v>
      </c>
      <c r="HI132" s="498">
        <v>0</v>
      </c>
      <c r="HJ132" s="498">
        <v>0</v>
      </c>
      <c r="HK132" s="498">
        <v>0</v>
      </c>
      <c r="HL132" s="498">
        <v>0</v>
      </c>
      <c r="HM132" s="498">
        <v>0</v>
      </c>
      <c r="HN132" s="498">
        <v>0</v>
      </c>
      <c r="HO132" s="498">
        <v>0</v>
      </c>
      <c r="HP132" s="498">
        <v>0</v>
      </c>
      <c r="HQ132" s="498">
        <v>0</v>
      </c>
      <c r="HR132" s="498">
        <v>0</v>
      </c>
      <c r="HS132" s="498">
        <v>0</v>
      </c>
      <c r="HT132" s="498">
        <v>0</v>
      </c>
      <c r="HU132" s="498">
        <v>0</v>
      </c>
      <c r="HV132" s="498">
        <v>0</v>
      </c>
      <c r="HW132" s="498">
        <v>0</v>
      </c>
      <c r="HX132" s="498">
        <v>0</v>
      </c>
      <c r="HY132" s="498">
        <v>0</v>
      </c>
      <c r="HZ132" s="498">
        <v>0</v>
      </c>
      <c r="IA132" s="498">
        <v>0</v>
      </c>
      <c r="IB132" s="498">
        <v>0</v>
      </c>
      <c r="IC132" s="498">
        <v>0</v>
      </c>
      <c r="ID132" s="498">
        <v>0</v>
      </c>
      <c r="IE132" s="498">
        <v>0</v>
      </c>
      <c r="IF132" s="498">
        <v>0</v>
      </c>
      <c r="IG132" s="498">
        <v>0</v>
      </c>
      <c r="IH132" s="498">
        <v>0</v>
      </c>
      <c r="II132" s="498">
        <v>0</v>
      </c>
      <c r="IJ132" s="498">
        <v>0</v>
      </c>
    </row>
    <row r="133" spans="12:244" hidden="1">
      <c r="L133" s="497" t="s">
        <v>720</v>
      </c>
      <c r="M133" s="497" t="s">
        <v>617</v>
      </c>
      <c r="N133" s="497" t="s">
        <v>25</v>
      </c>
      <c r="O133" s="498">
        <v>47</v>
      </c>
      <c r="P133" s="494" t="str">
        <f t="shared" si="5"/>
        <v>AIJ100147</v>
      </c>
      <c r="Q133" s="498">
        <v>20000</v>
      </c>
      <c r="R133" s="498">
        <v>20000</v>
      </c>
      <c r="S133" s="498">
        <v>20000</v>
      </c>
      <c r="T133" s="498">
        <v>20000</v>
      </c>
      <c r="U133" s="498">
        <v>20000</v>
      </c>
      <c r="V133" s="498">
        <v>20000</v>
      </c>
      <c r="W133" s="498">
        <v>20000</v>
      </c>
      <c r="X133" s="498">
        <v>20000</v>
      </c>
      <c r="Y133" s="498">
        <v>20000</v>
      </c>
      <c r="Z133" s="498">
        <v>20000</v>
      </c>
      <c r="AA133" s="498">
        <v>0</v>
      </c>
      <c r="AB133" s="498">
        <v>0</v>
      </c>
      <c r="AC133" s="498">
        <v>0</v>
      </c>
      <c r="AD133" s="498">
        <v>0</v>
      </c>
      <c r="AE133" s="498">
        <v>0</v>
      </c>
      <c r="AF133" s="498">
        <v>0</v>
      </c>
      <c r="AG133" s="498">
        <v>0</v>
      </c>
      <c r="AH133" s="498">
        <v>0</v>
      </c>
      <c r="AI133" s="498">
        <v>0</v>
      </c>
      <c r="AJ133" s="498">
        <v>0</v>
      </c>
      <c r="AK133" s="498">
        <v>0</v>
      </c>
      <c r="AL133" s="498">
        <v>0</v>
      </c>
      <c r="AM133" s="498">
        <v>0</v>
      </c>
      <c r="AN133" s="498">
        <v>0</v>
      </c>
      <c r="AO133" s="498">
        <v>0</v>
      </c>
      <c r="AP133" s="498">
        <v>0</v>
      </c>
      <c r="AQ133" s="498">
        <v>0</v>
      </c>
      <c r="AR133" s="498">
        <v>0</v>
      </c>
      <c r="AS133" s="498">
        <v>0</v>
      </c>
      <c r="AT133" s="498">
        <v>0</v>
      </c>
      <c r="AU133" s="498">
        <v>0</v>
      </c>
      <c r="AV133" s="498">
        <v>0</v>
      </c>
      <c r="AW133" s="498">
        <v>0</v>
      </c>
      <c r="AX133" s="498">
        <v>0</v>
      </c>
      <c r="AY133" s="498">
        <v>0</v>
      </c>
      <c r="AZ133" s="498">
        <v>0</v>
      </c>
      <c r="BA133" s="498">
        <v>0</v>
      </c>
      <c r="BB133" s="498">
        <v>0</v>
      </c>
      <c r="BC133" s="498">
        <v>0</v>
      </c>
      <c r="BD133" s="498">
        <v>0</v>
      </c>
      <c r="BE133" s="498">
        <v>0</v>
      </c>
      <c r="BF133" s="498">
        <v>0</v>
      </c>
      <c r="BG133" s="498">
        <v>0</v>
      </c>
      <c r="BH133" s="498">
        <v>0</v>
      </c>
      <c r="BI133" s="498">
        <v>0</v>
      </c>
      <c r="BJ133" s="498">
        <v>0</v>
      </c>
      <c r="BK133" s="498">
        <v>0</v>
      </c>
      <c r="BL133" s="498">
        <v>0</v>
      </c>
      <c r="BM133" s="498">
        <v>0</v>
      </c>
      <c r="BN133" s="498">
        <v>0</v>
      </c>
      <c r="BO133" s="498">
        <v>0</v>
      </c>
      <c r="BP133" s="498">
        <v>0</v>
      </c>
      <c r="BQ133" s="498">
        <v>0</v>
      </c>
      <c r="BR133" s="498">
        <v>0</v>
      </c>
      <c r="BS133" s="498">
        <v>0</v>
      </c>
      <c r="BT133" s="498">
        <v>0</v>
      </c>
      <c r="BU133" s="498">
        <v>0</v>
      </c>
      <c r="BV133" s="498">
        <v>0</v>
      </c>
      <c r="BW133" s="498">
        <v>0</v>
      </c>
      <c r="BX133" s="498">
        <v>0</v>
      </c>
      <c r="BY133" s="498">
        <v>0</v>
      </c>
      <c r="BZ133" s="498">
        <v>0</v>
      </c>
      <c r="CA133" s="498">
        <v>0</v>
      </c>
      <c r="CB133" s="498">
        <v>0</v>
      </c>
      <c r="CC133" s="498">
        <v>0</v>
      </c>
      <c r="CD133" s="498">
        <v>0</v>
      </c>
      <c r="CE133" s="498">
        <v>0</v>
      </c>
      <c r="CF133" s="498">
        <v>0</v>
      </c>
      <c r="CG133" s="498">
        <v>0</v>
      </c>
      <c r="CH133" s="498">
        <v>0</v>
      </c>
      <c r="CI133" s="498">
        <v>0</v>
      </c>
      <c r="CJ133" s="498">
        <v>0</v>
      </c>
      <c r="CK133" s="498">
        <v>0</v>
      </c>
      <c r="CL133" s="498">
        <v>0</v>
      </c>
      <c r="CM133" s="498">
        <v>0</v>
      </c>
      <c r="CN133" s="498">
        <v>0</v>
      </c>
      <c r="CO133" s="498">
        <v>0</v>
      </c>
      <c r="CP133" s="498">
        <v>0</v>
      </c>
      <c r="CQ133" s="498">
        <v>0</v>
      </c>
      <c r="CR133" s="498">
        <v>0</v>
      </c>
      <c r="CS133" s="498">
        <v>0</v>
      </c>
      <c r="CT133" s="498">
        <v>0</v>
      </c>
      <c r="CU133" s="498">
        <v>0</v>
      </c>
      <c r="CV133" s="498">
        <v>0</v>
      </c>
      <c r="CW133" s="498">
        <v>0</v>
      </c>
      <c r="CX133" s="498">
        <v>0</v>
      </c>
      <c r="CY133" s="498">
        <v>0</v>
      </c>
      <c r="CZ133" s="498">
        <v>0</v>
      </c>
      <c r="DA133" s="498">
        <v>0</v>
      </c>
      <c r="DB133" s="498">
        <v>0</v>
      </c>
      <c r="DC133" s="498">
        <v>0</v>
      </c>
      <c r="DD133" s="498">
        <v>0</v>
      </c>
      <c r="DE133" s="498">
        <v>0</v>
      </c>
      <c r="DF133" s="498">
        <v>0</v>
      </c>
      <c r="DG133" s="498">
        <v>0</v>
      </c>
      <c r="DH133" s="498">
        <v>0</v>
      </c>
      <c r="DI133" s="498">
        <v>0</v>
      </c>
      <c r="DJ133" s="498">
        <v>0</v>
      </c>
      <c r="DK133" s="498">
        <v>0</v>
      </c>
      <c r="DL133" s="498">
        <v>0</v>
      </c>
      <c r="DM133" s="498">
        <v>0</v>
      </c>
      <c r="DN133" s="498">
        <v>0</v>
      </c>
      <c r="DO133" s="498">
        <v>0</v>
      </c>
      <c r="DP133" s="498">
        <v>0</v>
      </c>
      <c r="DQ133" s="498">
        <v>0</v>
      </c>
      <c r="DR133" s="498">
        <v>0</v>
      </c>
      <c r="DS133" s="498">
        <v>0</v>
      </c>
      <c r="DT133" s="498">
        <v>0</v>
      </c>
      <c r="DU133" s="498">
        <v>0</v>
      </c>
      <c r="DV133" s="498">
        <v>0</v>
      </c>
      <c r="DW133" s="498">
        <v>0</v>
      </c>
      <c r="DX133" s="477"/>
      <c r="DY133" s="497" t="s">
        <v>720</v>
      </c>
      <c r="DZ133" s="497" t="s">
        <v>617</v>
      </c>
      <c r="EA133" s="497" t="s">
        <v>25</v>
      </c>
      <c r="EB133" s="498">
        <v>47</v>
      </c>
      <c r="EC133" s="494" t="str">
        <f t="shared" si="6"/>
        <v>AIJ100147</v>
      </c>
      <c r="ED133" s="498">
        <v>0</v>
      </c>
      <c r="EE133" s="498">
        <v>310</v>
      </c>
      <c r="EF133" s="498">
        <v>637</v>
      </c>
      <c r="EG133" s="498">
        <v>994</v>
      </c>
      <c r="EH133" s="498">
        <v>1464</v>
      </c>
      <c r="EI133" s="498">
        <v>1948</v>
      </c>
      <c r="EJ133" s="498">
        <v>2691</v>
      </c>
      <c r="EK133" s="498">
        <v>3750</v>
      </c>
      <c r="EL133" s="498">
        <v>5323</v>
      </c>
      <c r="EM133" s="498">
        <v>0</v>
      </c>
      <c r="EN133" s="498">
        <v>0</v>
      </c>
      <c r="EO133" s="498">
        <v>0</v>
      </c>
      <c r="EP133" s="498">
        <v>0</v>
      </c>
      <c r="EQ133" s="498">
        <v>0</v>
      </c>
      <c r="ER133" s="498">
        <v>0</v>
      </c>
      <c r="ES133" s="498">
        <v>0</v>
      </c>
      <c r="ET133" s="498">
        <v>0</v>
      </c>
      <c r="EU133" s="498">
        <v>0</v>
      </c>
      <c r="EV133" s="498">
        <v>0</v>
      </c>
      <c r="EW133" s="498">
        <v>0</v>
      </c>
      <c r="EX133" s="498">
        <v>0</v>
      </c>
      <c r="EY133" s="498">
        <v>0</v>
      </c>
      <c r="EZ133" s="498">
        <v>0</v>
      </c>
      <c r="FA133" s="498">
        <v>0</v>
      </c>
      <c r="FB133" s="498">
        <v>0</v>
      </c>
      <c r="FC133" s="498">
        <v>0</v>
      </c>
      <c r="FD133" s="498">
        <v>0</v>
      </c>
      <c r="FE133" s="498">
        <v>0</v>
      </c>
      <c r="FF133" s="498">
        <v>0</v>
      </c>
      <c r="FG133" s="498">
        <v>0</v>
      </c>
      <c r="FH133" s="498">
        <v>0</v>
      </c>
      <c r="FI133" s="498">
        <v>0</v>
      </c>
      <c r="FJ133" s="498">
        <v>0</v>
      </c>
      <c r="FK133" s="498">
        <v>0</v>
      </c>
      <c r="FL133" s="498">
        <v>0</v>
      </c>
      <c r="FM133" s="498">
        <v>0</v>
      </c>
      <c r="FN133" s="498">
        <v>0</v>
      </c>
      <c r="FO133" s="498">
        <v>0</v>
      </c>
      <c r="FP133" s="498">
        <v>0</v>
      </c>
      <c r="FQ133" s="498">
        <v>0</v>
      </c>
      <c r="FR133" s="498">
        <v>0</v>
      </c>
      <c r="FS133" s="498">
        <v>0</v>
      </c>
      <c r="FT133" s="498">
        <v>0</v>
      </c>
      <c r="FU133" s="498">
        <v>0</v>
      </c>
      <c r="FV133" s="498">
        <v>0</v>
      </c>
      <c r="FW133" s="498">
        <v>0</v>
      </c>
      <c r="FX133" s="498">
        <v>0</v>
      </c>
      <c r="FY133" s="498">
        <v>0</v>
      </c>
      <c r="FZ133" s="498">
        <v>0</v>
      </c>
      <c r="GA133" s="498">
        <v>0</v>
      </c>
      <c r="GB133" s="498">
        <v>0</v>
      </c>
      <c r="GC133" s="498">
        <v>0</v>
      </c>
      <c r="GD133" s="498">
        <v>0</v>
      </c>
      <c r="GE133" s="498">
        <v>0</v>
      </c>
      <c r="GF133" s="498">
        <v>0</v>
      </c>
      <c r="GG133" s="498">
        <v>0</v>
      </c>
      <c r="GH133" s="498">
        <v>0</v>
      </c>
      <c r="GI133" s="498">
        <v>0</v>
      </c>
      <c r="GJ133" s="498">
        <v>0</v>
      </c>
      <c r="GK133" s="498">
        <v>0</v>
      </c>
      <c r="GL133" s="498">
        <v>0</v>
      </c>
      <c r="GM133" s="498">
        <v>0</v>
      </c>
      <c r="GN133" s="498">
        <v>0</v>
      </c>
      <c r="GO133" s="498">
        <v>0</v>
      </c>
      <c r="GP133" s="498">
        <v>0</v>
      </c>
      <c r="GQ133" s="498">
        <v>0</v>
      </c>
      <c r="GR133" s="498">
        <v>0</v>
      </c>
      <c r="GS133" s="498">
        <v>0</v>
      </c>
      <c r="GT133" s="498">
        <v>0</v>
      </c>
      <c r="GU133" s="498">
        <v>0</v>
      </c>
      <c r="GV133" s="498">
        <v>0</v>
      </c>
      <c r="GW133" s="498">
        <v>0</v>
      </c>
      <c r="GX133" s="498">
        <v>0</v>
      </c>
      <c r="GY133" s="498">
        <v>0</v>
      </c>
      <c r="GZ133" s="498">
        <v>0</v>
      </c>
      <c r="HA133" s="498">
        <v>0</v>
      </c>
      <c r="HB133" s="498">
        <v>0</v>
      </c>
      <c r="HC133" s="498">
        <v>0</v>
      </c>
      <c r="HD133" s="498">
        <v>0</v>
      </c>
      <c r="HE133" s="498">
        <v>0</v>
      </c>
      <c r="HF133" s="498">
        <v>0</v>
      </c>
      <c r="HG133" s="498">
        <v>0</v>
      </c>
      <c r="HH133" s="498">
        <v>0</v>
      </c>
      <c r="HI133" s="498">
        <v>0</v>
      </c>
      <c r="HJ133" s="498">
        <v>0</v>
      </c>
      <c r="HK133" s="498">
        <v>0</v>
      </c>
      <c r="HL133" s="498">
        <v>0</v>
      </c>
      <c r="HM133" s="498">
        <v>0</v>
      </c>
      <c r="HN133" s="498">
        <v>0</v>
      </c>
      <c r="HO133" s="498">
        <v>0</v>
      </c>
      <c r="HP133" s="498">
        <v>0</v>
      </c>
      <c r="HQ133" s="498">
        <v>0</v>
      </c>
      <c r="HR133" s="498">
        <v>0</v>
      </c>
      <c r="HS133" s="498">
        <v>0</v>
      </c>
      <c r="HT133" s="498">
        <v>0</v>
      </c>
      <c r="HU133" s="498">
        <v>0</v>
      </c>
      <c r="HV133" s="498">
        <v>0</v>
      </c>
      <c r="HW133" s="498">
        <v>0</v>
      </c>
      <c r="HX133" s="498">
        <v>0</v>
      </c>
      <c r="HY133" s="498">
        <v>0</v>
      </c>
      <c r="HZ133" s="498">
        <v>0</v>
      </c>
      <c r="IA133" s="498">
        <v>0</v>
      </c>
      <c r="IB133" s="498">
        <v>0</v>
      </c>
      <c r="IC133" s="498">
        <v>0</v>
      </c>
      <c r="ID133" s="498">
        <v>0</v>
      </c>
      <c r="IE133" s="498">
        <v>0</v>
      </c>
      <c r="IF133" s="498">
        <v>0</v>
      </c>
      <c r="IG133" s="498">
        <v>0</v>
      </c>
      <c r="IH133" s="498">
        <v>0</v>
      </c>
      <c r="II133" s="498">
        <v>0</v>
      </c>
      <c r="IJ133" s="498">
        <v>0</v>
      </c>
    </row>
    <row r="134" spans="12:244" hidden="1">
      <c r="L134" s="497" t="s">
        <v>720</v>
      </c>
      <c r="M134" s="497" t="s">
        <v>617</v>
      </c>
      <c r="N134" s="497" t="s">
        <v>25</v>
      </c>
      <c r="O134" s="498">
        <v>48</v>
      </c>
      <c r="P134" s="494" t="str">
        <f t="shared" si="5"/>
        <v>AIJ100148</v>
      </c>
      <c r="Q134" s="498">
        <v>20000</v>
      </c>
      <c r="R134" s="498">
        <v>20000</v>
      </c>
      <c r="S134" s="498">
        <v>20000</v>
      </c>
      <c r="T134" s="498">
        <v>20000</v>
      </c>
      <c r="U134" s="498">
        <v>20000</v>
      </c>
      <c r="V134" s="498">
        <v>20000</v>
      </c>
      <c r="W134" s="498">
        <v>20000</v>
      </c>
      <c r="X134" s="498">
        <v>20000</v>
      </c>
      <c r="Y134" s="498">
        <v>20000</v>
      </c>
      <c r="Z134" s="498">
        <v>20000</v>
      </c>
      <c r="AA134" s="498">
        <v>0</v>
      </c>
      <c r="AB134" s="498">
        <v>0</v>
      </c>
      <c r="AC134" s="498">
        <v>0</v>
      </c>
      <c r="AD134" s="498">
        <v>0</v>
      </c>
      <c r="AE134" s="498">
        <v>0</v>
      </c>
      <c r="AF134" s="498">
        <v>0</v>
      </c>
      <c r="AG134" s="498">
        <v>0</v>
      </c>
      <c r="AH134" s="498">
        <v>0</v>
      </c>
      <c r="AI134" s="498">
        <v>0</v>
      </c>
      <c r="AJ134" s="498">
        <v>0</v>
      </c>
      <c r="AK134" s="498">
        <v>0</v>
      </c>
      <c r="AL134" s="498">
        <v>0</v>
      </c>
      <c r="AM134" s="498">
        <v>0</v>
      </c>
      <c r="AN134" s="498">
        <v>0</v>
      </c>
      <c r="AO134" s="498">
        <v>0</v>
      </c>
      <c r="AP134" s="498">
        <v>0</v>
      </c>
      <c r="AQ134" s="498">
        <v>0</v>
      </c>
      <c r="AR134" s="498">
        <v>0</v>
      </c>
      <c r="AS134" s="498">
        <v>0</v>
      </c>
      <c r="AT134" s="498">
        <v>0</v>
      </c>
      <c r="AU134" s="498">
        <v>0</v>
      </c>
      <c r="AV134" s="498">
        <v>0</v>
      </c>
      <c r="AW134" s="498">
        <v>0</v>
      </c>
      <c r="AX134" s="498">
        <v>0</v>
      </c>
      <c r="AY134" s="498">
        <v>0</v>
      </c>
      <c r="AZ134" s="498">
        <v>0</v>
      </c>
      <c r="BA134" s="498">
        <v>0</v>
      </c>
      <c r="BB134" s="498">
        <v>0</v>
      </c>
      <c r="BC134" s="498">
        <v>0</v>
      </c>
      <c r="BD134" s="498">
        <v>0</v>
      </c>
      <c r="BE134" s="498">
        <v>0</v>
      </c>
      <c r="BF134" s="498">
        <v>0</v>
      </c>
      <c r="BG134" s="498">
        <v>0</v>
      </c>
      <c r="BH134" s="498">
        <v>0</v>
      </c>
      <c r="BI134" s="498">
        <v>0</v>
      </c>
      <c r="BJ134" s="498">
        <v>0</v>
      </c>
      <c r="BK134" s="498">
        <v>0</v>
      </c>
      <c r="BL134" s="498">
        <v>0</v>
      </c>
      <c r="BM134" s="498">
        <v>0</v>
      </c>
      <c r="BN134" s="498">
        <v>0</v>
      </c>
      <c r="BO134" s="498">
        <v>0</v>
      </c>
      <c r="BP134" s="498">
        <v>0</v>
      </c>
      <c r="BQ134" s="498">
        <v>0</v>
      </c>
      <c r="BR134" s="498">
        <v>0</v>
      </c>
      <c r="BS134" s="498">
        <v>0</v>
      </c>
      <c r="BT134" s="498">
        <v>0</v>
      </c>
      <c r="BU134" s="498">
        <v>0</v>
      </c>
      <c r="BV134" s="498">
        <v>0</v>
      </c>
      <c r="BW134" s="498">
        <v>0</v>
      </c>
      <c r="BX134" s="498">
        <v>0</v>
      </c>
      <c r="BY134" s="498">
        <v>0</v>
      </c>
      <c r="BZ134" s="498">
        <v>0</v>
      </c>
      <c r="CA134" s="498">
        <v>0</v>
      </c>
      <c r="CB134" s="498">
        <v>0</v>
      </c>
      <c r="CC134" s="498">
        <v>0</v>
      </c>
      <c r="CD134" s="498">
        <v>0</v>
      </c>
      <c r="CE134" s="498">
        <v>0</v>
      </c>
      <c r="CF134" s="498">
        <v>0</v>
      </c>
      <c r="CG134" s="498">
        <v>0</v>
      </c>
      <c r="CH134" s="498">
        <v>0</v>
      </c>
      <c r="CI134" s="498">
        <v>0</v>
      </c>
      <c r="CJ134" s="498">
        <v>0</v>
      </c>
      <c r="CK134" s="498">
        <v>0</v>
      </c>
      <c r="CL134" s="498">
        <v>0</v>
      </c>
      <c r="CM134" s="498">
        <v>0</v>
      </c>
      <c r="CN134" s="498">
        <v>0</v>
      </c>
      <c r="CO134" s="498">
        <v>0</v>
      </c>
      <c r="CP134" s="498">
        <v>0</v>
      </c>
      <c r="CQ134" s="498">
        <v>0</v>
      </c>
      <c r="CR134" s="498">
        <v>0</v>
      </c>
      <c r="CS134" s="498">
        <v>0</v>
      </c>
      <c r="CT134" s="498">
        <v>0</v>
      </c>
      <c r="CU134" s="498">
        <v>0</v>
      </c>
      <c r="CV134" s="498">
        <v>0</v>
      </c>
      <c r="CW134" s="498">
        <v>0</v>
      </c>
      <c r="CX134" s="498">
        <v>0</v>
      </c>
      <c r="CY134" s="498">
        <v>0</v>
      </c>
      <c r="CZ134" s="498">
        <v>0</v>
      </c>
      <c r="DA134" s="498">
        <v>0</v>
      </c>
      <c r="DB134" s="498">
        <v>0</v>
      </c>
      <c r="DC134" s="498">
        <v>0</v>
      </c>
      <c r="DD134" s="498">
        <v>0</v>
      </c>
      <c r="DE134" s="498">
        <v>0</v>
      </c>
      <c r="DF134" s="498">
        <v>0</v>
      </c>
      <c r="DG134" s="498">
        <v>0</v>
      </c>
      <c r="DH134" s="498">
        <v>0</v>
      </c>
      <c r="DI134" s="498">
        <v>0</v>
      </c>
      <c r="DJ134" s="498">
        <v>0</v>
      </c>
      <c r="DK134" s="498">
        <v>0</v>
      </c>
      <c r="DL134" s="498">
        <v>0</v>
      </c>
      <c r="DM134" s="498">
        <v>0</v>
      </c>
      <c r="DN134" s="498">
        <v>0</v>
      </c>
      <c r="DO134" s="498">
        <v>0</v>
      </c>
      <c r="DP134" s="498">
        <v>0</v>
      </c>
      <c r="DQ134" s="498">
        <v>0</v>
      </c>
      <c r="DR134" s="498">
        <v>0</v>
      </c>
      <c r="DS134" s="498">
        <v>0</v>
      </c>
      <c r="DT134" s="498">
        <v>0</v>
      </c>
      <c r="DU134" s="498">
        <v>0</v>
      </c>
      <c r="DV134" s="498">
        <v>0</v>
      </c>
      <c r="DW134" s="498">
        <v>0</v>
      </c>
      <c r="DX134" s="477"/>
      <c r="DY134" s="497" t="s">
        <v>720</v>
      </c>
      <c r="DZ134" s="497" t="s">
        <v>617</v>
      </c>
      <c r="EA134" s="497" t="s">
        <v>25</v>
      </c>
      <c r="EB134" s="498">
        <v>48</v>
      </c>
      <c r="EC134" s="494" t="str">
        <f t="shared" si="6"/>
        <v>AIJ100148</v>
      </c>
      <c r="ED134" s="498">
        <v>0</v>
      </c>
      <c r="EE134" s="498">
        <v>322</v>
      </c>
      <c r="EF134" s="498">
        <v>651</v>
      </c>
      <c r="EG134" s="498">
        <v>991</v>
      </c>
      <c r="EH134" s="498">
        <v>1462</v>
      </c>
      <c r="EI134" s="498">
        <v>1928</v>
      </c>
      <c r="EJ134" s="498">
        <v>2693</v>
      </c>
      <c r="EK134" s="498">
        <v>3805</v>
      </c>
      <c r="EL134" s="498">
        <v>5327</v>
      </c>
      <c r="EM134" s="498">
        <v>0</v>
      </c>
      <c r="EN134" s="498">
        <v>0</v>
      </c>
      <c r="EO134" s="498">
        <v>0</v>
      </c>
      <c r="EP134" s="498">
        <v>0</v>
      </c>
      <c r="EQ134" s="498">
        <v>0</v>
      </c>
      <c r="ER134" s="498">
        <v>0</v>
      </c>
      <c r="ES134" s="498">
        <v>0</v>
      </c>
      <c r="ET134" s="498">
        <v>0</v>
      </c>
      <c r="EU134" s="498">
        <v>0</v>
      </c>
      <c r="EV134" s="498">
        <v>0</v>
      </c>
      <c r="EW134" s="498">
        <v>0</v>
      </c>
      <c r="EX134" s="498">
        <v>0</v>
      </c>
      <c r="EY134" s="498">
        <v>0</v>
      </c>
      <c r="EZ134" s="498">
        <v>0</v>
      </c>
      <c r="FA134" s="498">
        <v>0</v>
      </c>
      <c r="FB134" s="498">
        <v>0</v>
      </c>
      <c r="FC134" s="498">
        <v>0</v>
      </c>
      <c r="FD134" s="498">
        <v>0</v>
      </c>
      <c r="FE134" s="498">
        <v>0</v>
      </c>
      <c r="FF134" s="498">
        <v>0</v>
      </c>
      <c r="FG134" s="498">
        <v>0</v>
      </c>
      <c r="FH134" s="498">
        <v>0</v>
      </c>
      <c r="FI134" s="498">
        <v>0</v>
      </c>
      <c r="FJ134" s="498">
        <v>0</v>
      </c>
      <c r="FK134" s="498">
        <v>0</v>
      </c>
      <c r="FL134" s="498">
        <v>0</v>
      </c>
      <c r="FM134" s="498">
        <v>0</v>
      </c>
      <c r="FN134" s="498">
        <v>0</v>
      </c>
      <c r="FO134" s="498">
        <v>0</v>
      </c>
      <c r="FP134" s="498">
        <v>0</v>
      </c>
      <c r="FQ134" s="498">
        <v>0</v>
      </c>
      <c r="FR134" s="498">
        <v>0</v>
      </c>
      <c r="FS134" s="498">
        <v>0</v>
      </c>
      <c r="FT134" s="498">
        <v>0</v>
      </c>
      <c r="FU134" s="498">
        <v>0</v>
      </c>
      <c r="FV134" s="498">
        <v>0</v>
      </c>
      <c r="FW134" s="498">
        <v>0</v>
      </c>
      <c r="FX134" s="498">
        <v>0</v>
      </c>
      <c r="FY134" s="498">
        <v>0</v>
      </c>
      <c r="FZ134" s="498">
        <v>0</v>
      </c>
      <c r="GA134" s="498">
        <v>0</v>
      </c>
      <c r="GB134" s="498">
        <v>0</v>
      </c>
      <c r="GC134" s="498">
        <v>0</v>
      </c>
      <c r="GD134" s="498">
        <v>0</v>
      </c>
      <c r="GE134" s="498">
        <v>0</v>
      </c>
      <c r="GF134" s="498">
        <v>0</v>
      </c>
      <c r="GG134" s="498">
        <v>0</v>
      </c>
      <c r="GH134" s="498">
        <v>0</v>
      </c>
      <c r="GI134" s="498">
        <v>0</v>
      </c>
      <c r="GJ134" s="498">
        <v>0</v>
      </c>
      <c r="GK134" s="498">
        <v>0</v>
      </c>
      <c r="GL134" s="498">
        <v>0</v>
      </c>
      <c r="GM134" s="498">
        <v>0</v>
      </c>
      <c r="GN134" s="498">
        <v>0</v>
      </c>
      <c r="GO134" s="498">
        <v>0</v>
      </c>
      <c r="GP134" s="498">
        <v>0</v>
      </c>
      <c r="GQ134" s="498">
        <v>0</v>
      </c>
      <c r="GR134" s="498">
        <v>0</v>
      </c>
      <c r="GS134" s="498">
        <v>0</v>
      </c>
      <c r="GT134" s="498">
        <v>0</v>
      </c>
      <c r="GU134" s="498">
        <v>0</v>
      </c>
      <c r="GV134" s="498">
        <v>0</v>
      </c>
      <c r="GW134" s="498">
        <v>0</v>
      </c>
      <c r="GX134" s="498">
        <v>0</v>
      </c>
      <c r="GY134" s="498">
        <v>0</v>
      </c>
      <c r="GZ134" s="498">
        <v>0</v>
      </c>
      <c r="HA134" s="498">
        <v>0</v>
      </c>
      <c r="HB134" s="498">
        <v>0</v>
      </c>
      <c r="HC134" s="498">
        <v>0</v>
      </c>
      <c r="HD134" s="498">
        <v>0</v>
      </c>
      <c r="HE134" s="498">
        <v>0</v>
      </c>
      <c r="HF134" s="498">
        <v>0</v>
      </c>
      <c r="HG134" s="498">
        <v>0</v>
      </c>
      <c r="HH134" s="498">
        <v>0</v>
      </c>
      <c r="HI134" s="498">
        <v>0</v>
      </c>
      <c r="HJ134" s="498">
        <v>0</v>
      </c>
      <c r="HK134" s="498">
        <v>0</v>
      </c>
      <c r="HL134" s="498">
        <v>0</v>
      </c>
      <c r="HM134" s="498">
        <v>0</v>
      </c>
      <c r="HN134" s="498">
        <v>0</v>
      </c>
      <c r="HO134" s="498">
        <v>0</v>
      </c>
      <c r="HP134" s="498">
        <v>0</v>
      </c>
      <c r="HQ134" s="498">
        <v>0</v>
      </c>
      <c r="HR134" s="498">
        <v>0</v>
      </c>
      <c r="HS134" s="498">
        <v>0</v>
      </c>
      <c r="HT134" s="498">
        <v>0</v>
      </c>
      <c r="HU134" s="498">
        <v>0</v>
      </c>
      <c r="HV134" s="498">
        <v>0</v>
      </c>
      <c r="HW134" s="498">
        <v>0</v>
      </c>
      <c r="HX134" s="498">
        <v>0</v>
      </c>
      <c r="HY134" s="498">
        <v>0</v>
      </c>
      <c r="HZ134" s="498">
        <v>0</v>
      </c>
      <c r="IA134" s="498">
        <v>0</v>
      </c>
      <c r="IB134" s="498">
        <v>0</v>
      </c>
      <c r="IC134" s="498">
        <v>0</v>
      </c>
      <c r="ID134" s="498">
        <v>0</v>
      </c>
      <c r="IE134" s="498">
        <v>0</v>
      </c>
      <c r="IF134" s="498">
        <v>0</v>
      </c>
      <c r="IG134" s="498">
        <v>0</v>
      </c>
      <c r="IH134" s="498">
        <v>0</v>
      </c>
      <c r="II134" s="498">
        <v>0</v>
      </c>
      <c r="IJ134" s="498">
        <v>0</v>
      </c>
    </row>
    <row r="135" spans="12:244" hidden="1">
      <c r="L135" s="497" t="s">
        <v>720</v>
      </c>
      <c r="M135" s="497" t="s">
        <v>617</v>
      </c>
      <c r="N135" s="497" t="s">
        <v>25</v>
      </c>
      <c r="O135" s="498">
        <v>49</v>
      </c>
      <c r="P135" s="494" t="str">
        <f t="shared" si="5"/>
        <v>AIJ100149</v>
      </c>
      <c r="Q135" s="498">
        <v>20000</v>
      </c>
      <c r="R135" s="498">
        <v>20000</v>
      </c>
      <c r="S135" s="498">
        <v>20000</v>
      </c>
      <c r="T135" s="498">
        <v>20000</v>
      </c>
      <c r="U135" s="498">
        <v>20000</v>
      </c>
      <c r="V135" s="498">
        <v>20000</v>
      </c>
      <c r="W135" s="498">
        <v>20000</v>
      </c>
      <c r="X135" s="498">
        <v>20000</v>
      </c>
      <c r="Y135" s="498">
        <v>20000</v>
      </c>
      <c r="Z135" s="498">
        <v>20000</v>
      </c>
      <c r="AA135" s="498">
        <v>0</v>
      </c>
      <c r="AB135" s="498">
        <v>0</v>
      </c>
      <c r="AC135" s="498">
        <v>0</v>
      </c>
      <c r="AD135" s="498">
        <v>0</v>
      </c>
      <c r="AE135" s="498">
        <v>0</v>
      </c>
      <c r="AF135" s="498">
        <v>0</v>
      </c>
      <c r="AG135" s="498">
        <v>0</v>
      </c>
      <c r="AH135" s="498">
        <v>0</v>
      </c>
      <c r="AI135" s="498">
        <v>0</v>
      </c>
      <c r="AJ135" s="498">
        <v>0</v>
      </c>
      <c r="AK135" s="498">
        <v>0</v>
      </c>
      <c r="AL135" s="498">
        <v>0</v>
      </c>
      <c r="AM135" s="498">
        <v>0</v>
      </c>
      <c r="AN135" s="498">
        <v>0</v>
      </c>
      <c r="AO135" s="498">
        <v>0</v>
      </c>
      <c r="AP135" s="498">
        <v>0</v>
      </c>
      <c r="AQ135" s="498">
        <v>0</v>
      </c>
      <c r="AR135" s="498">
        <v>0</v>
      </c>
      <c r="AS135" s="498">
        <v>0</v>
      </c>
      <c r="AT135" s="498">
        <v>0</v>
      </c>
      <c r="AU135" s="498">
        <v>0</v>
      </c>
      <c r="AV135" s="498">
        <v>0</v>
      </c>
      <c r="AW135" s="498">
        <v>0</v>
      </c>
      <c r="AX135" s="498">
        <v>0</v>
      </c>
      <c r="AY135" s="498">
        <v>0</v>
      </c>
      <c r="AZ135" s="498">
        <v>0</v>
      </c>
      <c r="BA135" s="498">
        <v>0</v>
      </c>
      <c r="BB135" s="498">
        <v>0</v>
      </c>
      <c r="BC135" s="498">
        <v>0</v>
      </c>
      <c r="BD135" s="498">
        <v>0</v>
      </c>
      <c r="BE135" s="498">
        <v>0</v>
      </c>
      <c r="BF135" s="498">
        <v>0</v>
      </c>
      <c r="BG135" s="498">
        <v>0</v>
      </c>
      <c r="BH135" s="498">
        <v>0</v>
      </c>
      <c r="BI135" s="498">
        <v>0</v>
      </c>
      <c r="BJ135" s="498">
        <v>0</v>
      </c>
      <c r="BK135" s="498">
        <v>0</v>
      </c>
      <c r="BL135" s="498">
        <v>0</v>
      </c>
      <c r="BM135" s="498">
        <v>0</v>
      </c>
      <c r="BN135" s="498">
        <v>0</v>
      </c>
      <c r="BO135" s="498">
        <v>0</v>
      </c>
      <c r="BP135" s="498">
        <v>0</v>
      </c>
      <c r="BQ135" s="498">
        <v>0</v>
      </c>
      <c r="BR135" s="498">
        <v>0</v>
      </c>
      <c r="BS135" s="498">
        <v>0</v>
      </c>
      <c r="BT135" s="498">
        <v>0</v>
      </c>
      <c r="BU135" s="498">
        <v>0</v>
      </c>
      <c r="BV135" s="498">
        <v>0</v>
      </c>
      <c r="BW135" s="498">
        <v>0</v>
      </c>
      <c r="BX135" s="498">
        <v>0</v>
      </c>
      <c r="BY135" s="498">
        <v>0</v>
      </c>
      <c r="BZ135" s="498">
        <v>0</v>
      </c>
      <c r="CA135" s="498">
        <v>0</v>
      </c>
      <c r="CB135" s="498">
        <v>0</v>
      </c>
      <c r="CC135" s="498">
        <v>0</v>
      </c>
      <c r="CD135" s="498">
        <v>0</v>
      </c>
      <c r="CE135" s="498">
        <v>0</v>
      </c>
      <c r="CF135" s="498">
        <v>0</v>
      </c>
      <c r="CG135" s="498">
        <v>0</v>
      </c>
      <c r="CH135" s="498">
        <v>0</v>
      </c>
      <c r="CI135" s="498">
        <v>0</v>
      </c>
      <c r="CJ135" s="498">
        <v>0</v>
      </c>
      <c r="CK135" s="498">
        <v>0</v>
      </c>
      <c r="CL135" s="498">
        <v>0</v>
      </c>
      <c r="CM135" s="498">
        <v>0</v>
      </c>
      <c r="CN135" s="498">
        <v>0</v>
      </c>
      <c r="CO135" s="498">
        <v>0</v>
      </c>
      <c r="CP135" s="498">
        <v>0</v>
      </c>
      <c r="CQ135" s="498">
        <v>0</v>
      </c>
      <c r="CR135" s="498">
        <v>0</v>
      </c>
      <c r="CS135" s="498">
        <v>0</v>
      </c>
      <c r="CT135" s="498">
        <v>0</v>
      </c>
      <c r="CU135" s="498">
        <v>0</v>
      </c>
      <c r="CV135" s="498">
        <v>0</v>
      </c>
      <c r="CW135" s="498">
        <v>0</v>
      </c>
      <c r="CX135" s="498">
        <v>0</v>
      </c>
      <c r="CY135" s="498">
        <v>0</v>
      </c>
      <c r="CZ135" s="498">
        <v>0</v>
      </c>
      <c r="DA135" s="498">
        <v>0</v>
      </c>
      <c r="DB135" s="498">
        <v>0</v>
      </c>
      <c r="DC135" s="498">
        <v>0</v>
      </c>
      <c r="DD135" s="498">
        <v>0</v>
      </c>
      <c r="DE135" s="498">
        <v>0</v>
      </c>
      <c r="DF135" s="498">
        <v>0</v>
      </c>
      <c r="DG135" s="498">
        <v>0</v>
      </c>
      <c r="DH135" s="498">
        <v>0</v>
      </c>
      <c r="DI135" s="498">
        <v>0</v>
      </c>
      <c r="DJ135" s="498">
        <v>0</v>
      </c>
      <c r="DK135" s="498">
        <v>0</v>
      </c>
      <c r="DL135" s="498">
        <v>0</v>
      </c>
      <c r="DM135" s="498">
        <v>0</v>
      </c>
      <c r="DN135" s="498">
        <v>0</v>
      </c>
      <c r="DO135" s="498">
        <v>0</v>
      </c>
      <c r="DP135" s="498">
        <v>0</v>
      </c>
      <c r="DQ135" s="498">
        <v>0</v>
      </c>
      <c r="DR135" s="498">
        <v>0</v>
      </c>
      <c r="DS135" s="498">
        <v>0</v>
      </c>
      <c r="DT135" s="498">
        <v>0</v>
      </c>
      <c r="DU135" s="498">
        <v>0</v>
      </c>
      <c r="DV135" s="498">
        <v>0</v>
      </c>
      <c r="DW135" s="498">
        <v>0</v>
      </c>
      <c r="DX135" s="477"/>
      <c r="DY135" s="497" t="s">
        <v>720</v>
      </c>
      <c r="DZ135" s="497" t="s">
        <v>617</v>
      </c>
      <c r="EA135" s="497" t="s">
        <v>25</v>
      </c>
      <c r="EB135" s="498">
        <v>49</v>
      </c>
      <c r="EC135" s="494" t="str">
        <f t="shared" si="6"/>
        <v>AIJ100149</v>
      </c>
      <c r="ED135" s="498">
        <v>0</v>
      </c>
      <c r="EE135" s="498">
        <v>317</v>
      </c>
      <c r="EF135" s="498">
        <v>643</v>
      </c>
      <c r="EG135" s="498">
        <v>1000</v>
      </c>
      <c r="EH135" s="498">
        <v>1468</v>
      </c>
      <c r="EI135" s="498">
        <v>1958</v>
      </c>
      <c r="EJ135" s="498">
        <v>2725</v>
      </c>
      <c r="EK135" s="498">
        <v>3836</v>
      </c>
      <c r="EL135" s="498">
        <v>5328</v>
      </c>
      <c r="EM135" s="498">
        <v>0</v>
      </c>
      <c r="EN135" s="498">
        <v>0</v>
      </c>
      <c r="EO135" s="498">
        <v>0</v>
      </c>
      <c r="EP135" s="498">
        <v>0</v>
      </c>
      <c r="EQ135" s="498">
        <v>0</v>
      </c>
      <c r="ER135" s="498">
        <v>0</v>
      </c>
      <c r="ES135" s="498">
        <v>0</v>
      </c>
      <c r="ET135" s="498">
        <v>0</v>
      </c>
      <c r="EU135" s="498">
        <v>0</v>
      </c>
      <c r="EV135" s="498">
        <v>0</v>
      </c>
      <c r="EW135" s="498">
        <v>0</v>
      </c>
      <c r="EX135" s="498">
        <v>0</v>
      </c>
      <c r="EY135" s="498">
        <v>0</v>
      </c>
      <c r="EZ135" s="498">
        <v>0</v>
      </c>
      <c r="FA135" s="498">
        <v>0</v>
      </c>
      <c r="FB135" s="498">
        <v>0</v>
      </c>
      <c r="FC135" s="498">
        <v>0</v>
      </c>
      <c r="FD135" s="498">
        <v>0</v>
      </c>
      <c r="FE135" s="498">
        <v>0</v>
      </c>
      <c r="FF135" s="498">
        <v>0</v>
      </c>
      <c r="FG135" s="498">
        <v>0</v>
      </c>
      <c r="FH135" s="498">
        <v>0</v>
      </c>
      <c r="FI135" s="498">
        <v>0</v>
      </c>
      <c r="FJ135" s="498">
        <v>0</v>
      </c>
      <c r="FK135" s="498">
        <v>0</v>
      </c>
      <c r="FL135" s="498">
        <v>0</v>
      </c>
      <c r="FM135" s="498">
        <v>0</v>
      </c>
      <c r="FN135" s="498">
        <v>0</v>
      </c>
      <c r="FO135" s="498">
        <v>0</v>
      </c>
      <c r="FP135" s="498">
        <v>0</v>
      </c>
      <c r="FQ135" s="498">
        <v>0</v>
      </c>
      <c r="FR135" s="498">
        <v>0</v>
      </c>
      <c r="FS135" s="498">
        <v>0</v>
      </c>
      <c r="FT135" s="498">
        <v>0</v>
      </c>
      <c r="FU135" s="498">
        <v>0</v>
      </c>
      <c r="FV135" s="498">
        <v>0</v>
      </c>
      <c r="FW135" s="498">
        <v>0</v>
      </c>
      <c r="FX135" s="498">
        <v>0</v>
      </c>
      <c r="FY135" s="498">
        <v>0</v>
      </c>
      <c r="FZ135" s="498">
        <v>0</v>
      </c>
      <c r="GA135" s="498">
        <v>0</v>
      </c>
      <c r="GB135" s="498">
        <v>0</v>
      </c>
      <c r="GC135" s="498">
        <v>0</v>
      </c>
      <c r="GD135" s="498">
        <v>0</v>
      </c>
      <c r="GE135" s="498">
        <v>0</v>
      </c>
      <c r="GF135" s="498">
        <v>0</v>
      </c>
      <c r="GG135" s="498">
        <v>0</v>
      </c>
      <c r="GH135" s="498">
        <v>0</v>
      </c>
      <c r="GI135" s="498">
        <v>0</v>
      </c>
      <c r="GJ135" s="498">
        <v>0</v>
      </c>
      <c r="GK135" s="498">
        <v>0</v>
      </c>
      <c r="GL135" s="498">
        <v>0</v>
      </c>
      <c r="GM135" s="498">
        <v>0</v>
      </c>
      <c r="GN135" s="498">
        <v>0</v>
      </c>
      <c r="GO135" s="498">
        <v>0</v>
      </c>
      <c r="GP135" s="498">
        <v>0</v>
      </c>
      <c r="GQ135" s="498">
        <v>0</v>
      </c>
      <c r="GR135" s="498">
        <v>0</v>
      </c>
      <c r="GS135" s="498">
        <v>0</v>
      </c>
      <c r="GT135" s="498">
        <v>0</v>
      </c>
      <c r="GU135" s="498">
        <v>0</v>
      </c>
      <c r="GV135" s="498">
        <v>0</v>
      </c>
      <c r="GW135" s="498">
        <v>0</v>
      </c>
      <c r="GX135" s="498">
        <v>0</v>
      </c>
      <c r="GY135" s="498">
        <v>0</v>
      </c>
      <c r="GZ135" s="498">
        <v>0</v>
      </c>
      <c r="HA135" s="498">
        <v>0</v>
      </c>
      <c r="HB135" s="498">
        <v>0</v>
      </c>
      <c r="HC135" s="498">
        <v>0</v>
      </c>
      <c r="HD135" s="498">
        <v>0</v>
      </c>
      <c r="HE135" s="498">
        <v>0</v>
      </c>
      <c r="HF135" s="498">
        <v>0</v>
      </c>
      <c r="HG135" s="498">
        <v>0</v>
      </c>
      <c r="HH135" s="498">
        <v>0</v>
      </c>
      <c r="HI135" s="498">
        <v>0</v>
      </c>
      <c r="HJ135" s="498">
        <v>0</v>
      </c>
      <c r="HK135" s="498">
        <v>0</v>
      </c>
      <c r="HL135" s="498">
        <v>0</v>
      </c>
      <c r="HM135" s="498">
        <v>0</v>
      </c>
      <c r="HN135" s="498">
        <v>0</v>
      </c>
      <c r="HO135" s="498">
        <v>0</v>
      </c>
      <c r="HP135" s="498">
        <v>0</v>
      </c>
      <c r="HQ135" s="498">
        <v>0</v>
      </c>
      <c r="HR135" s="498">
        <v>0</v>
      </c>
      <c r="HS135" s="498">
        <v>0</v>
      </c>
      <c r="HT135" s="498">
        <v>0</v>
      </c>
      <c r="HU135" s="498">
        <v>0</v>
      </c>
      <c r="HV135" s="498">
        <v>0</v>
      </c>
      <c r="HW135" s="498">
        <v>0</v>
      </c>
      <c r="HX135" s="498">
        <v>0</v>
      </c>
      <c r="HY135" s="498">
        <v>0</v>
      </c>
      <c r="HZ135" s="498">
        <v>0</v>
      </c>
      <c r="IA135" s="498">
        <v>0</v>
      </c>
      <c r="IB135" s="498">
        <v>0</v>
      </c>
      <c r="IC135" s="498">
        <v>0</v>
      </c>
      <c r="ID135" s="498">
        <v>0</v>
      </c>
      <c r="IE135" s="498">
        <v>0</v>
      </c>
      <c r="IF135" s="498">
        <v>0</v>
      </c>
      <c r="IG135" s="498">
        <v>0</v>
      </c>
      <c r="IH135" s="498">
        <v>0</v>
      </c>
      <c r="II135" s="498">
        <v>0</v>
      </c>
      <c r="IJ135" s="498">
        <v>0</v>
      </c>
    </row>
    <row r="136" spans="12:244" hidden="1">
      <c r="L136" s="497" t="s">
        <v>720</v>
      </c>
      <c r="M136" s="497" t="s">
        <v>617</v>
      </c>
      <c r="N136" s="497" t="s">
        <v>25</v>
      </c>
      <c r="O136" s="498">
        <v>50</v>
      </c>
      <c r="P136" s="494" t="str">
        <f t="shared" si="5"/>
        <v>AIJ100150</v>
      </c>
      <c r="Q136" s="498">
        <v>20000</v>
      </c>
      <c r="R136" s="498">
        <v>20000</v>
      </c>
      <c r="S136" s="498">
        <v>20000</v>
      </c>
      <c r="T136" s="498">
        <v>20000</v>
      </c>
      <c r="U136" s="498">
        <v>20000</v>
      </c>
      <c r="V136" s="498">
        <v>20000</v>
      </c>
      <c r="W136" s="498">
        <v>20000</v>
      </c>
      <c r="X136" s="498">
        <v>20000</v>
      </c>
      <c r="Y136" s="498">
        <v>20000</v>
      </c>
      <c r="Z136" s="498">
        <v>20000</v>
      </c>
      <c r="AA136" s="498">
        <v>0</v>
      </c>
      <c r="AB136" s="498">
        <v>0</v>
      </c>
      <c r="AC136" s="498">
        <v>0</v>
      </c>
      <c r="AD136" s="498">
        <v>0</v>
      </c>
      <c r="AE136" s="498">
        <v>0</v>
      </c>
      <c r="AF136" s="498">
        <v>0</v>
      </c>
      <c r="AG136" s="498">
        <v>0</v>
      </c>
      <c r="AH136" s="498">
        <v>0</v>
      </c>
      <c r="AI136" s="498">
        <v>0</v>
      </c>
      <c r="AJ136" s="498">
        <v>0</v>
      </c>
      <c r="AK136" s="498">
        <v>0</v>
      </c>
      <c r="AL136" s="498">
        <v>0</v>
      </c>
      <c r="AM136" s="498">
        <v>0</v>
      </c>
      <c r="AN136" s="498">
        <v>0</v>
      </c>
      <c r="AO136" s="498">
        <v>0</v>
      </c>
      <c r="AP136" s="498">
        <v>0</v>
      </c>
      <c r="AQ136" s="498">
        <v>0</v>
      </c>
      <c r="AR136" s="498">
        <v>0</v>
      </c>
      <c r="AS136" s="498">
        <v>0</v>
      </c>
      <c r="AT136" s="498">
        <v>0</v>
      </c>
      <c r="AU136" s="498">
        <v>0</v>
      </c>
      <c r="AV136" s="498">
        <v>0</v>
      </c>
      <c r="AW136" s="498">
        <v>0</v>
      </c>
      <c r="AX136" s="498">
        <v>0</v>
      </c>
      <c r="AY136" s="498">
        <v>0</v>
      </c>
      <c r="AZ136" s="498">
        <v>0</v>
      </c>
      <c r="BA136" s="498">
        <v>0</v>
      </c>
      <c r="BB136" s="498">
        <v>0</v>
      </c>
      <c r="BC136" s="498">
        <v>0</v>
      </c>
      <c r="BD136" s="498">
        <v>0</v>
      </c>
      <c r="BE136" s="498">
        <v>0</v>
      </c>
      <c r="BF136" s="498">
        <v>0</v>
      </c>
      <c r="BG136" s="498">
        <v>0</v>
      </c>
      <c r="BH136" s="498">
        <v>0</v>
      </c>
      <c r="BI136" s="498">
        <v>0</v>
      </c>
      <c r="BJ136" s="498">
        <v>0</v>
      </c>
      <c r="BK136" s="498">
        <v>0</v>
      </c>
      <c r="BL136" s="498">
        <v>0</v>
      </c>
      <c r="BM136" s="498">
        <v>0</v>
      </c>
      <c r="BN136" s="498">
        <v>0</v>
      </c>
      <c r="BO136" s="498">
        <v>0</v>
      </c>
      <c r="BP136" s="498">
        <v>0</v>
      </c>
      <c r="BQ136" s="498">
        <v>0</v>
      </c>
      <c r="BR136" s="498">
        <v>0</v>
      </c>
      <c r="BS136" s="498">
        <v>0</v>
      </c>
      <c r="BT136" s="498">
        <v>0</v>
      </c>
      <c r="BU136" s="498">
        <v>0</v>
      </c>
      <c r="BV136" s="498">
        <v>0</v>
      </c>
      <c r="BW136" s="498">
        <v>0</v>
      </c>
      <c r="BX136" s="498">
        <v>0</v>
      </c>
      <c r="BY136" s="498">
        <v>0</v>
      </c>
      <c r="BZ136" s="498">
        <v>0</v>
      </c>
      <c r="CA136" s="498">
        <v>0</v>
      </c>
      <c r="CB136" s="498">
        <v>0</v>
      </c>
      <c r="CC136" s="498">
        <v>0</v>
      </c>
      <c r="CD136" s="498">
        <v>0</v>
      </c>
      <c r="CE136" s="498">
        <v>0</v>
      </c>
      <c r="CF136" s="498">
        <v>0</v>
      </c>
      <c r="CG136" s="498">
        <v>0</v>
      </c>
      <c r="CH136" s="498">
        <v>0</v>
      </c>
      <c r="CI136" s="498">
        <v>0</v>
      </c>
      <c r="CJ136" s="498">
        <v>0</v>
      </c>
      <c r="CK136" s="498">
        <v>0</v>
      </c>
      <c r="CL136" s="498">
        <v>0</v>
      </c>
      <c r="CM136" s="498">
        <v>0</v>
      </c>
      <c r="CN136" s="498">
        <v>0</v>
      </c>
      <c r="CO136" s="498">
        <v>0</v>
      </c>
      <c r="CP136" s="498">
        <v>0</v>
      </c>
      <c r="CQ136" s="498">
        <v>0</v>
      </c>
      <c r="CR136" s="498">
        <v>0</v>
      </c>
      <c r="CS136" s="498">
        <v>0</v>
      </c>
      <c r="CT136" s="498">
        <v>0</v>
      </c>
      <c r="CU136" s="498">
        <v>0</v>
      </c>
      <c r="CV136" s="498">
        <v>0</v>
      </c>
      <c r="CW136" s="498">
        <v>0</v>
      </c>
      <c r="CX136" s="498">
        <v>0</v>
      </c>
      <c r="CY136" s="498">
        <v>0</v>
      </c>
      <c r="CZ136" s="498">
        <v>0</v>
      </c>
      <c r="DA136" s="498">
        <v>0</v>
      </c>
      <c r="DB136" s="498">
        <v>0</v>
      </c>
      <c r="DC136" s="498">
        <v>0</v>
      </c>
      <c r="DD136" s="498">
        <v>0</v>
      </c>
      <c r="DE136" s="498">
        <v>0</v>
      </c>
      <c r="DF136" s="498">
        <v>0</v>
      </c>
      <c r="DG136" s="498">
        <v>0</v>
      </c>
      <c r="DH136" s="498">
        <v>0</v>
      </c>
      <c r="DI136" s="498">
        <v>0</v>
      </c>
      <c r="DJ136" s="498">
        <v>0</v>
      </c>
      <c r="DK136" s="498">
        <v>0</v>
      </c>
      <c r="DL136" s="498">
        <v>0</v>
      </c>
      <c r="DM136" s="498">
        <v>0</v>
      </c>
      <c r="DN136" s="498">
        <v>0</v>
      </c>
      <c r="DO136" s="498">
        <v>0</v>
      </c>
      <c r="DP136" s="498">
        <v>0</v>
      </c>
      <c r="DQ136" s="498">
        <v>0</v>
      </c>
      <c r="DR136" s="498">
        <v>0</v>
      </c>
      <c r="DS136" s="498">
        <v>0</v>
      </c>
      <c r="DT136" s="498">
        <v>0</v>
      </c>
      <c r="DU136" s="498">
        <v>0</v>
      </c>
      <c r="DV136" s="498">
        <v>0</v>
      </c>
      <c r="DW136" s="498">
        <v>0</v>
      </c>
      <c r="DX136" s="477"/>
      <c r="DY136" s="497" t="s">
        <v>720</v>
      </c>
      <c r="DZ136" s="497" t="s">
        <v>617</v>
      </c>
      <c r="EA136" s="497" t="s">
        <v>25</v>
      </c>
      <c r="EB136" s="498">
        <v>50</v>
      </c>
      <c r="EC136" s="494" t="str">
        <f t="shared" si="6"/>
        <v>AIJ100150</v>
      </c>
      <c r="ED136" s="498">
        <v>0</v>
      </c>
      <c r="EE136" s="498">
        <v>324</v>
      </c>
      <c r="EF136" s="498">
        <v>659</v>
      </c>
      <c r="EG136" s="498">
        <v>1000</v>
      </c>
      <c r="EH136" s="498">
        <v>1495</v>
      </c>
      <c r="EI136" s="498">
        <v>2004</v>
      </c>
      <c r="EJ136" s="498">
        <v>2774</v>
      </c>
      <c r="EK136" s="498">
        <v>3860</v>
      </c>
      <c r="EL136" s="498">
        <v>5366</v>
      </c>
      <c r="EM136" s="498">
        <v>0</v>
      </c>
      <c r="EN136" s="498">
        <v>0</v>
      </c>
      <c r="EO136" s="498">
        <v>0</v>
      </c>
      <c r="EP136" s="498">
        <v>0</v>
      </c>
      <c r="EQ136" s="498">
        <v>0</v>
      </c>
      <c r="ER136" s="498">
        <v>0</v>
      </c>
      <c r="ES136" s="498">
        <v>0</v>
      </c>
      <c r="ET136" s="498">
        <v>0</v>
      </c>
      <c r="EU136" s="498">
        <v>0</v>
      </c>
      <c r="EV136" s="498">
        <v>0</v>
      </c>
      <c r="EW136" s="498">
        <v>0</v>
      </c>
      <c r="EX136" s="498">
        <v>0</v>
      </c>
      <c r="EY136" s="498">
        <v>0</v>
      </c>
      <c r="EZ136" s="498">
        <v>0</v>
      </c>
      <c r="FA136" s="498">
        <v>0</v>
      </c>
      <c r="FB136" s="498">
        <v>0</v>
      </c>
      <c r="FC136" s="498">
        <v>0</v>
      </c>
      <c r="FD136" s="498">
        <v>0</v>
      </c>
      <c r="FE136" s="498">
        <v>0</v>
      </c>
      <c r="FF136" s="498">
        <v>0</v>
      </c>
      <c r="FG136" s="498">
        <v>0</v>
      </c>
      <c r="FH136" s="498">
        <v>0</v>
      </c>
      <c r="FI136" s="498">
        <v>0</v>
      </c>
      <c r="FJ136" s="498">
        <v>0</v>
      </c>
      <c r="FK136" s="498">
        <v>0</v>
      </c>
      <c r="FL136" s="498">
        <v>0</v>
      </c>
      <c r="FM136" s="498">
        <v>0</v>
      </c>
      <c r="FN136" s="498">
        <v>0</v>
      </c>
      <c r="FO136" s="498">
        <v>0</v>
      </c>
      <c r="FP136" s="498">
        <v>0</v>
      </c>
      <c r="FQ136" s="498">
        <v>0</v>
      </c>
      <c r="FR136" s="498">
        <v>0</v>
      </c>
      <c r="FS136" s="498">
        <v>0</v>
      </c>
      <c r="FT136" s="498">
        <v>0</v>
      </c>
      <c r="FU136" s="498">
        <v>0</v>
      </c>
      <c r="FV136" s="498">
        <v>0</v>
      </c>
      <c r="FW136" s="498">
        <v>0</v>
      </c>
      <c r="FX136" s="498">
        <v>0</v>
      </c>
      <c r="FY136" s="498">
        <v>0</v>
      </c>
      <c r="FZ136" s="498">
        <v>0</v>
      </c>
      <c r="GA136" s="498">
        <v>0</v>
      </c>
      <c r="GB136" s="498">
        <v>0</v>
      </c>
      <c r="GC136" s="498">
        <v>0</v>
      </c>
      <c r="GD136" s="498">
        <v>0</v>
      </c>
      <c r="GE136" s="498">
        <v>0</v>
      </c>
      <c r="GF136" s="498">
        <v>0</v>
      </c>
      <c r="GG136" s="498">
        <v>0</v>
      </c>
      <c r="GH136" s="498">
        <v>0</v>
      </c>
      <c r="GI136" s="498">
        <v>0</v>
      </c>
      <c r="GJ136" s="498">
        <v>0</v>
      </c>
      <c r="GK136" s="498">
        <v>0</v>
      </c>
      <c r="GL136" s="498">
        <v>0</v>
      </c>
      <c r="GM136" s="498">
        <v>0</v>
      </c>
      <c r="GN136" s="498">
        <v>0</v>
      </c>
      <c r="GO136" s="498">
        <v>0</v>
      </c>
      <c r="GP136" s="498">
        <v>0</v>
      </c>
      <c r="GQ136" s="498">
        <v>0</v>
      </c>
      <c r="GR136" s="498">
        <v>0</v>
      </c>
      <c r="GS136" s="498">
        <v>0</v>
      </c>
      <c r="GT136" s="498">
        <v>0</v>
      </c>
      <c r="GU136" s="498">
        <v>0</v>
      </c>
      <c r="GV136" s="498">
        <v>0</v>
      </c>
      <c r="GW136" s="498">
        <v>0</v>
      </c>
      <c r="GX136" s="498">
        <v>0</v>
      </c>
      <c r="GY136" s="498">
        <v>0</v>
      </c>
      <c r="GZ136" s="498">
        <v>0</v>
      </c>
      <c r="HA136" s="498">
        <v>0</v>
      </c>
      <c r="HB136" s="498">
        <v>0</v>
      </c>
      <c r="HC136" s="498">
        <v>0</v>
      </c>
      <c r="HD136" s="498">
        <v>0</v>
      </c>
      <c r="HE136" s="498">
        <v>0</v>
      </c>
      <c r="HF136" s="498">
        <v>0</v>
      </c>
      <c r="HG136" s="498">
        <v>0</v>
      </c>
      <c r="HH136" s="498">
        <v>0</v>
      </c>
      <c r="HI136" s="498">
        <v>0</v>
      </c>
      <c r="HJ136" s="498">
        <v>0</v>
      </c>
      <c r="HK136" s="498">
        <v>0</v>
      </c>
      <c r="HL136" s="498">
        <v>0</v>
      </c>
      <c r="HM136" s="498">
        <v>0</v>
      </c>
      <c r="HN136" s="498">
        <v>0</v>
      </c>
      <c r="HO136" s="498">
        <v>0</v>
      </c>
      <c r="HP136" s="498">
        <v>0</v>
      </c>
      <c r="HQ136" s="498">
        <v>0</v>
      </c>
      <c r="HR136" s="498">
        <v>0</v>
      </c>
      <c r="HS136" s="498">
        <v>0</v>
      </c>
      <c r="HT136" s="498">
        <v>0</v>
      </c>
      <c r="HU136" s="498">
        <v>0</v>
      </c>
      <c r="HV136" s="498">
        <v>0</v>
      </c>
      <c r="HW136" s="498">
        <v>0</v>
      </c>
      <c r="HX136" s="498">
        <v>0</v>
      </c>
      <c r="HY136" s="498">
        <v>0</v>
      </c>
      <c r="HZ136" s="498">
        <v>0</v>
      </c>
      <c r="IA136" s="498">
        <v>0</v>
      </c>
      <c r="IB136" s="498">
        <v>0</v>
      </c>
      <c r="IC136" s="498">
        <v>0</v>
      </c>
      <c r="ID136" s="498">
        <v>0</v>
      </c>
      <c r="IE136" s="498">
        <v>0</v>
      </c>
      <c r="IF136" s="498">
        <v>0</v>
      </c>
      <c r="IG136" s="498">
        <v>0</v>
      </c>
      <c r="IH136" s="498">
        <v>0</v>
      </c>
      <c r="II136" s="498">
        <v>0</v>
      </c>
      <c r="IJ136" s="498">
        <v>0</v>
      </c>
    </row>
    <row r="137" spans="12:244" hidden="1">
      <c r="L137" s="497" t="s">
        <v>720</v>
      </c>
      <c r="M137" s="497" t="s">
        <v>617</v>
      </c>
      <c r="N137" s="497" t="s">
        <v>25</v>
      </c>
      <c r="O137" s="498">
        <v>51</v>
      </c>
      <c r="P137" s="494" t="str">
        <f t="shared" si="5"/>
        <v>AIJ100151</v>
      </c>
      <c r="Q137" s="498">
        <v>20000</v>
      </c>
      <c r="R137" s="498">
        <v>20000</v>
      </c>
      <c r="S137" s="498">
        <v>20000</v>
      </c>
      <c r="T137" s="498">
        <v>20000</v>
      </c>
      <c r="U137" s="498">
        <v>20000</v>
      </c>
      <c r="V137" s="498">
        <v>20000</v>
      </c>
      <c r="W137" s="498">
        <v>20000</v>
      </c>
      <c r="X137" s="498">
        <v>20000</v>
      </c>
      <c r="Y137" s="498">
        <v>20000</v>
      </c>
      <c r="Z137" s="498">
        <v>20000</v>
      </c>
      <c r="AA137" s="498">
        <v>0</v>
      </c>
      <c r="AB137" s="498">
        <v>0</v>
      </c>
      <c r="AC137" s="498">
        <v>0</v>
      </c>
      <c r="AD137" s="498">
        <v>0</v>
      </c>
      <c r="AE137" s="498">
        <v>0</v>
      </c>
      <c r="AF137" s="498">
        <v>0</v>
      </c>
      <c r="AG137" s="498">
        <v>0</v>
      </c>
      <c r="AH137" s="498">
        <v>0</v>
      </c>
      <c r="AI137" s="498">
        <v>0</v>
      </c>
      <c r="AJ137" s="498">
        <v>0</v>
      </c>
      <c r="AK137" s="498">
        <v>0</v>
      </c>
      <c r="AL137" s="498">
        <v>0</v>
      </c>
      <c r="AM137" s="498">
        <v>0</v>
      </c>
      <c r="AN137" s="498">
        <v>0</v>
      </c>
      <c r="AO137" s="498">
        <v>0</v>
      </c>
      <c r="AP137" s="498">
        <v>0</v>
      </c>
      <c r="AQ137" s="498">
        <v>0</v>
      </c>
      <c r="AR137" s="498">
        <v>0</v>
      </c>
      <c r="AS137" s="498">
        <v>0</v>
      </c>
      <c r="AT137" s="498">
        <v>0</v>
      </c>
      <c r="AU137" s="498">
        <v>0</v>
      </c>
      <c r="AV137" s="498">
        <v>0</v>
      </c>
      <c r="AW137" s="498">
        <v>0</v>
      </c>
      <c r="AX137" s="498">
        <v>0</v>
      </c>
      <c r="AY137" s="498">
        <v>0</v>
      </c>
      <c r="AZ137" s="498">
        <v>0</v>
      </c>
      <c r="BA137" s="498">
        <v>0</v>
      </c>
      <c r="BB137" s="498">
        <v>0</v>
      </c>
      <c r="BC137" s="498">
        <v>0</v>
      </c>
      <c r="BD137" s="498">
        <v>0</v>
      </c>
      <c r="BE137" s="498">
        <v>0</v>
      </c>
      <c r="BF137" s="498">
        <v>0</v>
      </c>
      <c r="BG137" s="498">
        <v>0</v>
      </c>
      <c r="BH137" s="498">
        <v>0</v>
      </c>
      <c r="BI137" s="498">
        <v>0</v>
      </c>
      <c r="BJ137" s="498">
        <v>0</v>
      </c>
      <c r="BK137" s="498">
        <v>0</v>
      </c>
      <c r="BL137" s="498">
        <v>0</v>
      </c>
      <c r="BM137" s="498">
        <v>0</v>
      </c>
      <c r="BN137" s="498">
        <v>0</v>
      </c>
      <c r="BO137" s="498">
        <v>0</v>
      </c>
      <c r="BP137" s="498">
        <v>0</v>
      </c>
      <c r="BQ137" s="498">
        <v>0</v>
      </c>
      <c r="BR137" s="498">
        <v>0</v>
      </c>
      <c r="BS137" s="498">
        <v>0</v>
      </c>
      <c r="BT137" s="498">
        <v>0</v>
      </c>
      <c r="BU137" s="498">
        <v>0</v>
      </c>
      <c r="BV137" s="498">
        <v>0</v>
      </c>
      <c r="BW137" s="498">
        <v>0</v>
      </c>
      <c r="BX137" s="498">
        <v>0</v>
      </c>
      <c r="BY137" s="498">
        <v>0</v>
      </c>
      <c r="BZ137" s="498">
        <v>0</v>
      </c>
      <c r="CA137" s="498">
        <v>0</v>
      </c>
      <c r="CB137" s="498">
        <v>0</v>
      </c>
      <c r="CC137" s="498">
        <v>0</v>
      </c>
      <c r="CD137" s="498">
        <v>0</v>
      </c>
      <c r="CE137" s="498">
        <v>0</v>
      </c>
      <c r="CF137" s="498">
        <v>0</v>
      </c>
      <c r="CG137" s="498">
        <v>0</v>
      </c>
      <c r="CH137" s="498">
        <v>0</v>
      </c>
      <c r="CI137" s="498">
        <v>0</v>
      </c>
      <c r="CJ137" s="498">
        <v>0</v>
      </c>
      <c r="CK137" s="498">
        <v>0</v>
      </c>
      <c r="CL137" s="498">
        <v>0</v>
      </c>
      <c r="CM137" s="498">
        <v>0</v>
      </c>
      <c r="CN137" s="498">
        <v>0</v>
      </c>
      <c r="CO137" s="498">
        <v>0</v>
      </c>
      <c r="CP137" s="498">
        <v>0</v>
      </c>
      <c r="CQ137" s="498">
        <v>0</v>
      </c>
      <c r="CR137" s="498">
        <v>0</v>
      </c>
      <c r="CS137" s="498">
        <v>0</v>
      </c>
      <c r="CT137" s="498">
        <v>0</v>
      </c>
      <c r="CU137" s="498">
        <v>0</v>
      </c>
      <c r="CV137" s="498">
        <v>0</v>
      </c>
      <c r="CW137" s="498">
        <v>0</v>
      </c>
      <c r="CX137" s="498">
        <v>0</v>
      </c>
      <c r="CY137" s="498">
        <v>0</v>
      </c>
      <c r="CZ137" s="498">
        <v>0</v>
      </c>
      <c r="DA137" s="498">
        <v>0</v>
      </c>
      <c r="DB137" s="498">
        <v>0</v>
      </c>
      <c r="DC137" s="498">
        <v>0</v>
      </c>
      <c r="DD137" s="498">
        <v>0</v>
      </c>
      <c r="DE137" s="498">
        <v>0</v>
      </c>
      <c r="DF137" s="498">
        <v>0</v>
      </c>
      <c r="DG137" s="498">
        <v>0</v>
      </c>
      <c r="DH137" s="498">
        <v>0</v>
      </c>
      <c r="DI137" s="498">
        <v>0</v>
      </c>
      <c r="DJ137" s="498">
        <v>0</v>
      </c>
      <c r="DK137" s="498">
        <v>0</v>
      </c>
      <c r="DL137" s="498">
        <v>0</v>
      </c>
      <c r="DM137" s="498">
        <v>0</v>
      </c>
      <c r="DN137" s="498">
        <v>0</v>
      </c>
      <c r="DO137" s="498">
        <v>0</v>
      </c>
      <c r="DP137" s="498">
        <v>0</v>
      </c>
      <c r="DQ137" s="498">
        <v>0</v>
      </c>
      <c r="DR137" s="498">
        <v>0</v>
      </c>
      <c r="DS137" s="498">
        <v>0</v>
      </c>
      <c r="DT137" s="498">
        <v>0</v>
      </c>
      <c r="DU137" s="498">
        <v>0</v>
      </c>
      <c r="DV137" s="498">
        <v>0</v>
      </c>
      <c r="DW137" s="498">
        <v>0</v>
      </c>
      <c r="DX137" s="477"/>
      <c r="DY137" s="497" t="s">
        <v>720</v>
      </c>
      <c r="DZ137" s="497" t="s">
        <v>617</v>
      </c>
      <c r="EA137" s="497" t="s">
        <v>25</v>
      </c>
      <c r="EB137" s="498">
        <v>51</v>
      </c>
      <c r="EC137" s="494" t="str">
        <f t="shared" si="6"/>
        <v>AIJ100151</v>
      </c>
      <c r="ED137" s="498">
        <v>0</v>
      </c>
      <c r="EE137" s="498">
        <v>317</v>
      </c>
      <c r="EF137" s="498">
        <v>657</v>
      </c>
      <c r="EG137" s="498">
        <v>1020</v>
      </c>
      <c r="EH137" s="498">
        <v>1538</v>
      </c>
      <c r="EI137" s="498">
        <v>2029</v>
      </c>
      <c r="EJ137" s="498">
        <v>2814</v>
      </c>
      <c r="EK137" s="498">
        <v>3913</v>
      </c>
      <c r="EL137" s="498">
        <v>5361</v>
      </c>
      <c r="EM137" s="498">
        <v>0</v>
      </c>
      <c r="EN137" s="498">
        <v>0</v>
      </c>
      <c r="EO137" s="498">
        <v>0</v>
      </c>
      <c r="EP137" s="498">
        <v>0</v>
      </c>
      <c r="EQ137" s="498">
        <v>0</v>
      </c>
      <c r="ER137" s="498">
        <v>0</v>
      </c>
      <c r="ES137" s="498">
        <v>0</v>
      </c>
      <c r="ET137" s="498">
        <v>0</v>
      </c>
      <c r="EU137" s="498">
        <v>0</v>
      </c>
      <c r="EV137" s="498">
        <v>0</v>
      </c>
      <c r="EW137" s="498">
        <v>0</v>
      </c>
      <c r="EX137" s="498">
        <v>0</v>
      </c>
      <c r="EY137" s="498">
        <v>0</v>
      </c>
      <c r="EZ137" s="498">
        <v>0</v>
      </c>
      <c r="FA137" s="498">
        <v>0</v>
      </c>
      <c r="FB137" s="498">
        <v>0</v>
      </c>
      <c r="FC137" s="498">
        <v>0</v>
      </c>
      <c r="FD137" s="498">
        <v>0</v>
      </c>
      <c r="FE137" s="498">
        <v>0</v>
      </c>
      <c r="FF137" s="498">
        <v>0</v>
      </c>
      <c r="FG137" s="498">
        <v>0</v>
      </c>
      <c r="FH137" s="498">
        <v>0</v>
      </c>
      <c r="FI137" s="498">
        <v>0</v>
      </c>
      <c r="FJ137" s="498">
        <v>0</v>
      </c>
      <c r="FK137" s="498">
        <v>0</v>
      </c>
      <c r="FL137" s="498">
        <v>0</v>
      </c>
      <c r="FM137" s="498">
        <v>0</v>
      </c>
      <c r="FN137" s="498">
        <v>0</v>
      </c>
      <c r="FO137" s="498">
        <v>0</v>
      </c>
      <c r="FP137" s="498">
        <v>0</v>
      </c>
      <c r="FQ137" s="498">
        <v>0</v>
      </c>
      <c r="FR137" s="498">
        <v>0</v>
      </c>
      <c r="FS137" s="498">
        <v>0</v>
      </c>
      <c r="FT137" s="498">
        <v>0</v>
      </c>
      <c r="FU137" s="498">
        <v>0</v>
      </c>
      <c r="FV137" s="498">
        <v>0</v>
      </c>
      <c r="FW137" s="498">
        <v>0</v>
      </c>
      <c r="FX137" s="498">
        <v>0</v>
      </c>
      <c r="FY137" s="498">
        <v>0</v>
      </c>
      <c r="FZ137" s="498">
        <v>0</v>
      </c>
      <c r="GA137" s="498">
        <v>0</v>
      </c>
      <c r="GB137" s="498">
        <v>0</v>
      </c>
      <c r="GC137" s="498">
        <v>0</v>
      </c>
      <c r="GD137" s="498">
        <v>0</v>
      </c>
      <c r="GE137" s="498">
        <v>0</v>
      </c>
      <c r="GF137" s="498">
        <v>0</v>
      </c>
      <c r="GG137" s="498">
        <v>0</v>
      </c>
      <c r="GH137" s="498">
        <v>0</v>
      </c>
      <c r="GI137" s="498">
        <v>0</v>
      </c>
      <c r="GJ137" s="498">
        <v>0</v>
      </c>
      <c r="GK137" s="498">
        <v>0</v>
      </c>
      <c r="GL137" s="498">
        <v>0</v>
      </c>
      <c r="GM137" s="498">
        <v>0</v>
      </c>
      <c r="GN137" s="498">
        <v>0</v>
      </c>
      <c r="GO137" s="498">
        <v>0</v>
      </c>
      <c r="GP137" s="498">
        <v>0</v>
      </c>
      <c r="GQ137" s="498">
        <v>0</v>
      </c>
      <c r="GR137" s="498">
        <v>0</v>
      </c>
      <c r="GS137" s="498">
        <v>0</v>
      </c>
      <c r="GT137" s="498">
        <v>0</v>
      </c>
      <c r="GU137" s="498">
        <v>0</v>
      </c>
      <c r="GV137" s="498">
        <v>0</v>
      </c>
      <c r="GW137" s="498">
        <v>0</v>
      </c>
      <c r="GX137" s="498">
        <v>0</v>
      </c>
      <c r="GY137" s="498">
        <v>0</v>
      </c>
      <c r="GZ137" s="498">
        <v>0</v>
      </c>
      <c r="HA137" s="498">
        <v>0</v>
      </c>
      <c r="HB137" s="498">
        <v>0</v>
      </c>
      <c r="HC137" s="498">
        <v>0</v>
      </c>
      <c r="HD137" s="498">
        <v>0</v>
      </c>
      <c r="HE137" s="498">
        <v>0</v>
      </c>
      <c r="HF137" s="498">
        <v>0</v>
      </c>
      <c r="HG137" s="498">
        <v>0</v>
      </c>
      <c r="HH137" s="498">
        <v>0</v>
      </c>
      <c r="HI137" s="498">
        <v>0</v>
      </c>
      <c r="HJ137" s="498">
        <v>0</v>
      </c>
      <c r="HK137" s="498">
        <v>0</v>
      </c>
      <c r="HL137" s="498">
        <v>0</v>
      </c>
      <c r="HM137" s="498">
        <v>0</v>
      </c>
      <c r="HN137" s="498">
        <v>0</v>
      </c>
      <c r="HO137" s="498">
        <v>0</v>
      </c>
      <c r="HP137" s="498">
        <v>0</v>
      </c>
      <c r="HQ137" s="498">
        <v>0</v>
      </c>
      <c r="HR137" s="498">
        <v>0</v>
      </c>
      <c r="HS137" s="498">
        <v>0</v>
      </c>
      <c r="HT137" s="498">
        <v>0</v>
      </c>
      <c r="HU137" s="498">
        <v>0</v>
      </c>
      <c r="HV137" s="498">
        <v>0</v>
      </c>
      <c r="HW137" s="498">
        <v>0</v>
      </c>
      <c r="HX137" s="498">
        <v>0</v>
      </c>
      <c r="HY137" s="498">
        <v>0</v>
      </c>
      <c r="HZ137" s="498">
        <v>0</v>
      </c>
      <c r="IA137" s="498">
        <v>0</v>
      </c>
      <c r="IB137" s="498">
        <v>0</v>
      </c>
      <c r="IC137" s="498">
        <v>0</v>
      </c>
      <c r="ID137" s="498">
        <v>0</v>
      </c>
      <c r="IE137" s="498">
        <v>0</v>
      </c>
      <c r="IF137" s="498">
        <v>0</v>
      </c>
      <c r="IG137" s="498">
        <v>0</v>
      </c>
      <c r="IH137" s="498">
        <v>0</v>
      </c>
      <c r="II137" s="498">
        <v>0</v>
      </c>
      <c r="IJ137" s="498">
        <v>0</v>
      </c>
    </row>
    <row r="138" spans="12:244" hidden="1">
      <c r="L138" s="497" t="s">
        <v>720</v>
      </c>
      <c r="M138" s="497" t="s">
        <v>617</v>
      </c>
      <c r="N138" s="497" t="s">
        <v>25</v>
      </c>
      <c r="O138" s="498">
        <v>52</v>
      </c>
      <c r="P138" s="494" t="str">
        <f t="shared" si="5"/>
        <v>AIJ100152</v>
      </c>
      <c r="Q138" s="498">
        <v>20000</v>
      </c>
      <c r="R138" s="498">
        <v>20000</v>
      </c>
      <c r="S138" s="498">
        <v>20000</v>
      </c>
      <c r="T138" s="498">
        <v>20000</v>
      </c>
      <c r="U138" s="498">
        <v>20000</v>
      </c>
      <c r="V138" s="498">
        <v>20000</v>
      </c>
      <c r="W138" s="498">
        <v>20000</v>
      </c>
      <c r="X138" s="498">
        <v>20000</v>
      </c>
      <c r="Y138" s="498">
        <v>20000</v>
      </c>
      <c r="Z138" s="498">
        <v>20000</v>
      </c>
      <c r="AA138" s="498">
        <v>0</v>
      </c>
      <c r="AB138" s="498">
        <v>0</v>
      </c>
      <c r="AC138" s="498">
        <v>0</v>
      </c>
      <c r="AD138" s="498">
        <v>0</v>
      </c>
      <c r="AE138" s="498">
        <v>0</v>
      </c>
      <c r="AF138" s="498">
        <v>0</v>
      </c>
      <c r="AG138" s="498">
        <v>0</v>
      </c>
      <c r="AH138" s="498">
        <v>0</v>
      </c>
      <c r="AI138" s="498">
        <v>0</v>
      </c>
      <c r="AJ138" s="498">
        <v>0</v>
      </c>
      <c r="AK138" s="498">
        <v>0</v>
      </c>
      <c r="AL138" s="498">
        <v>0</v>
      </c>
      <c r="AM138" s="498">
        <v>0</v>
      </c>
      <c r="AN138" s="498">
        <v>0</v>
      </c>
      <c r="AO138" s="498">
        <v>0</v>
      </c>
      <c r="AP138" s="498">
        <v>0</v>
      </c>
      <c r="AQ138" s="498">
        <v>0</v>
      </c>
      <c r="AR138" s="498">
        <v>0</v>
      </c>
      <c r="AS138" s="498">
        <v>0</v>
      </c>
      <c r="AT138" s="498">
        <v>0</v>
      </c>
      <c r="AU138" s="498">
        <v>0</v>
      </c>
      <c r="AV138" s="498">
        <v>0</v>
      </c>
      <c r="AW138" s="498">
        <v>0</v>
      </c>
      <c r="AX138" s="498">
        <v>0</v>
      </c>
      <c r="AY138" s="498">
        <v>0</v>
      </c>
      <c r="AZ138" s="498">
        <v>0</v>
      </c>
      <c r="BA138" s="498">
        <v>0</v>
      </c>
      <c r="BB138" s="498">
        <v>0</v>
      </c>
      <c r="BC138" s="498">
        <v>0</v>
      </c>
      <c r="BD138" s="498">
        <v>0</v>
      </c>
      <c r="BE138" s="498">
        <v>0</v>
      </c>
      <c r="BF138" s="498">
        <v>0</v>
      </c>
      <c r="BG138" s="498">
        <v>0</v>
      </c>
      <c r="BH138" s="498">
        <v>0</v>
      </c>
      <c r="BI138" s="498">
        <v>0</v>
      </c>
      <c r="BJ138" s="498">
        <v>0</v>
      </c>
      <c r="BK138" s="498">
        <v>0</v>
      </c>
      <c r="BL138" s="498">
        <v>0</v>
      </c>
      <c r="BM138" s="498">
        <v>0</v>
      </c>
      <c r="BN138" s="498">
        <v>0</v>
      </c>
      <c r="BO138" s="498">
        <v>0</v>
      </c>
      <c r="BP138" s="498">
        <v>0</v>
      </c>
      <c r="BQ138" s="498">
        <v>0</v>
      </c>
      <c r="BR138" s="498">
        <v>0</v>
      </c>
      <c r="BS138" s="498">
        <v>0</v>
      </c>
      <c r="BT138" s="498">
        <v>0</v>
      </c>
      <c r="BU138" s="498">
        <v>0</v>
      </c>
      <c r="BV138" s="498">
        <v>0</v>
      </c>
      <c r="BW138" s="498">
        <v>0</v>
      </c>
      <c r="BX138" s="498">
        <v>0</v>
      </c>
      <c r="BY138" s="498">
        <v>0</v>
      </c>
      <c r="BZ138" s="498">
        <v>0</v>
      </c>
      <c r="CA138" s="498">
        <v>0</v>
      </c>
      <c r="CB138" s="498">
        <v>0</v>
      </c>
      <c r="CC138" s="498">
        <v>0</v>
      </c>
      <c r="CD138" s="498">
        <v>0</v>
      </c>
      <c r="CE138" s="498">
        <v>0</v>
      </c>
      <c r="CF138" s="498">
        <v>0</v>
      </c>
      <c r="CG138" s="498">
        <v>0</v>
      </c>
      <c r="CH138" s="498">
        <v>0</v>
      </c>
      <c r="CI138" s="498">
        <v>0</v>
      </c>
      <c r="CJ138" s="498">
        <v>0</v>
      </c>
      <c r="CK138" s="498">
        <v>0</v>
      </c>
      <c r="CL138" s="498">
        <v>0</v>
      </c>
      <c r="CM138" s="498">
        <v>0</v>
      </c>
      <c r="CN138" s="498">
        <v>0</v>
      </c>
      <c r="CO138" s="498">
        <v>0</v>
      </c>
      <c r="CP138" s="498">
        <v>0</v>
      </c>
      <c r="CQ138" s="498">
        <v>0</v>
      </c>
      <c r="CR138" s="498">
        <v>0</v>
      </c>
      <c r="CS138" s="498">
        <v>0</v>
      </c>
      <c r="CT138" s="498">
        <v>0</v>
      </c>
      <c r="CU138" s="498">
        <v>0</v>
      </c>
      <c r="CV138" s="498">
        <v>0</v>
      </c>
      <c r="CW138" s="498">
        <v>0</v>
      </c>
      <c r="CX138" s="498">
        <v>0</v>
      </c>
      <c r="CY138" s="498">
        <v>0</v>
      </c>
      <c r="CZ138" s="498">
        <v>0</v>
      </c>
      <c r="DA138" s="498">
        <v>0</v>
      </c>
      <c r="DB138" s="498">
        <v>0</v>
      </c>
      <c r="DC138" s="498">
        <v>0</v>
      </c>
      <c r="DD138" s="498">
        <v>0</v>
      </c>
      <c r="DE138" s="498">
        <v>0</v>
      </c>
      <c r="DF138" s="498">
        <v>0</v>
      </c>
      <c r="DG138" s="498">
        <v>0</v>
      </c>
      <c r="DH138" s="498">
        <v>0</v>
      </c>
      <c r="DI138" s="498">
        <v>0</v>
      </c>
      <c r="DJ138" s="498">
        <v>0</v>
      </c>
      <c r="DK138" s="498">
        <v>0</v>
      </c>
      <c r="DL138" s="498">
        <v>0</v>
      </c>
      <c r="DM138" s="498">
        <v>0</v>
      </c>
      <c r="DN138" s="498">
        <v>0</v>
      </c>
      <c r="DO138" s="498">
        <v>0</v>
      </c>
      <c r="DP138" s="498">
        <v>0</v>
      </c>
      <c r="DQ138" s="498">
        <v>0</v>
      </c>
      <c r="DR138" s="498">
        <v>0</v>
      </c>
      <c r="DS138" s="498">
        <v>0</v>
      </c>
      <c r="DT138" s="498">
        <v>0</v>
      </c>
      <c r="DU138" s="498">
        <v>0</v>
      </c>
      <c r="DV138" s="498">
        <v>0</v>
      </c>
      <c r="DW138" s="498">
        <v>0</v>
      </c>
      <c r="DX138" s="477"/>
      <c r="DY138" s="497" t="s">
        <v>720</v>
      </c>
      <c r="DZ138" s="497" t="s">
        <v>617</v>
      </c>
      <c r="EA138" s="497" t="s">
        <v>25</v>
      </c>
      <c r="EB138" s="498">
        <v>52</v>
      </c>
      <c r="EC138" s="494" t="str">
        <f t="shared" si="6"/>
        <v>AIJ100152</v>
      </c>
      <c r="ED138" s="498">
        <v>0</v>
      </c>
      <c r="EE138" s="498">
        <v>331</v>
      </c>
      <c r="EF138" s="498">
        <v>676</v>
      </c>
      <c r="EG138" s="498">
        <v>1060</v>
      </c>
      <c r="EH138" s="498">
        <v>1582</v>
      </c>
      <c r="EI138" s="498">
        <v>2075</v>
      </c>
      <c r="EJ138" s="498">
        <v>2863</v>
      </c>
      <c r="EK138" s="498">
        <v>3934</v>
      </c>
      <c r="EL138" s="498">
        <v>5357</v>
      </c>
      <c r="EM138" s="498">
        <v>0</v>
      </c>
      <c r="EN138" s="498">
        <v>0</v>
      </c>
      <c r="EO138" s="498">
        <v>0</v>
      </c>
      <c r="EP138" s="498">
        <v>0</v>
      </c>
      <c r="EQ138" s="498">
        <v>0</v>
      </c>
      <c r="ER138" s="498">
        <v>0</v>
      </c>
      <c r="ES138" s="498">
        <v>0</v>
      </c>
      <c r="ET138" s="498">
        <v>0</v>
      </c>
      <c r="EU138" s="498">
        <v>0</v>
      </c>
      <c r="EV138" s="498">
        <v>0</v>
      </c>
      <c r="EW138" s="498">
        <v>0</v>
      </c>
      <c r="EX138" s="498">
        <v>0</v>
      </c>
      <c r="EY138" s="498">
        <v>0</v>
      </c>
      <c r="EZ138" s="498">
        <v>0</v>
      </c>
      <c r="FA138" s="498">
        <v>0</v>
      </c>
      <c r="FB138" s="498">
        <v>0</v>
      </c>
      <c r="FC138" s="498">
        <v>0</v>
      </c>
      <c r="FD138" s="498">
        <v>0</v>
      </c>
      <c r="FE138" s="498">
        <v>0</v>
      </c>
      <c r="FF138" s="498">
        <v>0</v>
      </c>
      <c r="FG138" s="498">
        <v>0</v>
      </c>
      <c r="FH138" s="498">
        <v>0</v>
      </c>
      <c r="FI138" s="498">
        <v>0</v>
      </c>
      <c r="FJ138" s="498">
        <v>0</v>
      </c>
      <c r="FK138" s="498">
        <v>0</v>
      </c>
      <c r="FL138" s="498">
        <v>0</v>
      </c>
      <c r="FM138" s="498">
        <v>0</v>
      </c>
      <c r="FN138" s="498">
        <v>0</v>
      </c>
      <c r="FO138" s="498">
        <v>0</v>
      </c>
      <c r="FP138" s="498">
        <v>0</v>
      </c>
      <c r="FQ138" s="498">
        <v>0</v>
      </c>
      <c r="FR138" s="498">
        <v>0</v>
      </c>
      <c r="FS138" s="498">
        <v>0</v>
      </c>
      <c r="FT138" s="498">
        <v>0</v>
      </c>
      <c r="FU138" s="498">
        <v>0</v>
      </c>
      <c r="FV138" s="498">
        <v>0</v>
      </c>
      <c r="FW138" s="498">
        <v>0</v>
      </c>
      <c r="FX138" s="498">
        <v>0</v>
      </c>
      <c r="FY138" s="498">
        <v>0</v>
      </c>
      <c r="FZ138" s="498">
        <v>0</v>
      </c>
      <c r="GA138" s="498">
        <v>0</v>
      </c>
      <c r="GB138" s="498">
        <v>0</v>
      </c>
      <c r="GC138" s="498">
        <v>0</v>
      </c>
      <c r="GD138" s="498">
        <v>0</v>
      </c>
      <c r="GE138" s="498">
        <v>0</v>
      </c>
      <c r="GF138" s="498">
        <v>0</v>
      </c>
      <c r="GG138" s="498">
        <v>0</v>
      </c>
      <c r="GH138" s="498">
        <v>0</v>
      </c>
      <c r="GI138" s="498">
        <v>0</v>
      </c>
      <c r="GJ138" s="498">
        <v>0</v>
      </c>
      <c r="GK138" s="498">
        <v>0</v>
      </c>
      <c r="GL138" s="498">
        <v>0</v>
      </c>
      <c r="GM138" s="498">
        <v>0</v>
      </c>
      <c r="GN138" s="498">
        <v>0</v>
      </c>
      <c r="GO138" s="498">
        <v>0</v>
      </c>
      <c r="GP138" s="498">
        <v>0</v>
      </c>
      <c r="GQ138" s="498">
        <v>0</v>
      </c>
      <c r="GR138" s="498">
        <v>0</v>
      </c>
      <c r="GS138" s="498">
        <v>0</v>
      </c>
      <c r="GT138" s="498">
        <v>0</v>
      </c>
      <c r="GU138" s="498">
        <v>0</v>
      </c>
      <c r="GV138" s="498">
        <v>0</v>
      </c>
      <c r="GW138" s="498">
        <v>0</v>
      </c>
      <c r="GX138" s="498">
        <v>0</v>
      </c>
      <c r="GY138" s="498">
        <v>0</v>
      </c>
      <c r="GZ138" s="498">
        <v>0</v>
      </c>
      <c r="HA138" s="498">
        <v>0</v>
      </c>
      <c r="HB138" s="498">
        <v>0</v>
      </c>
      <c r="HC138" s="498">
        <v>0</v>
      </c>
      <c r="HD138" s="498">
        <v>0</v>
      </c>
      <c r="HE138" s="498">
        <v>0</v>
      </c>
      <c r="HF138" s="498">
        <v>0</v>
      </c>
      <c r="HG138" s="498">
        <v>0</v>
      </c>
      <c r="HH138" s="498">
        <v>0</v>
      </c>
      <c r="HI138" s="498">
        <v>0</v>
      </c>
      <c r="HJ138" s="498">
        <v>0</v>
      </c>
      <c r="HK138" s="498">
        <v>0</v>
      </c>
      <c r="HL138" s="498">
        <v>0</v>
      </c>
      <c r="HM138" s="498">
        <v>0</v>
      </c>
      <c r="HN138" s="498">
        <v>0</v>
      </c>
      <c r="HO138" s="498">
        <v>0</v>
      </c>
      <c r="HP138" s="498">
        <v>0</v>
      </c>
      <c r="HQ138" s="498">
        <v>0</v>
      </c>
      <c r="HR138" s="498">
        <v>0</v>
      </c>
      <c r="HS138" s="498">
        <v>0</v>
      </c>
      <c r="HT138" s="498">
        <v>0</v>
      </c>
      <c r="HU138" s="498">
        <v>0</v>
      </c>
      <c r="HV138" s="498">
        <v>0</v>
      </c>
      <c r="HW138" s="498">
        <v>0</v>
      </c>
      <c r="HX138" s="498">
        <v>0</v>
      </c>
      <c r="HY138" s="498">
        <v>0</v>
      </c>
      <c r="HZ138" s="498">
        <v>0</v>
      </c>
      <c r="IA138" s="498">
        <v>0</v>
      </c>
      <c r="IB138" s="498">
        <v>0</v>
      </c>
      <c r="IC138" s="498">
        <v>0</v>
      </c>
      <c r="ID138" s="498">
        <v>0</v>
      </c>
      <c r="IE138" s="498">
        <v>0</v>
      </c>
      <c r="IF138" s="498">
        <v>0</v>
      </c>
      <c r="IG138" s="498">
        <v>0</v>
      </c>
      <c r="IH138" s="498">
        <v>0</v>
      </c>
      <c r="II138" s="498">
        <v>0</v>
      </c>
      <c r="IJ138" s="498">
        <v>0</v>
      </c>
    </row>
    <row r="139" spans="12:244" hidden="1">
      <c r="L139" s="497" t="s">
        <v>720</v>
      </c>
      <c r="M139" s="497" t="s">
        <v>617</v>
      </c>
      <c r="N139" s="497" t="s">
        <v>25</v>
      </c>
      <c r="O139" s="498">
        <v>53</v>
      </c>
      <c r="P139" s="494" t="str">
        <f t="shared" si="5"/>
        <v>AIJ100153</v>
      </c>
      <c r="Q139" s="498">
        <v>20000</v>
      </c>
      <c r="R139" s="498">
        <v>20000</v>
      </c>
      <c r="S139" s="498">
        <v>20000</v>
      </c>
      <c r="T139" s="498">
        <v>20000</v>
      </c>
      <c r="U139" s="498">
        <v>20000</v>
      </c>
      <c r="V139" s="498">
        <v>20000</v>
      </c>
      <c r="W139" s="498">
        <v>20000</v>
      </c>
      <c r="X139" s="498">
        <v>20000</v>
      </c>
      <c r="Y139" s="498">
        <v>20000</v>
      </c>
      <c r="Z139" s="498">
        <v>20000</v>
      </c>
      <c r="AA139" s="498">
        <v>0</v>
      </c>
      <c r="AB139" s="498">
        <v>0</v>
      </c>
      <c r="AC139" s="498">
        <v>0</v>
      </c>
      <c r="AD139" s="498">
        <v>0</v>
      </c>
      <c r="AE139" s="498">
        <v>0</v>
      </c>
      <c r="AF139" s="498">
        <v>0</v>
      </c>
      <c r="AG139" s="498">
        <v>0</v>
      </c>
      <c r="AH139" s="498">
        <v>0</v>
      </c>
      <c r="AI139" s="498">
        <v>0</v>
      </c>
      <c r="AJ139" s="498">
        <v>0</v>
      </c>
      <c r="AK139" s="498">
        <v>0</v>
      </c>
      <c r="AL139" s="498">
        <v>0</v>
      </c>
      <c r="AM139" s="498">
        <v>0</v>
      </c>
      <c r="AN139" s="498">
        <v>0</v>
      </c>
      <c r="AO139" s="498">
        <v>0</v>
      </c>
      <c r="AP139" s="498">
        <v>0</v>
      </c>
      <c r="AQ139" s="498">
        <v>0</v>
      </c>
      <c r="AR139" s="498">
        <v>0</v>
      </c>
      <c r="AS139" s="498">
        <v>0</v>
      </c>
      <c r="AT139" s="498">
        <v>0</v>
      </c>
      <c r="AU139" s="498">
        <v>0</v>
      </c>
      <c r="AV139" s="498">
        <v>0</v>
      </c>
      <c r="AW139" s="498">
        <v>0</v>
      </c>
      <c r="AX139" s="498">
        <v>0</v>
      </c>
      <c r="AY139" s="498">
        <v>0</v>
      </c>
      <c r="AZ139" s="498">
        <v>0</v>
      </c>
      <c r="BA139" s="498">
        <v>0</v>
      </c>
      <c r="BB139" s="498">
        <v>0</v>
      </c>
      <c r="BC139" s="498">
        <v>0</v>
      </c>
      <c r="BD139" s="498">
        <v>0</v>
      </c>
      <c r="BE139" s="498">
        <v>0</v>
      </c>
      <c r="BF139" s="498">
        <v>0</v>
      </c>
      <c r="BG139" s="498">
        <v>0</v>
      </c>
      <c r="BH139" s="498">
        <v>0</v>
      </c>
      <c r="BI139" s="498">
        <v>0</v>
      </c>
      <c r="BJ139" s="498">
        <v>0</v>
      </c>
      <c r="BK139" s="498">
        <v>0</v>
      </c>
      <c r="BL139" s="498">
        <v>0</v>
      </c>
      <c r="BM139" s="498">
        <v>0</v>
      </c>
      <c r="BN139" s="498">
        <v>0</v>
      </c>
      <c r="BO139" s="498">
        <v>0</v>
      </c>
      <c r="BP139" s="498">
        <v>0</v>
      </c>
      <c r="BQ139" s="498">
        <v>0</v>
      </c>
      <c r="BR139" s="498">
        <v>0</v>
      </c>
      <c r="BS139" s="498">
        <v>0</v>
      </c>
      <c r="BT139" s="498">
        <v>0</v>
      </c>
      <c r="BU139" s="498">
        <v>0</v>
      </c>
      <c r="BV139" s="498">
        <v>0</v>
      </c>
      <c r="BW139" s="498">
        <v>0</v>
      </c>
      <c r="BX139" s="498">
        <v>0</v>
      </c>
      <c r="BY139" s="498">
        <v>0</v>
      </c>
      <c r="BZ139" s="498">
        <v>0</v>
      </c>
      <c r="CA139" s="498">
        <v>0</v>
      </c>
      <c r="CB139" s="498">
        <v>0</v>
      </c>
      <c r="CC139" s="498">
        <v>0</v>
      </c>
      <c r="CD139" s="498">
        <v>0</v>
      </c>
      <c r="CE139" s="498">
        <v>0</v>
      </c>
      <c r="CF139" s="498">
        <v>0</v>
      </c>
      <c r="CG139" s="498">
        <v>0</v>
      </c>
      <c r="CH139" s="498">
        <v>0</v>
      </c>
      <c r="CI139" s="498">
        <v>0</v>
      </c>
      <c r="CJ139" s="498">
        <v>0</v>
      </c>
      <c r="CK139" s="498">
        <v>0</v>
      </c>
      <c r="CL139" s="498">
        <v>0</v>
      </c>
      <c r="CM139" s="498">
        <v>0</v>
      </c>
      <c r="CN139" s="498">
        <v>0</v>
      </c>
      <c r="CO139" s="498">
        <v>0</v>
      </c>
      <c r="CP139" s="498">
        <v>0</v>
      </c>
      <c r="CQ139" s="498">
        <v>0</v>
      </c>
      <c r="CR139" s="498">
        <v>0</v>
      </c>
      <c r="CS139" s="498">
        <v>0</v>
      </c>
      <c r="CT139" s="498">
        <v>0</v>
      </c>
      <c r="CU139" s="498">
        <v>0</v>
      </c>
      <c r="CV139" s="498">
        <v>0</v>
      </c>
      <c r="CW139" s="498">
        <v>0</v>
      </c>
      <c r="CX139" s="498">
        <v>0</v>
      </c>
      <c r="CY139" s="498">
        <v>0</v>
      </c>
      <c r="CZ139" s="498">
        <v>0</v>
      </c>
      <c r="DA139" s="498">
        <v>0</v>
      </c>
      <c r="DB139" s="498">
        <v>0</v>
      </c>
      <c r="DC139" s="498">
        <v>0</v>
      </c>
      <c r="DD139" s="498">
        <v>0</v>
      </c>
      <c r="DE139" s="498">
        <v>0</v>
      </c>
      <c r="DF139" s="498">
        <v>0</v>
      </c>
      <c r="DG139" s="498">
        <v>0</v>
      </c>
      <c r="DH139" s="498">
        <v>0</v>
      </c>
      <c r="DI139" s="498">
        <v>0</v>
      </c>
      <c r="DJ139" s="498">
        <v>0</v>
      </c>
      <c r="DK139" s="498">
        <v>0</v>
      </c>
      <c r="DL139" s="498">
        <v>0</v>
      </c>
      <c r="DM139" s="498">
        <v>0</v>
      </c>
      <c r="DN139" s="498">
        <v>0</v>
      </c>
      <c r="DO139" s="498">
        <v>0</v>
      </c>
      <c r="DP139" s="498">
        <v>0</v>
      </c>
      <c r="DQ139" s="498">
        <v>0</v>
      </c>
      <c r="DR139" s="498">
        <v>0</v>
      </c>
      <c r="DS139" s="498">
        <v>0</v>
      </c>
      <c r="DT139" s="498">
        <v>0</v>
      </c>
      <c r="DU139" s="498">
        <v>0</v>
      </c>
      <c r="DV139" s="498">
        <v>0</v>
      </c>
      <c r="DW139" s="498">
        <v>0</v>
      </c>
      <c r="DX139" s="477"/>
      <c r="DY139" s="497" t="s">
        <v>720</v>
      </c>
      <c r="DZ139" s="497" t="s">
        <v>617</v>
      </c>
      <c r="EA139" s="497" t="s">
        <v>25</v>
      </c>
      <c r="EB139" s="498">
        <v>53</v>
      </c>
      <c r="EC139" s="494" t="str">
        <f t="shared" si="6"/>
        <v>AIJ100153</v>
      </c>
      <c r="ED139" s="498">
        <v>0</v>
      </c>
      <c r="EE139" s="498">
        <v>342</v>
      </c>
      <c r="EF139" s="498">
        <v>701</v>
      </c>
      <c r="EG139" s="498">
        <v>1079</v>
      </c>
      <c r="EH139" s="498">
        <v>1602</v>
      </c>
      <c r="EI139" s="498">
        <v>2095</v>
      </c>
      <c r="EJ139" s="498">
        <v>2849</v>
      </c>
      <c r="EK139" s="498">
        <v>3914</v>
      </c>
      <c r="EL139" s="498">
        <v>5385</v>
      </c>
      <c r="EM139" s="498">
        <v>0</v>
      </c>
      <c r="EN139" s="498">
        <v>0</v>
      </c>
      <c r="EO139" s="498">
        <v>0</v>
      </c>
      <c r="EP139" s="498">
        <v>0</v>
      </c>
      <c r="EQ139" s="498">
        <v>0</v>
      </c>
      <c r="ER139" s="498">
        <v>0</v>
      </c>
      <c r="ES139" s="498">
        <v>0</v>
      </c>
      <c r="ET139" s="498">
        <v>0</v>
      </c>
      <c r="EU139" s="498">
        <v>0</v>
      </c>
      <c r="EV139" s="498">
        <v>0</v>
      </c>
      <c r="EW139" s="498">
        <v>0</v>
      </c>
      <c r="EX139" s="498">
        <v>0</v>
      </c>
      <c r="EY139" s="498">
        <v>0</v>
      </c>
      <c r="EZ139" s="498">
        <v>0</v>
      </c>
      <c r="FA139" s="498">
        <v>0</v>
      </c>
      <c r="FB139" s="498">
        <v>0</v>
      </c>
      <c r="FC139" s="498">
        <v>0</v>
      </c>
      <c r="FD139" s="498">
        <v>0</v>
      </c>
      <c r="FE139" s="498">
        <v>0</v>
      </c>
      <c r="FF139" s="498">
        <v>0</v>
      </c>
      <c r="FG139" s="498">
        <v>0</v>
      </c>
      <c r="FH139" s="498">
        <v>0</v>
      </c>
      <c r="FI139" s="498">
        <v>0</v>
      </c>
      <c r="FJ139" s="498">
        <v>0</v>
      </c>
      <c r="FK139" s="498">
        <v>0</v>
      </c>
      <c r="FL139" s="498">
        <v>0</v>
      </c>
      <c r="FM139" s="498">
        <v>0</v>
      </c>
      <c r="FN139" s="498">
        <v>0</v>
      </c>
      <c r="FO139" s="498">
        <v>0</v>
      </c>
      <c r="FP139" s="498">
        <v>0</v>
      </c>
      <c r="FQ139" s="498">
        <v>0</v>
      </c>
      <c r="FR139" s="498">
        <v>0</v>
      </c>
      <c r="FS139" s="498">
        <v>0</v>
      </c>
      <c r="FT139" s="498">
        <v>0</v>
      </c>
      <c r="FU139" s="498">
        <v>0</v>
      </c>
      <c r="FV139" s="498">
        <v>0</v>
      </c>
      <c r="FW139" s="498">
        <v>0</v>
      </c>
      <c r="FX139" s="498">
        <v>0</v>
      </c>
      <c r="FY139" s="498">
        <v>0</v>
      </c>
      <c r="FZ139" s="498">
        <v>0</v>
      </c>
      <c r="GA139" s="498">
        <v>0</v>
      </c>
      <c r="GB139" s="498">
        <v>0</v>
      </c>
      <c r="GC139" s="498">
        <v>0</v>
      </c>
      <c r="GD139" s="498">
        <v>0</v>
      </c>
      <c r="GE139" s="498">
        <v>0</v>
      </c>
      <c r="GF139" s="498">
        <v>0</v>
      </c>
      <c r="GG139" s="498">
        <v>0</v>
      </c>
      <c r="GH139" s="498">
        <v>0</v>
      </c>
      <c r="GI139" s="498">
        <v>0</v>
      </c>
      <c r="GJ139" s="498">
        <v>0</v>
      </c>
      <c r="GK139" s="498">
        <v>0</v>
      </c>
      <c r="GL139" s="498">
        <v>0</v>
      </c>
      <c r="GM139" s="498">
        <v>0</v>
      </c>
      <c r="GN139" s="498">
        <v>0</v>
      </c>
      <c r="GO139" s="498">
        <v>0</v>
      </c>
      <c r="GP139" s="498">
        <v>0</v>
      </c>
      <c r="GQ139" s="498">
        <v>0</v>
      </c>
      <c r="GR139" s="498">
        <v>0</v>
      </c>
      <c r="GS139" s="498">
        <v>0</v>
      </c>
      <c r="GT139" s="498">
        <v>0</v>
      </c>
      <c r="GU139" s="498">
        <v>0</v>
      </c>
      <c r="GV139" s="498">
        <v>0</v>
      </c>
      <c r="GW139" s="498">
        <v>0</v>
      </c>
      <c r="GX139" s="498">
        <v>0</v>
      </c>
      <c r="GY139" s="498">
        <v>0</v>
      </c>
      <c r="GZ139" s="498">
        <v>0</v>
      </c>
      <c r="HA139" s="498">
        <v>0</v>
      </c>
      <c r="HB139" s="498">
        <v>0</v>
      </c>
      <c r="HC139" s="498">
        <v>0</v>
      </c>
      <c r="HD139" s="498">
        <v>0</v>
      </c>
      <c r="HE139" s="498">
        <v>0</v>
      </c>
      <c r="HF139" s="498">
        <v>0</v>
      </c>
      <c r="HG139" s="498">
        <v>0</v>
      </c>
      <c r="HH139" s="498">
        <v>0</v>
      </c>
      <c r="HI139" s="498">
        <v>0</v>
      </c>
      <c r="HJ139" s="498">
        <v>0</v>
      </c>
      <c r="HK139" s="498">
        <v>0</v>
      </c>
      <c r="HL139" s="498">
        <v>0</v>
      </c>
      <c r="HM139" s="498">
        <v>0</v>
      </c>
      <c r="HN139" s="498">
        <v>0</v>
      </c>
      <c r="HO139" s="498">
        <v>0</v>
      </c>
      <c r="HP139" s="498">
        <v>0</v>
      </c>
      <c r="HQ139" s="498">
        <v>0</v>
      </c>
      <c r="HR139" s="498">
        <v>0</v>
      </c>
      <c r="HS139" s="498">
        <v>0</v>
      </c>
      <c r="HT139" s="498">
        <v>0</v>
      </c>
      <c r="HU139" s="498">
        <v>0</v>
      </c>
      <c r="HV139" s="498">
        <v>0</v>
      </c>
      <c r="HW139" s="498">
        <v>0</v>
      </c>
      <c r="HX139" s="498">
        <v>0</v>
      </c>
      <c r="HY139" s="498">
        <v>0</v>
      </c>
      <c r="HZ139" s="498">
        <v>0</v>
      </c>
      <c r="IA139" s="498">
        <v>0</v>
      </c>
      <c r="IB139" s="498">
        <v>0</v>
      </c>
      <c r="IC139" s="498">
        <v>0</v>
      </c>
      <c r="ID139" s="498">
        <v>0</v>
      </c>
      <c r="IE139" s="498">
        <v>0</v>
      </c>
      <c r="IF139" s="498">
        <v>0</v>
      </c>
      <c r="IG139" s="498">
        <v>0</v>
      </c>
      <c r="IH139" s="498">
        <v>0</v>
      </c>
      <c r="II139" s="498">
        <v>0</v>
      </c>
      <c r="IJ139" s="498">
        <v>0</v>
      </c>
    </row>
    <row r="140" spans="12:244" hidden="1">
      <c r="L140" s="497" t="s">
        <v>720</v>
      </c>
      <c r="M140" s="497" t="s">
        <v>617</v>
      </c>
      <c r="N140" s="497" t="s">
        <v>25</v>
      </c>
      <c r="O140" s="498">
        <v>54</v>
      </c>
      <c r="P140" s="494" t="str">
        <f t="shared" si="5"/>
        <v>AIJ100154</v>
      </c>
      <c r="Q140" s="498">
        <v>20000</v>
      </c>
      <c r="R140" s="498">
        <v>20000</v>
      </c>
      <c r="S140" s="498">
        <v>20000</v>
      </c>
      <c r="T140" s="498">
        <v>20000</v>
      </c>
      <c r="U140" s="498">
        <v>20000</v>
      </c>
      <c r="V140" s="498">
        <v>20000</v>
      </c>
      <c r="W140" s="498">
        <v>20000</v>
      </c>
      <c r="X140" s="498">
        <v>20000</v>
      </c>
      <c r="Y140" s="498">
        <v>20000</v>
      </c>
      <c r="Z140" s="498">
        <v>20000</v>
      </c>
      <c r="AA140" s="498">
        <v>0</v>
      </c>
      <c r="AB140" s="498">
        <v>0</v>
      </c>
      <c r="AC140" s="498">
        <v>0</v>
      </c>
      <c r="AD140" s="498">
        <v>0</v>
      </c>
      <c r="AE140" s="498">
        <v>0</v>
      </c>
      <c r="AF140" s="498">
        <v>0</v>
      </c>
      <c r="AG140" s="498">
        <v>0</v>
      </c>
      <c r="AH140" s="498">
        <v>0</v>
      </c>
      <c r="AI140" s="498">
        <v>0</v>
      </c>
      <c r="AJ140" s="498">
        <v>0</v>
      </c>
      <c r="AK140" s="498">
        <v>0</v>
      </c>
      <c r="AL140" s="498">
        <v>0</v>
      </c>
      <c r="AM140" s="498">
        <v>0</v>
      </c>
      <c r="AN140" s="498">
        <v>0</v>
      </c>
      <c r="AO140" s="498">
        <v>0</v>
      </c>
      <c r="AP140" s="498">
        <v>0</v>
      </c>
      <c r="AQ140" s="498">
        <v>0</v>
      </c>
      <c r="AR140" s="498">
        <v>0</v>
      </c>
      <c r="AS140" s="498">
        <v>0</v>
      </c>
      <c r="AT140" s="498">
        <v>0</v>
      </c>
      <c r="AU140" s="498">
        <v>0</v>
      </c>
      <c r="AV140" s="498">
        <v>0</v>
      </c>
      <c r="AW140" s="498">
        <v>0</v>
      </c>
      <c r="AX140" s="498">
        <v>0</v>
      </c>
      <c r="AY140" s="498">
        <v>0</v>
      </c>
      <c r="AZ140" s="498">
        <v>0</v>
      </c>
      <c r="BA140" s="498">
        <v>0</v>
      </c>
      <c r="BB140" s="498">
        <v>0</v>
      </c>
      <c r="BC140" s="498">
        <v>0</v>
      </c>
      <c r="BD140" s="498">
        <v>0</v>
      </c>
      <c r="BE140" s="498">
        <v>0</v>
      </c>
      <c r="BF140" s="498">
        <v>0</v>
      </c>
      <c r="BG140" s="498">
        <v>0</v>
      </c>
      <c r="BH140" s="498">
        <v>0</v>
      </c>
      <c r="BI140" s="498">
        <v>0</v>
      </c>
      <c r="BJ140" s="498">
        <v>0</v>
      </c>
      <c r="BK140" s="498">
        <v>0</v>
      </c>
      <c r="BL140" s="498">
        <v>0</v>
      </c>
      <c r="BM140" s="498">
        <v>0</v>
      </c>
      <c r="BN140" s="498">
        <v>0</v>
      </c>
      <c r="BO140" s="498">
        <v>0</v>
      </c>
      <c r="BP140" s="498">
        <v>0</v>
      </c>
      <c r="BQ140" s="498">
        <v>0</v>
      </c>
      <c r="BR140" s="498">
        <v>0</v>
      </c>
      <c r="BS140" s="498">
        <v>0</v>
      </c>
      <c r="BT140" s="498">
        <v>0</v>
      </c>
      <c r="BU140" s="498">
        <v>0</v>
      </c>
      <c r="BV140" s="498">
        <v>0</v>
      </c>
      <c r="BW140" s="498">
        <v>0</v>
      </c>
      <c r="BX140" s="498">
        <v>0</v>
      </c>
      <c r="BY140" s="498">
        <v>0</v>
      </c>
      <c r="BZ140" s="498">
        <v>0</v>
      </c>
      <c r="CA140" s="498">
        <v>0</v>
      </c>
      <c r="CB140" s="498">
        <v>0</v>
      </c>
      <c r="CC140" s="498">
        <v>0</v>
      </c>
      <c r="CD140" s="498">
        <v>0</v>
      </c>
      <c r="CE140" s="498">
        <v>0</v>
      </c>
      <c r="CF140" s="498">
        <v>0</v>
      </c>
      <c r="CG140" s="498">
        <v>0</v>
      </c>
      <c r="CH140" s="498">
        <v>0</v>
      </c>
      <c r="CI140" s="498">
        <v>0</v>
      </c>
      <c r="CJ140" s="498">
        <v>0</v>
      </c>
      <c r="CK140" s="498">
        <v>0</v>
      </c>
      <c r="CL140" s="498">
        <v>0</v>
      </c>
      <c r="CM140" s="498">
        <v>0</v>
      </c>
      <c r="CN140" s="498">
        <v>0</v>
      </c>
      <c r="CO140" s="498">
        <v>0</v>
      </c>
      <c r="CP140" s="498">
        <v>0</v>
      </c>
      <c r="CQ140" s="498">
        <v>0</v>
      </c>
      <c r="CR140" s="498">
        <v>0</v>
      </c>
      <c r="CS140" s="498">
        <v>0</v>
      </c>
      <c r="CT140" s="498">
        <v>0</v>
      </c>
      <c r="CU140" s="498">
        <v>0</v>
      </c>
      <c r="CV140" s="498">
        <v>0</v>
      </c>
      <c r="CW140" s="498">
        <v>0</v>
      </c>
      <c r="CX140" s="498">
        <v>0</v>
      </c>
      <c r="CY140" s="498">
        <v>0</v>
      </c>
      <c r="CZ140" s="498">
        <v>0</v>
      </c>
      <c r="DA140" s="498">
        <v>0</v>
      </c>
      <c r="DB140" s="498">
        <v>0</v>
      </c>
      <c r="DC140" s="498">
        <v>0</v>
      </c>
      <c r="DD140" s="498">
        <v>0</v>
      </c>
      <c r="DE140" s="498">
        <v>0</v>
      </c>
      <c r="DF140" s="498">
        <v>0</v>
      </c>
      <c r="DG140" s="498">
        <v>0</v>
      </c>
      <c r="DH140" s="498">
        <v>0</v>
      </c>
      <c r="DI140" s="498">
        <v>0</v>
      </c>
      <c r="DJ140" s="498">
        <v>0</v>
      </c>
      <c r="DK140" s="498">
        <v>0</v>
      </c>
      <c r="DL140" s="498">
        <v>0</v>
      </c>
      <c r="DM140" s="498">
        <v>0</v>
      </c>
      <c r="DN140" s="498">
        <v>0</v>
      </c>
      <c r="DO140" s="498">
        <v>0</v>
      </c>
      <c r="DP140" s="498">
        <v>0</v>
      </c>
      <c r="DQ140" s="498">
        <v>0</v>
      </c>
      <c r="DR140" s="498">
        <v>0</v>
      </c>
      <c r="DS140" s="498">
        <v>0</v>
      </c>
      <c r="DT140" s="498">
        <v>0</v>
      </c>
      <c r="DU140" s="498">
        <v>0</v>
      </c>
      <c r="DV140" s="498">
        <v>0</v>
      </c>
      <c r="DW140" s="498">
        <v>0</v>
      </c>
      <c r="DX140" s="477"/>
      <c r="DY140" s="497" t="s">
        <v>720</v>
      </c>
      <c r="DZ140" s="497" t="s">
        <v>617</v>
      </c>
      <c r="EA140" s="497" t="s">
        <v>25</v>
      </c>
      <c r="EB140" s="498">
        <v>54</v>
      </c>
      <c r="EC140" s="494" t="str">
        <f t="shared" si="6"/>
        <v>AIJ100154</v>
      </c>
      <c r="ED140" s="498">
        <v>0</v>
      </c>
      <c r="EE140" s="498">
        <v>350</v>
      </c>
      <c r="EF140" s="498">
        <v>719</v>
      </c>
      <c r="EG140" s="498">
        <v>1101</v>
      </c>
      <c r="EH140" s="498">
        <v>1612</v>
      </c>
      <c r="EI140" s="498">
        <v>2095</v>
      </c>
      <c r="EJ140" s="498">
        <v>2850</v>
      </c>
      <c r="EK140" s="498">
        <v>3906</v>
      </c>
      <c r="EL140" s="498">
        <v>5375</v>
      </c>
      <c r="EM140" s="498">
        <v>0</v>
      </c>
      <c r="EN140" s="498">
        <v>0</v>
      </c>
      <c r="EO140" s="498">
        <v>0</v>
      </c>
      <c r="EP140" s="498">
        <v>0</v>
      </c>
      <c r="EQ140" s="498">
        <v>0</v>
      </c>
      <c r="ER140" s="498">
        <v>0</v>
      </c>
      <c r="ES140" s="498">
        <v>0</v>
      </c>
      <c r="ET140" s="498">
        <v>0</v>
      </c>
      <c r="EU140" s="498">
        <v>0</v>
      </c>
      <c r="EV140" s="498">
        <v>0</v>
      </c>
      <c r="EW140" s="498">
        <v>0</v>
      </c>
      <c r="EX140" s="498">
        <v>0</v>
      </c>
      <c r="EY140" s="498">
        <v>0</v>
      </c>
      <c r="EZ140" s="498">
        <v>0</v>
      </c>
      <c r="FA140" s="498">
        <v>0</v>
      </c>
      <c r="FB140" s="498">
        <v>0</v>
      </c>
      <c r="FC140" s="498">
        <v>0</v>
      </c>
      <c r="FD140" s="498">
        <v>0</v>
      </c>
      <c r="FE140" s="498">
        <v>0</v>
      </c>
      <c r="FF140" s="498">
        <v>0</v>
      </c>
      <c r="FG140" s="498">
        <v>0</v>
      </c>
      <c r="FH140" s="498">
        <v>0</v>
      </c>
      <c r="FI140" s="498">
        <v>0</v>
      </c>
      <c r="FJ140" s="498">
        <v>0</v>
      </c>
      <c r="FK140" s="498">
        <v>0</v>
      </c>
      <c r="FL140" s="498">
        <v>0</v>
      </c>
      <c r="FM140" s="498">
        <v>0</v>
      </c>
      <c r="FN140" s="498">
        <v>0</v>
      </c>
      <c r="FO140" s="498">
        <v>0</v>
      </c>
      <c r="FP140" s="498">
        <v>0</v>
      </c>
      <c r="FQ140" s="498">
        <v>0</v>
      </c>
      <c r="FR140" s="498">
        <v>0</v>
      </c>
      <c r="FS140" s="498">
        <v>0</v>
      </c>
      <c r="FT140" s="498">
        <v>0</v>
      </c>
      <c r="FU140" s="498">
        <v>0</v>
      </c>
      <c r="FV140" s="498">
        <v>0</v>
      </c>
      <c r="FW140" s="498">
        <v>0</v>
      </c>
      <c r="FX140" s="498">
        <v>0</v>
      </c>
      <c r="FY140" s="498">
        <v>0</v>
      </c>
      <c r="FZ140" s="498">
        <v>0</v>
      </c>
      <c r="GA140" s="498">
        <v>0</v>
      </c>
      <c r="GB140" s="498">
        <v>0</v>
      </c>
      <c r="GC140" s="498">
        <v>0</v>
      </c>
      <c r="GD140" s="498">
        <v>0</v>
      </c>
      <c r="GE140" s="498">
        <v>0</v>
      </c>
      <c r="GF140" s="498">
        <v>0</v>
      </c>
      <c r="GG140" s="498">
        <v>0</v>
      </c>
      <c r="GH140" s="498">
        <v>0</v>
      </c>
      <c r="GI140" s="498">
        <v>0</v>
      </c>
      <c r="GJ140" s="498">
        <v>0</v>
      </c>
      <c r="GK140" s="498">
        <v>0</v>
      </c>
      <c r="GL140" s="498">
        <v>0</v>
      </c>
      <c r="GM140" s="498">
        <v>0</v>
      </c>
      <c r="GN140" s="498">
        <v>0</v>
      </c>
      <c r="GO140" s="498">
        <v>0</v>
      </c>
      <c r="GP140" s="498">
        <v>0</v>
      </c>
      <c r="GQ140" s="498">
        <v>0</v>
      </c>
      <c r="GR140" s="498">
        <v>0</v>
      </c>
      <c r="GS140" s="498">
        <v>0</v>
      </c>
      <c r="GT140" s="498">
        <v>0</v>
      </c>
      <c r="GU140" s="498">
        <v>0</v>
      </c>
      <c r="GV140" s="498">
        <v>0</v>
      </c>
      <c r="GW140" s="498">
        <v>0</v>
      </c>
      <c r="GX140" s="498">
        <v>0</v>
      </c>
      <c r="GY140" s="498">
        <v>0</v>
      </c>
      <c r="GZ140" s="498">
        <v>0</v>
      </c>
      <c r="HA140" s="498">
        <v>0</v>
      </c>
      <c r="HB140" s="498">
        <v>0</v>
      </c>
      <c r="HC140" s="498">
        <v>0</v>
      </c>
      <c r="HD140" s="498">
        <v>0</v>
      </c>
      <c r="HE140" s="498">
        <v>0</v>
      </c>
      <c r="HF140" s="498">
        <v>0</v>
      </c>
      <c r="HG140" s="498">
        <v>0</v>
      </c>
      <c r="HH140" s="498">
        <v>0</v>
      </c>
      <c r="HI140" s="498">
        <v>0</v>
      </c>
      <c r="HJ140" s="498">
        <v>0</v>
      </c>
      <c r="HK140" s="498">
        <v>0</v>
      </c>
      <c r="HL140" s="498">
        <v>0</v>
      </c>
      <c r="HM140" s="498">
        <v>0</v>
      </c>
      <c r="HN140" s="498">
        <v>0</v>
      </c>
      <c r="HO140" s="498">
        <v>0</v>
      </c>
      <c r="HP140" s="498">
        <v>0</v>
      </c>
      <c r="HQ140" s="498">
        <v>0</v>
      </c>
      <c r="HR140" s="498">
        <v>0</v>
      </c>
      <c r="HS140" s="498">
        <v>0</v>
      </c>
      <c r="HT140" s="498">
        <v>0</v>
      </c>
      <c r="HU140" s="498">
        <v>0</v>
      </c>
      <c r="HV140" s="498">
        <v>0</v>
      </c>
      <c r="HW140" s="498">
        <v>0</v>
      </c>
      <c r="HX140" s="498">
        <v>0</v>
      </c>
      <c r="HY140" s="498">
        <v>0</v>
      </c>
      <c r="HZ140" s="498">
        <v>0</v>
      </c>
      <c r="IA140" s="498">
        <v>0</v>
      </c>
      <c r="IB140" s="498">
        <v>0</v>
      </c>
      <c r="IC140" s="498">
        <v>0</v>
      </c>
      <c r="ID140" s="498">
        <v>0</v>
      </c>
      <c r="IE140" s="498">
        <v>0</v>
      </c>
      <c r="IF140" s="498">
        <v>0</v>
      </c>
      <c r="IG140" s="498">
        <v>0</v>
      </c>
      <c r="IH140" s="498">
        <v>0</v>
      </c>
      <c r="II140" s="498">
        <v>0</v>
      </c>
      <c r="IJ140" s="498">
        <v>0</v>
      </c>
    </row>
    <row r="141" spans="12:244" hidden="1">
      <c r="L141" s="497" t="s">
        <v>720</v>
      </c>
      <c r="M141" s="497" t="s">
        <v>617</v>
      </c>
      <c r="N141" s="497" t="s">
        <v>25</v>
      </c>
      <c r="O141" s="498">
        <v>55</v>
      </c>
      <c r="P141" s="494" t="str">
        <f t="shared" si="5"/>
        <v>AIJ100155</v>
      </c>
      <c r="Q141" s="498">
        <v>20000</v>
      </c>
      <c r="R141" s="498">
        <v>20000</v>
      </c>
      <c r="S141" s="498">
        <v>20000</v>
      </c>
      <c r="T141" s="498">
        <v>20000</v>
      </c>
      <c r="U141" s="498">
        <v>20000</v>
      </c>
      <c r="V141" s="498">
        <v>20000</v>
      </c>
      <c r="W141" s="498">
        <v>20000</v>
      </c>
      <c r="X141" s="498">
        <v>20000</v>
      </c>
      <c r="Y141" s="498">
        <v>20000</v>
      </c>
      <c r="Z141" s="498">
        <v>20000</v>
      </c>
      <c r="AA141" s="498">
        <v>0</v>
      </c>
      <c r="AB141" s="498">
        <v>0</v>
      </c>
      <c r="AC141" s="498">
        <v>0</v>
      </c>
      <c r="AD141" s="498">
        <v>0</v>
      </c>
      <c r="AE141" s="498">
        <v>0</v>
      </c>
      <c r="AF141" s="498">
        <v>0</v>
      </c>
      <c r="AG141" s="498">
        <v>0</v>
      </c>
      <c r="AH141" s="498">
        <v>0</v>
      </c>
      <c r="AI141" s="498">
        <v>0</v>
      </c>
      <c r="AJ141" s="498">
        <v>0</v>
      </c>
      <c r="AK141" s="498">
        <v>0</v>
      </c>
      <c r="AL141" s="498">
        <v>0</v>
      </c>
      <c r="AM141" s="498">
        <v>0</v>
      </c>
      <c r="AN141" s="498">
        <v>0</v>
      </c>
      <c r="AO141" s="498">
        <v>0</v>
      </c>
      <c r="AP141" s="498">
        <v>0</v>
      </c>
      <c r="AQ141" s="498">
        <v>0</v>
      </c>
      <c r="AR141" s="498">
        <v>0</v>
      </c>
      <c r="AS141" s="498">
        <v>0</v>
      </c>
      <c r="AT141" s="498">
        <v>0</v>
      </c>
      <c r="AU141" s="498">
        <v>0</v>
      </c>
      <c r="AV141" s="498">
        <v>0</v>
      </c>
      <c r="AW141" s="498">
        <v>0</v>
      </c>
      <c r="AX141" s="498">
        <v>0</v>
      </c>
      <c r="AY141" s="498">
        <v>0</v>
      </c>
      <c r="AZ141" s="498">
        <v>0</v>
      </c>
      <c r="BA141" s="498">
        <v>0</v>
      </c>
      <c r="BB141" s="498">
        <v>0</v>
      </c>
      <c r="BC141" s="498">
        <v>0</v>
      </c>
      <c r="BD141" s="498">
        <v>0</v>
      </c>
      <c r="BE141" s="498">
        <v>0</v>
      </c>
      <c r="BF141" s="498">
        <v>0</v>
      </c>
      <c r="BG141" s="498">
        <v>0</v>
      </c>
      <c r="BH141" s="498">
        <v>0</v>
      </c>
      <c r="BI141" s="498">
        <v>0</v>
      </c>
      <c r="BJ141" s="498">
        <v>0</v>
      </c>
      <c r="BK141" s="498">
        <v>0</v>
      </c>
      <c r="BL141" s="498">
        <v>0</v>
      </c>
      <c r="BM141" s="498">
        <v>0</v>
      </c>
      <c r="BN141" s="498">
        <v>0</v>
      </c>
      <c r="BO141" s="498">
        <v>0</v>
      </c>
      <c r="BP141" s="498">
        <v>0</v>
      </c>
      <c r="BQ141" s="498">
        <v>0</v>
      </c>
      <c r="BR141" s="498">
        <v>0</v>
      </c>
      <c r="BS141" s="498">
        <v>0</v>
      </c>
      <c r="BT141" s="498">
        <v>0</v>
      </c>
      <c r="BU141" s="498">
        <v>0</v>
      </c>
      <c r="BV141" s="498">
        <v>0</v>
      </c>
      <c r="BW141" s="498">
        <v>0</v>
      </c>
      <c r="BX141" s="498">
        <v>0</v>
      </c>
      <c r="BY141" s="498">
        <v>0</v>
      </c>
      <c r="BZ141" s="498">
        <v>0</v>
      </c>
      <c r="CA141" s="498">
        <v>0</v>
      </c>
      <c r="CB141" s="498">
        <v>0</v>
      </c>
      <c r="CC141" s="498">
        <v>0</v>
      </c>
      <c r="CD141" s="498">
        <v>0</v>
      </c>
      <c r="CE141" s="498">
        <v>0</v>
      </c>
      <c r="CF141" s="498">
        <v>0</v>
      </c>
      <c r="CG141" s="498">
        <v>0</v>
      </c>
      <c r="CH141" s="498">
        <v>0</v>
      </c>
      <c r="CI141" s="498">
        <v>0</v>
      </c>
      <c r="CJ141" s="498">
        <v>0</v>
      </c>
      <c r="CK141" s="498">
        <v>0</v>
      </c>
      <c r="CL141" s="498">
        <v>0</v>
      </c>
      <c r="CM141" s="498">
        <v>0</v>
      </c>
      <c r="CN141" s="498">
        <v>0</v>
      </c>
      <c r="CO141" s="498">
        <v>0</v>
      </c>
      <c r="CP141" s="498">
        <v>0</v>
      </c>
      <c r="CQ141" s="498">
        <v>0</v>
      </c>
      <c r="CR141" s="498">
        <v>0</v>
      </c>
      <c r="CS141" s="498">
        <v>0</v>
      </c>
      <c r="CT141" s="498">
        <v>0</v>
      </c>
      <c r="CU141" s="498">
        <v>0</v>
      </c>
      <c r="CV141" s="498">
        <v>0</v>
      </c>
      <c r="CW141" s="498">
        <v>0</v>
      </c>
      <c r="CX141" s="498">
        <v>0</v>
      </c>
      <c r="CY141" s="498">
        <v>0</v>
      </c>
      <c r="CZ141" s="498">
        <v>0</v>
      </c>
      <c r="DA141" s="498">
        <v>0</v>
      </c>
      <c r="DB141" s="498">
        <v>0</v>
      </c>
      <c r="DC141" s="498">
        <v>0</v>
      </c>
      <c r="DD141" s="498">
        <v>0</v>
      </c>
      <c r="DE141" s="498">
        <v>0</v>
      </c>
      <c r="DF141" s="498">
        <v>0</v>
      </c>
      <c r="DG141" s="498">
        <v>0</v>
      </c>
      <c r="DH141" s="498">
        <v>0</v>
      </c>
      <c r="DI141" s="498">
        <v>0</v>
      </c>
      <c r="DJ141" s="498">
        <v>0</v>
      </c>
      <c r="DK141" s="498">
        <v>0</v>
      </c>
      <c r="DL141" s="498">
        <v>0</v>
      </c>
      <c r="DM141" s="498">
        <v>0</v>
      </c>
      <c r="DN141" s="498">
        <v>0</v>
      </c>
      <c r="DO141" s="498">
        <v>0</v>
      </c>
      <c r="DP141" s="498">
        <v>0</v>
      </c>
      <c r="DQ141" s="498">
        <v>0</v>
      </c>
      <c r="DR141" s="498">
        <v>0</v>
      </c>
      <c r="DS141" s="498">
        <v>0</v>
      </c>
      <c r="DT141" s="498">
        <v>0</v>
      </c>
      <c r="DU141" s="498">
        <v>0</v>
      </c>
      <c r="DV141" s="498">
        <v>0</v>
      </c>
      <c r="DW141" s="498">
        <v>0</v>
      </c>
      <c r="DX141" s="477"/>
      <c r="DY141" s="497" t="s">
        <v>720</v>
      </c>
      <c r="DZ141" s="497" t="s">
        <v>617</v>
      </c>
      <c r="EA141" s="497" t="s">
        <v>25</v>
      </c>
      <c r="EB141" s="498">
        <v>55</v>
      </c>
      <c r="EC141" s="494" t="str">
        <f t="shared" si="6"/>
        <v>AIJ100155</v>
      </c>
      <c r="ED141" s="498">
        <v>0</v>
      </c>
      <c r="EE141" s="498">
        <v>354</v>
      </c>
      <c r="EF141" s="498">
        <v>731</v>
      </c>
      <c r="EG141" s="498">
        <v>1101</v>
      </c>
      <c r="EH141" s="498">
        <v>1614</v>
      </c>
      <c r="EI141" s="498">
        <v>2083</v>
      </c>
      <c r="EJ141" s="498">
        <v>2855</v>
      </c>
      <c r="EK141" s="498">
        <v>3900</v>
      </c>
      <c r="EL141" s="498">
        <v>5394</v>
      </c>
      <c r="EM141" s="498">
        <v>0</v>
      </c>
      <c r="EN141" s="498">
        <v>0</v>
      </c>
      <c r="EO141" s="498">
        <v>0</v>
      </c>
      <c r="EP141" s="498">
        <v>0</v>
      </c>
      <c r="EQ141" s="498">
        <v>0</v>
      </c>
      <c r="ER141" s="498">
        <v>0</v>
      </c>
      <c r="ES141" s="498">
        <v>0</v>
      </c>
      <c r="ET141" s="498">
        <v>0</v>
      </c>
      <c r="EU141" s="498">
        <v>0</v>
      </c>
      <c r="EV141" s="498">
        <v>0</v>
      </c>
      <c r="EW141" s="498">
        <v>0</v>
      </c>
      <c r="EX141" s="498">
        <v>0</v>
      </c>
      <c r="EY141" s="498">
        <v>0</v>
      </c>
      <c r="EZ141" s="498">
        <v>0</v>
      </c>
      <c r="FA141" s="498">
        <v>0</v>
      </c>
      <c r="FB141" s="498">
        <v>0</v>
      </c>
      <c r="FC141" s="498">
        <v>0</v>
      </c>
      <c r="FD141" s="498">
        <v>0</v>
      </c>
      <c r="FE141" s="498">
        <v>0</v>
      </c>
      <c r="FF141" s="498">
        <v>0</v>
      </c>
      <c r="FG141" s="498">
        <v>0</v>
      </c>
      <c r="FH141" s="498">
        <v>0</v>
      </c>
      <c r="FI141" s="498">
        <v>0</v>
      </c>
      <c r="FJ141" s="498">
        <v>0</v>
      </c>
      <c r="FK141" s="498">
        <v>0</v>
      </c>
      <c r="FL141" s="498">
        <v>0</v>
      </c>
      <c r="FM141" s="498">
        <v>0</v>
      </c>
      <c r="FN141" s="498">
        <v>0</v>
      </c>
      <c r="FO141" s="498">
        <v>0</v>
      </c>
      <c r="FP141" s="498">
        <v>0</v>
      </c>
      <c r="FQ141" s="498">
        <v>0</v>
      </c>
      <c r="FR141" s="498">
        <v>0</v>
      </c>
      <c r="FS141" s="498">
        <v>0</v>
      </c>
      <c r="FT141" s="498">
        <v>0</v>
      </c>
      <c r="FU141" s="498">
        <v>0</v>
      </c>
      <c r="FV141" s="498">
        <v>0</v>
      </c>
      <c r="FW141" s="498">
        <v>0</v>
      </c>
      <c r="FX141" s="498">
        <v>0</v>
      </c>
      <c r="FY141" s="498">
        <v>0</v>
      </c>
      <c r="FZ141" s="498">
        <v>0</v>
      </c>
      <c r="GA141" s="498">
        <v>0</v>
      </c>
      <c r="GB141" s="498">
        <v>0</v>
      </c>
      <c r="GC141" s="498">
        <v>0</v>
      </c>
      <c r="GD141" s="498">
        <v>0</v>
      </c>
      <c r="GE141" s="498">
        <v>0</v>
      </c>
      <c r="GF141" s="498">
        <v>0</v>
      </c>
      <c r="GG141" s="498">
        <v>0</v>
      </c>
      <c r="GH141" s="498">
        <v>0</v>
      </c>
      <c r="GI141" s="498">
        <v>0</v>
      </c>
      <c r="GJ141" s="498">
        <v>0</v>
      </c>
      <c r="GK141" s="498">
        <v>0</v>
      </c>
      <c r="GL141" s="498">
        <v>0</v>
      </c>
      <c r="GM141" s="498">
        <v>0</v>
      </c>
      <c r="GN141" s="498">
        <v>0</v>
      </c>
      <c r="GO141" s="498">
        <v>0</v>
      </c>
      <c r="GP141" s="498">
        <v>0</v>
      </c>
      <c r="GQ141" s="498">
        <v>0</v>
      </c>
      <c r="GR141" s="498">
        <v>0</v>
      </c>
      <c r="GS141" s="498">
        <v>0</v>
      </c>
      <c r="GT141" s="498">
        <v>0</v>
      </c>
      <c r="GU141" s="498">
        <v>0</v>
      </c>
      <c r="GV141" s="498">
        <v>0</v>
      </c>
      <c r="GW141" s="498">
        <v>0</v>
      </c>
      <c r="GX141" s="498">
        <v>0</v>
      </c>
      <c r="GY141" s="498">
        <v>0</v>
      </c>
      <c r="GZ141" s="498">
        <v>0</v>
      </c>
      <c r="HA141" s="498">
        <v>0</v>
      </c>
      <c r="HB141" s="498">
        <v>0</v>
      </c>
      <c r="HC141" s="498">
        <v>0</v>
      </c>
      <c r="HD141" s="498">
        <v>0</v>
      </c>
      <c r="HE141" s="498">
        <v>0</v>
      </c>
      <c r="HF141" s="498">
        <v>0</v>
      </c>
      <c r="HG141" s="498">
        <v>0</v>
      </c>
      <c r="HH141" s="498">
        <v>0</v>
      </c>
      <c r="HI141" s="498">
        <v>0</v>
      </c>
      <c r="HJ141" s="498">
        <v>0</v>
      </c>
      <c r="HK141" s="498">
        <v>0</v>
      </c>
      <c r="HL141" s="498">
        <v>0</v>
      </c>
      <c r="HM141" s="498">
        <v>0</v>
      </c>
      <c r="HN141" s="498">
        <v>0</v>
      </c>
      <c r="HO141" s="498">
        <v>0</v>
      </c>
      <c r="HP141" s="498">
        <v>0</v>
      </c>
      <c r="HQ141" s="498">
        <v>0</v>
      </c>
      <c r="HR141" s="498">
        <v>0</v>
      </c>
      <c r="HS141" s="498">
        <v>0</v>
      </c>
      <c r="HT141" s="498">
        <v>0</v>
      </c>
      <c r="HU141" s="498">
        <v>0</v>
      </c>
      <c r="HV141" s="498">
        <v>0</v>
      </c>
      <c r="HW141" s="498">
        <v>0</v>
      </c>
      <c r="HX141" s="498">
        <v>0</v>
      </c>
      <c r="HY141" s="498">
        <v>0</v>
      </c>
      <c r="HZ141" s="498">
        <v>0</v>
      </c>
      <c r="IA141" s="498">
        <v>0</v>
      </c>
      <c r="IB141" s="498">
        <v>0</v>
      </c>
      <c r="IC141" s="498">
        <v>0</v>
      </c>
      <c r="ID141" s="498">
        <v>0</v>
      </c>
      <c r="IE141" s="498">
        <v>0</v>
      </c>
      <c r="IF141" s="498">
        <v>0</v>
      </c>
      <c r="IG141" s="498">
        <v>0</v>
      </c>
      <c r="IH141" s="498">
        <v>0</v>
      </c>
      <c r="II141" s="498">
        <v>0</v>
      </c>
      <c r="IJ141" s="498">
        <v>0</v>
      </c>
    </row>
    <row r="142" spans="12:244" hidden="1">
      <c r="L142" s="497" t="s">
        <v>720</v>
      </c>
      <c r="M142" s="497" t="s">
        <v>617</v>
      </c>
      <c r="N142" s="497" t="s">
        <v>25</v>
      </c>
      <c r="O142" s="498">
        <v>56</v>
      </c>
      <c r="P142" s="494" t="str">
        <f t="shared" si="5"/>
        <v>AIJ100156</v>
      </c>
      <c r="Q142" s="498">
        <v>20000</v>
      </c>
      <c r="R142" s="498">
        <v>20000</v>
      </c>
      <c r="S142" s="498">
        <v>20000</v>
      </c>
      <c r="T142" s="498">
        <v>20000</v>
      </c>
      <c r="U142" s="498">
        <v>20000</v>
      </c>
      <c r="V142" s="498">
        <v>20000</v>
      </c>
      <c r="W142" s="498">
        <v>20000</v>
      </c>
      <c r="X142" s="498">
        <v>20000</v>
      </c>
      <c r="Y142" s="498">
        <v>20000</v>
      </c>
      <c r="Z142" s="498">
        <v>20000</v>
      </c>
      <c r="AA142" s="498">
        <v>0</v>
      </c>
      <c r="AB142" s="498">
        <v>0</v>
      </c>
      <c r="AC142" s="498">
        <v>0</v>
      </c>
      <c r="AD142" s="498">
        <v>0</v>
      </c>
      <c r="AE142" s="498">
        <v>0</v>
      </c>
      <c r="AF142" s="498">
        <v>0</v>
      </c>
      <c r="AG142" s="498">
        <v>0</v>
      </c>
      <c r="AH142" s="498">
        <v>0</v>
      </c>
      <c r="AI142" s="498">
        <v>0</v>
      </c>
      <c r="AJ142" s="498">
        <v>0</v>
      </c>
      <c r="AK142" s="498">
        <v>0</v>
      </c>
      <c r="AL142" s="498">
        <v>0</v>
      </c>
      <c r="AM142" s="498">
        <v>0</v>
      </c>
      <c r="AN142" s="498">
        <v>0</v>
      </c>
      <c r="AO142" s="498">
        <v>0</v>
      </c>
      <c r="AP142" s="498">
        <v>0</v>
      </c>
      <c r="AQ142" s="498">
        <v>0</v>
      </c>
      <c r="AR142" s="498">
        <v>0</v>
      </c>
      <c r="AS142" s="498">
        <v>0</v>
      </c>
      <c r="AT142" s="498">
        <v>0</v>
      </c>
      <c r="AU142" s="498">
        <v>0</v>
      </c>
      <c r="AV142" s="498">
        <v>0</v>
      </c>
      <c r="AW142" s="498">
        <v>0</v>
      </c>
      <c r="AX142" s="498">
        <v>0</v>
      </c>
      <c r="AY142" s="498">
        <v>0</v>
      </c>
      <c r="AZ142" s="498">
        <v>0</v>
      </c>
      <c r="BA142" s="498">
        <v>0</v>
      </c>
      <c r="BB142" s="498">
        <v>0</v>
      </c>
      <c r="BC142" s="498">
        <v>0</v>
      </c>
      <c r="BD142" s="498">
        <v>0</v>
      </c>
      <c r="BE142" s="498">
        <v>0</v>
      </c>
      <c r="BF142" s="498">
        <v>0</v>
      </c>
      <c r="BG142" s="498">
        <v>0</v>
      </c>
      <c r="BH142" s="498">
        <v>0</v>
      </c>
      <c r="BI142" s="498">
        <v>0</v>
      </c>
      <c r="BJ142" s="498">
        <v>0</v>
      </c>
      <c r="BK142" s="498">
        <v>0</v>
      </c>
      <c r="BL142" s="498">
        <v>0</v>
      </c>
      <c r="BM142" s="498">
        <v>0</v>
      </c>
      <c r="BN142" s="498">
        <v>0</v>
      </c>
      <c r="BO142" s="498">
        <v>0</v>
      </c>
      <c r="BP142" s="498">
        <v>0</v>
      </c>
      <c r="BQ142" s="498">
        <v>0</v>
      </c>
      <c r="BR142" s="498">
        <v>0</v>
      </c>
      <c r="BS142" s="498">
        <v>0</v>
      </c>
      <c r="BT142" s="498">
        <v>0</v>
      </c>
      <c r="BU142" s="498">
        <v>0</v>
      </c>
      <c r="BV142" s="498">
        <v>0</v>
      </c>
      <c r="BW142" s="498">
        <v>0</v>
      </c>
      <c r="BX142" s="498">
        <v>0</v>
      </c>
      <c r="BY142" s="498">
        <v>0</v>
      </c>
      <c r="BZ142" s="498">
        <v>0</v>
      </c>
      <c r="CA142" s="498">
        <v>0</v>
      </c>
      <c r="CB142" s="498">
        <v>0</v>
      </c>
      <c r="CC142" s="498">
        <v>0</v>
      </c>
      <c r="CD142" s="498">
        <v>0</v>
      </c>
      <c r="CE142" s="498">
        <v>0</v>
      </c>
      <c r="CF142" s="498">
        <v>0</v>
      </c>
      <c r="CG142" s="498">
        <v>0</v>
      </c>
      <c r="CH142" s="498">
        <v>0</v>
      </c>
      <c r="CI142" s="498">
        <v>0</v>
      </c>
      <c r="CJ142" s="498">
        <v>0</v>
      </c>
      <c r="CK142" s="498">
        <v>0</v>
      </c>
      <c r="CL142" s="498">
        <v>0</v>
      </c>
      <c r="CM142" s="498">
        <v>0</v>
      </c>
      <c r="CN142" s="498">
        <v>0</v>
      </c>
      <c r="CO142" s="498">
        <v>0</v>
      </c>
      <c r="CP142" s="498">
        <v>0</v>
      </c>
      <c r="CQ142" s="498">
        <v>0</v>
      </c>
      <c r="CR142" s="498">
        <v>0</v>
      </c>
      <c r="CS142" s="498">
        <v>0</v>
      </c>
      <c r="CT142" s="498">
        <v>0</v>
      </c>
      <c r="CU142" s="498">
        <v>0</v>
      </c>
      <c r="CV142" s="498">
        <v>0</v>
      </c>
      <c r="CW142" s="498">
        <v>0</v>
      </c>
      <c r="CX142" s="498">
        <v>0</v>
      </c>
      <c r="CY142" s="498">
        <v>0</v>
      </c>
      <c r="CZ142" s="498">
        <v>0</v>
      </c>
      <c r="DA142" s="498">
        <v>0</v>
      </c>
      <c r="DB142" s="498">
        <v>0</v>
      </c>
      <c r="DC142" s="498">
        <v>0</v>
      </c>
      <c r="DD142" s="498">
        <v>0</v>
      </c>
      <c r="DE142" s="498">
        <v>0</v>
      </c>
      <c r="DF142" s="498">
        <v>0</v>
      </c>
      <c r="DG142" s="498">
        <v>0</v>
      </c>
      <c r="DH142" s="498">
        <v>0</v>
      </c>
      <c r="DI142" s="498">
        <v>0</v>
      </c>
      <c r="DJ142" s="498">
        <v>0</v>
      </c>
      <c r="DK142" s="498">
        <v>0</v>
      </c>
      <c r="DL142" s="498">
        <v>0</v>
      </c>
      <c r="DM142" s="498">
        <v>0</v>
      </c>
      <c r="DN142" s="498">
        <v>0</v>
      </c>
      <c r="DO142" s="498">
        <v>0</v>
      </c>
      <c r="DP142" s="498">
        <v>0</v>
      </c>
      <c r="DQ142" s="498">
        <v>0</v>
      </c>
      <c r="DR142" s="498">
        <v>0</v>
      </c>
      <c r="DS142" s="498">
        <v>0</v>
      </c>
      <c r="DT142" s="498">
        <v>0</v>
      </c>
      <c r="DU142" s="498">
        <v>0</v>
      </c>
      <c r="DV142" s="498">
        <v>0</v>
      </c>
      <c r="DW142" s="498">
        <v>0</v>
      </c>
      <c r="DX142" s="477"/>
      <c r="DY142" s="497" t="s">
        <v>720</v>
      </c>
      <c r="DZ142" s="497" t="s">
        <v>617</v>
      </c>
      <c r="EA142" s="497" t="s">
        <v>25</v>
      </c>
      <c r="EB142" s="498">
        <v>56</v>
      </c>
      <c r="EC142" s="494" t="str">
        <f t="shared" si="6"/>
        <v>AIJ100156</v>
      </c>
      <c r="ED142" s="498">
        <v>0</v>
      </c>
      <c r="EE142" s="498">
        <v>364</v>
      </c>
      <c r="EF142" s="498">
        <v>734</v>
      </c>
      <c r="EG142" s="498">
        <v>1114</v>
      </c>
      <c r="EH142" s="498">
        <v>1601</v>
      </c>
      <c r="EI142" s="498">
        <v>2098</v>
      </c>
      <c r="EJ142" s="498">
        <v>2877</v>
      </c>
      <c r="EK142" s="498">
        <v>3939</v>
      </c>
      <c r="EL142" s="498">
        <v>5403</v>
      </c>
      <c r="EM142" s="498">
        <v>0</v>
      </c>
      <c r="EN142" s="498">
        <v>0</v>
      </c>
      <c r="EO142" s="498">
        <v>0</v>
      </c>
      <c r="EP142" s="498">
        <v>0</v>
      </c>
      <c r="EQ142" s="498">
        <v>0</v>
      </c>
      <c r="ER142" s="498">
        <v>0</v>
      </c>
      <c r="ES142" s="498">
        <v>0</v>
      </c>
      <c r="ET142" s="498">
        <v>0</v>
      </c>
      <c r="EU142" s="498">
        <v>0</v>
      </c>
      <c r="EV142" s="498">
        <v>0</v>
      </c>
      <c r="EW142" s="498">
        <v>0</v>
      </c>
      <c r="EX142" s="498">
        <v>0</v>
      </c>
      <c r="EY142" s="498">
        <v>0</v>
      </c>
      <c r="EZ142" s="498">
        <v>0</v>
      </c>
      <c r="FA142" s="498">
        <v>0</v>
      </c>
      <c r="FB142" s="498">
        <v>0</v>
      </c>
      <c r="FC142" s="498">
        <v>0</v>
      </c>
      <c r="FD142" s="498">
        <v>0</v>
      </c>
      <c r="FE142" s="498">
        <v>0</v>
      </c>
      <c r="FF142" s="498">
        <v>0</v>
      </c>
      <c r="FG142" s="498">
        <v>0</v>
      </c>
      <c r="FH142" s="498">
        <v>0</v>
      </c>
      <c r="FI142" s="498">
        <v>0</v>
      </c>
      <c r="FJ142" s="498">
        <v>0</v>
      </c>
      <c r="FK142" s="498">
        <v>0</v>
      </c>
      <c r="FL142" s="498">
        <v>0</v>
      </c>
      <c r="FM142" s="498">
        <v>0</v>
      </c>
      <c r="FN142" s="498">
        <v>0</v>
      </c>
      <c r="FO142" s="498">
        <v>0</v>
      </c>
      <c r="FP142" s="498">
        <v>0</v>
      </c>
      <c r="FQ142" s="498">
        <v>0</v>
      </c>
      <c r="FR142" s="498">
        <v>0</v>
      </c>
      <c r="FS142" s="498">
        <v>0</v>
      </c>
      <c r="FT142" s="498">
        <v>0</v>
      </c>
      <c r="FU142" s="498">
        <v>0</v>
      </c>
      <c r="FV142" s="498">
        <v>0</v>
      </c>
      <c r="FW142" s="498">
        <v>0</v>
      </c>
      <c r="FX142" s="498">
        <v>0</v>
      </c>
      <c r="FY142" s="498">
        <v>0</v>
      </c>
      <c r="FZ142" s="498">
        <v>0</v>
      </c>
      <c r="GA142" s="498">
        <v>0</v>
      </c>
      <c r="GB142" s="498">
        <v>0</v>
      </c>
      <c r="GC142" s="498">
        <v>0</v>
      </c>
      <c r="GD142" s="498">
        <v>0</v>
      </c>
      <c r="GE142" s="498">
        <v>0</v>
      </c>
      <c r="GF142" s="498">
        <v>0</v>
      </c>
      <c r="GG142" s="498">
        <v>0</v>
      </c>
      <c r="GH142" s="498">
        <v>0</v>
      </c>
      <c r="GI142" s="498">
        <v>0</v>
      </c>
      <c r="GJ142" s="498">
        <v>0</v>
      </c>
      <c r="GK142" s="498">
        <v>0</v>
      </c>
      <c r="GL142" s="498">
        <v>0</v>
      </c>
      <c r="GM142" s="498">
        <v>0</v>
      </c>
      <c r="GN142" s="498">
        <v>0</v>
      </c>
      <c r="GO142" s="498">
        <v>0</v>
      </c>
      <c r="GP142" s="498">
        <v>0</v>
      </c>
      <c r="GQ142" s="498">
        <v>0</v>
      </c>
      <c r="GR142" s="498">
        <v>0</v>
      </c>
      <c r="GS142" s="498">
        <v>0</v>
      </c>
      <c r="GT142" s="498">
        <v>0</v>
      </c>
      <c r="GU142" s="498">
        <v>0</v>
      </c>
      <c r="GV142" s="498">
        <v>0</v>
      </c>
      <c r="GW142" s="498">
        <v>0</v>
      </c>
      <c r="GX142" s="498">
        <v>0</v>
      </c>
      <c r="GY142" s="498">
        <v>0</v>
      </c>
      <c r="GZ142" s="498">
        <v>0</v>
      </c>
      <c r="HA142" s="498">
        <v>0</v>
      </c>
      <c r="HB142" s="498">
        <v>0</v>
      </c>
      <c r="HC142" s="498">
        <v>0</v>
      </c>
      <c r="HD142" s="498">
        <v>0</v>
      </c>
      <c r="HE142" s="498">
        <v>0</v>
      </c>
      <c r="HF142" s="498">
        <v>0</v>
      </c>
      <c r="HG142" s="498">
        <v>0</v>
      </c>
      <c r="HH142" s="498">
        <v>0</v>
      </c>
      <c r="HI142" s="498">
        <v>0</v>
      </c>
      <c r="HJ142" s="498">
        <v>0</v>
      </c>
      <c r="HK142" s="498">
        <v>0</v>
      </c>
      <c r="HL142" s="498">
        <v>0</v>
      </c>
      <c r="HM142" s="498">
        <v>0</v>
      </c>
      <c r="HN142" s="498">
        <v>0</v>
      </c>
      <c r="HO142" s="498">
        <v>0</v>
      </c>
      <c r="HP142" s="498">
        <v>0</v>
      </c>
      <c r="HQ142" s="498">
        <v>0</v>
      </c>
      <c r="HR142" s="498">
        <v>0</v>
      </c>
      <c r="HS142" s="498">
        <v>0</v>
      </c>
      <c r="HT142" s="498">
        <v>0</v>
      </c>
      <c r="HU142" s="498">
        <v>0</v>
      </c>
      <c r="HV142" s="498">
        <v>0</v>
      </c>
      <c r="HW142" s="498">
        <v>0</v>
      </c>
      <c r="HX142" s="498">
        <v>0</v>
      </c>
      <c r="HY142" s="498">
        <v>0</v>
      </c>
      <c r="HZ142" s="498">
        <v>0</v>
      </c>
      <c r="IA142" s="498">
        <v>0</v>
      </c>
      <c r="IB142" s="498">
        <v>0</v>
      </c>
      <c r="IC142" s="498">
        <v>0</v>
      </c>
      <c r="ID142" s="498">
        <v>0</v>
      </c>
      <c r="IE142" s="498">
        <v>0</v>
      </c>
      <c r="IF142" s="498">
        <v>0</v>
      </c>
      <c r="IG142" s="498">
        <v>0</v>
      </c>
      <c r="IH142" s="498">
        <v>0</v>
      </c>
      <c r="II142" s="498">
        <v>0</v>
      </c>
      <c r="IJ142" s="498">
        <v>0</v>
      </c>
    </row>
    <row r="143" spans="12:244" hidden="1">
      <c r="L143" s="497" t="s">
        <v>720</v>
      </c>
      <c r="M143" s="497" t="s">
        <v>617</v>
      </c>
      <c r="N143" s="497" t="s">
        <v>25</v>
      </c>
      <c r="O143" s="498">
        <v>57</v>
      </c>
      <c r="P143" s="494" t="str">
        <f t="shared" si="5"/>
        <v>AIJ100157</v>
      </c>
      <c r="Q143" s="498">
        <v>20000</v>
      </c>
      <c r="R143" s="498">
        <v>20000</v>
      </c>
      <c r="S143" s="498">
        <v>20000</v>
      </c>
      <c r="T143" s="498">
        <v>20000</v>
      </c>
      <c r="U143" s="498">
        <v>20000</v>
      </c>
      <c r="V143" s="498">
        <v>20000</v>
      </c>
      <c r="W143" s="498">
        <v>20000</v>
      </c>
      <c r="X143" s="498">
        <v>20000</v>
      </c>
      <c r="Y143" s="498">
        <v>20000</v>
      </c>
      <c r="Z143" s="498">
        <v>20000</v>
      </c>
      <c r="AA143" s="498">
        <v>0</v>
      </c>
      <c r="AB143" s="498">
        <v>0</v>
      </c>
      <c r="AC143" s="498">
        <v>0</v>
      </c>
      <c r="AD143" s="498">
        <v>0</v>
      </c>
      <c r="AE143" s="498">
        <v>0</v>
      </c>
      <c r="AF143" s="498">
        <v>0</v>
      </c>
      <c r="AG143" s="498">
        <v>0</v>
      </c>
      <c r="AH143" s="498">
        <v>0</v>
      </c>
      <c r="AI143" s="498">
        <v>0</v>
      </c>
      <c r="AJ143" s="498">
        <v>0</v>
      </c>
      <c r="AK143" s="498">
        <v>0</v>
      </c>
      <c r="AL143" s="498">
        <v>0</v>
      </c>
      <c r="AM143" s="498">
        <v>0</v>
      </c>
      <c r="AN143" s="498">
        <v>0</v>
      </c>
      <c r="AO143" s="498">
        <v>0</v>
      </c>
      <c r="AP143" s="498">
        <v>0</v>
      </c>
      <c r="AQ143" s="498">
        <v>0</v>
      </c>
      <c r="AR143" s="498">
        <v>0</v>
      </c>
      <c r="AS143" s="498">
        <v>0</v>
      </c>
      <c r="AT143" s="498">
        <v>0</v>
      </c>
      <c r="AU143" s="498">
        <v>0</v>
      </c>
      <c r="AV143" s="498">
        <v>0</v>
      </c>
      <c r="AW143" s="498">
        <v>0</v>
      </c>
      <c r="AX143" s="498">
        <v>0</v>
      </c>
      <c r="AY143" s="498">
        <v>0</v>
      </c>
      <c r="AZ143" s="498">
        <v>0</v>
      </c>
      <c r="BA143" s="498">
        <v>0</v>
      </c>
      <c r="BB143" s="498">
        <v>0</v>
      </c>
      <c r="BC143" s="498">
        <v>0</v>
      </c>
      <c r="BD143" s="498">
        <v>0</v>
      </c>
      <c r="BE143" s="498">
        <v>0</v>
      </c>
      <c r="BF143" s="498">
        <v>0</v>
      </c>
      <c r="BG143" s="498">
        <v>0</v>
      </c>
      <c r="BH143" s="498">
        <v>0</v>
      </c>
      <c r="BI143" s="498">
        <v>0</v>
      </c>
      <c r="BJ143" s="498">
        <v>0</v>
      </c>
      <c r="BK143" s="498">
        <v>0</v>
      </c>
      <c r="BL143" s="498">
        <v>0</v>
      </c>
      <c r="BM143" s="498">
        <v>0</v>
      </c>
      <c r="BN143" s="498">
        <v>0</v>
      </c>
      <c r="BO143" s="498">
        <v>0</v>
      </c>
      <c r="BP143" s="498">
        <v>0</v>
      </c>
      <c r="BQ143" s="498">
        <v>0</v>
      </c>
      <c r="BR143" s="498">
        <v>0</v>
      </c>
      <c r="BS143" s="498">
        <v>0</v>
      </c>
      <c r="BT143" s="498">
        <v>0</v>
      </c>
      <c r="BU143" s="498">
        <v>0</v>
      </c>
      <c r="BV143" s="498">
        <v>0</v>
      </c>
      <c r="BW143" s="498">
        <v>0</v>
      </c>
      <c r="BX143" s="498">
        <v>0</v>
      </c>
      <c r="BY143" s="498">
        <v>0</v>
      </c>
      <c r="BZ143" s="498">
        <v>0</v>
      </c>
      <c r="CA143" s="498">
        <v>0</v>
      </c>
      <c r="CB143" s="498">
        <v>0</v>
      </c>
      <c r="CC143" s="498">
        <v>0</v>
      </c>
      <c r="CD143" s="498">
        <v>0</v>
      </c>
      <c r="CE143" s="498">
        <v>0</v>
      </c>
      <c r="CF143" s="498">
        <v>0</v>
      </c>
      <c r="CG143" s="498">
        <v>0</v>
      </c>
      <c r="CH143" s="498">
        <v>0</v>
      </c>
      <c r="CI143" s="498">
        <v>0</v>
      </c>
      <c r="CJ143" s="498">
        <v>0</v>
      </c>
      <c r="CK143" s="498">
        <v>0</v>
      </c>
      <c r="CL143" s="498">
        <v>0</v>
      </c>
      <c r="CM143" s="498">
        <v>0</v>
      </c>
      <c r="CN143" s="498">
        <v>0</v>
      </c>
      <c r="CO143" s="498">
        <v>0</v>
      </c>
      <c r="CP143" s="498">
        <v>0</v>
      </c>
      <c r="CQ143" s="498">
        <v>0</v>
      </c>
      <c r="CR143" s="498">
        <v>0</v>
      </c>
      <c r="CS143" s="498">
        <v>0</v>
      </c>
      <c r="CT143" s="498">
        <v>0</v>
      </c>
      <c r="CU143" s="498">
        <v>0</v>
      </c>
      <c r="CV143" s="498">
        <v>0</v>
      </c>
      <c r="CW143" s="498">
        <v>0</v>
      </c>
      <c r="CX143" s="498">
        <v>0</v>
      </c>
      <c r="CY143" s="498">
        <v>0</v>
      </c>
      <c r="CZ143" s="498">
        <v>0</v>
      </c>
      <c r="DA143" s="498">
        <v>0</v>
      </c>
      <c r="DB143" s="498">
        <v>0</v>
      </c>
      <c r="DC143" s="498">
        <v>0</v>
      </c>
      <c r="DD143" s="498">
        <v>0</v>
      </c>
      <c r="DE143" s="498">
        <v>0</v>
      </c>
      <c r="DF143" s="498">
        <v>0</v>
      </c>
      <c r="DG143" s="498">
        <v>0</v>
      </c>
      <c r="DH143" s="498">
        <v>0</v>
      </c>
      <c r="DI143" s="498">
        <v>0</v>
      </c>
      <c r="DJ143" s="498">
        <v>0</v>
      </c>
      <c r="DK143" s="498">
        <v>0</v>
      </c>
      <c r="DL143" s="498">
        <v>0</v>
      </c>
      <c r="DM143" s="498">
        <v>0</v>
      </c>
      <c r="DN143" s="498">
        <v>0</v>
      </c>
      <c r="DO143" s="498">
        <v>0</v>
      </c>
      <c r="DP143" s="498">
        <v>0</v>
      </c>
      <c r="DQ143" s="498">
        <v>0</v>
      </c>
      <c r="DR143" s="498">
        <v>0</v>
      </c>
      <c r="DS143" s="498">
        <v>0</v>
      </c>
      <c r="DT143" s="498">
        <v>0</v>
      </c>
      <c r="DU143" s="498">
        <v>0</v>
      </c>
      <c r="DV143" s="498">
        <v>0</v>
      </c>
      <c r="DW143" s="498">
        <v>0</v>
      </c>
      <c r="DX143" s="477"/>
      <c r="DY143" s="497" t="s">
        <v>720</v>
      </c>
      <c r="DZ143" s="497" t="s">
        <v>617</v>
      </c>
      <c r="EA143" s="497" t="s">
        <v>25</v>
      </c>
      <c r="EB143" s="498">
        <v>57</v>
      </c>
      <c r="EC143" s="494" t="str">
        <f t="shared" si="6"/>
        <v>AIJ100157</v>
      </c>
      <c r="ED143" s="498">
        <v>0</v>
      </c>
      <c r="EE143" s="498">
        <v>362</v>
      </c>
      <c r="EF143" s="498">
        <v>725</v>
      </c>
      <c r="EG143" s="498">
        <v>1102</v>
      </c>
      <c r="EH143" s="498">
        <v>1621</v>
      </c>
      <c r="EI143" s="498">
        <v>2117</v>
      </c>
      <c r="EJ143" s="498">
        <v>2897</v>
      </c>
      <c r="EK143" s="498">
        <v>3958</v>
      </c>
      <c r="EL143" s="498">
        <v>5409</v>
      </c>
      <c r="EM143" s="498">
        <v>0</v>
      </c>
      <c r="EN143" s="498">
        <v>0</v>
      </c>
      <c r="EO143" s="498">
        <v>0</v>
      </c>
      <c r="EP143" s="498">
        <v>0</v>
      </c>
      <c r="EQ143" s="498">
        <v>0</v>
      </c>
      <c r="ER143" s="498">
        <v>0</v>
      </c>
      <c r="ES143" s="498">
        <v>0</v>
      </c>
      <c r="ET143" s="498">
        <v>0</v>
      </c>
      <c r="EU143" s="498">
        <v>0</v>
      </c>
      <c r="EV143" s="498">
        <v>0</v>
      </c>
      <c r="EW143" s="498">
        <v>0</v>
      </c>
      <c r="EX143" s="498">
        <v>0</v>
      </c>
      <c r="EY143" s="498">
        <v>0</v>
      </c>
      <c r="EZ143" s="498">
        <v>0</v>
      </c>
      <c r="FA143" s="498">
        <v>0</v>
      </c>
      <c r="FB143" s="498">
        <v>0</v>
      </c>
      <c r="FC143" s="498">
        <v>0</v>
      </c>
      <c r="FD143" s="498">
        <v>0</v>
      </c>
      <c r="FE143" s="498">
        <v>0</v>
      </c>
      <c r="FF143" s="498">
        <v>0</v>
      </c>
      <c r="FG143" s="498">
        <v>0</v>
      </c>
      <c r="FH143" s="498">
        <v>0</v>
      </c>
      <c r="FI143" s="498">
        <v>0</v>
      </c>
      <c r="FJ143" s="498">
        <v>0</v>
      </c>
      <c r="FK143" s="498">
        <v>0</v>
      </c>
      <c r="FL143" s="498">
        <v>0</v>
      </c>
      <c r="FM143" s="498">
        <v>0</v>
      </c>
      <c r="FN143" s="498">
        <v>0</v>
      </c>
      <c r="FO143" s="498">
        <v>0</v>
      </c>
      <c r="FP143" s="498">
        <v>0</v>
      </c>
      <c r="FQ143" s="498">
        <v>0</v>
      </c>
      <c r="FR143" s="498">
        <v>0</v>
      </c>
      <c r="FS143" s="498">
        <v>0</v>
      </c>
      <c r="FT143" s="498">
        <v>0</v>
      </c>
      <c r="FU143" s="498">
        <v>0</v>
      </c>
      <c r="FV143" s="498">
        <v>0</v>
      </c>
      <c r="FW143" s="498">
        <v>0</v>
      </c>
      <c r="FX143" s="498">
        <v>0</v>
      </c>
      <c r="FY143" s="498">
        <v>0</v>
      </c>
      <c r="FZ143" s="498">
        <v>0</v>
      </c>
      <c r="GA143" s="498">
        <v>0</v>
      </c>
      <c r="GB143" s="498">
        <v>0</v>
      </c>
      <c r="GC143" s="498">
        <v>0</v>
      </c>
      <c r="GD143" s="498">
        <v>0</v>
      </c>
      <c r="GE143" s="498">
        <v>0</v>
      </c>
      <c r="GF143" s="498">
        <v>0</v>
      </c>
      <c r="GG143" s="498">
        <v>0</v>
      </c>
      <c r="GH143" s="498">
        <v>0</v>
      </c>
      <c r="GI143" s="498">
        <v>0</v>
      </c>
      <c r="GJ143" s="498">
        <v>0</v>
      </c>
      <c r="GK143" s="498">
        <v>0</v>
      </c>
      <c r="GL143" s="498">
        <v>0</v>
      </c>
      <c r="GM143" s="498">
        <v>0</v>
      </c>
      <c r="GN143" s="498">
        <v>0</v>
      </c>
      <c r="GO143" s="498">
        <v>0</v>
      </c>
      <c r="GP143" s="498">
        <v>0</v>
      </c>
      <c r="GQ143" s="498">
        <v>0</v>
      </c>
      <c r="GR143" s="498">
        <v>0</v>
      </c>
      <c r="GS143" s="498">
        <v>0</v>
      </c>
      <c r="GT143" s="498">
        <v>0</v>
      </c>
      <c r="GU143" s="498">
        <v>0</v>
      </c>
      <c r="GV143" s="498">
        <v>0</v>
      </c>
      <c r="GW143" s="498">
        <v>0</v>
      </c>
      <c r="GX143" s="498">
        <v>0</v>
      </c>
      <c r="GY143" s="498">
        <v>0</v>
      </c>
      <c r="GZ143" s="498">
        <v>0</v>
      </c>
      <c r="HA143" s="498">
        <v>0</v>
      </c>
      <c r="HB143" s="498">
        <v>0</v>
      </c>
      <c r="HC143" s="498">
        <v>0</v>
      </c>
      <c r="HD143" s="498">
        <v>0</v>
      </c>
      <c r="HE143" s="498">
        <v>0</v>
      </c>
      <c r="HF143" s="498">
        <v>0</v>
      </c>
      <c r="HG143" s="498">
        <v>0</v>
      </c>
      <c r="HH143" s="498">
        <v>0</v>
      </c>
      <c r="HI143" s="498">
        <v>0</v>
      </c>
      <c r="HJ143" s="498">
        <v>0</v>
      </c>
      <c r="HK143" s="498">
        <v>0</v>
      </c>
      <c r="HL143" s="498">
        <v>0</v>
      </c>
      <c r="HM143" s="498">
        <v>0</v>
      </c>
      <c r="HN143" s="498">
        <v>0</v>
      </c>
      <c r="HO143" s="498">
        <v>0</v>
      </c>
      <c r="HP143" s="498">
        <v>0</v>
      </c>
      <c r="HQ143" s="498">
        <v>0</v>
      </c>
      <c r="HR143" s="498">
        <v>0</v>
      </c>
      <c r="HS143" s="498">
        <v>0</v>
      </c>
      <c r="HT143" s="498">
        <v>0</v>
      </c>
      <c r="HU143" s="498">
        <v>0</v>
      </c>
      <c r="HV143" s="498">
        <v>0</v>
      </c>
      <c r="HW143" s="498">
        <v>0</v>
      </c>
      <c r="HX143" s="498">
        <v>0</v>
      </c>
      <c r="HY143" s="498">
        <v>0</v>
      </c>
      <c r="HZ143" s="498">
        <v>0</v>
      </c>
      <c r="IA143" s="498">
        <v>0</v>
      </c>
      <c r="IB143" s="498">
        <v>0</v>
      </c>
      <c r="IC143" s="498">
        <v>0</v>
      </c>
      <c r="ID143" s="498">
        <v>0</v>
      </c>
      <c r="IE143" s="498">
        <v>0</v>
      </c>
      <c r="IF143" s="498">
        <v>0</v>
      </c>
      <c r="IG143" s="498">
        <v>0</v>
      </c>
      <c r="IH143" s="498">
        <v>0</v>
      </c>
      <c r="II143" s="498">
        <v>0</v>
      </c>
      <c r="IJ143" s="498">
        <v>0</v>
      </c>
    </row>
    <row r="144" spans="12:244" hidden="1">
      <c r="L144" s="497" t="s">
        <v>720</v>
      </c>
      <c r="M144" s="497" t="s">
        <v>617</v>
      </c>
      <c r="N144" s="497" t="s">
        <v>25</v>
      </c>
      <c r="O144" s="498">
        <v>58</v>
      </c>
      <c r="P144" s="494" t="str">
        <f t="shared" si="5"/>
        <v>AIJ100158</v>
      </c>
      <c r="Q144" s="498">
        <v>20000</v>
      </c>
      <c r="R144" s="498">
        <v>20000</v>
      </c>
      <c r="S144" s="498">
        <v>20000</v>
      </c>
      <c r="T144" s="498">
        <v>20000</v>
      </c>
      <c r="U144" s="498">
        <v>20000</v>
      </c>
      <c r="V144" s="498">
        <v>20000</v>
      </c>
      <c r="W144" s="498">
        <v>20000</v>
      </c>
      <c r="X144" s="498">
        <v>20000</v>
      </c>
      <c r="Y144" s="498">
        <v>20000</v>
      </c>
      <c r="Z144" s="498">
        <v>20000</v>
      </c>
      <c r="AA144" s="498">
        <v>0</v>
      </c>
      <c r="AB144" s="498">
        <v>0</v>
      </c>
      <c r="AC144" s="498">
        <v>0</v>
      </c>
      <c r="AD144" s="498">
        <v>0</v>
      </c>
      <c r="AE144" s="498">
        <v>0</v>
      </c>
      <c r="AF144" s="498">
        <v>0</v>
      </c>
      <c r="AG144" s="498">
        <v>0</v>
      </c>
      <c r="AH144" s="498">
        <v>0</v>
      </c>
      <c r="AI144" s="498">
        <v>0</v>
      </c>
      <c r="AJ144" s="498">
        <v>0</v>
      </c>
      <c r="AK144" s="498">
        <v>0</v>
      </c>
      <c r="AL144" s="498">
        <v>0</v>
      </c>
      <c r="AM144" s="498">
        <v>0</v>
      </c>
      <c r="AN144" s="498">
        <v>0</v>
      </c>
      <c r="AO144" s="498">
        <v>0</v>
      </c>
      <c r="AP144" s="498">
        <v>0</v>
      </c>
      <c r="AQ144" s="498">
        <v>0</v>
      </c>
      <c r="AR144" s="498">
        <v>0</v>
      </c>
      <c r="AS144" s="498">
        <v>0</v>
      </c>
      <c r="AT144" s="498">
        <v>0</v>
      </c>
      <c r="AU144" s="498">
        <v>0</v>
      </c>
      <c r="AV144" s="498">
        <v>0</v>
      </c>
      <c r="AW144" s="498">
        <v>0</v>
      </c>
      <c r="AX144" s="498">
        <v>0</v>
      </c>
      <c r="AY144" s="498">
        <v>0</v>
      </c>
      <c r="AZ144" s="498">
        <v>0</v>
      </c>
      <c r="BA144" s="498">
        <v>0</v>
      </c>
      <c r="BB144" s="498">
        <v>0</v>
      </c>
      <c r="BC144" s="498">
        <v>0</v>
      </c>
      <c r="BD144" s="498">
        <v>0</v>
      </c>
      <c r="BE144" s="498">
        <v>0</v>
      </c>
      <c r="BF144" s="498">
        <v>0</v>
      </c>
      <c r="BG144" s="498">
        <v>0</v>
      </c>
      <c r="BH144" s="498">
        <v>0</v>
      </c>
      <c r="BI144" s="498">
        <v>0</v>
      </c>
      <c r="BJ144" s="498">
        <v>0</v>
      </c>
      <c r="BK144" s="498">
        <v>0</v>
      </c>
      <c r="BL144" s="498">
        <v>0</v>
      </c>
      <c r="BM144" s="498">
        <v>0</v>
      </c>
      <c r="BN144" s="498">
        <v>0</v>
      </c>
      <c r="BO144" s="498">
        <v>0</v>
      </c>
      <c r="BP144" s="498">
        <v>0</v>
      </c>
      <c r="BQ144" s="498">
        <v>0</v>
      </c>
      <c r="BR144" s="498">
        <v>0</v>
      </c>
      <c r="BS144" s="498">
        <v>0</v>
      </c>
      <c r="BT144" s="498">
        <v>0</v>
      </c>
      <c r="BU144" s="498">
        <v>0</v>
      </c>
      <c r="BV144" s="498">
        <v>0</v>
      </c>
      <c r="BW144" s="498">
        <v>0</v>
      </c>
      <c r="BX144" s="498">
        <v>0</v>
      </c>
      <c r="BY144" s="498">
        <v>0</v>
      </c>
      <c r="BZ144" s="498">
        <v>0</v>
      </c>
      <c r="CA144" s="498">
        <v>0</v>
      </c>
      <c r="CB144" s="498">
        <v>0</v>
      </c>
      <c r="CC144" s="498">
        <v>0</v>
      </c>
      <c r="CD144" s="498">
        <v>0</v>
      </c>
      <c r="CE144" s="498">
        <v>0</v>
      </c>
      <c r="CF144" s="498">
        <v>0</v>
      </c>
      <c r="CG144" s="498">
        <v>0</v>
      </c>
      <c r="CH144" s="498">
        <v>0</v>
      </c>
      <c r="CI144" s="498">
        <v>0</v>
      </c>
      <c r="CJ144" s="498">
        <v>0</v>
      </c>
      <c r="CK144" s="498">
        <v>0</v>
      </c>
      <c r="CL144" s="498">
        <v>0</v>
      </c>
      <c r="CM144" s="498">
        <v>0</v>
      </c>
      <c r="CN144" s="498">
        <v>0</v>
      </c>
      <c r="CO144" s="498">
        <v>0</v>
      </c>
      <c r="CP144" s="498">
        <v>0</v>
      </c>
      <c r="CQ144" s="498">
        <v>0</v>
      </c>
      <c r="CR144" s="498">
        <v>0</v>
      </c>
      <c r="CS144" s="498">
        <v>0</v>
      </c>
      <c r="CT144" s="498">
        <v>0</v>
      </c>
      <c r="CU144" s="498">
        <v>0</v>
      </c>
      <c r="CV144" s="498">
        <v>0</v>
      </c>
      <c r="CW144" s="498">
        <v>0</v>
      </c>
      <c r="CX144" s="498">
        <v>0</v>
      </c>
      <c r="CY144" s="498">
        <v>0</v>
      </c>
      <c r="CZ144" s="498">
        <v>0</v>
      </c>
      <c r="DA144" s="498">
        <v>0</v>
      </c>
      <c r="DB144" s="498">
        <v>0</v>
      </c>
      <c r="DC144" s="498">
        <v>0</v>
      </c>
      <c r="DD144" s="498">
        <v>0</v>
      </c>
      <c r="DE144" s="498">
        <v>0</v>
      </c>
      <c r="DF144" s="498">
        <v>0</v>
      </c>
      <c r="DG144" s="498">
        <v>0</v>
      </c>
      <c r="DH144" s="498">
        <v>0</v>
      </c>
      <c r="DI144" s="498">
        <v>0</v>
      </c>
      <c r="DJ144" s="498">
        <v>0</v>
      </c>
      <c r="DK144" s="498">
        <v>0</v>
      </c>
      <c r="DL144" s="498">
        <v>0</v>
      </c>
      <c r="DM144" s="498">
        <v>0</v>
      </c>
      <c r="DN144" s="498">
        <v>0</v>
      </c>
      <c r="DO144" s="498">
        <v>0</v>
      </c>
      <c r="DP144" s="498">
        <v>0</v>
      </c>
      <c r="DQ144" s="498">
        <v>0</v>
      </c>
      <c r="DR144" s="498">
        <v>0</v>
      </c>
      <c r="DS144" s="498">
        <v>0</v>
      </c>
      <c r="DT144" s="498">
        <v>0</v>
      </c>
      <c r="DU144" s="498">
        <v>0</v>
      </c>
      <c r="DV144" s="498">
        <v>0</v>
      </c>
      <c r="DW144" s="498">
        <v>0</v>
      </c>
      <c r="DX144" s="477"/>
      <c r="DY144" s="497" t="s">
        <v>720</v>
      </c>
      <c r="DZ144" s="497" t="s">
        <v>617</v>
      </c>
      <c r="EA144" s="497" t="s">
        <v>25</v>
      </c>
      <c r="EB144" s="498">
        <v>58</v>
      </c>
      <c r="EC144" s="494" t="str">
        <f t="shared" si="6"/>
        <v>AIJ100158</v>
      </c>
      <c r="ED144" s="498">
        <v>0</v>
      </c>
      <c r="EE144" s="498">
        <v>352</v>
      </c>
      <c r="EF144" s="498">
        <v>715</v>
      </c>
      <c r="EG144" s="498">
        <v>1110</v>
      </c>
      <c r="EH144" s="498">
        <v>1638</v>
      </c>
      <c r="EI144" s="498">
        <v>2134</v>
      </c>
      <c r="EJ144" s="498">
        <v>2913</v>
      </c>
      <c r="EK144" s="498">
        <v>3977</v>
      </c>
      <c r="EL144" s="498">
        <v>5425</v>
      </c>
      <c r="EM144" s="498">
        <v>0</v>
      </c>
      <c r="EN144" s="498">
        <v>0</v>
      </c>
      <c r="EO144" s="498">
        <v>0</v>
      </c>
      <c r="EP144" s="498">
        <v>0</v>
      </c>
      <c r="EQ144" s="498">
        <v>0</v>
      </c>
      <c r="ER144" s="498">
        <v>0</v>
      </c>
      <c r="ES144" s="498">
        <v>0</v>
      </c>
      <c r="ET144" s="498">
        <v>0</v>
      </c>
      <c r="EU144" s="498">
        <v>0</v>
      </c>
      <c r="EV144" s="498">
        <v>0</v>
      </c>
      <c r="EW144" s="498">
        <v>0</v>
      </c>
      <c r="EX144" s="498">
        <v>0</v>
      </c>
      <c r="EY144" s="498">
        <v>0</v>
      </c>
      <c r="EZ144" s="498">
        <v>0</v>
      </c>
      <c r="FA144" s="498">
        <v>0</v>
      </c>
      <c r="FB144" s="498">
        <v>0</v>
      </c>
      <c r="FC144" s="498">
        <v>0</v>
      </c>
      <c r="FD144" s="498">
        <v>0</v>
      </c>
      <c r="FE144" s="498">
        <v>0</v>
      </c>
      <c r="FF144" s="498">
        <v>0</v>
      </c>
      <c r="FG144" s="498">
        <v>0</v>
      </c>
      <c r="FH144" s="498">
        <v>0</v>
      </c>
      <c r="FI144" s="498">
        <v>0</v>
      </c>
      <c r="FJ144" s="498">
        <v>0</v>
      </c>
      <c r="FK144" s="498">
        <v>0</v>
      </c>
      <c r="FL144" s="498">
        <v>0</v>
      </c>
      <c r="FM144" s="498">
        <v>0</v>
      </c>
      <c r="FN144" s="498">
        <v>0</v>
      </c>
      <c r="FO144" s="498">
        <v>0</v>
      </c>
      <c r="FP144" s="498">
        <v>0</v>
      </c>
      <c r="FQ144" s="498">
        <v>0</v>
      </c>
      <c r="FR144" s="498">
        <v>0</v>
      </c>
      <c r="FS144" s="498">
        <v>0</v>
      </c>
      <c r="FT144" s="498">
        <v>0</v>
      </c>
      <c r="FU144" s="498">
        <v>0</v>
      </c>
      <c r="FV144" s="498">
        <v>0</v>
      </c>
      <c r="FW144" s="498">
        <v>0</v>
      </c>
      <c r="FX144" s="498">
        <v>0</v>
      </c>
      <c r="FY144" s="498">
        <v>0</v>
      </c>
      <c r="FZ144" s="498">
        <v>0</v>
      </c>
      <c r="GA144" s="498">
        <v>0</v>
      </c>
      <c r="GB144" s="498">
        <v>0</v>
      </c>
      <c r="GC144" s="498">
        <v>0</v>
      </c>
      <c r="GD144" s="498">
        <v>0</v>
      </c>
      <c r="GE144" s="498">
        <v>0</v>
      </c>
      <c r="GF144" s="498">
        <v>0</v>
      </c>
      <c r="GG144" s="498">
        <v>0</v>
      </c>
      <c r="GH144" s="498">
        <v>0</v>
      </c>
      <c r="GI144" s="498">
        <v>0</v>
      </c>
      <c r="GJ144" s="498">
        <v>0</v>
      </c>
      <c r="GK144" s="498">
        <v>0</v>
      </c>
      <c r="GL144" s="498">
        <v>0</v>
      </c>
      <c r="GM144" s="498">
        <v>0</v>
      </c>
      <c r="GN144" s="498">
        <v>0</v>
      </c>
      <c r="GO144" s="498">
        <v>0</v>
      </c>
      <c r="GP144" s="498">
        <v>0</v>
      </c>
      <c r="GQ144" s="498">
        <v>0</v>
      </c>
      <c r="GR144" s="498">
        <v>0</v>
      </c>
      <c r="GS144" s="498">
        <v>0</v>
      </c>
      <c r="GT144" s="498">
        <v>0</v>
      </c>
      <c r="GU144" s="498">
        <v>0</v>
      </c>
      <c r="GV144" s="498">
        <v>0</v>
      </c>
      <c r="GW144" s="498">
        <v>0</v>
      </c>
      <c r="GX144" s="498">
        <v>0</v>
      </c>
      <c r="GY144" s="498">
        <v>0</v>
      </c>
      <c r="GZ144" s="498">
        <v>0</v>
      </c>
      <c r="HA144" s="498">
        <v>0</v>
      </c>
      <c r="HB144" s="498">
        <v>0</v>
      </c>
      <c r="HC144" s="498">
        <v>0</v>
      </c>
      <c r="HD144" s="498">
        <v>0</v>
      </c>
      <c r="HE144" s="498">
        <v>0</v>
      </c>
      <c r="HF144" s="498">
        <v>0</v>
      </c>
      <c r="HG144" s="498">
        <v>0</v>
      </c>
      <c r="HH144" s="498">
        <v>0</v>
      </c>
      <c r="HI144" s="498">
        <v>0</v>
      </c>
      <c r="HJ144" s="498">
        <v>0</v>
      </c>
      <c r="HK144" s="498">
        <v>0</v>
      </c>
      <c r="HL144" s="498">
        <v>0</v>
      </c>
      <c r="HM144" s="498">
        <v>0</v>
      </c>
      <c r="HN144" s="498">
        <v>0</v>
      </c>
      <c r="HO144" s="498">
        <v>0</v>
      </c>
      <c r="HP144" s="498">
        <v>0</v>
      </c>
      <c r="HQ144" s="498">
        <v>0</v>
      </c>
      <c r="HR144" s="498">
        <v>0</v>
      </c>
      <c r="HS144" s="498">
        <v>0</v>
      </c>
      <c r="HT144" s="498">
        <v>0</v>
      </c>
      <c r="HU144" s="498">
        <v>0</v>
      </c>
      <c r="HV144" s="498">
        <v>0</v>
      </c>
      <c r="HW144" s="498">
        <v>0</v>
      </c>
      <c r="HX144" s="498">
        <v>0</v>
      </c>
      <c r="HY144" s="498">
        <v>0</v>
      </c>
      <c r="HZ144" s="498">
        <v>0</v>
      </c>
      <c r="IA144" s="498">
        <v>0</v>
      </c>
      <c r="IB144" s="498">
        <v>0</v>
      </c>
      <c r="IC144" s="498">
        <v>0</v>
      </c>
      <c r="ID144" s="498">
        <v>0</v>
      </c>
      <c r="IE144" s="498">
        <v>0</v>
      </c>
      <c r="IF144" s="498">
        <v>0</v>
      </c>
      <c r="IG144" s="498">
        <v>0</v>
      </c>
      <c r="IH144" s="498">
        <v>0</v>
      </c>
      <c r="II144" s="498">
        <v>0</v>
      </c>
      <c r="IJ144" s="498">
        <v>0</v>
      </c>
    </row>
    <row r="145" spans="12:244" hidden="1">
      <c r="L145" s="497" t="s">
        <v>720</v>
      </c>
      <c r="M145" s="497" t="s">
        <v>617</v>
      </c>
      <c r="N145" s="497" t="s">
        <v>25</v>
      </c>
      <c r="O145" s="498">
        <v>59</v>
      </c>
      <c r="P145" s="494" t="str">
        <f t="shared" si="5"/>
        <v>AIJ100159</v>
      </c>
      <c r="Q145" s="498">
        <v>20000</v>
      </c>
      <c r="R145" s="498">
        <v>20000</v>
      </c>
      <c r="S145" s="498">
        <v>20000</v>
      </c>
      <c r="T145" s="498">
        <v>20000</v>
      </c>
      <c r="U145" s="498">
        <v>20000</v>
      </c>
      <c r="V145" s="498">
        <v>20000</v>
      </c>
      <c r="W145" s="498">
        <v>20000</v>
      </c>
      <c r="X145" s="498">
        <v>20000</v>
      </c>
      <c r="Y145" s="498">
        <v>20000</v>
      </c>
      <c r="Z145" s="498">
        <v>20000</v>
      </c>
      <c r="AA145" s="498">
        <v>0</v>
      </c>
      <c r="AB145" s="498">
        <v>0</v>
      </c>
      <c r="AC145" s="498">
        <v>0</v>
      </c>
      <c r="AD145" s="498">
        <v>0</v>
      </c>
      <c r="AE145" s="498">
        <v>0</v>
      </c>
      <c r="AF145" s="498">
        <v>0</v>
      </c>
      <c r="AG145" s="498">
        <v>0</v>
      </c>
      <c r="AH145" s="498">
        <v>0</v>
      </c>
      <c r="AI145" s="498">
        <v>0</v>
      </c>
      <c r="AJ145" s="498">
        <v>0</v>
      </c>
      <c r="AK145" s="498">
        <v>0</v>
      </c>
      <c r="AL145" s="498">
        <v>0</v>
      </c>
      <c r="AM145" s="498">
        <v>0</v>
      </c>
      <c r="AN145" s="498">
        <v>0</v>
      </c>
      <c r="AO145" s="498">
        <v>0</v>
      </c>
      <c r="AP145" s="498">
        <v>0</v>
      </c>
      <c r="AQ145" s="498">
        <v>0</v>
      </c>
      <c r="AR145" s="498">
        <v>0</v>
      </c>
      <c r="AS145" s="498">
        <v>0</v>
      </c>
      <c r="AT145" s="498">
        <v>0</v>
      </c>
      <c r="AU145" s="498">
        <v>0</v>
      </c>
      <c r="AV145" s="498">
        <v>0</v>
      </c>
      <c r="AW145" s="498">
        <v>0</v>
      </c>
      <c r="AX145" s="498">
        <v>0</v>
      </c>
      <c r="AY145" s="498">
        <v>0</v>
      </c>
      <c r="AZ145" s="498">
        <v>0</v>
      </c>
      <c r="BA145" s="498">
        <v>0</v>
      </c>
      <c r="BB145" s="498">
        <v>0</v>
      </c>
      <c r="BC145" s="498">
        <v>0</v>
      </c>
      <c r="BD145" s="498">
        <v>0</v>
      </c>
      <c r="BE145" s="498">
        <v>0</v>
      </c>
      <c r="BF145" s="498">
        <v>0</v>
      </c>
      <c r="BG145" s="498">
        <v>0</v>
      </c>
      <c r="BH145" s="498">
        <v>0</v>
      </c>
      <c r="BI145" s="498">
        <v>0</v>
      </c>
      <c r="BJ145" s="498">
        <v>0</v>
      </c>
      <c r="BK145" s="498">
        <v>0</v>
      </c>
      <c r="BL145" s="498">
        <v>0</v>
      </c>
      <c r="BM145" s="498">
        <v>0</v>
      </c>
      <c r="BN145" s="498">
        <v>0</v>
      </c>
      <c r="BO145" s="498">
        <v>0</v>
      </c>
      <c r="BP145" s="498">
        <v>0</v>
      </c>
      <c r="BQ145" s="498">
        <v>0</v>
      </c>
      <c r="BR145" s="498">
        <v>0</v>
      </c>
      <c r="BS145" s="498">
        <v>0</v>
      </c>
      <c r="BT145" s="498">
        <v>0</v>
      </c>
      <c r="BU145" s="498">
        <v>0</v>
      </c>
      <c r="BV145" s="498">
        <v>0</v>
      </c>
      <c r="BW145" s="498">
        <v>0</v>
      </c>
      <c r="BX145" s="498">
        <v>0</v>
      </c>
      <c r="BY145" s="498">
        <v>0</v>
      </c>
      <c r="BZ145" s="498">
        <v>0</v>
      </c>
      <c r="CA145" s="498">
        <v>0</v>
      </c>
      <c r="CB145" s="498">
        <v>0</v>
      </c>
      <c r="CC145" s="498">
        <v>0</v>
      </c>
      <c r="CD145" s="498">
        <v>0</v>
      </c>
      <c r="CE145" s="498">
        <v>0</v>
      </c>
      <c r="CF145" s="498">
        <v>0</v>
      </c>
      <c r="CG145" s="498">
        <v>0</v>
      </c>
      <c r="CH145" s="498">
        <v>0</v>
      </c>
      <c r="CI145" s="498">
        <v>0</v>
      </c>
      <c r="CJ145" s="498">
        <v>0</v>
      </c>
      <c r="CK145" s="498">
        <v>0</v>
      </c>
      <c r="CL145" s="498">
        <v>0</v>
      </c>
      <c r="CM145" s="498">
        <v>0</v>
      </c>
      <c r="CN145" s="498">
        <v>0</v>
      </c>
      <c r="CO145" s="498">
        <v>0</v>
      </c>
      <c r="CP145" s="498">
        <v>0</v>
      </c>
      <c r="CQ145" s="498">
        <v>0</v>
      </c>
      <c r="CR145" s="498">
        <v>0</v>
      </c>
      <c r="CS145" s="498">
        <v>0</v>
      </c>
      <c r="CT145" s="498">
        <v>0</v>
      </c>
      <c r="CU145" s="498">
        <v>0</v>
      </c>
      <c r="CV145" s="498">
        <v>0</v>
      </c>
      <c r="CW145" s="498">
        <v>0</v>
      </c>
      <c r="CX145" s="498">
        <v>0</v>
      </c>
      <c r="CY145" s="498">
        <v>0</v>
      </c>
      <c r="CZ145" s="498">
        <v>0</v>
      </c>
      <c r="DA145" s="498">
        <v>0</v>
      </c>
      <c r="DB145" s="498">
        <v>0</v>
      </c>
      <c r="DC145" s="498">
        <v>0</v>
      </c>
      <c r="DD145" s="498">
        <v>0</v>
      </c>
      <c r="DE145" s="498">
        <v>0</v>
      </c>
      <c r="DF145" s="498">
        <v>0</v>
      </c>
      <c r="DG145" s="498">
        <v>0</v>
      </c>
      <c r="DH145" s="498">
        <v>0</v>
      </c>
      <c r="DI145" s="498">
        <v>0</v>
      </c>
      <c r="DJ145" s="498">
        <v>0</v>
      </c>
      <c r="DK145" s="498">
        <v>0</v>
      </c>
      <c r="DL145" s="498">
        <v>0</v>
      </c>
      <c r="DM145" s="498">
        <v>0</v>
      </c>
      <c r="DN145" s="498">
        <v>0</v>
      </c>
      <c r="DO145" s="498">
        <v>0</v>
      </c>
      <c r="DP145" s="498">
        <v>0</v>
      </c>
      <c r="DQ145" s="498">
        <v>0</v>
      </c>
      <c r="DR145" s="498">
        <v>0</v>
      </c>
      <c r="DS145" s="498">
        <v>0</v>
      </c>
      <c r="DT145" s="498">
        <v>0</v>
      </c>
      <c r="DU145" s="498">
        <v>0</v>
      </c>
      <c r="DV145" s="498">
        <v>0</v>
      </c>
      <c r="DW145" s="498">
        <v>0</v>
      </c>
      <c r="DX145" s="477"/>
      <c r="DY145" s="497" t="s">
        <v>720</v>
      </c>
      <c r="DZ145" s="497" t="s">
        <v>617</v>
      </c>
      <c r="EA145" s="497" t="s">
        <v>25</v>
      </c>
      <c r="EB145" s="498">
        <v>59</v>
      </c>
      <c r="EC145" s="494" t="str">
        <f t="shared" si="6"/>
        <v>AIJ100159</v>
      </c>
      <c r="ED145" s="498">
        <v>0</v>
      </c>
      <c r="EE145" s="498">
        <v>355</v>
      </c>
      <c r="EF145" s="498">
        <v>731</v>
      </c>
      <c r="EG145" s="498">
        <v>1135</v>
      </c>
      <c r="EH145" s="498">
        <v>1661</v>
      </c>
      <c r="EI145" s="498">
        <v>2161</v>
      </c>
      <c r="EJ145" s="498">
        <v>2919</v>
      </c>
      <c r="EK145" s="498">
        <v>3970</v>
      </c>
      <c r="EL145" s="498">
        <v>5416</v>
      </c>
      <c r="EM145" s="498">
        <v>0</v>
      </c>
      <c r="EN145" s="498">
        <v>0</v>
      </c>
      <c r="EO145" s="498">
        <v>0</v>
      </c>
      <c r="EP145" s="498">
        <v>0</v>
      </c>
      <c r="EQ145" s="498">
        <v>0</v>
      </c>
      <c r="ER145" s="498">
        <v>0</v>
      </c>
      <c r="ES145" s="498">
        <v>0</v>
      </c>
      <c r="ET145" s="498">
        <v>0</v>
      </c>
      <c r="EU145" s="498">
        <v>0</v>
      </c>
      <c r="EV145" s="498">
        <v>0</v>
      </c>
      <c r="EW145" s="498">
        <v>0</v>
      </c>
      <c r="EX145" s="498">
        <v>0</v>
      </c>
      <c r="EY145" s="498">
        <v>0</v>
      </c>
      <c r="EZ145" s="498">
        <v>0</v>
      </c>
      <c r="FA145" s="498">
        <v>0</v>
      </c>
      <c r="FB145" s="498">
        <v>0</v>
      </c>
      <c r="FC145" s="498">
        <v>0</v>
      </c>
      <c r="FD145" s="498">
        <v>0</v>
      </c>
      <c r="FE145" s="498">
        <v>0</v>
      </c>
      <c r="FF145" s="498">
        <v>0</v>
      </c>
      <c r="FG145" s="498">
        <v>0</v>
      </c>
      <c r="FH145" s="498">
        <v>0</v>
      </c>
      <c r="FI145" s="498">
        <v>0</v>
      </c>
      <c r="FJ145" s="498">
        <v>0</v>
      </c>
      <c r="FK145" s="498">
        <v>0</v>
      </c>
      <c r="FL145" s="498">
        <v>0</v>
      </c>
      <c r="FM145" s="498">
        <v>0</v>
      </c>
      <c r="FN145" s="498">
        <v>0</v>
      </c>
      <c r="FO145" s="498">
        <v>0</v>
      </c>
      <c r="FP145" s="498">
        <v>0</v>
      </c>
      <c r="FQ145" s="498">
        <v>0</v>
      </c>
      <c r="FR145" s="498">
        <v>0</v>
      </c>
      <c r="FS145" s="498">
        <v>0</v>
      </c>
      <c r="FT145" s="498">
        <v>0</v>
      </c>
      <c r="FU145" s="498">
        <v>0</v>
      </c>
      <c r="FV145" s="498">
        <v>0</v>
      </c>
      <c r="FW145" s="498">
        <v>0</v>
      </c>
      <c r="FX145" s="498">
        <v>0</v>
      </c>
      <c r="FY145" s="498">
        <v>0</v>
      </c>
      <c r="FZ145" s="498">
        <v>0</v>
      </c>
      <c r="GA145" s="498">
        <v>0</v>
      </c>
      <c r="GB145" s="498">
        <v>0</v>
      </c>
      <c r="GC145" s="498">
        <v>0</v>
      </c>
      <c r="GD145" s="498">
        <v>0</v>
      </c>
      <c r="GE145" s="498">
        <v>0</v>
      </c>
      <c r="GF145" s="498">
        <v>0</v>
      </c>
      <c r="GG145" s="498">
        <v>0</v>
      </c>
      <c r="GH145" s="498">
        <v>0</v>
      </c>
      <c r="GI145" s="498">
        <v>0</v>
      </c>
      <c r="GJ145" s="498">
        <v>0</v>
      </c>
      <c r="GK145" s="498">
        <v>0</v>
      </c>
      <c r="GL145" s="498">
        <v>0</v>
      </c>
      <c r="GM145" s="498">
        <v>0</v>
      </c>
      <c r="GN145" s="498">
        <v>0</v>
      </c>
      <c r="GO145" s="498">
        <v>0</v>
      </c>
      <c r="GP145" s="498">
        <v>0</v>
      </c>
      <c r="GQ145" s="498">
        <v>0</v>
      </c>
      <c r="GR145" s="498">
        <v>0</v>
      </c>
      <c r="GS145" s="498">
        <v>0</v>
      </c>
      <c r="GT145" s="498">
        <v>0</v>
      </c>
      <c r="GU145" s="498">
        <v>0</v>
      </c>
      <c r="GV145" s="498">
        <v>0</v>
      </c>
      <c r="GW145" s="498">
        <v>0</v>
      </c>
      <c r="GX145" s="498">
        <v>0</v>
      </c>
      <c r="GY145" s="498">
        <v>0</v>
      </c>
      <c r="GZ145" s="498">
        <v>0</v>
      </c>
      <c r="HA145" s="498">
        <v>0</v>
      </c>
      <c r="HB145" s="498">
        <v>0</v>
      </c>
      <c r="HC145" s="498">
        <v>0</v>
      </c>
      <c r="HD145" s="498">
        <v>0</v>
      </c>
      <c r="HE145" s="498">
        <v>0</v>
      </c>
      <c r="HF145" s="498">
        <v>0</v>
      </c>
      <c r="HG145" s="498">
        <v>0</v>
      </c>
      <c r="HH145" s="498">
        <v>0</v>
      </c>
      <c r="HI145" s="498">
        <v>0</v>
      </c>
      <c r="HJ145" s="498">
        <v>0</v>
      </c>
      <c r="HK145" s="498">
        <v>0</v>
      </c>
      <c r="HL145" s="498">
        <v>0</v>
      </c>
      <c r="HM145" s="498">
        <v>0</v>
      </c>
      <c r="HN145" s="498">
        <v>0</v>
      </c>
      <c r="HO145" s="498">
        <v>0</v>
      </c>
      <c r="HP145" s="498">
        <v>0</v>
      </c>
      <c r="HQ145" s="498">
        <v>0</v>
      </c>
      <c r="HR145" s="498">
        <v>0</v>
      </c>
      <c r="HS145" s="498">
        <v>0</v>
      </c>
      <c r="HT145" s="498">
        <v>0</v>
      </c>
      <c r="HU145" s="498">
        <v>0</v>
      </c>
      <c r="HV145" s="498">
        <v>0</v>
      </c>
      <c r="HW145" s="498">
        <v>0</v>
      </c>
      <c r="HX145" s="498">
        <v>0</v>
      </c>
      <c r="HY145" s="498">
        <v>0</v>
      </c>
      <c r="HZ145" s="498">
        <v>0</v>
      </c>
      <c r="IA145" s="498">
        <v>0</v>
      </c>
      <c r="IB145" s="498">
        <v>0</v>
      </c>
      <c r="IC145" s="498">
        <v>0</v>
      </c>
      <c r="ID145" s="498">
        <v>0</v>
      </c>
      <c r="IE145" s="498">
        <v>0</v>
      </c>
      <c r="IF145" s="498">
        <v>0</v>
      </c>
      <c r="IG145" s="498">
        <v>0</v>
      </c>
      <c r="IH145" s="498">
        <v>0</v>
      </c>
      <c r="II145" s="498">
        <v>0</v>
      </c>
      <c r="IJ145" s="498">
        <v>0</v>
      </c>
    </row>
    <row r="146" spans="12:244" hidden="1">
      <c r="L146" s="497" t="s">
        <v>720</v>
      </c>
      <c r="M146" s="497" t="s">
        <v>617</v>
      </c>
      <c r="N146" s="497" t="s">
        <v>25</v>
      </c>
      <c r="O146" s="498">
        <v>60</v>
      </c>
      <c r="P146" s="494" t="str">
        <f t="shared" si="5"/>
        <v>AIJ100160</v>
      </c>
      <c r="Q146" s="498">
        <v>20000</v>
      </c>
      <c r="R146" s="498">
        <v>20000</v>
      </c>
      <c r="S146" s="498">
        <v>20000</v>
      </c>
      <c r="T146" s="498">
        <v>20000</v>
      </c>
      <c r="U146" s="498">
        <v>20000</v>
      </c>
      <c r="V146" s="498">
        <v>20000</v>
      </c>
      <c r="W146" s="498">
        <v>20000</v>
      </c>
      <c r="X146" s="498">
        <v>20000</v>
      </c>
      <c r="Y146" s="498">
        <v>20000</v>
      </c>
      <c r="Z146" s="498">
        <v>20000</v>
      </c>
      <c r="AA146" s="498">
        <v>0</v>
      </c>
      <c r="AB146" s="498">
        <v>0</v>
      </c>
      <c r="AC146" s="498">
        <v>0</v>
      </c>
      <c r="AD146" s="498">
        <v>0</v>
      </c>
      <c r="AE146" s="498">
        <v>0</v>
      </c>
      <c r="AF146" s="498">
        <v>0</v>
      </c>
      <c r="AG146" s="498">
        <v>0</v>
      </c>
      <c r="AH146" s="498">
        <v>0</v>
      </c>
      <c r="AI146" s="498">
        <v>0</v>
      </c>
      <c r="AJ146" s="498">
        <v>0</v>
      </c>
      <c r="AK146" s="498">
        <v>0</v>
      </c>
      <c r="AL146" s="498">
        <v>0</v>
      </c>
      <c r="AM146" s="498">
        <v>0</v>
      </c>
      <c r="AN146" s="498">
        <v>0</v>
      </c>
      <c r="AO146" s="498">
        <v>0</v>
      </c>
      <c r="AP146" s="498">
        <v>0</v>
      </c>
      <c r="AQ146" s="498">
        <v>0</v>
      </c>
      <c r="AR146" s="498">
        <v>0</v>
      </c>
      <c r="AS146" s="498">
        <v>0</v>
      </c>
      <c r="AT146" s="498">
        <v>0</v>
      </c>
      <c r="AU146" s="498">
        <v>0</v>
      </c>
      <c r="AV146" s="498">
        <v>0</v>
      </c>
      <c r="AW146" s="498">
        <v>0</v>
      </c>
      <c r="AX146" s="498">
        <v>0</v>
      </c>
      <c r="AY146" s="498">
        <v>0</v>
      </c>
      <c r="AZ146" s="498">
        <v>0</v>
      </c>
      <c r="BA146" s="498">
        <v>0</v>
      </c>
      <c r="BB146" s="498">
        <v>0</v>
      </c>
      <c r="BC146" s="498">
        <v>0</v>
      </c>
      <c r="BD146" s="498">
        <v>0</v>
      </c>
      <c r="BE146" s="498">
        <v>0</v>
      </c>
      <c r="BF146" s="498">
        <v>0</v>
      </c>
      <c r="BG146" s="498">
        <v>0</v>
      </c>
      <c r="BH146" s="498">
        <v>0</v>
      </c>
      <c r="BI146" s="498">
        <v>0</v>
      </c>
      <c r="BJ146" s="498">
        <v>0</v>
      </c>
      <c r="BK146" s="498">
        <v>0</v>
      </c>
      <c r="BL146" s="498">
        <v>0</v>
      </c>
      <c r="BM146" s="498">
        <v>0</v>
      </c>
      <c r="BN146" s="498">
        <v>0</v>
      </c>
      <c r="BO146" s="498">
        <v>0</v>
      </c>
      <c r="BP146" s="498">
        <v>0</v>
      </c>
      <c r="BQ146" s="498">
        <v>0</v>
      </c>
      <c r="BR146" s="498">
        <v>0</v>
      </c>
      <c r="BS146" s="498">
        <v>0</v>
      </c>
      <c r="BT146" s="498">
        <v>0</v>
      </c>
      <c r="BU146" s="498">
        <v>0</v>
      </c>
      <c r="BV146" s="498">
        <v>0</v>
      </c>
      <c r="BW146" s="498">
        <v>0</v>
      </c>
      <c r="BX146" s="498">
        <v>0</v>
      </c>
      <c r="BY146" s="498">
        <v>0</v>
      </c>
      <c r="BZ146" s="498">
        <v>0</v>
      </c>
      <c r="CA146" s="498">
        <v>0</v>
      </c>
      <c r="CB146" s="498">
        <v>0</v>
      </c>
      <c r="CC146" s="498">
        <v>0</v>
      </c>
      <c r="CD146" s="498">
        <v>0</v>
      </c>
      <c r="CE146" s="498">
        <v>0</v>
      </c>
      <c r="CF146" s="498">
        <v>0</v>
      </c>
      <c r="CG146" s="498">
        <v>0</v>
      </c>
      <c r="CH146" s="498">
        <v>0</v>
      </c>
      <c r="CI146" s="498">
        <v>0</v>
      </c>
      <c r="CJ146" s="498">
        <v>0</v>
      </c>
      <c r="CK146" s="498">
        <v>0</v>
      </c>
      <c r="CL146" s="498">
        <v>0</v>
      </c>
      <c r="CM146" s="498">
        <v>0</v>
      </c>
      <c r="CN146" s="498">
        <v>0</v>
      </c>
      <c r="CO146" s="498">
        <v>0</v>
      </c>
      <c r="CP146" s="498">
        <v>0</v>
      </c>
      <c r="CQ146" s="498">
        <v>0</v>
      </c>
      <c r="CR146" s="498">
        <v>0</v>
      </c>
      <c r="CS146" s="498">
        <v>0</v>
      </c>
      <c r="CT146" s="498">
        <v>0</v>
      </c>
      <c r="CU146" s="498">
        <v>0</v>
      </c>
      <c r="CV146" s="498">
        <v>0</v>
      </c>
      <c r="CW146" s="498">
        <v>0</v>
      </c>
      <c r="CX146" s="498">
        <v>0</v>
      </c>
      <c r="CY146" s="498">
        <v>0</v>
      </c>
      <c r="CZ146" s="498">
        <v>0</v>
      </c>
      <c r="DA146" s="498">
        <v>0</v>
      </c>
      <c r="DB146" s="498">
        <v>0</v>
      </c>
      <c r="DC146" s="498">
        <v>0</v>
      </c>
      <c r="DD146" s="498">
        <v>0</v>
      </c>
      <c r="DE146" s="498">
        <v>0</v>
      </c>
      <c r="DF146" s="498">
        <v>0</v>
      </c>
      <c r="DG146" s="498">
        <v>0</v>
      </c>
      <c r="DH146" s="498">
        <v>0</v>
      </c>
      <c r="DI146" s="498">
        <v>0</v>
      </c>
      <c r="DJ146" s="498">
        <v>0</v>
      </c>
      <c r="DK146" s="498">
        <v>0</v>
      </c>
      <c r="DL146" s="498">
        <v>0</v>
      </c>
      <c r="DM146" s="498">
        <v>0</v>
      </c>
      <c r="DN146" s="498">
        <v>0</v>
      </c>
      <c r="DO146" s="498">
        <v>0</v>
      </c>
      <c r="DP146" s="498">
        <v>0</v>
      </c>
      <c r="DQ146" s="498">
        <v>0</v>
      </c>
      <c r="DR146" s="498">
        <v>0</v>
      </c>
      <c r="DS146" s="498">
        <v>0</v>
      </c>
      <c r="DT146" s="498">
        <v>0</v>
      </c>
      <c r="DU146" s="498">
        <v>0</v>
      </c>
      <c r="DV146" s="498">
        <v>0</v>
      </c>
      <c r="DW146" s="498">
        <v>0</v>
      </c>
      <c r="DX146" s="477"/>
      <c r="DY146" s="497" t="s">
        <v>720</v>
      </c>
      <c r="DZ146" s="497" t="s">
        <v>617</v>
      </c>
      <c r="EA146" s="497" t="s">
        <v>25</v>
      </c>
      <c r="EB146" s="498">
        <v>60</v>
      </c>
      <c r="EC146" s="494" t="str">
        <f t="shared" si="6"/>
        <v>AIJ100160</v>
      </c>
      <c r="ED146" s="498">
        <v>0</v>
      </c>
      <c r="EE146" s="498">
        <v>369</v>
      </c>
      <c r="EF146" s="498">
        <v>754</v>
      </c>
      <c r="EG146" s="498">
        <v>1150</v>
      </c>
      <c r="EH146" s="498">
        <v>1679</v>
      </c>
      <c r="EI146" s="498">
        <v>2172</v>
      </c>
      <c r="EJ146" s="498">
        <v>2946</v>
      </c>
      <c r="EK146" s="498">
        <v>3983</v>
      </c>
      <c r="EL146" s="498">
        <v>5424</v>
      </c>
      <c r="EM146" s="498">
        <v>0</v>
      </c>
      <c r="EN146" s="498">
        <v>0</v>
      </c>
      <c r="EO146" s="498">
        <v>0</v>
      </c>
      <c r="EP146" s="498">
        <v>0</v>
      </c>
      <c r="EQ146" s="498">
        <v>0</v>
      </c>
      <c r="ER146" s="498">
        <v>0</v>
      </c>
      <c r="ES146" s="498">
        <v>0</v>
      </c>
      <c r="ET146" s="498">
        <v>0</v>
      </c>
      <c r="EU146" s="498">
        <v>0</v>
      </c>
      <c r="EV146" s="498">
        <v>0</v>
      </c>
      <c r="EW146" s="498">
        <v>0</v>
      </c>
      <c r="EX146" s="498">
        <v>0</v>
      </c>
      <c r="EY146" s="498">
        <v>0</v>
      </c>
      <c r="EZ146" s="498">
        <v>0</v>
      </c>
      <c r="FA146" s="498">
        <v>0</v>
      </c>
      <c r="FB146" s="498">
        <v>0</v>
      </c>
      <c r="FC146" s="498">
        <v>0</v>
      </c>
      <c r="FD146" s="498">
        <v>0</v>
      </c>
      <c r="FE146" s="498">
        <v>0</v>
      </c>
      <c r="FF146" s="498">
        <v>0</v>
      </c>
      <c r="FG146" s="498">
        <v>0</v>
      </c>
      <c r="FH146" s="498">
        <v>0</v>
      </c>
      <c r="FI146" s="498">
        <v>0</v>
      </c>
      <c r="FJ146" s="498">
        <v>0</v>
      </c>
      <c r="FK146" s="498">
        <v>0</v>
      </c>
      <c r="FL146" s="498">
        <v>0</v>
      </c>
      <c r="FM146" s="498">
        <v>0</v>
      </c>
      <c r="FN146" s="498">
        <v>0</v>
      </c>
      <c r="FO146" s="498">
        <v>0</v>
      </c>
      <c r="FP146" s="498">
        <v>0</v>
      </c>
      <c r="FQ146" s="498">
        <v>0</v>
      </c>
      <c r="FR146" s="498">
        <v>0</v>
      </c>
      <c r="FS146" s="498">
        <v>0</v>
      </c>
      <c r="FT146" s="498">
        <v>0</v>
      </c>
      <c r="FU146" s="498">
        <v>0</v>
      </c>
      <c r="FV146" s="498">
        <v>0</v>
      </c>
      <c r="FW146" s="498">
        <v>0</v>
      </c>
      <c r="FX146" s="498">
        <v>0</v>
      </c>
      <c r="FY146" s="498">
        <v>0</v>
      </c>
      <c r="FZ146" s="498">
        <v>0</v>
      </c>
      <c r="GA146" s="498">
        <v>0</v>
      </c>
      <c r="GB146" s="498">
        <v>0</v>
      </c>
      <c r="GC146" s="498">
        <v>0</v>
      </c>
      <c r="GD146" s="498">
        <v>0</v>
      </c>
      <c r="GE146" s="498">
        <v>0</v>
      </c>
      <c r="GF146" s="498">
        <v>0</v>
      </c>
      <c r="GG146" s="498">
        <v>0</v>
      </c>
      <c r="GH146" s="498">
        <v>0</v>
      </c>
      <c r="GI146" s="498">
        <v>0</v>
      </c>
      <c r="GJ146" s="498">
        <v>0</v>
      </c>
      <c r="GK146" s="498">
        <v>0</v>
      </c>
      <c r="GL146" s="498">
        <v>0</v>
      </c>
      <c r="GM146" s="498">
        <v>0</v>
      </c>
      <c r="GN146" s="498">
        <v>0</v>
      </c>
      <c r="GO146" s="498">
        <v>0</v>
      </c>
      <c r="GP146" s="498">
        <v>0</v>
      </c>
      <c r="GQ146" s="498">
        <v>0</v>
      </c>
      <c r="GR146" s="498">
        <v>0</v>
      </c>
      <c r="GS146" s="498">
        <v>0</v>
      </c>
      <c r="GT146" s="498">
        <v>0</v>
      </c>
      <c r="GU146" s="498">
        <v>0</v>
      </c>
      <c r="GV146" s="498">
        <v>0</v>
      </c>
      <c r="GW146" s="498">
        <v>0</v>
      </c>
      <c r="GX146" s="498">
        <v>0</v>
      </c>
      <c r="GY146" s="498">
        <v>0</v>
      </c>
      <c r="GZ146" s="498">
        <v>0</v>
      </c>
      <c r="HA146" s="498">
        <v>0</v>
      </c>
      <c r="HB146" s="498">
        <v>0</v>
      </c>
      <c r="HC146" s="498">
        <v>0</v>
      </c>
      <c r="HD146" s="498">
        <v>0</v>
      </c>
      <c r="HE146" s="498">
        <v>0</v>
      </c>
      <c r="HF146" s="498">
        <v>0</v>
      </c>
      <c r="HG146" s="498">
        <v>0</v>
      </c>
      <c r="HH146" s="498">
        <v>0</v>
      </c>
      <c r="HI146" s="498">
        <v>0</v>
      </c>
      <c r="HJ146" s="498">
        <v>0</v>
      </c>
      <c r="HK146" s="498">
        <v>0</v>
      </c>
      <c r="HL146" s="498">
        <v>0</v>
      </c>
      <c r="HM146" s="498">
        <v>0</v>
      </c>
      <c r="HN146" s="498">
        <v>0</v>
      </c>
      <c r="HO146" s="498">
        <v>0</v>
      </c>
      <c r="HP146" s="498">
        <v>0</v>
      </c>
      <c r="HQ146" s="498">
        <v>0</v>
      </c>
      <c r="HR146" s="498">
        <v>0</v>
      </c>
      <c r="HS146" s="498">
        <v>0</v>
      </c>
      <c r="HT146" s="498">
        <v>0</v>
      </c>
      <c r="HU146" s="498">
        <v>0</v>
      </c>
      <c r="HV146" s="498">
        <v>0</v>
      </c>
      <c r="HW146" s="498">
        <v>0</v>
      </c>
      <c r="HX146" s="498">
        <v>0</v>
      </c>
      <c r="HY146" s="498">
        <v>0</v>
      </c>
      <c r="HZ146" s="498">
        <v>0</v>
      </c>
      <c r="IA146" s="498">
        <v>0</v>
      </c>
      <c r="IB146" s="498">
        <v>0</v>
      </c>
      <c r="IC146" s="498">
        <v>0</v>
      </c>
      <c r="ID146" s="498">
        <v>0</v>
      </c>
      <c r="IE146" s="498">
        <v>0</v>
      </c>
      <c r="IF146" s="498">
        <v>0</v>
      </c>
      <c r="IG146" s="498">
        <v>0</v>
      </c>
      <c r="IH146" s="498">
        <v>0</v>
      </c>
      <c r="II146" s="498">
        <v>0</v>
      </c>
      <c r="IJ146" s="498">
        <v>0</v>
      </c>
    </row>
    <row r="147" spans="12:244" hidden="1">
      <c r="L147" s="497" t="s">
        <v>720</v>
      </c>
      <c r="M147" s="497" t="s">
        <v>617</v>
      </c>
      <c r="N147" s="497" t="s">
        <v>25</v>
      </c>
      <c r="O147" s="498">
        <v>61</v>
      </c>
      <c r="P147" s="494" t="str">
        <f t="shared" si="5"/>
        <v>AIJ100161</v>
      </c>
      <c r="Q147" s="498">
        <v>20000</v>
      </c>
      <c r="R147" s="498">
        <v>20000</v>
      </c>
      <c r="S147" s="498">
        <v>20000</v>
      </c>
      <c r="T147" s="498">
        <v>20000</v>
      </c>
      <c r="U147" s="498">
        <v>20000</v>
      </c>
      <c r="V147" s="498">
        <v>20000</v>
      </c>
      <c r="W147" s="498">
        <v>20000</v>
      </c>
      <c r="X147" s="498">
        <v>20000</v>
      </c>
      <c r="Y147" s="498">
        <v>20000</v>
      </c>
      <c r="Z147" s="498">
        <v>20000</v>
      </c>
      <c r="AA147" s="498">
        <v>0</v>
      </c>
      <c r="AB147" s="498">
        <v>0</v>
      </c>
      <c r="AC147" s="498">
        <v>0</v>
      </c>
      <c r="AD147" s="498">
        <v>0</v>
      </c>
      <c r="AE147" s="498">
        <v>0</v>
      </c>
      <c r="AF147" s="498">
        <v>0</v>
      </c>
      <c r="AG147" s="498">
        <v>0</v>
      </c>
      <c r="AH147" s="498">
        <v>0</v>
      </c>
      <c r="AI147" s="498">
        <v>0</v>
      </c>
      <c r="AJ147" s="498">
        <v>0</v>
      </c>
      <c r="AK147" s="498">
        <v>0</v>
      </c>
      <c r="AL147" s="498">
        <v>0</v>
      </c>
      <c r="AM147" s="498">
        <v>0</v>
      </c>
      <c r="AN147" s="498">
        <v>0</v>
      </c>
      <c r="AO147" s="498">
        <v>0</v>
      </c>
      <c r="AP147" s="498">
        <v>0</v>
      </c>
      <c r="AQ147" s="498">
        <v>0</v>
      </c>
      <c r="AR147" s="498">
        <v>0</v>
      </c>
      <c r="AS147" s="498">
        <v>0</v>
      </c>
      <c r="AT147" s="498">
        <v>0</v>
      </c>
      <c r="AU147" s="498">
        <v>0</v>
      </c>
      <c r="AV147" s="498">
        <v>0</v>
      </c>
      <c r="AW147" s="498">
        <v>0</v>
      </c>
      <c r="AX147" s="498">
        <v>0</v>
      </c>
      <c r="AY147" s="498">
        <v>0</v>
      </c>
      <c r="AZ147" s="498">
        <v>0</v>
      </c>
      <c r="BA147" s="498">
        <v>0</v>
      </c>
      <c r="BB147" s="498">
        <v>0</v>
      </c>
      <c r="BC147" s="498">
        <v>0</v>
      </c>
      <c r="BD147" s="498">
        <v>0</v>
      </c>
      <c r="BE147" s="498">
        <v>0</v>
      </c>
      <c r="BF147" s="498">
        <v>0</v>
      </c>
      <c r="BG147" s="498">
        <v>0</v>
      </c>
      <c r="BH147" s="498">
        <v>0</v>
      </c>
      <c r="BI147" s="498">
        <v>0</v>
      </c>
      <c r="BJ147" s="498">
        <v>0</v>
      </c>
      <c r="BK147" s="498">
        <v>0</v>
      </c>
      <c r="BL147" s="498">
        <v>0</v>
      </c>
      <c r="BM147" s="498">
        <v>0</v>
      </c>
      <c r="BN147" s="498">
        <v>0</v>
      </c>
      <c r="BO147" s="498">
        <v>0</v>
      </c>
      <c r="BP147" s="498">
        <v>0</v>
      </c>
      <c r="BQ147" s="498">
        <v>0</v>
      </c>
      <c r="BR147" s="498">
        <v>0</v>
      </c>
      <c r="BS147" s="498">
        <v>0</v>
      </c>
      <c r="BT147" s="498">
        <v>0</v>
      </c>
      <c r="BU147" s="498">
        <v>0</v>
      </c>
      <c r="BV147" s="498">
        <v>0</v>
      </c>
      <c r="BW147" s="498">
        <v>0</v>
      </c>
      <c r="BX147" s="498">
        <v>0</v>
      </c>
      <c r="BY147" s="498">
        <v>0</v>
      </c>
      <c r="BZ147" s="498">
        <v>0</v>
      </c>
      <c r="CA147" s="498">
        <v>0</v>
      </c>
      <c r="CB147" s="498">
        <v>0</v>
      </c>
      <c r="CC147" s="498">
        <v>0</v>
      </c>
      <c r="CD147" s="498">
        <v>0</v>
      </c>
      <c r="CE147" s="498">
        <v>0</v>
      </c>
      <c r="CF147" s="498">
        <v>0</v>
      </c>
      <c r="CG147" s="498">
        <v>0</v>
      </c>
      <c r="CH147" s="498">
        <v>0</v>
      </c>
      <c r="CI147" s="498">
        <v>0</v>
      </c>
      <c r="CJ147" s="498">
        <v>0</v>
      </c>
      <c r="CK147" s="498">
        <v>0</v>
      </c>
      <c r="CL147" s="498">
        <v>0</v>
      </c>
      <c r="CM147" s="498">
        <v>0</v>
      </c>
      <c r="CN147" s="498">
        <v>0</v>
      </c>
      <c r="CO147" s="498">
        <v>0</v>
      </c>
      <c r="CP147" s="498">
        <v>0</v>
      </c>
      <c r="CQ147" s="498">
        <v>0</v>
      </c>
      <c r="CR147" s="498">
        <v>0</v>
      </c>
      <c r="CS147" s="498">
        <v>0</v>
      </c>
      <c r="CT147" s="498">
        <v>0</v>
      </c>
      <c r="CU147" s="498">
        <v>0</v>
      </c>
      <c r="CV147" s="498">
        <v>0</v>
      </c>
      <c r="CW147" s="498">
        <v>0</v>
      </c>
      <c r="CX147" s="498">
        <v>0</v>
      </c>
      <c r="CY147" s="498">
        <v>0</v>
      </c>
      <c r="CZ147" s="498">
        <v>0</v>
      </c>
      <c r="DA147" s="498">
        <v>0</v>
      </c>
      <c r="DB147" s="498">
        <v>0</v>
      </c>
      <c r="DC147" s="498">
        <v>0</v>
      </c>
      <c r="DD147" s="498">
        <v>0</v>
      </c>
      <c r="DE147" s="498">
        <v>0</v>
      </c>
      <c r="DF147" s="498">
        <v>0</v>
      </c>
      <c r="DG147" s="498">
        <v>0</v>
      </c>
      <c r="DH147" s="498">
        <v>0</v>
      </c>
      <c r="DI147" s="498">
        <v>0</v>
      </c>
      <c r="DJ147" s="498">
        <v>0</v>
      </c>
      <c r="DK147" s="498">
        <v>0</v>
      </c>
      <c r="DL147" s="498">
        <v>0</v>
      </c>
      <c r="DM147" s="498">
        <v>0</v>
      </c>
      <c r="DN147" s="498">
        <v>0</v>
      </c>
      <c r="DO147" s="498">
        <v>0</v>
      </c>
      <c r="DP147" s="498">
        <v>0</v>
      </c>
      <c r="DQ147" s="498">
        <v>0</v>
      </c>
      <c r="DR147" s="498">
        <v>0</v>
      </c>
      <c r="DS147" s="498">
        <v>0</v>
      </c>
      <c r="DT147" s="498">
        <v>0</v>
      </c>
      <c r="DU147" s="498">
        <v>0</v>
      </c>
      <c r="DV147" s="498">
        <v>0</v>
      </c>
      <c r="DW147" s="498">
        <v>0</v>
      </c>
      <c r="DX147" s="477"/>
      <c r="DY147" s="497" t="s">
        <v>720</v>
      </c>
      <c r="DZ147" s="497" t="s">
        <v>617</v>
      </c>
      <c r="EA147" s="497" t="s">
        <v>25</v>
      </c>
      <c r="EB147" s="498">
        <v>61</v>
      </c>
      <c r="EC147" s="494" t="str">
        <f t="shared" si="6"/>
        <v>AIJ100161</v>
      </c>
      <c r="ED147" s="498">
        <v>0</v>
      </c>
      <c r="EE147" s="498">
        <v>378</v>
      </c>
      <c r="EF147" s="498">
        <v>763</v>
      </c>
      <c r="EG147" s="498">
        <v>1161</v>
      </c>
      <c r="EH147" s="498">
        <v>1691</v>
      </c>
      <c r="EI147" s="498">
        <v>2188</v>
      </c>
      <c r="EJ147" s="498">
        <v>2945</v>
      </c>
      <c r="EK147" s="498">
        <v>4005</v>
      </c>
      <c r="EL147" s="498">
        <v>5418</v>
      </c>
      <c r="EM147" s="498">
        <v>0</v>
      </c>
      <c r="EN147" s="498">
        <v>0</v>
      </c>
      <c r="EO147" s="498">
        <v>0</v>
      </c>
      <c r="EP147" s="498">
        <v>0</v>
      </c>
      <c r="EQ147" s="498">
        <v>0</v>
      </c>
      <c r="ER147" s="498">
        <v>0</v>
      </c>
      <c r="ES147" s="498">
        <v>0</v>
      </c>
      <c r="ET147" s="498">
        <v>0</v>
      </c>
      <c r="EU147" s="498">
        <v>0</v>
      </c>
      <c r="EV147" s="498">
        <v>0</v>
      </c>
      <c r="EW147" s="498">
        <v>0</v>
      </c>
      <c r="EX147" s="498">
        <v>0</v>
      </c>
      <c r="EY147" s="498">
        <v>0</v>
      </c>
      <c r="EZ147" s="498">
        <v>0</v>
      </c>
      <c r="FA147" s="498">
        <v>0</v>
      </c>
      <c r="FB147" s="498">
        <v>0</v>
      </c>
      <c r="FC147" s="498">
        <v>0</v>
      </c>
      <c r="FD147" s="498">
        <v>0</v>
      </c>
      <c r="FE147" s="498">
        <v>0</v>
      </c>
      <c r="FF147" s="498">
        <v>0</v>
      </c>
      <c r="FG147" s="498">
        <v>0</v>
      </c>
      <c r="FH147" s="498">
        <v>0</v>
      </c>
      <c r="FI147" s="498">
        <v>0</v>
      </c>
      <c r="FJ147" s="498">
        <v>0</v>
      </c>
      <c r="FK147" s="498">
        <v>0</v>
      </c>
      <c r="FL147" s="498">
        <v>0</v>
      </c>
      <c r="FM147" s="498">
        <v>0</v>
      </c>
      <c r="FN147" s="498">
        <v>0</v>
      </c>
      <c r="FO147" s="498">
        <v>0</v>
      </c>
      <c r="FP147" s="498">
        <v>0</v>
      </c>
      <c r="FQ147" s="498">
        <v>0</v>
      </c>
      <c r="FR147" s="498">
        <v>0</v>
      </c>
      <c r="FS147" s="498">
        <v>0</v>
      </c>
      <c r="FT147" s="498">
        <v>0</v>
      </c>
      <c r="FU147" s="498">
        <v>0</v>
      </c>
      <c r="FV147" s="498">
        <v>0</v>
      </c>
      <c r="FW147" s="498">
        <v>0</v>
      </c>
      <c r="FX147" s="498">
        <v>0</v>
      </c>
      <c r="FY147" s="498">
        <v>0</v>
      </c>
      <c r="FZ147" s="498">
        <v>0</v>
      </c>
      <c r="GA147" s="498">
        <v>0</v>
      </c>
      <c r="GB147" s="498">
        <v>0</v>
      </c>
      <c r="GC147" s="498">
        <v>0</v>
      </c>
      <c r="GD147" s="498">
        <v>0</v>
      </c>
      <c r="GE147" s="498">
        <v>0</v>
      </c>
      <c r="GF147" s="498">
        <v>0</v>
      </c>
      <c r="GG147" s="498">
        <v>0</v>
      </c>
      <c r="GH147" s="498">
        <v>0</v>
      </c>
      <c r="GI147" s="498">
        <v>0</v>
      </c>
      <c r="GJ147" s="498">
        <v>0</v>
      </c>
      <c r="GK147" s="498">
        <v>0</v>
      </c>
      <c r="GL147" s="498">
        <v>0</v>
      </c>
      <c r="GM147" s="498">
        <v>0</v>
      </c>
      <c r="GN147" s="498">
        <v>0</v>
      </c>
      <c r="GO147" s="498">
        <v>0</v>
      </c>
      <c r="GP147" s="498">
        <v>0</v>
      </c>
      <c r="GQ147" s="498">
        <v>0</v>
      </c>
      <c r="GR147" s="498">
        <v>0</v>
      </c>
      <c r="GS147" s="498">
        <v>0</v>
      </c>
      <c r="GT147" s="498">
        <v>0</v>
      </c>
      <c r="GU147" s="498">
        <v>0</v>
      </c>
      <c r="GV147" s="498">
        <v>0</v>
      </c>
      <c r="GW147" s="498">
        <v>0</v>
      </c>
      <c r="GX147" s="498">
        <v>0</v>
      </c>
      <c r="GY147" s="498">
        <v>0</v>
      </c>
      <c r="GZ147" s="498">
        <v>0</v>
      </c>
      <c r="HA147" s="498">
        <v>0</v>
      </c>
      <c r="HB147" s="498">
        <v>0</v>
      </c>
      <c r="HC147" s="498">
        <v>0</v>
      </c>
      <c r="HD147" s="498">
        <v>0</v>
      </c>
      <c r="HE147" s="498">
        <v>0</v>
      </c>
      <c r="HF147" s="498">
        <v>0</v>
      </c>
      <c r="HG147" s="498">
        <v>0</v>
      </c>
      <c r="HH147" s="498">
        <v>0</v>
      </c>
      <c r="HI147" s="498">
        <v>0</v>
      </c>
      <c r="HJ147" s="498">
        <v>0</v>
      </c>
      <c r="HK147" s="498">
        <v>0</v>
      </c>
      <c r="HL147" s="498">
        <v>0</v>
      </c>
      <c r="HM147" s="498">
        <v>0</v>
      </c>
      <c r="HN147" s="498">
        <v>0</v>
      </c>
      <c r="HO147" s="498">
        <v>0</v>
      </c>
      <c r="HP147" s="498">
        <v>0</v>
      </c>
      <c r="HQ147" s="498">
        <v>0</v>
      </c>
      <c r="HR147" s="498">
        <v>0</v>
      </c>
      <c r="HS147" s="498">
        <v>0</v>
      </c>
      <c r="HT147" s="498">
        <v>0</v>
      </c>
      <c r="HU147" s="498">
        <v>0</v>
      </c>
      <c r="HV147" s="498">
        <v>0</v>
      </c>
      <c r="HW147" s="498">
        <v>0</v>
      </c>
      <c r="HX147" s="498">
        <v>0</v>
      </c>
      <c r="HY147" s="498">
        <v>0</v>
      </c>
      <c r="HZ147" s="498">
        <v>0</v>
      </c>
      <c r="IA147" s="498">
        <v>0</v>
      </c>
      <c r="IB147" s="498">
        <v>0</v>
      </c>
      <c r="IC147" s="498">
        <v>0</v>
      </c>
      <c r="ID147" s="498">
        <v>0</v>
      </c>
      <c r="IE147" s="498">
        <v>0</v>
      </c>
      <c r="IF147" s="498">
        <v>0</v>
      </c>
      <c r="IG147" s="498">
        <v>0</v>
      </c>
      <c r="IH147" s="498">
        <v>0</v>
      </c>
      <c r="II147" s="498">
        <v>0</v>
      </c>
      <c r="IJ147" s="498">
        <v>0</v>
      </c>
    </row>
    <row r="148" spans="12:244" hidden="1">
      <c r="L148" s="497" t="s">
        <v>720</v>
      </c>
      <c r="M148" s="497" t="s">
        <v>617</v>
      </c>
      <c r="N148" s="497" t="s">
        <v>26</v>
      </c>
      <c r="O148" s="498">
        <v>15</v>
      </c>
      <c r="P148" s="494" t="str">
        <f t="shared" si="5"/>
        <v>AIJ100215</v>
      </c>
      <c r="Q148" s="498">
        <v>20000</v>
      </c>
      <c r="R148" s="498">
        <v>20000</v>
      </c>
      <c r="S148" s="498">
        <v>20000</v>
      </c>
      <c r="T148" s="498">
        <v>20000</v>
      </c>
      <c r="U148" s="498">
        <v>20000</v>
      </c>
      <c r="V148" s="498">
        <v>20000</v>
      </c>
      <c r="W148" s="498">
        <v>20000</v>
      </c>
      <c r="X148" s="498">
        <v>20000</v>
      </c>
      <c r="Y148" s="498">
        <v>20000</v>
      </c>
      <c r="Z148" s="498">
        <v>20000</v>
      </c>
      <c r="AA148" s="498">
        <v>0</v>
      </c>
      <c r="AB148" s="498">
        <v>0</v>
      </c>
      <c r="AC148" s="498">
        <v>0</v>
      </c>
      <c r="AD148" s="498">
        <v>0</v>
      </c>
      <c r="AE148" s="498">
        <v>0</v>
      </c>
      <c r="AF148" s="498">
        <v>0</v>
      </c>
      <c r="AG148" s="498">
        <v>0</v>
      </c>
      <c r="AH148" s="498">
        <v>0</v>
      </c>
      <c r="AI148" s="498">
        <v>0</v>
      </c>
      <c r="AJ148" s="498">
        <v>0</v>
      </c>
      <c r="AK148" s="498">
        <v>0</v>
      </c>
      <c r="AL148" s="498">
        <v>0</v>
      </c>
      <c r="AM148" s="498">
        <v>0</v>
      </c>
      <c r="AN148" s="498">
        <v>0</v>
      </c>
      <c r="AO148" s="498">
        <v>0</v>
      </c>
      <c r="AP148" s="498">
        <v>0</v>
      </c>
      <c r="AQ148" s="498">
        <v>0</v>
      </c>
      <c r="AR148" s="498">
        <v>0</v>
      </c>
      <c r="AS148" s="498">
        <v>0</v>
      </c>
      <c r="AT148" s="498">
        <v>0</v>
      </c>
      <c r="AU148" s="498">
        <v>0</v>
      </c>
      <c r="AV148" s="498">
        <v>0</v>
      </c>
      <c r="AW148" s="498">
        <v>0</v>
      </c>
      <c r="AX148" s="498">
        <v>0</v>
      </c>
      <c r="AY148" s="498">
        <v>0</v>
      </c>
      <c r="AZ148" s="498">
        <v>0</v>
      </c>
      <c r="BA148" s="498">
        <v>0</v>
      </c>
      <c r="BB148" s="498">
        <v>0</v>
      </c>
      <c r="BC148" s="498">
        <v>0</v>
      </c>
      <c r="BD148" s="498">
        <v>0</v>
      </c>
      <c r="BE148" s="498">
        <v>0</v>
      </c>
      <c r="BF148" s="498">
        <v>0</v>
      </c>
      <c r="BG148" s="498">
        <v>0</v>
      </c>
      <c r="BH148" s="498">
        <v>0</v>
      </c>
      <c r="BI148" s="498">
        <v>0</v>
      </c>
      <c r="BJ148" s="498">
        <v>0</v>
      </c>
      <c r="BK148" s="498">
        <v>0</v>
      </c>
      <c r="BL148" s="498">
        <v>0</v>
      </c>
      <c r="BM148" s="498">
        <v>0</v>
      </c>
      <c r="BN148" s="498">
        <v>0</v>
      </c>
      <c r="BO148" s="498">
        <v>0</v>
      </c>
      <c r="BP148" s="498">
        <v>0</v>
      </c>
      <c r="BQ148" s="498">
        <v>0</v>
      </c>
      <c r="BR148" s="498">
        <v>0</v>
      </c>
      <c r="BS148" s="498">
        <v>0</v>
      </c>
      <c r="BT148" s="498">
        <v>0</v>
      </c>
      <c r="BU148" s="498">
        <v>0</v>
      </c>
      <c r="BV148" s="498">
        <v>0</v>
      </c>
      <c r="BW148" s="498">
        <v>0</v>
      </c>
      <c r="BX148" s="498">
        <v>0</v>
      </c>
      <c r="BY148" s="498">
        <v>0</v>
      </c>
      <c r="BZ148" s="498">
        <v>0</v>
      </c>
      <c r="CA148" s="498">
        <v>0</v>
      </c>
      <c r="CB148" s="498">
        <v>0</v>
      </c>
      <c r="CC148" s="498">
        <v>0</v>
      </c>
      <c r="CD148" s="498">
        <v>0</v>
      </c>
      <c r="CE148" s="498">
        <v>0</v>
      </c>
      <c r="CF148" s="498">
        <v>0</v>
      </c>
      <c r="CG148" s="498">
        <v>0</v>
      </c>
      <c r="CH148" s="498">
        <v>0</v>
      </c>
      <c r="CI148" s="498">
        <v>0</v>
      </c>
      <c r="CJ148" s="498">
        <v>0</v>
      </c>
      <c r="CK148" s="498">
        <v>0</v>
      </c>
      <c r="CL148" s="498">
        <v>0</v>
      </c>
      <c r="CM148" s="498">
        <v>0</v>
      </c>
      <c r="CN148" s="498">
        <v>0</v>
      </c>
      <c r="CO148" s="498">
        <v>0</v>
      </c>
      <c r="CP148" s="498">
        <v>0</v>
      </c>
      <c r="CQ148" s="498">
        <v>0</v>
      </c>
      <c r="CR148" s="498">
        <v>0</v>
      </c>
      <c r="CS148" s="498">
        <v>0</v>
      </c>
      <c r="CT148" s="498">
        <v>0</v>
      </c>
      <c r="CU148" s="498">
        <v>0</v>
      </c>
      <c r="CV148" s="498">
        <v>0</v>
      </c>
      <c r="CW148" s="498">
        <v>0</v>
      </c>
      <c r="CX148" s="498">
        <v>0</v>
      </c>
      <c r="CY148" s="498">
        <v>0</v>
      </c>
      <c r="CZ148" s="498">
        <v>0</v>
      </c>
      <c r="DA148" s="498">
        <v>0</v>
      </c>
      <c r="DB148" s="498">
        <v>0</v>
      </c>
      <c r="DC148" s="498">
        <v>0</v>
      </c>
      <c r="DD148" s="498">
        <v>0</v>
      </c>
      <c r="DE148" s="498">
        <v>0</v>
      </c>
      <c r="DF148" s="498">
        <v>0</v>
      </c>
      <c r="DG148" s="498">
        <v>0</v>
      </c>
      <c r="DH148" s="498">
        <v>0</v>
      </c>
      <c r="DI148" s="498">
        <v>0</v>
      </c>
      <c r="DJ148" s="498">
        <v>0</v>
      </c>
      <c r="DK148" s="498">
        <v>0</v>
      </c>
      <c r="DL148" s="498">
        <v>0</v>
      </c>
      <c r="DM148" s="498">
        <v>0</v>
      </c>
      <c r="DN148" s="498">
        <v>0</v>
      </c>
      <c r="DO148" s="498">
        <v>0</v>
      </c>
      <c r="DP148" s="498">
        <v>0</v>
      </c>
      <c r="DQ148" s="498">
        <v>0</v>
      </c>
      <c r="DR148" s="498">
        <v>0</v>
      </c>
      <c r="DS148" s="498">
        <v>0</v>
      </c>
      <c r="DT148" s="498">
        <v>0</v>
      </c>
      <c r="DU148" s="498">
        <v>0</v>
      </c>
      <c r="DV148" s="498">
        <v>0</v>
      </c>
      <c r="DW148" s="498">
        <v>0</v>
      </c>
      <c r="DX148" s="477"/>
      <c r="DY148" s="497" t="s">
        <v>720</v>
      </c>
      <c r="DZ148" s="497" t="s">
        <v>617</v>
      </c>
      <c r="EA148" s="497" t="s">
        <v>26</v>
      </c>
      <c r="EB148" s="498">
        <v>15</v>
      </c>
      <c r="EC148" s="494" t="str">
        <f t="shared" si="6"/>
        <v>AIJ100215</v>
      </c>
      <c r="ED148" s="498">
        <v>0</v>
      </c>
      <c r="EE148" s="498">
        <v>211</v>
      </c>
      <c r="EF148" s="498">
        <v>465</v>
      </c>
      <c r="EG148" s="498">
        <v>776</v>
      </c>
      <c r="EH148" s="498">
        <v>1262</v>
      </c>
      <c r="EI148" s="498">
        <v>1778</v>
      </c>
      <c r="EJ148" s="498">
        <v>2597</v>
      </c>
      <c r="EK148" s="498">
        <v>3968</v>
      </c>
      <c r="EL148" s="498">
        <v>5714</v>
      </c>
      <c r="EM148" s="498">
        <v>0</v>
      </c>
      <c r="EN148" s="498">
        <v>0</v>
      </c>
      <c r="EO148" s="498">
        <v>0</v>
      </c>
      <c r="EP148" s="498">
        <v>0</v>
      </c>
      <c r="EQ148" s="498">
        <v>0</v>
      </c>
      <c r="ER148" s="498">
        <v>0</v>
      </c>
      <c r="ES148" s="498">
        <v>0</v>
      </c>
      <c r="ET148" s="498">
        <v>0</v>
      </c>
      <c r="EU148" s="498">
        <v>0</v>
      </c>
      <c r="EV148" s="498">
        <v>0</v>
      </c>
      <c r="EW148" s="498">
        <v>0</v>
      </c>
      <c r="EX148" s="498">
        <v>0</v>
      </c>
      <c r="EY148" s="498">
        <v>0</v>
      </c>
      <c r="EZ148" s="498">
        <v>0</v>
      </c>
      <c r="FA148" s="498">
        <v>0</v>
      </c>
      <c r="FB148" s="498">
        <v>0</v>
      </c>
      <c r="FC148" s="498">
        <v>0</v>
      </c>
      <c r="FD148" s="498">
        <v>0</v>
      </c>
      <c r="FE148" s="498">
        <v>0</v>
      </c>
      <c r="FF148" s="498">
        <v>0</v>
      </c>
      <c r="FG148" s="498">
        <v>0</v>
      </c>
      <c r="FH148" s="498">
        <v>0</v>
      </c>
      <c r="FI148" s="498">
        <v>0</v>
      </c>
      <c r="FJ148" s="498">
        <v>0</v>
      </c>
      <c r="FK148" s="498">
        <v>0</v>
      </c>
      <c r="FL148" s="498">
        <v>0</v>
      </c>
      <c r="FM148" s="498">
        <v>0</v>
      </c>
      <c r="FN148" s="498">
        <v>0</v>
      </c>
      <c r="FO148" s="498">
        <v>0</v>
      </c>
      <c r="FP148" s="498">
        <v>0</v>
      </c>
      <c r="FQ148" s="498">
        <v>0</v>
      </c>
      <c r="FR148" s="498">
        <v>0</v>
      </c>
      <c r="FS148" s="498">
        <v>0</v>
      </c>
      <c r="FT148" s="498">
        <v>0</v>
      </c>
      <c r="FU148" s="498">
        <v>0</v>
      </c>
      <c r="FV148" s="498">
        <v>0</v>
      </c>
      <c r="FW148" s="498">
        <v>0</v>
      </c>
      <c r="FX148" s="498">
        <v>0</v>
      </c>
      <c r="FY148" s="498">
        <v>0</v>
      </c>
      <c r="FZ148" s="498">
        <v>0</v>
      </c>
      <c r="GA148" s="498">
        <v>0</v>
      </c>
      <c r="GB148" s="498">
        <v>0</v>
      </c>
      <c r="GC148" s="498">
        <v>0</v>
      </c>
      <c r="GD148" s="498">
        <v>0</v>
      </c>
      <c r="GE148" s="498">
        <v>0</v>
      </c>
      <c r="GF148" s="498">
        <v>0</v>
      </c>
      <c r="GG148" s="498">
        <v>0</v>
      </c>
      <c r="GH148" s="498">
        <v>0</v>
      </c>
      <c r="GI148" s="498">
        <v>0</v>
      </c>
      <c r="GJ148" s="498">
        <v>0</v>
      </c>
      <c r="GK148" s="498">
        <v>0</v>
      </c>
      <c r="GL148" s="498">
        <v>0</v>
      </c>
      <c r="GM148" s="498">
        <v>0</v>
      </c>
      <c r="GN148" s="498">
        <v>0</v>
      </c>
      <c r="GO148" s="498">
        <v>0</v>
      </c>
      <c r="GP148" s="498">
        <v>0</v>
      </c>
      <c r="GQ148" s="498">
        <v>0</v>
      </c>
      <c r="GR148" s="498">
        <v>0</v>
      </c>
      <c r="GS148" s="498">
        <v>0</v>
      </c>
      <c r="GT148" s="498">
        <v>0</v>
      </c>
      <c r="GU148" s="498">
        <v>0</v>
      </c>
      <c r="GV148" s="498">
        <v>0</v>
      </c>
      <c r="GW148" s="498">
        <v>0</v>
      </c>
      <c r="GX148" s="498">
        <v>0</v>
      </c>
      <c r="GY148" s="498">
        <v>0</v>
      </c>
      <c r="GZ148" s="498">
        <v>0</v>
      </c>
      <c r="HA148" s="498">
        <v>0</v>
      </c>
      <c r="HB148" s="498">
        <v>0</v>
      </c>
      <c r="HC148" s="498">
        <v>0</v>
      </c>
      <c r="HD148" s="498">
        <v>0</v>
      </c>
      <c r="HE148" s="498">
        <v>0</v>
      </c>
      <c r="HF148" s="498">
        <v>0</v>
      </c>
      <c r="HG148" s="498">
        <v>0</v>
      </c>
      <c r="HH148" s="498">
        <v>0</v>
      </c>
      <c r="HI148" s="498">
        <v>0</v>
      </c>
      <c r="HJ148" s="498">
        <v>0</v>
      </c>
      <c r="HK148" s="498">
        <v>0</v>
      </c>
      <c r="HL148" s="498">
        <v>0</v>
      </c>
      <c r="HM148" s="498">
        <v>0</v>
      </c>
      <c r="HN148" s="498">
        <v>0</v>
      </c>
      <c r="HO148" s="498">
        <v>0</v>
      </c>
      <c r="HP148" s="498">
        <v>0</v>
      </c>
      <c r="HQ148" s="498">
        <v>0</v>
      </c>
      <c r="HR148" s="498">
        <v>0</v>
      </c>
      <c r="HS148" s="498">
        <v>0</v>
      </c>
      <c r="HT148" s="498">
        <v>0</v>
      </c>
      <c r="HU148" s="498">
        <v>0</v>
      </c>
      <c r="HV148" s="498">
        <v>0</v>
      </c>
      <c r="HW148" s="498">
        <v>0</v>
      </c>
      <c r="HX148" s="498">
        <v>0</v>
      </c>
      <c r="HY148" s="498">
        <v>0</v>
      </c>
      <c r="HZ148" s="498">
        <v>0</v>
      </c>
      <c r="IA148" s="498">
        <v>0</v>
      </c>
      <c r="IB148" s="498">
        <v>0</v>
      </c>
      <c r="IC148" s="498">
        <v>0</v>
      </c>
      <c r="ID148" s="498">
        <v>0</v>
      </c>
      <c r="IE148" s="498">
        <v>0</v>
      </c>
      <c r="IF148" s="498">
        <v>0</v>
      </c>
      <c r="IG148" s="498">
        <v>0</v>
      </c>
      <c r="IH148" s="498">
        <v>0</v>
      </c>
      <c r="II148" s="498">
        <v>0</v>
      </c>
      <c r="IJ148" s="498">
        <v>0</v>
      </c>
    </row>
    <row r="149" spans="12:244" hidden="1">
      <c r="L149" s="497" t="s">
        <v>720</v>
      </c>
      <c r="M149" s="497" t="s">
        <v>617</v>
      </c>
      <c r="N149" s="497" t="s">
        <v>26</v>
      </c>
      <c r="O149" s="498">
        <v>16</v>
      </c>
      <c r="P149" s="494" t="str">
        <f t="shared" si="5"/>
        <v>AIJ100216</v>
      </c>
      <c r="Q149" s="498">
        <v>20000</v>
      </c>
      <c r="R149" s="498">
        <v>20000</v>
      </c>
      <c r="S149" s="498">
        <v>20000</v>
      </c>
      <c r="T149" s="498">
        <v>20000</v>
      </c>
      <c r="U149" s="498">
        <v>20000</v>
      </c>
      <c r="V149" s="498">
        <v>20000</v>
      </c>
      <c r="W149" s="498">
        <v>20000</v>
      </c>
      <c r="X149" s="498">
        <v>20000</v>
      </c>
      <c r="Y149" s="498">
        <v>20000</v>
      </c>
      <c r="Z149" s="498">
        <v>20000</v>
      </c>
      <c r="AA149" s="498">
        <v>0</v>
      </c>
      <c r="AB149" s="498">
        <v>0</v>
      </c>
      <c r="AC149" s="498">
        <v>0</v>
      </c>
      <c r="AD149" s="498">
        <v>0</v>
      </c>
      <c r="AE149" s="498">
        <v>0</v>
      </c>
      <c r="AF149" s="498">
        <v>0</v>
      </c>
      <c r="AG149" s="498">
        <v>0</v>
      </c>
      <c r="AH149" s="498">
        <v>0</v>
      </c>
      <c r="AI149" s="498">
        <v>0</v>
      </c>
      <c r="AJ149" s="498">
        <v>0</v>
      </c>
      <c r="AK149" s="498">
        <v>0</v>
      </c>
      <c r="AL149" s="498">
        <v>0</v>
      </c>
      <c r="AM149" s="498">
        <v>0</v>
      </c>
      <c r="AN149" s="498">
        <v>0</v>
      </c>
      <c r="AO149" s="498">
        <v>0</v>
      </c>
      <c r="AP149" s="498">
        <v>0</v>
      </c>
      <c r="AQ149" s="498">
        <v>0</v>
      </c>
      <c r="AR149" s="498">
        <v>0</v>
      </c>
      <c r="AS149" s="498">
        <v>0</v>
      </c>
      <c r="AT149" s="498">
        <v>0</v>
      </c>
      <c r="AU149" s="498">
        <v>0</v>
      </c>
      <c r="AV149" s="498">
        <v>0</v>
      </c>
      <c r="AW149" s="498">
        <v>0</v>
      </c>
      <c r="AX149" s="498">
        <v>0</v>
      </c>
      <c r="AY149" s="498">
        <v>0</v>
      </c>
      <c r="AZ149" s="498">
        <v>0</v>
      </c>
      <c r="BA149" s="498">
        <v>0</v>
      </c>
      <c r="BB149" s="498">
        <v>0</v>
      </c>
      <c r="BC149" s="498">
        <v>0</v>
      </c>
      <c r="BD149" s="498">
        <v>0</v>
      </c>
      <c r="BE149" s="498">
        <v>0</v>
      </c>
      <c r="BF149" s="498">
        <v>0</v>
      </c>
      <c r="BG149" s="498">
        <v>0</v>
      </c>
      <c r="BH149" s="498">
        <v>0</v>
      </c>
      <c r="BI149" s="498">
        <v>0</v>
      </c>
      <c r="BJ149" s="498">
        <v>0</v>
      </c>
      <c r="BK149" s="498">
        <v>0</v>
      </c>
      <c r="BL149" s="498">
        <v>0</v>
      </c>
      <c r="BM149" s="498">
        <v>0</v>
      </c>
      <c r="BN149" s="498">
        <v>0</v>
      </c>
      <c r="BO149" s="498">
        <v>0</v>
      </c>
      <c r="BP149" s="498">
        <v>0</v>
      </c>
      <c r="BQ149" s="498">
        <v>0</v>
      </c>
      <c r="BR149" s="498">
        <v>0</v>
      </c>
      <c r="BS149" s="498">
        <v>0</v>
      </c>
      <c r="BT149" s="498">
        <v>0</v>
      </c>
      <c r="BU149" s="498">
        <v>0</v>
      </c>
      <c r="BV149" s="498">
        <v>0</v>
      </c>
      <c r="BW149" s="498">
        <v>0</v>
      </c>
      <c r="BX149" s="498">
        <v>0</v>
      </c>
      <c r="BY149" s="498">
        <v>0</v>
      </c>
      <c r="BZ149" s="498">
        <v>0</v>
      </c>
      <c r="CA149" s="498">
        <v>0</v>
      </c>
      <c r="CB149" s="498">
        <v>0</v>
      </c>
      <c r="CC149" s="498">
        <v>0</v>
      </c>
      <c r="CD149" s="498">
        <v>0</v>
      </c>
      <c r="CE149" s="498">
        <v>0</v>
      </c>
      <c r="CF149" s="498">
        <v>0</v>
      </c>
      <c r="CG149" s="498">
        <v>0</v>
      </c>
      <c r="CH149" s="498">
        <v>0</v>
      </c>
      <c r="CI149" s="498">
        <v>0</v>
      </c>
      <c r="CJ149" s="498">
        <v>0</v>
      </c>
      <c r="CK149" s="498">
        <v>0</v>
      </c>
      <c r="CL149" s="498">
        <v>0</v>
      </c>
      <c r="CM149" s="498">
        <v>0</v>
      </c>
      <c r="CN149" s="498">
        <v>0</v>
      </c>
      <c r="CO149" s="498">
        <v>0</v>
      </c>
      <c r="CP149" s="498">
        <v>0</v>
      </c>
      <c r="CQ149" s="498">
        <v>0</v>
      </c>
      <c r="CR149" s="498">
        <v>0</v>
      </c>
      <c r="CS149" s="498">
        <v>0</v>
      </c>
      <c r="CT149" s="498">
        <v>0</v>
      </c>
      <c r="CU149" s="498">
        <v>0</v>
      </c>
      <c r="CV149" s="498">
        <v>0</v>
      </c>
      <c r="CW149" s="498">
        <v>0</v>
      </c>
      <c r="CX149" s="498">
        <v>0</v>
      </c>
      <c r="CY149" s="498">
        <v>0</v>
      </c>
      <c r="CZ149" s="498">
        <v>0</v>
      </c>
      <c r="DA149" s="498">
        <v>0</v>
      </c>
      <c r="DB149" s="498">
        <v>0</v>
      </c>
      <c r="DC149" s="498">
        <v>0</v>
      </c>
      <c r="DD149" s="498">
        <v>0</v>
      </c>
      <c r="DE149" s="498">
        <v>0</v>
      </c>
      <c r="DF149" s="498">
        <v>0</v>
      </c>
      <c r="DG149" s="498">
        <v>0</v>
      </c>
      <c r="DH149" s="498">
        <v>0</v>
      </c>
      <c r="DI149" s="498">
        <v>0</v>
      </c>
      <c r="DJ149" s="498">
        <v>0</v>
      </c>
      <c r="DK149" s="498">
        <v>0</v>
      </c>
      <c r="DL149" s="498">
        <v>0</v>
      </c>
      <c r="DM149" s="498">
        <v>0</v>
      </c>
      <c r="DN149" s="498">
        <v>0</v>
      </c>
      <c r="DO149" s="498">
        <v>0</v>
      </c>
      <c r="DP149" s="498">
        <v>0</v>
      </c>
      <c r="DQ149" s="498">
        <v>0</v>
      </c>
      <c r="DR149" s="498">
        <v>0</v>
      </c>
      <c r="DS149" s="498">
        <v>0</v>
      </c>
      <c r="DT149" s="498">
        <v>0</v>
      </c>
      <c r="DU149" s="498">
        <v>0</v>
      </c>
      <c r="DV149" s="498">
        <v>0</v>
      </c>
      <c r="DW149" s="498">
        <v>0</v>
      </c>
      <c r="DX149" s="477"/>
      <c r="DY149" s="497" t="s">
        <v>720</v>
      </c>
      <c r="DZ149" s="497" t="s">
        <v>617</v>
      </c>
      <c r="EA149" s="497" t="s">
        <v>26</v>
      </c>
      <c r="EB149" s="498">
        <v>16</v>
      </c>
      <c r="EC149" s="494" t="str">
        <f t="shared" si="6"/>
        <v>AIJ100216</v>
      </c>
      <c r="ED149" s="498">
        <v>0</v>
      </c>
      <c r="EE149" s="498">
        <v>210</v>
      </c>
      <c r="EF149" s="498">
        <v>462</v>
      </c>
      <c r="EG149" s="498">
        <v>769</v>
      </c>
      <c r="EH149" s="498">
        <v>1250</v>
      </c>
      <c r="EI149" s="498">
        <v>1758</v>
      </c>
      <c r="EJ149" s="498">
        <v>2564</v>
      </c>
      <c r="EK149" s="498">
        <v>3906</v>
      </c>
      <c r="EL149" s="498">
        <v>5600</v>
      </c>
      <c r="EM149" s="498">
        <v>0</v>
      </c>
      <c r="EN149" s="498">
        <v>0</v>
      </c>
      <c r="EO149" s="498">
        <v>0</v>
      </c>
      <c r="EP149" s="498">
        <v>0</v>
      </c>
      <c r="EQ149" s="498">
        <v>0</v>
      </c>
      <c r="ER149" s="498">
        <v>0</v>
      </c>
      <c r="ES149" s="498">
        <v>0</v>
      </c>
      <c r="ET149" s="498">
        <v>0</v>
      </c>
      <c r="EU149" s="498">
        <v>0</v>
      </c>
      <c r="EV149" s="498">
        <v>0</v>
      </c>
      <c r="EW149" s="498">
        <v>0</v>
      </c>
      <c r="EX149" s="498">
        <v>0</v>
      </c>
      <c r="EY149" s="498">
        <v>0</v>
      </c>
      <c r="EZ149" s="498">
        <v>0</v>
      </c>
      <c r="FA149" s="498">
        <v>0</v>
      </c>
      <c r="FB149" s="498">
        <v>0</v>
      </c>
      <c r="FC149" s="498">
        <v>0</v>
      </c>
      <c r="FD149" s="498">
        <v>0</v>
      </c>
      <c r="FE149" s="498">
        <v>0</v>
      </c>
      <c r="FF149" s="498">
        <v>0</v>
      </c>
      <c r="FG149" s="498">
        <v>0</v>
      </c>
      <c r="FH149" s="498">
        <v>0</v>
      </c>
      <c r="FI149" s="498">
        <v>0</v>
      </c>
      <c r="FJ149" s="498">
        <v>0</v>
      </c>
      <c r="FK149" s="498">
        <v>0</v>
      </c>
      <c r="FL149" s="498">
        <v>0</v>
      </c>
      <c r="FM149" s="498">
        <v>0</v>
      </c>
      <c r="FN149" s="498">
        <v>0</v>
      </c>
      <c r="FO149" s="498">
        <v>0</v>
      </c>
      <c r="FP149" s="498">
        <v>0</v>
      </c>
      <c r="FQ149" s="498">
        <v>0</v>
      </c>
      <c r="FR149" s="498">
        <v>0</v>
      </c>
      <c r="FS149" s="498">
        <v>0</v>
      </c>
      <c r="FT149" s="498">
        <v>0</v>
      </c>
      <c r="FU149" s="498">
        <v>0</v>
      </c>
      <c r="FV149" s="498">
        <v>0</v>
      </c>
      <c r="FW149" s="498">
        <v>0</v>
      </c>
      <c r="FX149" s="498">
        <v>0</v>
      </c>
      <c r="FY149" s="498">
        <v>0</v>
      </c>
      <c r="FZ149" s="498">
        <v>0</v>
      </c>
      <c r="GA149" s="498">
        <v>0</v>
      </c>
      <c r="GB149" s="498">
        <v>0</v>
      </c>
      <c r="GC149" s="498">
        <v>0</v>
      </c>
      <c r="GD149" s="498">
        <v>0</v>
      </c>
      <c r="GE149" s="498">
        <v>0</v>
      </c>
      <c r="GF149" s="498">
        <v>0</v>
      </c>
      <c r="GG149" s="498">
        <v>0</v>
      </c>
      <c r="GH149" s="498">
        <v>0</v>
      </c>
      <c r="GI149" s="498">
        <v>0</v>
      </c>
      <c r="GJ149" s="498">
        <v>0</v>
      </c>
      <c r="GK149" s="498">
        <v>0</v>
      </c>
      <c r="GL149" s="498">
        <v>0</v>
      </c>
      <c r="GM149" s="498">
        <v>0</v>
      </c>
      <c r="GN149" s="498">
        <v>0</v>
      </c>
      <c r="GO149" s="498">
        <v>0</v>
      </c>
      <c r="GP149" s="498">
        <v>0</v>
      </c>
      <c r="GQ149" s="498">
        <v>0</v>
      </c>
      <c r="GR149" s="498">
        <v>0</v>
      </c>
      <c r="GS149" s="498">
        <v>0</v>
      </c>
      <c r="GT149" s="498">
        <v>0</v>
      </c>
      <c r="GU149" s="498">
        <v>0</v>
      </c>
      <c r="GV149" s="498">
        <v>0</v>
      </c>
      <c r="GW149" s="498">
        <v>0</v>
      </c>
      <c r="GX149" s="498">
        <v>0</v>
      </c>
      <c r="GY149" s="498">
        <v>0</v>
      </c>
      <c r="GZ149" s="498">
        <v>0</v>
      </c>
      <c r="HA149" s="498">
        <v>0</v>
      </c>
      <c r="HB149" s="498">
        <v>0</v>
      </c>
      <c r="HC149" s="498">
        <v>0</v>
      </c>
      <c r="HD149" s="498">
        <v>0</v>
      </c>
      <c r="HE149" s="498">
        <v>0</v>
      </c>
      <c r="HF149" s="498">
        <v>0</v>
      </c>
      <c r="HG149" s="498">
        <v>0</v>
      </c>
      <c r="HH149" s="498">
        <v>0</v>
      </c>
      <c r="HI149" s="498">
        <v>0</v>
      </c>
      <c r="HJ149" s="498">
        <v>0</v>
      </c>
      <c r="HK149" s="498">
        <v>0</v>
      </c>
      <c r="HL149" s="498">
        <v>0</v>
      </c>
      <c r="HM149" s="498">
        <v>0</v>
      </c>
      <c r="HN149" s="498">
        <v>0</v>
      </c>
      <c r="HO149" s="498">
        <v>0</v>
      </c>
      <c r="HP149" s="498">
        <v>0</v>
      </c>
      <c r="HQ149" s="498">
        <v>0</v>
      </c>
      <c r="HR149" s="498">
        <v>0</v>
      </c>
      <c r="HS149" s="498">
        <v>0</v>
      </c>
      <c r="HT149" s="498">
        <v>0</v>
      </c>
      <c r="HU149" s="498">
        <v>0</v>
      </c>
      <c r="HV149" s="498">
        <v>0</v>
      </c>
      <c r="HW149" s="498">
        <v>0</v>
      </c>
      <c r="HX149" s="498">
        <v>0</v>
      </c>
      <c r="HY149" s="498">
        <v>0</v>
      </c>
      <c r="HZ149" s="498">
        <v>0</v>
      </c>
      <c r="IA149" s="498">
        <v>0</v>
      </c>
      <c r="IB149" s="498">
        <v>0</v>
      </c>
      <c r="IC149" s="498">
        <v>0</v>
      </c>
      <c r="ID149" s="498">
        <v>0</v>
      </c>
      <c r="IE149" s="498">
        <v>0</v>
      </c>
      <c r="IF149" s="498">
        <v>0</v>
      </c>
      <c r="IG149" s="498">
        <v>0</v>
      </c>
      <c r="IH149" s="498">
        <v>0</v>
      </c>
      <c r="II149" s="498">
        <v>0</v>
      </c>
      <c r="IJ149" s="498">
        <v>0</v>
      </c>
    </row>
    <row r="150" spans="12:244" hidden="1">
      <c r="L150" s="497" t="s">
        <v>720</v>
      </c>
      <c r="M150" s="497" t="s">
        <v>617</v>
      </c>
      <c r="N150" s="497" t="s">
        <v>26</v>
      </c>
      <c r="O150" s="498">
        <v>17</v>
      </c>
      <c r="P150" s="494" t="str">
        <f t="shared" si="5"/>
        <v>AIJ100217</v>
      </c>
      <c r="Q150" s="498">
        <v>20000</v>
      </c>
      <c r="R150" s="498">
        <v>20000</v>
      </c>
      <c r="S150" s="498">
        <v>20000</v>
      </c>
      <c r="T150" s="498">
        <v>20000</v>
      </c>
      <c r="U150" s="498">
        <v>20000</v>
      </c>
      <c r="V150" s="498">
        <v>20000</v>
      </c>
      <c r="W150" s="498">
        <v>20000</v>
      </c>
      <c r="X150" s="498">
        <v>20000</v>
      </c>
      <c r="Y150" s="498">
        <v>20000</v>
      </c>
      <c r="Z150" s="498">
        <v>20000</v>
      </c>
      <c r="AA150" s="498">
        <v>0</v>
      </c>
      <c r="AB150" s="498">
        <v>0</v>
      </c>
      <c r="AC150" s="498">
        <v>0</v>
      </c>
      <c r="AD150" s="498">
        <v>0</v>
      </c>
      <c r="AE150" s="498">
        <v>0</v>
      </c>
      <c r="AF150" s="498">
        <v>0</v>
      </c>
      <c r="AG150" s="498">
        <v>0</v>
      </c>
      <c r="AH150" s="498">
        <v>0</v>
      </c>
      <c r="AI150" s="498">
        <v>0</v>
      </c>
      <c r="AJ150" s="498">
        <v>0</v>
      </c>
      <c r="AK150" s="498">
        <v>0</v>
      </c>
      <c r="AL150" s="498">
        <v>0</v>
      </c>
      <c r="AM150" s="498">
        <v>0</v>
      </c>
      <c r="AN150" s="498">
        <v>0</v>
      </c>
      <c r="AO150" s="498">
        <v>0</v>
      </c>
      <c r="AP150" s="498">
        <v>0</v>
      </c>
      <c r="AQ150" s="498">
        <v>0</v>
      </c>
      <c r="AR150" s="498">
        <v>0</v>
      </c>
      <c r="AS150" s="498">
        <v>0</v>
      </c>
      <c r="AT150" s="498">
        <v>0</v>
      </c>
      <c r="AU150" s="498">
        <v>0</v>
      </c>
      <c r="AV150" s="498">
        <v>0</v>
      </c>
      <c r="AW150" s="498">
        <v>0</v>
      </c>
      <c r="AX150" s="498">
        <v>0</v>
      </c>
      <c r="AY150" s="498">
        <v>0</v>
      </c>
      <c r="AZ150" s="498">
        <v>0</v>
      </c>
      <c r="BA150" s="498">
        <v>0</v>
      </c>
      <c r="BB150" s="498">
        <v>0</v>
      </c>
      <c r="BC150" s="498">
        <v>0</v>
      </c>
      <c r="BD150" s="498">
        <v>0</v>
      </c>
      <c r="BE150" s="498">
        <v>0</v>
      </c>
      <c r="BF150" s="498">
        <v>0</v>
      </c>
      <c r="BG150" s="498">
        <v>0</v>
      </c>
      <c r="BH150" s="498">
        <v>0</v>
      </c>
      <c r="BI150" s="498">
        <v>0</v>
      </c>
      <c r="BJ150" s="498">
        <v>0</v>
      </c>
      <c r="BK150" s="498">
        <v>0</v>
      </c>
      <c r="BL150" s="498">
        <v>0</v>
      </c>
      <c r="BM150" s="498">
        <v>0</v>
      </c>
      <c r="BN150" s="498">
        <v>0</v>
      </c>
      <c r="BO150" s="498">
        <v>0</v>
      </c>
      <c r="BP150" s="498">
        <v>0</v>
      </c>
      <c r="BQ150" s="498">
        <v>0</v>
      </c>
      <c r="BR150" s="498">
        <v>0</v>
      </c>
      <c r="BS150" s="498">
        <v>0</v>
      </c>
      <c r="BT150" s="498">
        <v>0</v>
      </c>
      <c r="BU150" s="498">
        <v>0</v>
      </c>
      <c r="BV150" s="498">
        <v>0</v>
      </c>
      <c r="BW150" s="498">
        <v>0</v>
      </c>
      <c r="BX150" s="498">
        <v>0</v>
      </c>
      <c r="BY150" s="498">
        <v>0</v>
      </c>
      <c r="BZ150" s="498">
        <v>0</v>
      </c>
      <c r="CA150" s="498">
        <v>0</v>
      </c>
      <c r="CB150" s="498">
        <v>0</v>
      </c>
      <c r="CC150" s="498">
        <v>0</v>
      </c>
      <c r="CD150" s="498">
        <v>0</v>
      </c>
      <c r="CE150" s="498">
        <v>0</v>
      </c>
      <c r="CF150" s="498">
        <v>0</v>
      </c>
      <c r="CG150" s="498">
        <v>0</v>
      </c>
      <c r="CH150" s="498">
        <v>0</v>
      </c>
      <c r="CI150" s="498">
        <v>0</v>
      </c>
      <c r="CJ150" s="498">
        <v>0</v>
      </c>
      <c r="CK150" s="498">
        <v>0</v>
      </c>
      <c r="CL150" s="498">
        <v>0</v>
      </c>
      <c r="CM150" s="498">
        <v>0</v>
      </c>
      <c r="CN150" s="498">
        <v>0</v>
      </c>
      <c r="CO150" s="498">
        <v>0</v>
      </c>
      <c r="CP150" s="498">
        <v>0</v>
      </c>
      <c r="CQ150" s="498">
        <v>0</v>
      </c>
      <c r="CR150" s="498">
        <v>0</v>
      </c>
      <c r="CS150" s="498">
        <v>0</v>
      </c>
      <c r="CT150" s="498">
        <v>0</v>
      </c>
      <c r="CU150" s="498">
        <v>0</v>
      </c>
      <c r="CV150" s="498">
        <v>0</v>
      </c>
      <c r="CW150" s="498">
        <v>0</v>
      </c>
      <c r="CX150" s="498">
        <v>0</v>
      </c>
      <c r="CY150" s="498">
        <v>0</v>
      </c>
      <c r="CZ150" s="498">
        <v>0</v>
      </c>
      <c r="DA150" s="498">
        <v>0</v>
      </c>
      <c r="DB150" s="498">
        <v>0</v>
      </c>
      <c r="DC150" s="498">
        <v>0</v>
      </c>
      <c r="DD150" s="498">
        <v>0</v>
      </c>
      <c r="DE150" s="498">
        <v>0</v>
      </c>
      <c r="DF150" s="498">
        <v>0</v>
      </c>
      <c r="DG150" s="498">
        <v>0</v>
      </c>
      <c r="DH150" s="498">
        <v>0</v>
      </c>
      <c r="DI150" s="498">
        <v>0</v>
      </c>
      <c r="DJ150" s="498">
        <v>0</v>
      </c>
      <c r="DK150" s="498">
        <v>0</v>
      </c>
      <c r="DL150" s="498">
        <v>0</v>
      </c>
      <c r="DM150" s="498">
        <v>0</v>
      </c>
      <c r="DN150" s="498">
        <v>0</v>
      </c>
      <c r="DO150" s="498">
        <v>0</v>
      </c>
      <c r="DP150" s="498">
        <v>0</v>
      </c>
      <c r="DQ150" s="498">
        <v>0</v>
      </c>
      <c r="DR150" s="498">
        <v>0</v>
      </c>
      <c r="DS150" s="498">
        <v>0</v>
      </c>
      <c r="DT150" s="498">
        <v>0</v>
      </c>
      <c r="DU150" s="498">
        <v>0</v>
      </c>
      <c r="DV150" s="498">
        <v>0</v>
      </c>
      <c r="DW150" s="498">
        <v>0</v>
      </c>
      <c r="DX150" s="477"/>
      <c r="DY150" s="497" t="s">
        <v>720</v>
      </c>
      <c r="DZ150" s="497" t="s">
        <v>617</v>
      </c>
      <c r="EA150" s="497" t="s">
        <v>26</v>
      </c>
      <c r="EB150" s="498">
        <v>17</v>
      </c>
      <c r="EC150" s="494" t="str">
        <f t="shared" si="6"/>
        <v>AIJ100217</v>
      </c>
      <c r="ED150" s="498">
        <v>0</v>
      </c>
      <c r="EE150" s="498">
        <v>207</v>
      </c>
      <c r="EF150" s="498">
        <v>455</v>
      </c>
      <c r="EG150" s="498">
        <v>840</v>
      </c>
      <c r="EH150" s="498">
        <v>1321</v>
      </c>
      <c r="EI150" s="498">
        <v>1828</v>
      </c>
      <c r="EJ150" s="498">
        <v>2658</v>
      </c>
      <c r="EK150" s="498">
        <v>4000</v>
      </c>
      <c r="EL150" s="498">
        <v>5686</v>
      </c>
      <c r="EM150" s="498">
        <v>0</v>
      </c>
      <c r="EN150" s="498">
        <v>0</v>
      </c>
      <c r="EO150" s="498">
        <v>0</v>
      </c>
      <c r="EP150" s="498">
        <v>0</v>
      </c>
      <c r="EQ150" s="498">
        <v>0</v>
      </c>
      <c r="ER150" s="498">
        <v>0</v>
      </c>
      <c r="ES150" s="498">
        <v>0</v>
      </c>
      <c r="ET150" s="498">
        <v>0</v>
      </c>
      <c r="EU150" s="498">
        <v>0</v>
      </c>
      <c r="EV150" s="498">
        <v>0</v>
      </c>
      <c r="EW150" s="498">
        <v>0</v>
      </c>
      <c r="EX150" s="498">
        <v>0</v>
      </c>
      <c r="EY150" s="498">
        <v>0</v>
      </c>
      <c r="EZ150" s="498">
        <v>0</v>
      </c>
      <c r="FA150" s="498">
        <v>0</v>
      </c>
      <c r="FB150" s="498">
        <v>0</v>
      </c>
      <c r="FC150" s="498">
        <v>0</v>
      </c>
      <c r="FD150" s="498">
        <v>0</v>
      </c>
      <c r="FE150" s="498">
        <v>0</v>
      </c>
      <c r="FF150" s="498">
        <v>0</v>
      </c>
      <c r="FG150" s="498">
        <v>0</v>
      </c>
      <c r="FH150" s="498">
        <v>0</v>
      </c>
      <c r="FI150" s="498">
        <v>0</v>
      </c>
      <c r="FJ150" s="498">
        <v>0</v>
      </c>
      <c r="FK150" s="498">
        <v>0</v>
      </c>
      <c r="FL150" s="498">
        <v>0</v>
      </c>
      <c r="FM150" s="498">
        <v>0</v>
      </c>
      <c r="FN150" s="498">
        <v>0</v>
      </c>
      <c r="FO150" s="498">
        <v>0</v>
      </c>
      <c r="FP150" s="498">
        <v>0</v>
      </c>
      <c r="FQ150" s="498">
        <v>0</v>
      </c>
      <c r="FR150" s="498">
        <v>0</v>
      </c>
      <c r="FS150" s="498">
        <v>0</v>
      </c>
      <c r="FT150" s="498">
        <v>0</v>
      </c>
      <c r="FU150" s="498">
        <v>0</v>
      </c>
      <c r="FV150" s="498">
        <v>0</v>
      </c>
      <c r="FW150" s="498">
        <v>0</v>
      </c>
      <c r="FX150" s="498">
        <v>0</v>
      </c>
      <c r="FY150" s="498">
        <v>0</v>
      </c>
      <c r="FZ150" s="498">
        <v>0</v>
      </c>
      <c r="GA150" s="498">
        <v>0</v>
      </c>
      <c r="GB150" s="498">
        <v>0</v>
      </c>
      <c r="GC150" s="498">
        <v>0</v>
      </c>
      <c r="GD150" s="498">
        <v>0</v>
      </c>
      <c r="GE150" s="498">
        <v>0</v>
      </c>
      <c r="GF150" s="498">
        <v>0</v>
      </c>
      <c r="GG150" s="498">
        <v>0</v>
      </c>
      <c r="GH150" s="498">
        <v>0</v>
      </c>
      <c r="GI150" s="498">
        <v>0</v>
      </c>
      <c r="GJ150" s="498">
        <v>0</v>
      </c>
      <c r="GK150" s="498">
        <v>0</v>
      </c>
      <c r="GL150" s="498">
        <v>0</v>
      </c>
      <c r="GM150" s="498">
        <v>0</v>
      </c>
      <c r="GN150" s="498">
        <v>0</v>
      </c>
      <c r="GO150" s="498">
        <v>0</v>
      </c>
      <c r="GP150" s="498">
        <v>0</v>
      </c>
      <c r="GQ150" s="498">
        <v>0</v>
      </c>
      <c r="GR150" s="498">
        <v>0</v>
      </c>
      <c r="GS150" s="498">
        <v>0</v>
      </c>
      <c r="GT150" s="498">
        <v>0</v>
      </c>
      <c r="GU150" s="498">
        <v>0</v>
      </c>
      <c r="GV150" s="498">
        <v>0</v>
      </c>
      <c r="GW150" s="498">
        <v>0</v>
      </c>
      <c r="GX150" s="498">
        <v>0</v>
      </c>
      <c r="GY150" s="498">
        <v>0</v>
      </c>
      <c r="GZ150" s="498">
        <v>0</v>
      </c>
      <c r="HA150" s="498">
        <v>0</v>
      </c>
      <c r="HB150" s="498">
        <v>0</v>
      </c>
      <c r="HC150" s="498">
        <v>0</v>
      </c>
      <c r="HD150" s="498">
        <v>0</v>
      </c>
      <c r="HE150" s="498">
        <v>0</v>
      </c>
      <c r="HF150" s="498">
        <v>0</v>
      </c>
      <c r="HG150" s="498">
        <v>0</v>
      </c>
      <c r="HH150" s="498">
        <v>0</v>
      </c>
      <c r="HI150" s="498">
        <v>0</v>
      </c>
      <c r="HJ150" s="498">
        <v>0</v>
      </c>
      <c r="HK150" s="498">
        <v>0</v>
      </c>
      <c r="HL150" s="498">
        <v>0</v>
      </c>
      <c r="HM150" s="498">
        <v>0</v>
      </c>
      <c r="HN150" s="498">
        <v>0</v>
      </c>
      <c r="HO150" s="498">
        <v>0</v>
      </c>
      <c r="HP150" s="498">
        <v>0</v>
      </c>
      <c r="HQ150" s="498">
        <v>0</v>
      </c>
      <c r="HR150" s="498">
        <v>0</v>
      </c>
      <c r="HS150" s="498">
        <v>0</v>
      </c>
      <c r="HT150" s="498">
        <v>0</v>
      </c>
      <c r="HU150" s="498">
        <v>0</v>
      </c>
      <c r="HV150" s="498">
        <v>0</v>
      </c>
      <c r="HW150" s="498">
        <v>0</v>
      </c>
      <c r="HX150" s="498">
        <v>0</v>
      </c>
      <c r="HY150" s="498">
        <v>0</v>
      </c>
      <c r="HZ150" s="498">
        <v>0</v>
      </c>
      <c r="IA150" s="498">
        <v>0</v>
      </c>
      <c r="IB150" s="498">
        <v>0</v>
      </c>
      <c r="IC150" s="498">
        <v>0</v>
      </c>
      <c r="ID150" s="498">
        <v>0</v>
      </c>
      <c r="IE150" s="498">
        <v>0</v>
      </c>
      <c r="IF150" s="498">
        <v>0</v>
      </c>
      <c r="IG150" s="498">
        <v>0</v>
      </c>
      <c r="IH150" s="498">
        <v>0</v>
      </c>
      <c r="II150" s="498">
        <v>0</v>
      </c>
      <c r="IJ150" s="498">
        <v>0</v>
      </c>
    </row>
    <row r="151" spans="12:244" hidden="1">
      <c r="L151" s="497" t="s">
        <v>720</v>
      </c>
      <c r="M151" s="497" t="s">
        <v>617</v>
      </c>
      <c r="N151" s="497" t="s">
        <v>26</v>
      </c>
      <c r="O151" s="498">
        <v>18</v>
      </c>
      <c r="P151" s="494" t="str">
        <f t="shared" si="5"/>
        <v>AIJ100218</v>
      </c>
      <c r="Q151" s="498">
        <v>20000</v>
      </c>
      <c r="R151" s="498">
        <v>20000</v>
      </c>
      <c r="S151" s="498">
        <v>20000</v>
      </c>
      <c r="T151" s="498">
        <v>20000</v>
      </c>
      <c r="U151" s="498">
        <v>20000</v>
      </c>
      <c r="V151" s="498">
        <v>20000</v>
      </c>
      <c r="W151" s="498">
        <v>20000</v>
      </c>
      <c r="X151" s="498">
        <v>20000</v>
      </c>
      <c r="Y151" s="498">
        <v>20000</v>
      </c>
      <c r="Z151" s="498">
        <v>20000</v>
      </c>
      <c r="AA151" s="498">
        <v>0</v>
      </c>
      <c r="AB151" s="498">
        <v>0</v>
      </c>
      <c r="AC151" s="498">
        <v>0</v>
      </c>
      <c r="AD151" s="498">
        <v>0</v>
      </c>
      <c r="AE151" s="498">
        <v>0</v>
      </c>
      <c r="AF151" s="498">
        <v>0</v>
      </c>
      <c r="AG151" s="498">
        <v>0</v>
      </c>
      <c r="AH151" s="498">
        <v>0</v>
      </c>
      <c r="AI151" s="498">
        <v>0</v>
      </c>
      <c r="AJ151" s="498">
        <v>0</v>
      </c>
      <c r="AK151" s="498">
        <v>0</v>
      </c>
      <c r="AL151" s="498">
        <v>0</v>
      </c>
      <c r="AM151" s="498">
        <v>0</v>
      </c>
      <c r="AN151" s="498">
        <v>0</v>
      </c>
      <c r="AO151" s="498">
        <v>0</v>
      </c>
      <c r="AP151" s="498">
        <v>0</v>
      </c>
      <c r="AQ151" s="498">
        <v>0</v>
      </c>
      <c r="AR151" s="498">
        <v>0</v>
      </c>
      <c r="AS151" s="498">
        <v>0</v>
      </c>
      <c r="AT151" s="498">
        <v>0</v>
      </c>
      <c r="AU151" s="498">
        <v>0</v>
      </c>
      <c r="AV151" s="498">
        <v>0</v>
      </c>
      <c r="AW151" s="498">
        <v>0</v>
      </c>
      <c r="AX151" s="498">
        <v>0</v>
      </c>
      <c r="AY151" s="498">
        <v>0</v>
      </c>
      <c r="AZ151" s="498">
        <v>0</v>
      </c>
      <c r="BA151" s="498">
        <v>0</v>
      </c>
      <c r="BB151" s="498">
        <v>0</v>
      </c>
      <c r="BC151" s="498">
        <v>0</v>
      </c>
      <c r="BD151" s="498">
        <v>0</v>
      </c>
      <c r="BE151" s="498">
        <v>0</v>
      </c>
      <c r="BF151" s="498">
        <v>0</v>
      </c>
      <c r="BG151" s="498">
        <v>0</v>
      </c>
      <c r="BH151" s="498">
        <v>0</v>
      </c>
      <c r="BI151" s="498">
        <v>0</v>
      </c>
      <c r="BJ151" s="498">
        <v>0</v>
      </c>
      <c r="BK151" s="498">
        <v>0</v>
      </c>
      <c r="BL151" s="498">
        <v>0</v>
      </c>
      <c r="BM151" s="498">
        <v>0</v>
      </c>
      <c r="BN151" s="498">
        <v>0</v>
      </c>
      <c r="BO151" s="498">
        <v>0</v>
      </c>
      <c r="BP151" s="498">
        <v>0</v>
      </c>
      <c r="BQ151" s="498">
        <v>0</v>
      </c>
      <c r="BR151" s="498">
        <v>0</v>
      </c>
      <c r="BS151" s="498">
        <v>0</v>
      </c>
      <c r="BT151" s="498">
        <v>0</v>
      </c>
      <c r="BU151" s="498">
        <v>0</v>
      </c>
      <c r="BV151" s="498">
        <v>0</v>
      </c>
      <c r="BW151" s="498">
        <v>0</v>
      </c>
      <c r="BX151" s="498">
        <v>0</v>
      </c>
      <c r="BY151" s="498">
        <v>0</v>
      </c>
      <c r="BZ151" s="498">
        <v>0</v>
      </c>
      <c r="CA151" s="498">
        <v>0</v>
      </c>
      <c r="CB151" s="498">
        <v>0</v>
      </c>
      <c r="CC151" s="498">
        <v>0</v>
      </c>
      <c r="CD151" s="498">
        <v>0</v>
      </c>
      <c r="CE151" s="498">
        <v>0</v>
      </c>
      <c r="CF151" s="498">
        <v>0</v>
      </c>
      <c r="CG151" s="498">
        <v>0</v>
      </c>
      <c r="CH151" s="498">
        <v>0</v>
      </c>
      <c r="CI151" s="498">
        <v>0</v>
      </c>
      <c r="CJ151" s="498">
        <v>0</v>
      </c>
      <c r="CK151" s="498">
        <v>0</v>
      </c>
      <c r="CL151" s="498">
        <v>0</v>
      </c>
      <c r="CM151" s="498">
        <v>0</v>
      </c>
      <c r="CN151" s="498">
        <v>0</v>
      </c>
      <c r="CO151" s="498">
        <v>0</v>
      </c>
      <c r="CP151" s="498">
        <v>0</v>
      </c>
      <c r="CQ151" s="498">
        <v>0</v>
      </c>
      <c r="CR151" s="498">
        <v>0</v>
      </c>
      <c r="CS151" s="498">
        <v>0</v>
      </c>
      <c r="CT151" s="498">
        <v>0</v>
      </c>
      <c r="CU151" s="498">
        <v>0</v>
      </c>
      <c r="CV151" s="498">
        <v>0</v>
      </c>
      <c r="CW151" s="498">
        <v>0</v>
      </c>
      <c r="CX151" s="498">
        <v>0</v>
      </c>
      <c r="CY151" s="498">
        <v>0</v>
      </c>
      <c r="CZ151" s="498">
        <v>0</v>
      </c>
      <c r="DA151" s="498">
        <v>0</v>
      </c>
      <c r="DB151" s="498">
        <v>0</v>
      </c>
      <c r="DC151" s="498">
        <v>0</v>
      </c>
      <c r="DD151" s="498">
        <v>0</v>
      </c>
      <c r="DE151" s="498">
        <v>0</v>
      </c>
      <c r="DF151" s="498">
        <v>0</v>
      </c>
      <c r="DG151" s="498">
        <v>0</v>
      </c>
      <c r="DH151" s="498">
        <v>0</v>
      </c>
      <c r="DI151" s="498">
        <v>0</v>
      </c>
      <c r="DJ151" s="498">
        <v>0</v>
      </c>
      <c r="DK151" s="498">
        <v>0</v>
      </c>
      <c r="DL151" s="498">
        <v>0</v>
      </c>
      <c r="DM151" s="498">
        <v>0</v>
      </c>
      <c r="DN151" s="498">
        <v>0</v>
      </c>
      <c r="DO151" s="498">
        <v>0</v>
      </c>
      <c r="DP151" s="498">
        <v>0</v>
      </c>
      <c r="DQ151" s="498">
        <v>0</v>
      </c>
      <c r="DR151" s="498">
        <v>0</v>
      </c>
      <c r="DS151" s="498">
        <v>0</v>
      </c>
      <c r="DT151" s="498">
        <v>0</v>
      </c>
      <c r="DU151" s="498">
        <v>0</v>
      </c>
      <c r="DV151" s="498">
        <v>0</v>
      </c>
      <c r="DW151" s="498">
        <v>0</v>
      </c>
      <c r="DX151" s="477"/>
      <c r="DY151" s="497" t="s">
        <v>720</v>
      </c>
      <c r="DZ151" s="497" t="s">
        <v>617</v>
      </c>
      <c r="EA151" s="497" t="s">
        <v>26</v>
      </c>
      <c r="EB151" s="498">
        <v>18</v>
      </c>
      <c r="EC151" s="494" t="str">
        <f t="shared" si="6"/>
        <v>AIJ100218</v>
      </c>
      <c r="ED151" s="498">
        <v>0</v>
      </c>
      <c r="EE151" s="498">
        <v>207</v>
      </c>
      <c r="EF151" s="498">
        <v>526</v>
      </c>
      <c r="EG151" s="498">
        <v>833</v>
      </c>
      <c r="EH151" s="498">
        <v>1308</v>
      </c>
      <c r="EI151" s="498">
        <v>1809</v>
      </c>
      <c r="EJ151" s="498">
        <v>2625</v>
      </c>
      <c r="EK151" s="498">
        <v>4000</v>
      </c>
      <c r="EL151" s="498">
        <v>5686</v>
      </c>
      <c r="EM151" s="498">
        <v>0</v>
      </c>
      <c r="EN151" s="498">
        <v>0</v>
      </c>
      <c r="EO151" s="498">
        <v>0</v>
      </c>
      <c r="EP151" s="498">
        <v>0</v>
      </c>
      <c r="EQ151" s="498">
        <v>0</v>
      </c>
      <c r="ER151" s="498">
        <v>0</v>
      </c>
      <c r="ES151" s="498">
        <v>0</v>
      </c>
      <c r="ET151" s="498">
        <v>0</v>
      </c>
      <c r="EU151" s="498">
        <v>0</v>
      </c>
      <c r="EV151" s="498">
        <v>0</v>
      </c>
      <c r="EW151" s="498">
        <v>0</v>
      </c>
      <c r="EX151" s="498">
        <v>0</v>
      </c>
      <c r="EY151" s="498">
        <v>0</v>
      </c>
      <c r="EZ151" s="498">
        <v>0</v>
      </c>
      <c r="FA151" s="498">
        <v>0</v>
      </c>
      <c r="FB151" s="498">
        <v>0</v>
      </c>
      <c r="FC151" s="498">
        <v>0</v>
      </c>
      <c r="FD151" s="498">
        <v>0</v>
      </c>
      <c r="FE151" s="498">
        <v>0</v>
      </c>
      <c r="FF151" s="498">
        <v>0</v>
      </c>
      <c r="FG151" s="498">
        <v>0</v>
      </c>
      <c r="FH151" s="498">
        <v>0</v>
      </c>
      <c r="FI151" s="498">
        <v>0</v>
      </c>
      <c r="FJ151" s="498">
        <v>0</v>
      </c>
      <c r="FK151" s="498">
        <v>0</v>
      </c>
      <c r="FL151" s="498">
        <v>0</v>
      </c>
      <c r="FM151" s="498">
        <v>0</v>
      </c>
      <c r="FN151" s="498">
        <v>0</v>
      </c>
      <c r="FO151" s="498">
        <v>0</v>
      </c>
      <c r="FP151" s="498">
        <v>0</v>
      </c>
      <c r="FQ151" s="498">
        <v>0</v>
      </c>
      <c r="FR151" s="498">
        <v>0</v>
      </c>
      <c r="FS151" s="498">
        <v>0</v>
      </c>
      <c r="FT151" s="498">
        <v>0</v>
      </c>
      <c r="FU151" s="498">
        <v>0</v>
      </c>
      <c r="FV151" s="498">
        <v>0</v>
      </c>
      <c r="FW151" s="498">
        <v>0</v>
      </c>
      <c r="FX151" s="498">
        <v>0</v>
      </c>
      <c r="FY151" s="498">
        <v>0</v>
      </c>
      <c r="FZ151" s="498">
        <v>0</v>
      </c>
      <c r="GA151" s="498">
        <v>0</v>
      </c>
      <c r="GB151" s="498">
        <v>0</v>
      </c>
      <c r="GC151" s="498">
        <v>0</v>
      </c>
      <c r="GD151" s="498">
        <v>0</v>
      </c>
      <c r="GE151" s="498">
        <v>0</v>
      </c>
      <c r="GF151" s="498">
        <v>0</v>
      </c>
      <c r="GG151" s="498">
        <v>0</v>
      </c>
      <c r="GH151" s="498">
        <v>0</v>
      </c>
      <c r="GI151" s="498">
        <v>0</v>
      </c>
      <c r="GJ151" s="498">
        <v>0</v>
      </c>
      <c r="GK151" s="498">
        <v>0</v>
      </c>
      <c r="GL151" s="498">
        <v>0</v>
      </c>
      <c r="GM151" s="498">
        <v>0</v>
      </c>
      <c r="GN151" s="498">
        <v>0</v>
      </c>
      <c r="GO151" s="498">
        <v>0</v>
      </c>
      <c r="GP151" s="498">
        <v>0</v>
      </c>
      <c r="GQ151" s="498">
        <v>0</v>
      </c>
      <c r="GR151" s="498">
        <v>0</v>
      </c>
      <c r="GS151" s="498">
        <v>0</v>
      </c>
      <c r="GT151" s="498">
        <v>0</v>
      </c>
      <c r="GU151" s="498">
        <v>0</v>
      </c>
      <c r="GV151" s="498">
        <v>0</v>
      </c>
      <c r="GW151" s="498">
        <v>0</v>
      </c>
      <c r="GX151" s="498">
        <v>0</v>
      </c>
      <c r="GY151" s="498">
        <v>0</v>
      </c>
      <c r="GZ151" s="498">
        <v>0</v>
      </c>
      <c r="HA151" s="498">
        <v>0</v>
      </c>
      <c r="HB151" s="498">
        <v>0</v>
      </c>
      <c r="HC151" s="498">
        <v>0</v>
      </c>
      <c r="HD151" s="498">
        <v>0</v>
      </c>
      <c r="HE151" s="498">
        <v>0</v>
      </c>
      <c r="HF151" s="498">
        <v>0</v>
      </c>
      <c r="HG151" s="498">
        <v>0</v>
      </c>
      <c r="HH151" s="498">
        <v>0</v>
      </c>
      <c r="HI151" s="498">
        <v>0</v>
      </c>
      <c r="HJ151" s="498">
        <v>0</v>
      </c>
      <c r="HK151" s="498">
        <v>0</v>
      </c>
      <c r="HL151" s="498">
        <v>0</v>
      </c>
      <c r="HM151" s="498">
        <v>0</v>
      </c>
      <c r="HN151" s="498">
        <v>0</v>
      </c>
      <c r="HO151" s="498">
        <v>0</v>
      </c>
      <c r="HP151" s="498">
        <v>0</v>
      </c>
      <c r="HQ151" s="498">
        <v>0</v>
      </c>
      <c r="HR151" s="498">
        <v>0</v>
      </c>
      <c r="HS151" s="498">
        <v>0</v>
      </c>
      <c r="HT151" s="498">
        <v>0</v>
      </c>
      <c r="HU151" s="498">
        <v>0</v>
      </c>
      <c r="HV151" s="498">
        <v>0</v>
      </c>
      <c r="HW151" s="498">
        <v>0</v>
      </c>
      <c r="HX151" s="498">
        <v>0</v>
      </c>
      <c r="HY151" s="498">
        <v>0</v>
      </c>
      <c r="HZ151" s="498">
        <v>0</v>
      </c>
      <c r="IA151" s="498">
        <v>0</v>
      </c>
      <c r="IB151" s="498">
        <v>0</v>
      </c>
      <c r="IC151" s="498">
        <v>0</v>
      </c>
      <c r="ID151" s="498">
        <v>0</v>
      </c>
      <c r="IE151" s="498">
        <v>0</v>
      </c>
      <c r="IF151" s="498">
        <v>0</v>
      </c>
      <c r="IG151" s="498">
        <v>0</v>
      </c>
      <c r="IH151" s="498">
        <v>0</v>
      </c>
      <c r="II151" s="498">
        <v>0</v>
      </c>
      <c r="IJ151" s="498">
        <v>0</v>
      </c>
    </row>
    <row r="152" spans="12:244" hidden="1">
      <c r="L152" s="497" t="s">
        <v>720</v>
      </c>
      <c r="M152" s="497" t="s">
        <v>617</v>
      </c>
      <c r="N152" s="497" t="s">
        <v>26</v>
      </c>
      <c r="O152" s="498">
        <v>19</v>
      </c>
      <c r="P152" s="494" t="str">
        <f t="shared" si="5"/>
        <v>AIJ100219</v>
      </c>
      <c r="Q152" s="498">
        <v>20000</v>
      </c>
      <c r="R152" s="498">
        <v>20000</v>
      </c>
      <c r="S152" s="498">
        <v>20000</v>
      </c>
      <c r="T152" s="498">
        <v>20000</v>
      </c>
      <c r="U152" s="498">
        <v>20000</v>
      </c>
      <c r="V152" s="498">
        <v>20000</v>
      </c>
      <c r="W152" s="498">
        <v>20000</v>
      </c>
      <c r="X152" s="498">
        <v>20000</v>
      </c>
      <c r="Y152" s="498">
        <v>20000</v>
      </c>
      <c r="Z152" s="498">
        <v>20000</v>
      </c>
      <c r="AA152" s="498">
        <v>0</v>
      </c>
      <c r="AB152" s="498">
        <v>0</v>
      </c>
      <c r="AC152" s="498">
        <v>0</v>
      </c>
      <c r="AD152" s="498">
        <v>0</v>
      </c>
      <c r="AE152" s="498">
        <v>0</v>
      </c>
      <c r="AF152" s="498">
        <v>0</v>
      </c>
      <c r="AG152" s="498">
        <v>0</v>
      </c>
      <c r="AH152" s="498">
        <v>0</v>
      </c>
      <c r="AI152" s="498">
        <v>0</v>
      </c>
      <c r="AJ152" s="498">
        <v>0</v>
      </c>
      <c r="AK152" s="498">
        <v>0</v>
      </c>
      <c r="AL152" s="498">
        <v>0</v>
      </c>
      <c r="AM152" s="498">
        <v>0</v>
      </c>
      <c r="AN152" s="498">
        <v>0</v>
      </c>
      <c r="AO152" s="498">
        <v>0</v>
      </c>
      <c r="AP152" s="498">
        <v>0</v>
      </c>
      <c r="AQ152" s="498">
        <v>0</v>
      </c>
      <c r="AR152" s="498">
        <v>0</v>
      </c>
      <c r="AS152" s="498">
        <v>0</v>
      </c>
      <c r="AT152" s="498">
        <v>0</v>
      </c>
      <c r="AU152" s="498">
        <v>0</v>
      </c>
      <c r="AV152" s="498">
        <v>0</v>
      </c>
      <c r="AW152" s="498">
        <v>0</v>
      </c>
      <c r="AX152" s="498">
        <v>0</v>
      </c>
      <c r="AY152" s="498">
        <v>0</v>
      </c>
      <c r="AZ152" s="498">
        <v>0</v>
      </c>
      <c r="BA152" s="498">
        <v>0</v>
      </c>
      <c r="BB152" s="498">
        <v>0</v>
      </c>
      <c r="BC152" s="498">
        <v>0</v>
      </c>
      <c r="BD152" s="498">
        <v>0</v>
      </c>
      <c r="BE152" s="498">
        <v>0</v>
      </c>
      <c r="BF152" s="498">
        <v>0</v>
      </c>
      <c r="BG152" s="498">
        <v>0</v>
      </c>
      <c r="BH152" s="498">
        <v>0</v>
      </c>
      <c r="BI152" s="498">
        <v>0</v>
      </c>
      <c r="BJ152" s="498">
        <v>0</v>
      </c>
      <c r="BK152" s="498">
        <v>0</v>
      </c>
      <c r="BL152" s="498">
        <v>0</v>
      </c>
      <c r="BM152" s="498">
        <v>0</v>
      </c>
      <c r="BN152" s="498">
        <v>0</v>
      </c>
      <c r="BO152" s="498">
        <v>0</v>
      </c>
      <c r="BP152" s="498">
        <v>0</v>
      </c>
      <c r="BQ152" s="498">
        <v>0</v>
      </c>
      <c r="BR152" s="498">
        <v>0</v>
      </c>
      <c r="BS152" s="498">
        <v>0</v>
      </c>
      <c r="BT152" s="498">
        <v>0</v>
      </c>
      <c r="BU152" s="498">
        <v>0</v>
      </c>
      <c r="BV152" s="498">
        <v>0</v>
      </c>
      <c r="BW152" s="498">
        <v>0</v>
      </c>
      <c r="BX152" s="498">
        <v>0</v>
      </c>
      <c r="BY152" s="498">
        <v>0</v>
      </c>
      <c r="BZ152" s="498">
        <v>0</v>
      </c>
      <c r="CA152" s="498">
        <v>0</v>
      </c>
      <c r="CB152" s="498">
        <v>0</v>
      </c>
      <c r="CC152" s="498">
        <v>0</v>
      </c>
      <c r="CD152" s="498">
        <v>0</v>
      </c>
      <c r="CE152" s="498">
        <v>0</v>
      </c>
      <c r="CF152" s="498">
        <v>0</v>
      </c>
      <c r="CG152" s="498">
        <v>0</v>
      </c>
      <c r="CH152" s="498">
        <v>0</v>
      </c>
      <c r="CI152" s="498">
        <v>0</v>
      </c>
      <c r="CJ152" s="498">
        <v>0</v>
      </c>
      <c r="CK152" s="498">
        <v>0</v>
      </c>
      <c r="CL152" s="498">
        <v>0</v>
      </c>
      <c r="CM152" s="498">
        <v>0</v>
      </c>
      <c r="CN152" s="498">
        <v>0</v>
      </c>
      <c r="CO152" s="498">
        <v>0</v>
      </c>
      <c r="CP152" s="498">
        <v>0</v>
      </c>
      <c r="CQ152" s="498">
        <v>0</v>
      </c>
      <c r="CR152" s="498">
        <v>0</v>
      </c>
      <c r="CS152" s="498">
        <v>0</v>
      </c>
      <c r="CT152" s="498">
        <v>0</v>
      </c>
      <c r="CU152" s="498">
        <v>0</v>
      </c>
      <c r="CV152" s="498">
        <v>0</v>
      </c>
      <c r="CW152" s="498">
        <v>0</v>
      </c>
      <c r="CX152" s="498">
        <v>0</v>
      </c>
      <c r="CY152" s="498">
        <v>0</v>
      </c>
      <c r="CZ152" s="498">
        <v>0</v>
      </c>
      <c r="DA152" s="498">
        <v>0</v>
      </c>
      <c r="DB152" s="498">
        <v>0</v>
      </c>
      <c r="DC152" s="498">
        <v>0</v>
      </c>
      <c r="DD152" s="498">
        <v>0</v>
      </c>
      <c r="DE152" s="498">
        <v>0</v>
      </c>
      <c r="DF152" s="498">
        <v>0</v>
      </c>
      <c r="DG152" s="498">
        <v>0</v>
      </c>
      <c r="DH152" s="498">
        <v>0</v>
      </c>
      <c r="DI152" s="498">
        <v>0</v>
      </c>
      <c r="DJ152" s="498">
        <v>0</v>
      </c>
      <c r="DK152" s="498">
        <v>0</v>
      </c>
      <c r="DL152" s="498">
        <v>0</v>
      </c>
      <c r="DM152" s="498">
        <v>0</v>
      </c>
      <c r="DN152" s="498">
        <v>0</v>
      </c>
      <c r="DO152" s="498">
        <v>0</v>
      </c>
      <c r="DP152" s="498">
        <v>0</v>
      </c>
      <c r="DQ152" s="498">
        <v>0</v>
      </c>
      <c r="DR152" s="498">
        <v>0</v>
      </c>
      <c r="DS152" s="498">
        <v>0</v>
      </c>
      <c r="DT152" s="498">
        <v>0</v>
      </c>
      <c r="DU152" s="498">
        <v>0</v>
      </c>
      <c r="DV152" s="498">
        <v>0</v>
      </c>
      <c r="DW152" s="498">
        <v>0</v>
      </c>
      <c r="DX152" s="477"/>
      <c r="DY152" s="497" t="s">
        <v>720</v>
      </c>
      <c r="DZ152" s="497" t="s">
        <v>617</v>
      </c>
      <c r="EA152" s="497" t="s">
        <v>26</v>
      </c>
      <c r="EB152" s="498">
        <v>19</v>
      </c>
      <c r="EC152" s="494" t="str">
        <f t="shared" si="6"/>
        <v>AIJ100219</v>
      </c>
      <c r="ED152" s="498">
        <v>0</v>
      </c>
      <c r="EE152" s="498">
        <v>204</v>
      </c>
      <c r="EF152" s="498">
        <v>519</v>
      </c>
      <c r="EG152" s="498">
        <v>820</v>
      </c>
      <c r="EH152" s="498">
        <v>1284</v>
      </c>
      <c r="EI152" s="498">
        <v>1895</v>
      </c>
      <c r="EJ152" s="498">
        <v>2593</v>
      </c>
      <c r="EK152" s="498">
        <v>3939</v>
      </c>
      <c r="EL152" s="498">
        <v>5769</v>
      </c>
      <c r="EM152" s="498">
        <v>0</v>
      </c>
      <c r="EN152" s="498">
        <v>0</v>
      </c>
      <c r="EO152" s="498">
        <v>0</v>
      </c>
      <c r="EP152" s="498">
        <v>0</v>
      </c>
      <c r="EQ152" s="498">
        <v>0</v>
      </c>
      <c r="ER152" s="498">
        <v>0</v>
      </c>
      <c r="ES152" s="498">
        <v>0</v>
      </c>
      <c r="ET152" s="498">
        <v>0</v>
      </c>
      <c r="EU152" s="498">
        <v>0</v>
      </c>
      <c r="EV152" s="498">
        <v>0</v>
      </c>
      <c r="EW152" s="498">
        <v>0</v>
      </c>
      <c r="EX152" s="498">
        <v>0</v>
      </c>
      <c r="EY152" s="498">
        <v>0</v>
      </c>
      <c r="EZ152" s="498">
        <v>0</v>
      </c>
      <c r="FA152" s="498">
        <v>0</v>
      </c>
      <c r="FB152" s="498">
        <v>0</v>
      </c>
      <c r="FC152" s="498">
        <v>0</v>
      </c>
      <c r="FD152" s="498">
        <v>0</v>
      </c>
      <c r="FE152" s="498">
        <v>0</v>
      </c>
      <c r="FF152" s="498">
        <v>0</v>
      </c>
      <c r="FG152" s="498">
        <v>0</v>
      </c>
      <c r="FH152" s="498">
        <v>0</v>
      </c>
      <c r="FI152" s="498">
        <v>0</v>
      </c>
      <c r="FJ152" s="498">
        <v>0</v>
      </c>
      <c r="FK152" s="498">
        <v>0</v>
      </c>
      <c r="FL152" s="498">
        <v>0</v>
      </c>
      <c r="FM152" s="498">
        <v>0</v>
      </c>
      <c r="FN152" s="498">
        <v>0</v>
      </c>
      <c r="FO152" s="498">
        <v>0</v>
      </c>
      <c r="FP152" s="498">
        <v>0</v>
      </c>
      <c r="FQ152" s="498">
        <v>0</v>
      </c>
      <c r="FR152" s="498">
        <v>0</v>
      </c>
      <c r="FS152" s="498">
        <v>0</v>
      </c>
      <c r="FT152" s="498">
        <v>0</v>
      </c>
      <c r="FU152" s="498">
        <v>0</v>
      </c>
      <c r="FV152" s="498">
        <v>0</v>
      </c>
      <c r="FW152" s="498">
        <v>0</v>
      </c>
      <c r="FX152" s="498">
        <v>0</v>
      </c>
      <c r="FY152" s="498">
        <v>0</v>
      </c>
      <c r="FZ152" s="498">
        <v>0</v>
      </c>
      <c r="GA152" s="498">
        <v>0</v>
      </c>
      <c r="GB152" s="498">
        <v>0</v>
      </c>
      <c r="GC152" s="498">
        <v>0</v>
      </c>
      <c r="GD152" s="498">
        <v>0</v>
      </c>
      <c r="GE152" s="498">
        <v>0</v>
      </c>
      <c r="GF152" s="498">
        <v>0</v>
      </c>
      <c r="GG152" s="498">
        <v>0</v>
      </c>
      <c r="GH152" s="498">
        <v>0</v>
      </c>
      <c r="GI152" s="498">
        <v>0</v>
      </c>
      <c r="GJ152" s="498">
        <v>0</v>
      </c>
      <c r="GK152" s="498">
        <v>0</v>
      </c>
      <c r="GL152" s="498">
        <v>0</v>
      </c>
      <c r="GM152" s="498">
        <v>0</v>
      </c>
      <c r="GN152" s="498">
        <v>0</v>
      </c>
      <c r="GO152" s="498">
        <v>0</v>
      </c>
      <c r="GP152" s="498">
        <v>0</v>
      </c>
      <c r="GQ152" s="498">
        <v>0</v>
      </c>
      <c r="GR152" s="498">
        <v>0</v>
      </c>
      <c r="GS152" s="498">
        <v>0</v>
      </c>
      <c r="GT152" s="498">
        <v>0</v>
      </c>
      <c r="GU152" s="498">
        <v>0</v>
      </c>
      <c r="GV152" s="498">
        <v>0</v>
      </c>
      <c r="GW152" s="498">
        <v>0</v>
      </c>
      <c r="GX152" s="498">
        <v>0</v>
      </c>
      <c r="GY152" s="498">
        <v>0</v>
      </c>
      <c r="GZ152" s="498">
        <v>0</v>
      </c>
      <c r="HA152" s="498">
        <v>0</v>
      </c>
      <c r="HB152" s="498">
        <v>0</v>
      </c>
      <c r="HC152" s="498">
        <v>0</v>
      </c>
      <c r="HD152" s="498">
        <v>0</v>
      </c>
      <c r="HE152" s="498">
        <v>0</v>
      </c>
      <c r="HF152" s="498">
        <v>0</v>
      </c>
      <c r="HG152" s="498">
        <v>0</v>
      </c>
      <c r="HH152" s="498">
        <v>0</v>
      </c>
      <c r="HI152" s="498">
        <v>0</v>
      </c>
      <c r="HJ152" s="498">
        <v>0</v>
      </c>
      <c r="HK152" s="498">
        <v>0</v>
      </c>
      <c r="HL152" s="498">
        <v>0</v>
      </c>
      <c r="HM152" s="498">
        <v>0</v>
      </c>
      <c r="HN152" s="498">
        <v>0</v>
      </c>
      <c r="HO152" s="498">
        <v>0</v>
      </c>
      <c r="HP152" s="498">
        <v>0</v>
      </c>
      <c r="HQ152" s="498">
        <v>0</v>
      </c>
      <c r="HR152" s="498">
        <v>0</v>
      </c>
      <c r="HS152" s="498">
        <v>0</v>
      </c>
      <c r="HT152" s="498">
        <v>0</v>
      </c>
      <c r="HU152" s="498">
        <v>0</v>
      </c>
      <c r="HV152" s="498">
        <v>0</v>
      </c>
      <c r="HW152" s="498">
        <v>0</v>
      </c>
      <c r="HX152" s="498">
        <v>0</v>
      </c>
      <c r="HY152" s="498">
        <v>0</v>
      </c>
      <c r="HZ152" s="498">
        <v>0</v>
      </c>
      <c r="IA152" s="498">
        <v>0</v>
      </c>
      <c r="IB152" s="498">
        <v>0</v>
      </c>
      <c r="IC152" s="498">
        <v>0</v>
      </c>
      <c r="ID152" s="498">
        <v>0</v>
      </c>
      <c r="IE152" s="498">
        <v>0</v>
      </c>
      <c r="IF152" s="498">
        <v>0</v>
      </c>
      <c r="IG152" s="498">
        <v>0</v>
      </c>
      <c r="IH152" s="498">
        <v>0</v>
      </c>
      <c r="II152" s="498">
        <v>0</v>
      </c>
      <c r="IJ152" s="498">
        <v>0</v>
      </c>
    </row>
    <row r="153" spans="12:244" hidden="1">
      <c r="L153" s="497" t="s">
        <v>720</v>
      </c>
      <c r="M153" s="497" t="s">
        <v>617</v>
      </c>
      <c r="N153" s="497" t="s">
        <v>26</v>
      </c>
      <c r="O153" s="498">
        <v>20</v>
      </c>
      <c r="P153" s="494" t="str">
        <f t="shared" si="5"/>
        <v>AIJ100220</v>
      </c>
      <c r="Q153" s="498">
        <v>20000</v>
      </c>
      <c r="R153" s="498">
        <v>20000</v>
      </c>
      <c r="S153" s="498">
        <v>20000</v>
      </c>
      <c r="T153" s="498">
        <v>20000</v>
      </c>
      <c r="U153" s="498">
        <v>20000</v>
      </c>
      <c r="V153" s="498">
        <v>20000</v>
      </c>
      <c r="W153" s="498">
        <v>20000</v>
      </c>
      <c r="X153" s="498">
        <v>20000</v>
      </c>
      <c r="Y153" s="498">
        <v>20000</v>
      </c>
      <c r="Z153" s="498">
        <v>20000</v>
      </c>
      <c r="AA153" s="498">
        <v>0</v>
      </c>
      <c r="AB153" s="498">
        <v>0</v>
      </c>
      <c r="AC153" s="498">
        <v>0</v>
      </c>
      <c r="AD153" s="498">
        <v>0</v>
      </c>
      <c r="AE153" s="498">
        <v>0</v>
      </c>
      <c r="AF153" s="498">
        <v>0</v>
      </c>
      <c r="AG153" s="498">
        <v>0</v>
      </c>
      <c r="AH153" s="498">
        <v>0</v>
      </c>
      <c r="AI153" s="498">
        <v>0</v>
      </c>
      <c r="AJ153" s="498">
        <v>0</v>
      </c>
      <c r="AK153" s="498">
        <v>0</v>
      </c>
      <c r="AL153" s="498">
        <v>0</v>
      </c>
      <c r="AM153" s="498">
        <v>0</v>
      </c>
      <c r="AN153" s="498">
        <v>0</v>
      </c>
      <c r="AO153" s="498">
        <v>0</v>
      </c>
      <c r="AP153" s="498">
        <v>0</v>
      </c>
      <c r="AQ153" s="498">
        <v>0</v>
      </c>
      <c r="AR153" s="498">
        <v>0</v>
      </c>
      <c r="AS153" s="498">
        <v>0</v>
      </c>
      <c r="AT153" s="498">
        <v>0</v>
      </c>
      <c r="AU153" s="498">
        <v>0</v>
      </c>
      <c r="AV153" s="498">
        <v>0</v>
      </c>
      <c r="AW153" s="498">
        <v>0</v>
      </c>
      <c r="AX153" s="498">
        <v>0</v>
      </c>
      <c r="AY153" s="498">
        <v>0</v>
      </c>
      <c r="AZ153" s="498">
        <v>0</v>
      </c>
      <c r="BA153" s="498">
        <v>0</v>
      </c>
      <c r="BB153" s="498">
        <v>0</v>
      </c>
      <c r="BC153" s="498">
        <v>0</v>
      </c>
      <c r="BD153" s="498">
        <v>0</v>
      </c>
      <c r="BE153" s="498">
        <v>0</v>
      </c>
      <c r="BF153" s="498">
        <v>0</v>
      </c>
      <c r="BG153" s="498">
        <v>0</v>
      </c>
      <c r="BH153" s="498">
        <v>0</v>
      </c>
      <c r="BI153" s="498">
        <v>0</v>
      </c>
      <c r="BJ153" s="498">
        <v>0</v>
      </c>
      <c r="BK153" s="498">
        <v>0</v>
      </c>
      <c r="BL153" s="498">
        <v>0</v>
      </c>
      <c r="BM153" s="498">
        <v>0</v>
      </c>
      <c r="BN153" s="498">
        <v>0</v>
      </c>
      <c r="BO153" s="498">
        <v>0</v>
      </c>
      <c r="BP153" s="498">
        <v>0</v>
      </c>
      <c r="BQ153" s="498">
        <v>0</v>
      </c>
      <c r="BR153" s="498">
        <v>0</v>
      </c>
      <c r="BS153" s="498">
        <v>0</v>
      </c>
      <c r="BT153" s="498">
        <v>0</v>
      </c>
      <c r="BU153" s="498">
        <v>0</v>
      </c>
      <c r="BV153" s="498">
        <v>0</v>
      </c>
      <c r="BW153" s="498">
        <v>0</v>
      </c>
      <c r="BX153" s="498">
        <v>0</v>
      </c>
      <c r="BY153" s="498">
        <v>0</v>
      </c>
      <c r="BZ153" s="498">
        <v>0</v>
      </c>
      <c r="CA153" s="498">
        <v>0</v>
      </c>
      <c r="CB153" s="498">
        <v>0</v>
      </c>
      <c r="CC153" s="498">
        <v>0</v>
      </c>
      <c r="CD153" s="498">
        <v>0</v>
      </c>
      <c r="CE153" s="498">
        <v>0</v>
      </c>
      <c r="CF153" s="498">
        <v>0</v>
      </c>
      <c r="CG153" s="498">
        <v>0</v>
      </c>
      <c r="CH153" s="498">
        <v>0</v>
      </c>
      <c r="CI153" s="498">
        <v>0</v>
      </c>
      <c r="CJ153" s="498">
        <v>0</v>
      </c>
      <c r="CK153" s="498">
        <v>0</v>
      </c>
      <c r="CL153" s="498">
        <v>0</v>
      </c>
      <c r="CM153" s="498">
        <v>0</v>
      </c>
      <c r="CN153" s="498">
        <v>0</v>
      </c>
      <c r="CO153" s="498">
        <v>0</v>
      </c>
      <c r="CP153" s="498">
        <v>0</v>
      </c>
      <c r="CQ153" s="498">
        <v>0</v>
      </c>
      <c r="CR153" s="498">
        <v>0</v>
      </c>
      <c r="CS153" s="498">
        <v>0</v>
      </c>
      <c r="CT153" s="498">
        <v>0</v>
      </c>
      <c r="CU153" s="498">
        <v>0</v>
      </c>
      <c r="CV153" s="498">
        <v>0</v>
      </c>
      <c r="CW153" s="498">
        <v>0</v>
      </c>
      <c r="CX153" s="498">
        <v>0</v>
      </c>
      <c r="CY153" s="498">
        <v>0</v>
      </c>
      <c r="CZ153" s="498">
        <v>0</v>
      </c>
      <c r="DA153" s="498">
        <v>0</v>
      </c>
      <c r="DB153" s="498">
        <v>0</v>
      </c>
      <c r="DC153" s="498">
        <v>0</v>
      </c>
      <c r="DD153" s="498">
        <v>0</v>
      </c>
      <c r="DE153" s="498">
        <v>0</v>
      </c>
      <c r="DF153" s="498">
        <v>0</v>
      </c>
      <c r="DG153" s="498">
        <v>0</v>
      </c>
      <c r="DH153" s="498">
        <v>0</v>
      </c>
      <c r="DI153" s="498">
        <v>0</v>
      </c>
      <c r="DJ153" s="498">
        <v>0</v>
      </c>
      <c r="DK153" s="498">
        <v>0</v>
      </c>
      <c r="DL153" s="498">
        <v>0</v>
      </c>
      <c r="DM153" s="498">
        <v>0</v>
      </c>
      <c r="DN153" s="498">
        <v>0</v>
      </c>
      <c r="DO153" s="498">
        <v>0</v>
      </c>
      <c r="DP153" s="498">
        <v>0</v>
      </c>
      <c r="DQ153" s="498">
        <v>0</v>
      </c>
      <c r="DR153" s="498">
        <v>0</v>
      </c>
      <c r="DS153" s="498">
        <v>0</v>
      </c>
      <c r="DT153" s="498">
        <v>0</v>
      </c>
      <c r="DU153" s="498">
        <v>0</v>
      </c>
      <c r="DV153" s="498">
        <v>0</v>
      </c>
      <c r="DW153" s="498">
        <v>0</v>
      </c>
      <c r="DX153" s="477"/>
      <c r="DY153" s="497" t="s">
        <v>720</v>
      </c>
      <c r="DZ153" s="497" t="s">
        <v>617</v>
      </c>
      <c r="EA153" s="497" t="s">
        <v>26</v>
      </c>
      <c r="EB153" s="498">
        <v>20</v>
      </c>
      <c r="EC153" s="494" t="str">
        <f t="shared" si="6"/>
        <v>AIJ100220</v>
      </c>
      <c r="ED153" s="498">
        <v>0</v>
      </c>
      <c r="EE153" s="498">
        <v>268</v>
      </c>
      <c r="EF153" s="498">
        <v>511</v>
      </c>
      <c r="EG153" s="498">
        <v>887</v>
      </c>
      <c r="EH153" s="498">
        <v>1273</v>
      </c>
      <c r="EI153" s="498">
        <v>1875</v>
      </c>
      <c r="EJ153" s="498">
        <v>2683</v>
      </c>
      <c r="EK153" s="498">
        <v>4030</v>
      </c>
      <c r="EL153" s="498">
        <v>5660</v>
      </c>
      <c r="EM153" s="498">
        <v>0</v>
      </c>
      <c r="EN153" s="498">
        <v>0</v>
      </c>
      <c r="EO153" s="498">
        <v>0</v>
      </c>
      <c r="EP153" s="498">
        <v>0</v>
      </c>
      <c r="EQ153" s="498">
        <v>0</v>
      </c>
      <c r="ER153" s="498">
        <v>0</v>
      </c>
      <c r="ES153" s="498">
        <v>0</v>
      </c>
      <c r="ET153" s="498">
        <v>0</v>
      </c>
      <c r="EU153" s="498">
        <v>0</v>
      </c>
      <c r="EV153" s="498">
        <v>0</v>
      </c>
      <c r="EW153" s="498">
        <v>0</v>
      </c>
      <c r="EX153" s="498">
        <v>0</v>
      </c>
      <c r="EY153" s="498">
        <v>0</v>
      </c>
      <c r="EZ153" s="498">
        <v>0</v>
      </c>
      <c r="FA153" s="498">
        <v>0</v>
      </c>
      <c r="FB153" s="498">
        <v>0</v>
      </c>
      <c r="FC153" s="498">
        <v>0</v>
      </c>
      <c r="FD153" s="498">
        <v>0</v>
      </c>
      <c r="FE153" s="498">
        <v>0</v>
      </c>
      <c r="FF153" s="498">
        <v>0</v>
      </c>
      <c r="FG153" s="498">
        <v>0</v>
      </c>
      <c r="FH153" s="498">
        <v>0</v>
      </c>
      <c r="FI153" s="498">
        <v>0</v>
      </c>
      <c r="FJ153" s="498">
        <v>0</v>
      </c>
      <c r="FK153" s="498">
        <v>0</v>
      </c>
      <c r="FL153" s="498">
        <v>0</v>
      </c>
      <c r="FM153" s="498">
        <v>0</v>
      </c>
      <c r="FN153" s="498">
        <v>0</v>
      </c>
      <c r="FO153" s="498">
        <v>0</v>
      </c>
      <c r="FP153" s="498">
        <v>0</v>
      </c>
      <c r="FQ153" s="498">
        <v>0</v>
      </c>
      <c r="FR153" s="498">
        <v>0</v>
      </c>
      <c r="FS153" s="498">
        <v>0</v>
      </c>
      <c r="FT153" s="498">
        <v>0</v>
      </c>
      <c r="FU153" s="498">
        <v>0</v>
      </c>
      <c r="FV153" s="498">
        <v>0</v>
      </c>
      <c r="FW153" s="498">
        <v>0</v>
      </c>
      <c r="FX153" s="498">
        <v>0</v>
      </c>
      <c r="FY153" s="498">
        <v>0</v>
      </c>
      <c r="FZ153" s="498">
        <v>0</v>
      </c>
      <c r="GA153" s="498">
        <v>0</v>
      </c>
      <c r="GB153" s="498">
        <v>0</v>
      </c>
      <c r="GC153" s="498">
        <v>0</v>
      </c>
      <c r="GD153" s="498">
        <v>0</v>
      </c>
      <c r="GE153" s="498">
        <v>0</v>
      </c>
      <c r="GF153" s="498">
        <v>0</v>
      </c>
      <c r="GG153" s="498">
        <v>0</v>
      </c>
      <c r="GH153" s="498">
        <v>0</v>
      </c>
      <c r="GI153" s="498">
        <v>0</v>
      </c>
      <c r="GJ153" s="498">
        <v>0</v>
      </c>
      <c r="GK153" s="498">
        <v>0</v>
      </c>
      <c r="GL153" s="498">
        <v>0</v>
      </c>
      <c r="GM153" s="498">
        <v>0</v>
      </c>
      <c r="GN153" s="498">
        <v>0</v>
      </c>
      <c r="GO153" s="498">
        <v>0</v>
      </c>
      <c r="GP153" s="498">
        <v>0</v>
      </c>
      <c r="GQ153" s="498">
        <v>0</v>
      </c>
      <c r="GR153" s="498">
        <v>0</v>
      </c>
      <c r="GS153" s="498">
        <v>0</v>
      </c>
      <c r="GT153" s="498">
        <v>0</v>
      </c>
      <c r="GU153" s="498">
        <v>0</v>
      </c>
      <c r="GV153" s="498">
        <v>0</v>
      </c>
      <c r="GW153" s="498">
        <v>0</v>
      </c>
      <c r="GX153" s="498">
        <v>0</v>
      </c>
      <c r="GY153" s="498">
        <v>0</v>
      </c>
      <c r="GZ153" s="498">
        <v>0</v>
      </c>
      <c r="HA153" s="498">
        <v>0</v>
      </c>
      <c r="HB153" s="498">
        <v>0</v>
      </c>
      <c r="HC153" s="498">
        <v>0</v>
      </c>
      <c r="HD153" s="498">
        <v>0</v>
      </c>
      <c r="HE153" s="498">
        <v>0</v>
      </c>
      <c r="HF153" s="498">
        <v>0</v>
      </c>
      <c r="HG153" s="498">
        <v>0</v>
      </c>
      <c r="HH153" s="498">
        <v>0</v>
      </c>
      <c r="HI153" s="498">
        <v>0</v>
      </c>
      <c r="HJ153" s="498">
        <v>0</v>
      </c>
      <c r="HK153" s="498">
        <v>0</v>
      </c>
      <c r="HL153" s="498">
        <v>0</v>
      </c>
      <c r="HM153" s="498">
        <v>0</v>
      </c>
      <c r="HN153" s="498">
        <v>0</v>
      </c>
      <c r="HO153" s="498">
        <v>0</v>
      </c>
      <c r="HP153" s="498">
        <v>0</v>
      </c>
      <c r="HQ153" s="498">
        <v>0</v>
      </c>
      <c r="HR153" s="498">
        <v>0</v>
      </c>
      <c r="HS153" s="498">
        <v>0</v>
      </c>
      <c r="HT153" s="498">
        <v>0</v>
      </c>
      <c r="HU153" s="498">
        <v>0</v>
      </c>
      <c r="HV153" s="498">
        <v>0</v>
      </c>
      <c r="HW153" s="498">
        <v>0</v>
      </c>
      <c r="HX153" s="498">
        <v>0</v>
      </c>
      <c r="HY153" s="498">
        <v>0</v>
      </c>
      <c r="HZ153" s="498">
        <v>0</v>
      </c>
      <c r="IA153" s="498">
        <v>0</v>
      </c>
      <c r="IB153" s="498">
        <v>0</v>
      </c>
      <c r="IC153" s="498">
        <v>0</v>
      </c>
      <c r="ID153" s="498">
        <v>0</v>
      </c>
      <c r="IE153" s="498">
        <v>0</v>
      </c>
      <c r="IF153" s="498">
        <v>0</v>
      </c>
      <c r="IG153" s="498">
        <v>0</v>
      </c>
      <c r="IH153" s="498">
        <v>0</v>
      </c>
      <c r="II153" s="498">
        <v>0</v>
      </c>
      <c r="IJ153" s="498">
        <v>0</v>
      </c>
    </row>
    <row r="154" spans="12:244" hidden="1">
      <c r="L154" s="497" t="s">
        <v>720</v>
      </c>
      <c r="M154" s="497" t="s">
        <v>617</v>
      </c>
      <c r="N154" s="497" t="s">
        <v>26</v>
      </c>
      <c r="O154" s="498">
        <v>21</v>
      </c>
      <c r="P154" s="494" t="str">
        <f t="shared" si="5"/>
        <v>AIJ100221</v>
      </c>
      <c r="Q154" s="498">
        <v>20000</v>
      </c>
      <c r="R154" s="498">
        <v>20000</v>
      </c>
      <c r="S154" s="498">
        <v>20000</v>
      </c>
      <c r="T154" s="498">
        <v>20000</v>
      </c>
      <c r="U154" s="498">
        <v>20000</v>
      </c>
      <c r="V154" s="498">
        <v>20000</v>
      </c>
      <c r="W154" s="498">
        <v>20000</v>
      </c>
      <c r="X154" s="498">
        <v>20000</v>
      </c>
      <c r="Y154" s="498">
        <v>20000</v>
      </c>
      <c r="Z154" s="498">
        <v>20000</v>
      </c>
      <c r="AA154" s="498">
        <v>0</v>
      </c>
      <c r="AB154" s="498">
        <v>0</v>
      </c>
      <c r="AC154" s="498">
        <v>0</v>
      </c>
      <c r="AD154" s="498">
        <v>0</v>
      </c>
      <c r="AE154" s="498">
        <v>0</v>
      </c>
      <c r="AF154" s="498">
        <v>0</v>
      </c>
      <c r="AG154" s="498">
        <v>0</v>
      </c>
      <c r="AH154" s="498">
        <v>0</v>
      </c>
      <c r="AI154" s="498">
        <v>0</v>
      </c>
      <c r="AJ154" s="498">
        <v>0</v>
      </c>
      <c r="AK154" s="498">
        <v>0</v>
      </c>
      <c r="AL154" s="498">
        <v>0</v>
      </c>
      <c r="AM154" s="498">
        <v>0</v>
      </c>
      <c r="AN154" s="498">
        <v>0</v>
      </c>
      <c r="AO154" s="498">
        <v>0</v>
      </c>
      <c r="AP154" s="498">
        <v>0</v>
      </c>
      <c r="AQ154" s="498">
        <v>0</v>
      </c>
      <c r="AR154" s="498">
        <v>0</v>
      </c>
      <c r="AS154" s="498">
        <v>0</v>
      </c>
      <c r="AT154" s="498">
        <v>0</v>
      </c>
      <c r="AU154" s="498">
        <v>0</v>
      </c>
      <c r="AV154" s="498">
        <v>0</v>
      </c>
      <c r="AW154" s="498">
        <v>0</v>
      </c>
      <c r="AX154" s="498">
        <v>0</v>
      </c>
      <c r="AY154" s="498">
        <v>0</v>
      </c>
      <c r="AZ154" s="498">
        <v>0</v>
      </c>
      <c r="BA154" s="498">
        <v>0</v>
      </c>
      <c r="BB154" s="498">
        <v>0</v>
      </c>
      <c r="BC154" s="498">
        <v>0</v>
      </c>
      <c r="BD154" s="498">
        <v>0</v>
      </c>
      <c r="BE154" s="498">
        <v>0</v>
      </c>
      <c r="BF154" s="498">
        <v>0</v>
      </c>
      <c r="BG154" s="498">
        <v>0</v>
      </c>
      <c r="BH154" s="498">
        <v>0</v>
      </c>
      <c r="BI154" s="498">
        <v>0</v>
      </c>
      <c r="BJ154" s="498">
        <v>0</v>
      </c>
      <c r="BK154" s="498">
        <v>0</v>
      </c>
      <c r="BL154" s="498">
        <v>0</v>
      </c>
      <c r="BM154" s="498">
        <v>0</v>
      </c>
      <c r="BN154" s="498">
        <v>0</v>
      </c>
      <c r="BO154" s="498">
        <v>0</v>
      </c>
      <c r="BP154" s="498">
        <v>0</v>
      </c>
      <c r="BQ154" s="498">
        <v>0</v>
      </c>
      <c r="BR154" s="498">
        <v>0</v>
      </c>
      <c r="BS154" s="498">
        <v>0</v>
      </c>
      <c r="BT154" s="498">
        <v>0</v>
      </c>
      <c r="BU154" s="498">
        <v>0</v>
      </c>
      <c r="BV154" s="498">
        <v>0</v>
      </c>
      <c r="BW154" s="498">
        <v>0</v>
      </c>
      <c r="BX154" s="498">
        <v>0</v>
      </c>
      <c r="BY154" s="498">
        <v>0</v>
      </c>
      <c r="BZ154" s="498">
        <v>0</v>
      </c>
      <c r="CA154" s="498">
        <v>0</v>
      </c>
      <c r="CB154" s="498">
        <v>0</v>
      </c>
      <c r="CC154" s="498">
        <v>0</v>
      </c>
      <c r="CD154" s="498">
        <v>0</v>
      </c>
      <c r="CE154" s="498">
        <v>0</v>
      </c>
      <c r="CF154" s="498">
        <v>0</v>
      </c>
      <c r="CG154" s="498">
        <v>0</v>
      </c>
      <c r="CH154" s="498">
        <v>0</v>
      </c>
      <c r="CI154" s="498">
        <v>0</v>
      </c>
      <c r="CJ154" s="498">
        <v>0</v>
      </c>
      <c r="CK154" s="498">
        <v>0</v>
      </c>
      <c r="CL154" s="498">
        <v>0</v>
      </c>
      <c r="CM154" s="498">
        <v>0</v>
      </c>
      <c r="CN154" s="498">
        <v>0</v>
      </c>
      <c r="CO154" s="498">
        <v>0</v>
      </c>
      <c r="CP154" s="498">
        <v>0</v>
      </c>
      <c r="CQ154" s="498">
        <v>0</v>
      </c>
      <c r="CR154" s="498">
        <v>0</v>
      </c>
      <c r="CS154" s="498">
        <v>0</v>
      </c>
      <c r="CT154" s="498">
        <v>0</v>
      </c>
      <c r="CU154" s="498">
        <v>0</v>
      </c>
      <c r="CV154" s="498">
        <v>0</v>
      </c>
      <c r="CW154" s="498">
        <v>0</v>
      </c>
      <c r="CX154" s="498">
        <v>0</v>
      </c>
      <c r="CY154" s="498">
        <v>0</v>
      </c>
      <c r="CZ154" s="498">
        <v>0</v>
      </c>
      <c r="DA154" s="498">
        <v>0</v>
      </c>
      <c r="DB154" s="498">
        <v>0</v>
      </c>
      <c r="DC154" s="498">
        <v>0</v>
      </c>
      <c r="DD154" s="498">
        <v>0</v>
      </c>
      <c r="DE154" s="498">
        <v>0</v>
      </c>
      <c r="DF154" s="498">
        <v>0</v>
      </c>
      <c r="DG154" s="498">
        <v>0</v>
      </c>
      <c r="DH154" s="498">
        <v>0</v>
      </c>
      <c r="DI154" s="498">
        <v>0</v>
      </c>
      <c r="DJ154" s="498">
        <v>0</v>
      </c>
      <c r="DK154" s="498">
        <v>0</v>
      </c>
      <c r="DL154" s="498">
        <v>0</v>
      </c>
      <c r="DM154" s="498">
        <v>0</v>
      </c>
      <c r="DN154" s="498">
        <v>0</v>
      </c>
      <c r="DO154" s="498">
        <v>0</v>
      </c>
      <c r="DP154" s="498">
        <v>0</v>
      </c>
      <c r="DQ154" s="498">
        <v>0</v>
      </c>
      <c r="DR154" s="498">
        <v>0</v>
      </c>
      <c r="DS154" s="498">
        <v>0</v>
      </c>
      <c r="DT154" s="498">
        <v>0</v>
      </c>
      <c r="DU154" s="498">
        <v>0</v>
      </c>
      <c r="DV154" s="498">
        <v>0</v>
      </c>
      <c r="DW154" s="498">
        <v>0</v>
      </c>
      <c r="DX154" s="477"/>
      <c r="DY154" s="497" t="s">
        <v>720</v>
      </c>
      <c r="DZ154" s="497" t="s">
        <v>617</v>
      </c>
      <c r="EA154" s="497" t="s">
        <v>26</v>
      </c>
      <c r="EB154" s="498">
        <v>21</v>
      </c>
      <c r="EC154" s="494" t="str">
        <f t="shared" si="6"/>
        <v>AIJ100221</v>
      </c>
      <c r="ED154" s="498">
        <v>0</v>
      </c>
      <c r="EE154" s="498">
        <v>265</v>
      </c>
      <c r="EF154" s="498">
        <v>504</v>
      </c>
      <c r="EG154" s="498">
        <v>880</v>
      </c>
      <c r="EH154" s="498">
        <v>1261</v>
      </c>
      <c r="EI154" s="498">
        <v>1856</v>
      </c>
      <c r="EJ154" s="498">
        <v>2651</v>
      </c>
      <c r="EK154" s="498">
        <v>3971</v>
      </c>
      <c r="EL154" s="498">
        <v>5741</v>
      </c>
      <c r="EM154" s="498">
        <v>0</v>
      </c>
      <c r="EN154" s="498">
        <v>0</v>
      </c>
      <c r="EO154" s="498">
        <v>0</v>
      </c>
      <c r="EP154" s="498">
        <v>0</v>
      </c>
      <c r="EQ154" s="498">
        <v>0</v>
      </c>
      <c r="ER154" s="498">
        <v>0</v>
      </c>
      <c r="ES154" s="498">
        <v>0</v>
      </c>
      <c r="ET154" s="498">
        <v>0</v>
      </c>
      <c r="EU154" s="498">
        <v>0</v>
      </c>
      <c r="EV154" s="498">
        <v>0</v>
      </c>
      <c r="EW154" s="498">
        <v>0</v>
      </c>
      <c r="EX154" s="498">
        <v>0</v>
      </c>
      <c r="EY154" s="498">
        <v>0</v>
      </c>
      <c r="EZ154" s="498">
        <v>0</v>
      </c>
      <c r="FA154" s="498">
        <v>0</v>
      </c>
      <c r="FB154" s="498">
        <v>0</v>
      </c>
      <c r="FC154" s="498">
        <v>0</v>
      </c>
      <c r="FD154" s="498">
        <v>0</v>
      </c>
      <c r="FE154" s="498">
        <v>0</v>
      </c>
      <c r="FF154" s="498">
        <v>0</v>
      </c>
      <c r="FG154" s="498">
        <v>0</v>
      </c>
      <c r="FH154" s="498">
        <v>0</v>
      </c>
      <c r="FI154" s="498">
        <v>0</v>
      </c>
      <c r="FJ154" s="498">
        <v>0</v>
      </c>
      <c r="FK154" s="498">
        <v>0</v>
      </c>
      <c r="FL154" s="498">
        <v>0</v>
      </c>
      <c r="FM154" s="498">
        <v>0</v>
      </c>
      <c r="FN154" s="498">
        <v>0</v>
      </c>
      <c r="FO154" s="498">
        <v>0</v>
      </c>
      <c r="FP154" s="498">
        <v>0</v>
      </c>
      <c r="FQ154" s="498">
        <v>0</v>
      </c>
      <c r="FR154" s="498">
        <v>0</v>
      </c>
      <c r="FS154" s="498">
        <v>0</v>
      </c>
      <c r="FT154" s="498">
        <v>0</v>
      </c>
      <c r="FU154" s="498">
        <v>0</v>
      </c>
      <c r="FV154" s="498">
        <v>0</v>
      </c>
      <c r="FW154" s="498">
        <v>0</v>
      </c>
      <c r="FX154" s="498">
        <v>0</v>
      </c>
      <c r="FY154" s="498">
        <v>0</v>
      </c>
      <c r="FZ154" s="498">
        <v>0</v>
      </c>
      <c r="GA154" s="498">
        <v>0</v>
      </c>
      <c r="GB154" s="498">
        <v>0</v>
      </c>
      <c r="GC154" s="498">
        <v>0</v>
      </c>
      <c r="GD154" s="498">
        <v>0</v>
      </c>
      <c r="GE154" s="498">
        <v>0</v>
      </c>
      <c r="GF154" s="498">
        <v>0</v>
      </c>
      <c r="GG154" s="498">
        <v>0</v>
      </c>
      <c r="GH154" s="498">
        <v>0</v>
      </c>
      <c r="GI154" s="498">
        <v>0</v>
      </c>
      <c r="GJ154" s="498">
        <v>0</v>
      </c>
      <c r="GK154" s="498">
        <v>0</v>
      </c>
      <c r="GL154" s="498">
        <v>0</v>
      </c>
      <c r="GM154" s="498">
        <v>0</v>
      </c>
      <c r="GN154" s="498">
        <v>0</v>
      </c>
      <c r="GO154" s="498">
        <v>0</v>
      </c>
      <c r="GP154" s="498">
        <v>0</v>
      </c>
      <c r="GQ154" s="498">
        <v>0</v>
      </c>
      <c r="GR154" s="498">
        <v>0</v>
      </c>
      <c r="GS154" s="498">
        <v>0</v>
      </c>
      <c r="GT154" s="498">
        <v>0</v>
      </c>
      <c r="GU154" s="498">
        <v>0</v>
      </c>
      <c r="GV154" s="498">
        <v>0</v>
      </c>
      <c r="GW154" s="498">
        <v>0</v>
      </c>
      <c r="GX154" s="498">
        <v>0</v>
      </c>
      <c r="GY154" s="498">
        <v>0</v>
      </c>
      <c r="GZ154" s="498">
        <v>0</v>
      </c>
      <c r="HA154" s="498">
        <v>0</v>
      </c>
      <c r="HB154" s="498">
        <v>0</v>
      </c>
      <c r="HC154" s="498">
        <v>0</v>
      </c>
      <c r="HD154" s="498">
        <v>0</v>
      </c>
      <c r="HE154" s="498">
        <v>0</v>
      </c>
      <c r="HF154" s="498">
        <v>0</v>
      </c>
      <c r="HG154" s="498">
        <v>0</v>
      </c>
      <c r="HH154" s="498">
        <v>0</v>
      </c>
      <c r="HI154" s="498">
        <v>0</v>
      </c>
      <c r="HJ154" s="498">
        <v>0</v>
      </c>
      <c r="HK154" s="498">
        <v>0</v>
      </c>
      <c r="HL154" s="498">
        <v>0</v>
      </c>
      <c r="HM154" s="498">
        <v>0</v>
      </c>
      <c r="HN154" s="498">
        <v>0</v>
      </c>
      <c r="HO154" s="498">
        <v>0</v>
      </c>
      <c r="HP154" s="498">
        <v>0</v>
      </c>
      <c r="HQ154" s="498">
        <v>0</v>
      </c>
      <c r="HR154" s="498">
        <v>0</v>
      </c>
      <c r="HS154" s="498">
        <v>0</v>
      </c>
      <c r="HT154" s="498">
        <v>0</v>
      </c>
      <c r="HU154" s="498">
        <v>0</v>
      </c>
      <c r="HV154" s="498">
        <v>0</v>
      </c>
      <c r="HW154" s="498">
        <v>0</v>
      </c>
      <c r="HX154" s="498">
        <v>0</v>
      </c>
      <c r="HY154" s="498">
        <v>0</v>
      </c>
      <c r="HZ154" s="498">
        <v>0</v>
      </c>
      <c r="IA154" s="498">
        <v>0</v>
      </c>
      <c r="IB154" s="498">
        <v>0</v>
      </c>
      <c r="IC154" s="498">
        <v>0</v>
      </c>
      <c r="ID154" s="498">
        <v>0</v>
      </c>
      <c r="IE154" s="498">
        <v>0</v>
      </c>
      <c r="IF154" s="498">
        <v>0</v>
      </c>
      <c r="IG154" s="498">
        <v>0</v>
      </c>
      <c r="IH154" s="498">
        <v>0</v>
      </c>
      <c r="II154" s="498">
        <v>0</v>
      </c>
      <c r="IJ154" s="498">
        <v>0</v>
      </c>
    </row>
    <row r="155" spans="12:244" hidden="1">
      <c r="L155" s="497" t="s">
        <v>720</v>
      </c>
      <c r="M155" s="497" t="s">
        <v>617</v>
      </c>
      <c r="N155" s="497" t="s">
        <v>26</v>
      </c>
      <c r="O155" s="498">
        <v>22</v>
      </c>
      <c r="P155" s="494" t="str">
        <f t="shared" si="5"/>
        <v>AIJ100222</v>
      </c>
      <c r="Q155" s="498">
        <v>20000</v>
      </c>
      <c r="R155" s="498">
        <v>20000</v>
      </c>
      <c r="S155" s="498">
        <v>20000</v>
      </c>
      <c r="T155" s="498">
        <v>20000</v>
      </c>
      <c r="U155" s="498">
        <v>20000</v>
      </c>
      <c r="V155" s="498">
        <v>20000</v>
      </c>
      <c r="W155" s="498">
        <v>20000</v>
      </c>
      <c r="X155" s="498">
        <v>20000</v>
      </c>
      <c r="Y155" s="498">
        <v>20000</v>
      </c>
      <c r="Z155" s="498">
        <v>20000</v>
      </c>
      <c r="AA155" s="498">
        <v>0</v>
      </c>
      <c r="AB155" s="498">
        <v>0</v>
      </c>
      <c r="AC155" s="498">
        <v>0</v>
      </c>
      <c r="AD155" s="498">
        <v>0</v>
      </c>
      <c r="AE155" s="498">
        <v>0</v>
      </c>
      <c r="AF155" s="498">
        <v>0</v>
      </c>
      <c r="AG155" s="498">
        <v>0</v>
      </c>
      <c r="AH155" s="498">
        <v>0</v>
      </c>
      <c r="AI155" s="498">
        <v>0</v>
      </c>
      <c r="AJ155" s="498">
        <v>0</v>
      </c>
      <c r="AK155" s="498">
        <v>0</v>
      </c>
      <c r="AL155" s="498">
        <v>0</v>
      </c>
      <c r="AM155" s="498">
        <v>0</v>
      </c>
      <c r="AN155" s="498">
        <v>0</v>
      </c>
      <c r="AO155" s="498">
        <v>0</v>
      </c>
      <c r="AP155" s="498">
        <v>0</v>
      </c>
      <c r="AQ155" s="498">
        <v>0</v>
      </c>
      <c r="AR155" s="498">
        <v>0</v>
      </c>
      <c r="AS155" s="498">
        <v>0</v>
      </c>
      <c r="AT155" s="498">
        <v>0</v>
      </c>
      <c r="AU155" s="498">
        <v>0</v>
      </c>
      <c r="AV155" s="498">
        <v>0</v>
      </c>
      <c r="AW155" s="498">
        <v>0</v>
      </c>
      <c r="AX155" s="498">
        <v>0</v>
      </c>
      <c r="AY155" s="498">
        <v>0</v>
      </c>
      <c r="AZ155" s="498">
        <v>0</v>
      </c>
      <c r="BA155" s="498">
        <v>0</v>
      </c>
      <c r="BB155" s="498">
        <v>0</v>
      </c>
      <c r="BC155" s="498">
        <v>0</v>
      </c>
      <c r="BD155" s="498">
        <v>0</v>
      </c>
      <c r="BE155" s="498">
        <v>0</v>
      </c>
      <c r="BF155" s="498">
        <v>0</v>
      </c>
      <c r="BG155" s="498">
        <v>0</v>
      </c>
      <c r="BH155" s="498">
        <v>0</v>
      </c>
      <c r="BI155" s="498">
        <v>0</v>
      </c>
      <c r="BJ155" s="498">
        <v>0</v>
      </c>
      <c r="BK155" s="498">
        <v>0</v>
      </c>
      <c r="BL155" s="498">
        <v>0</v>
      </c>
      <c r="BM155" s="498">
        <v>0</v>
      </c>
      <c r="BN155" s="498">
        <v>0</v>
      </c>
      <c r="BO155" s="498">
        <v>0</v>
      </c>
      <c r="BP155" s="498">
        <v>0</v>
      </c>
      <c r="BQ155" s="498">
        <v>0</v>
      </c>
      <c r="BR155" s="498">
        <v>0</v>
      </c>
      <c r="BS155" s="498">
        <v>0</v>
      </c>
      <c r="BT155" s="498">
        <v>0</v>
      </c>
      <c r="BU155" s="498">
        <v>0</v>
      </c>
      <c r="BV155" s="498">
        <v>0</v>
      </c>
      <c r="BW155" s="498">
        <v>0</v>
      </c>
      <c r="BX155" s="498">
        <v>0</v>
      </c>
      <c r="BY155" s="498">
        <v>0</v>
      </c>
      <c r="BZ155" s="498">
        <v>0</v>
      </c>
      <c r="CA155" s="498">
        <v>0</v>
      </c>
      <c r="CB155" s="498">
        <v>0</v>
      </c>
      <c r="CC155" s="498">
        <v>0</v>
      </c>
      <c r="CD155" s="498">
        <v>0</v>
      </c>
      <c r="CE155" s="498">
        <v>0</v>
      </c>
      <c r="CF155" s="498">
        <v>0</v>
      </c>
      <c r="CG155" s="498">
        <v>0</v>
      </c>
      <c r="CH155" s="498">
        <v>0</v>
      </c>
      <c r="CI155" s="498">
        <v>0</v>
      </c>
      <c r="CJ155" s="498">
        <v>0</v>
      </c>
      <c r="CK155" s="498">
        <v>0</v>
      </c>
      <c r="CL155" s="498">
        <v>0</v>
      </c>
      <c r="CM155" s="498">
        <v>0</v>
      </c>
      <c r="CN155" s="498">
        <v>0</v>
      </c>
      <c r="CO155" s="498">
        <v>0</v>
      </c>
      <c r="CP155" s="498">
        <v>0</v>
      </c>
      <c r="CQ155" s="498">
        <v>0</v>
      </c>
      <c r="CR155" s="498">
        <v>0</v>
      </c>
      <c r="CS155" s="498">
        <v>0</v>
      </c>
      <c r="CT155" s="498">
        <v>0</v>
      </c>
      <c r="CU155" s="498">
        <v>0</v>
      </c>
      <c r="CV155" s="498">
        <v>0</v>
      </c>
      <c r="CW155" s="498">
        <v>0</v>
      </c>
      <c r="CX155" s="498">
        <v>0</v>
      </c>
      <c r="CY155" s="498">
        <v>0</v>
      </c>
      <c r="CZ155" s="498">
        <v>0</v>
      </c>
      <c r="DA155" s="498">
        <v>0</v>
      </c>
      <c r="DB155" s="498">
        <v>0</v>
      </c>
      <c r="DC155" s="498">
        <v>0</v>
      </c>
      <c r="DD155" s="498">
        <v>0</v>
      </c>
      <c r="DE155" s="498">
        <v>0</v>
      </c>
      <c r="DF155" s="498">
        <v>0</v>
      </c>
      <c r="DG155" s="498">
        <v>0</v>
      </c>
      <c r="DH155" s="498">
        <v>0</v>
      </c>
      <c r="DI155" s="498">
        <v>0</v>
      </c>
      <c r="DJ155" s="498">
        <v>0</v>
      </c>
      <c r="DK155" s="498">
        <v>0</v>
      </c>
      <c r="DL155" s="498">
        <v>0</v>
      </c>
      <c r="DM155" s="498">
        <v>0</v>
      </c>
      <c r="DN155" s="498">
        <v>0</v>
      </c>
      <c r="DO155" s="498">
        <v>0</v>
      </c>
      <c r="DP155" s="498">
        <v>0</v>
      </c>
      <c r="DQ155" s="498">
        <v>0</v>
      </c>
      <c r="DR155" s="498">
        <v>0</v>
      </c>
      <c r="DS155" s="498">
        <v>0</v>
      </c>
      <c r="DT155" s="498">
        <v>0</v>
      </c>
      <c r="DU155" s="498">
        <v>0</v>
      </c>
      <c r="DV155" s="498">
        <v>0</v>
      </c>
      <c r="DW155" s="498">
        <v>0</v>
      </c>
      <c r="DX155" s="477"/>
      <c r="DY155" s="497" t="s">
        <v>720</v>
      </c>
      <c r="DZ155" s="497" t="s">
        <v>617</v>
      </c>
      <c r="EA155" s="497" t="s">
        <v>26</v>
      </c>
      <c r="EB155" s="498">
        <v>22</v>
      </c>
      <c r="EC155" s="494" t="str">
        <f t="shared" si="6"/>
        <v>AIJ100222</v>
      </c>
      <c r="ED155" s="498">
        <v>0</v>
      </c>
      <c r="EE155" s="498">
        <v>261</v>
      </c>
      <c r="EF155" s="498">
        <v>500</v>
      </c>
      <c r="EG155" s="498">
        <v>873</v>
      </c>
      <c r="EH155" s="498">
        <v>1250</v>
      </c>
      <c r="EI155" s="498">
        <v>1837</v>
      </c>
      <c r="EJ155" s="498">
        <v>2738</v>
      </c>
      <c r="EK155" s="498">
        <v>4058</v>
      </c>
      <c r="EL155" s="498">
        <v>5818</v>
      </c>
      <c r="EM155" s="498">
        <v>0</v>
      </c>
      <c r="EN155" s="498">
        <v>0</v>
      </c>
      <c r="EO155" s="498">
        <v>0</v>
      </c>
      <c r="EP155" s="498">
        <v>0</v>
      </c>
      <c r="EQ155" s="498">
        <v>0</v>
      </c>
      <c r="ER155" s="498">
        <v>0</v>
      </c>
      <c r="ES155" s="498">
        <v>0</v>
      </c>
      <c r="ET155" s="498">
        <v>0</v>
      </c>
      <c r="EU155" s="498">
        <v>0</v>
      </c>
      <c r="EV155" s="498">
        <v>0</v>
      </c>
      <c r="EW155" s="498">
        <v>0</v>
      </c>
      <c r="EX155" s="498">
        <v>0</v>
      </c>
      <c r="EY155" s="498">
        <v>0</v>
      </c>
      <c r="EZ155" s="498">
        <v>0</v>
      </c>
      <c r="FA155" s="498">
        <v>0</v>
      </c>
      <c r="FB155" s="498">
        <v>0</v>
      </c>
      <c r="FC155" s="498">
        <v>0</v>
      </c>
      <c r="FD155" s="498">
        <v>0</v>
      </c>
      <c r="FE155" s="498">
        <v>0</v>
      </c>
      <c r="FF155" s="498">
        <v>0</v>
      </c>
      <c r="FG155" s="498">
        <v>0</v>
      </c>
      <c r="FH155" s="498">
        <v>0</v>
      </c>
      <c r="FI155" s="498">
        <v>0</v>
      </c>
      <c r="FJ155" s="498">
        <v>0</v>
      </c>
      <c r="FK155" s="498">
        <v>0</v>
      </c>
      <c r="FL155" s="498">
        <v>0</v>
      </c>
      <c r="FM155" s="498">
        <v>0</v>
      </c>
      <c r="FN155" s="498">
        <v>0</v>
      </c>
      <c r="FO155" s="498">
        <v>0</v>
      </c>
      <c r="FP155" s="498">
        <v>0</v>
      </c>
      <c r="FQ155" s="498">
        <v>0</v>
      </c>
      <c r="FR155" s="498">
        <v>0</v>
      </c>
      <c r="FS155" s="498">
        <v>0</v>
      </c>
      <c r="FT155" s="498">
        <v>0</v>
      </c>
      <c r="FU155" s="498">
        <v>0</v>
      </c>
      <c r="FV155" s="498">
        <v>0</v>
      </c>
      <c r="FW155" s="498">
        <v>0</v>
      </c>
      <c r="FX155" s="498">
        <v>0</v>
      </c>
      <c r="FY155" s="498">
        <v>0</v>
      </c>
      <c r="FZ155" s="498">
        <v>0</v>
      </c>
      <c r="GA155" s="498">
        <v>0</v>
      </c>
      <c r="GB155" s="498">
        <v>0</v>
      </c>
      <c r="GC155" s="498">
        <v>0</v>
      </c>
      <c r="GD155" s="498">
        <v>0</v>
      </c>
      <c r="GE155" s="498">
        <v>0</v>
      </c>
      <c r="GF155" s="498">
        <v>0</v>
      </c>
      <c r="GG155" s="498">
        <v>0</v>
      </c>
      <c r="GH155" s="498">
        <v>0</v>
      </c>
      <c r="GI155" s="498">
        <v>0</v>
      </c>
      <c r="GJ155" s="498">
        <v>0</v>
      </c>
      <c r="GK155" s="498">
        <v>0</v>
      </c>
      <c r="GL155" s="498">
        <v>0</v>
      </c>
      <c r="GM155" s="498">
        <v>0</v>
      </c>
      <c r="GN155" s="498">
        <v>0</v>
      </c>
      <c r="GO155" s="498">
        <v>0</v>
      </c>
      <c r="GP155" s="498">
        <v>0</v>
      </c>
      <c r="GQ155" s="498">
        <v>0</v>
      </c>
      <c r="GR155" s="498">
        <v>0</v>
      </c>
      <c r="GS155" s="498">
        <v>0</v>
      </c>
      <c r="GT155" s="498">
        <v>0</v>
      </c>
      <c r="GU155" s="498">
        <v>0</v>
      </c>
      <c r="GV155" s="498">
        <v>0</v>
      </c>
      <c r="GW155" s="498">
        <v>0</v>
      </c>
      <c r="GX155" s="498">
        <v>0</v>
      </c>
      <c r="GY155" s="498">
        <v>0</v>
      </c>
      <c r="GZ155" s="498">
        <v>0</v>
      </c>
      <c r="HA155" s="498">
        <v>0</v>
      </c>
      <c r="HB155" s="498">
        <v>0</v>
      </c>
      <c r="HC155" s="498">
        <v>0</v>
      </c>
      <c r="HD155" s="498">
        <v>0</v>
      </c>
      <c r="HE155" s="498">
        <v>0</v>
      </c>
      <c r="HF155" s="498">
        <v>0</v>
      </c>
      <c r="HG155" s="498">
        <v>0</v>
      </c>
      <c r="HH155" s="498">
        <v>0</v>
      </c>
      <c r="HI155" s="498">
        <v>0</v>
      </c>
      <c r="HJ155" s="498">
        <v>0</v>
      </c>
      <c r="HK155" s="498">
        <v>0</v>
      </c>
      <c r="HL155" s="498">
        <v>0</v>
      </c>
      <c r="HM155" s="498">
        <v>0</v>
      </c>
      <c r="HN155" s="498">
        <v>0</v>
      </c>
      <c r="HO155" s="498">
        <v>0</v>
      </c>
      <c r="HP155" s="498">
        <v>0</v>
      </c>
      <c r="HQ155" s="498">
        <v>0</v>
      </c>
      <c r="HR155" s="498">
        <v>0</v>
      </c>
      <c r="HS155" s="498">
        <v>0</v>
      </c>
      <c r="HT155" s="498">
        <v>0</v>
      </c>
      <c r="HU155" s="498">
        <v>0</v>
      </c>
      <c r="HV155" s="498">
        <v>0</v>
      </c>
      <c r="HW155" s="498">
        <v>0</v>
      </c>
      <c r="HX155" s="498">
        <v>0</v>
      </c>
      <c r="HY155" s="498">
        <v>0</v>
      </c>
      <c r="HZ155" s="498">
        <v>0</v>
      </c>
      <c r="IA155" s="498">
        <v>0</v>
      </c>
      <c r="IB155" s="498">
        <v>0</v>
      </c>
      <c r="IC155" s="498">
        <v>0</v>
      </c>
      <c r="ID155" s="498">
        <v>0</v>
      </c>
      <c r="IE155" s="498">
        <v>0</v>
      </c>
      <c r="IF155" s="498">
        <v>0</v>
      </c>
      <c r="IG155" s="498">
        <v>0</v>
      </c>
      <c r="IH155" s="498">
        <v>0</v>
      </c>
      <c r="II155" s="498">
        <v>0</v>
      </c>
      <c r="IJ155" s="498">
        <v>0</v>
      </c>
    </row>
    <row r="156" spans="12:244" hidden="1">
      <c r="L156" s="497" t="s">
        <v>720</v>
      </c>
      <c r="M156" s="497" t="s">
        <v>617</v>
      </c>
      <c r="N156" s="497" t="s">
        <v>26</v>
      </c>
      <c r="O156" s="498">
        <v>23</v>
      </c>
      <c r="P156" s="494" t="str">
        <f t="shared" si="5"/>
        <v>AIJ100223</v>
      </c>
      <c r="Q156" s="498">
        <v>20000</v>
      </c>
      <c r="R156" s="498">
        <v>20000</v>
      </c>
      <c r="S156" s="498">
        <v>20000</v>
      </c>
      <c r="T156" s="498">
        <v>20000</v>
      </c>
      <c r="U156" s="498">
        <v>20000</v>
      </c>
      <c r="V156" s="498">
        <v>20000</v>
      </c>
      <c r="W156" s="498">
        <v>20000</v>
      </c>
      <c r="X156" s="498">
        <v>20000</v>
      </c>
      <c r="Y156" s="498">
        <v>20000</v>
      </c>
      <c r="Z156" s="498">
        <v>20000</v>
      </c>
      <c r="AA156" s="498">
        <v>0</v>
      </c>
      <c r="AB156" s="498">
        <v>0</v>
      </c>
      <c r="AC156" s="498">
        <v>0</v>
      </c>
      <c r="AD156" s="498">
        <v>0</v>
      </c>
      <c r="AE156" s="498">
        <v>0</v>
      </c>
      <c r="AF156" s="498">
        <v>0</v>
      </c>
      <c r="AG156" s="498">
        <v>0</v>
      </c>
      <c r="AH156" s="498">
        <v>0</v>
      </c>
      <c r="AI156" s="498">
        <v>0</v>
      </c>
      <c r="AJ156" s="498">
        <v>0</v>
      </c>
      <c r="AK156" s="498">
        <v>0</v>
      </c>
      <c r="AL156" s="498">
        <v>0</v>
      </c>
      <c r="AM156" s="498">
        <v>0</v>
      </c>
      <c r="AN156" s="498">
        <v>0</v>
      </c>
      <c r="AO156" s="498">
        <v>0</v>
      </c>
      <c r="AP156" s="498">
        <v>0</v>
      </c>
      <c r="AQ156" s="498">
        <v>0</v>
      </c>
      <c r="AR156" s="498">
        <v>0</v>
      </c>
      <c r="AS156" s="498">
        <v>0</v>
      </c>
      <c r="AT156" s="498">
        <v>0</v>
      </c>
      <c r="AU156" s="498">
        <v>0</v>
      </c>
      <c r="AV156" s="498">
        <v>0</v>
      </c>
      <c r="AW156" s="498">
        <v>0</v>
      </c>
      <c r="AX156" s="498">
        <v>0</v>
      </c>
      <c r="AY156" s="498">
        <v>0</v>
      </c>
      <c r="AZ156" s="498">
        <v>0</v>
      </c>
      <c r="BA156" s="498">
        <v>0</v>
      </c>
      <c r="BB156" s="498">
        <v>0</v>
      </c>
      <c r="BC156" s="498">
        <v>0</v>
      </c>
      <c r="BD156" s="498">
        <v>0</v>
      </c>
      <c r="BE156" s="498">
        <v>0</v>
      </c>
      <c r="BF156" s="498">
        <v>0</v>
      </c>
      <c r="BG156" s="498">
        <v>0</v>
      </c>
      <c r="BH156" s="498">
        <v>0</v>
      </c>
      <c r="BI156" s="498">
        <v>0</v>
      </c>
      <c r="BJ156" s="498">
        <v>0</v>
      </c>
      <c r="BK156" s="498">
        <v>0</v>
      </c>
      <c r="BL156" s="498">
        <v>0</v>
      </c>
      <c r="BM156" s="498">
        <v>0</v>
      </c>
      <c r="BN156" s="498">
        <v>0</v>
      </c>
      <c r="BO156" s="498">
        <v>0</v>
      </c>
      <c r="BP156" s="498">
        <v>0</v>
      </c>
      <c r="BQ156" s="498">
        <v>0</v>
      </c>
      <c r="BR156" s="498">
        <v>0</v>
      </c>
      <c r="BS156" s="498">
        <v>0</v>
      </c>
      <c r="BT156" s="498">
        <v>0</v>
      </c>
      <c r="BU156" s="498">
        <v>0</v>
      </c>
      <c r="BV156" s="498">
        <v>0</v>
      </c>
      <c r="BW156" s="498">
        <v>0</v>
      </c>
      <c r="BX156" s="498">
        <v>0</v>
      </c>
      <c r="BY156" s="498">
        <v>0</v>
      </c>
      <c r="BZ156" s="498">
        <v>0</v>
      </c>
      <c r="CA156" s="498">
        <v>0</v>
      </c>
      <c r="CB156" s="498">
        <v>0</v>
      </c>
      <c r="CC156" s="498">
        <v>0</v>
      </c>
      <c r="CD156" s="498">
        <v>0</v>
      </c>
      <c r="CE156" s="498">
        <v>0</v>
      </c>
      <c r="CF156" s="498">
        <v>0</v>
      </c>
      <c r="CG156" s="498">
        <v>0</v>
      </c>
      <c r="CH156" s="498">
        <v>0</v>
      </c>
      <c r="CI156" s="498">
        <v>0</v>
      </c>
      <c r="CJ156" s="498">
        <v>0</v>
      </c>
      <c r="CK156" s="498">
        <v>0</v>
      </c>
      <c r="CL156" s="498">
        <v>0</v>
      </c>
      <c r="CM156" s="498">
        <v>0</v>
      </c>
      <c r="CN156" s="498">
        <v>0</v>
      </c>
      <c r="CO156" s="498">
        <v>0</v>
      </c>
      <c r="CP156" s="498">
        <v>0</v>
      </c>
      <c r="CQ156" s="498">
        <v>0</v>
      </c>
      <c r="CR156" s="498">
        <v>0</v>
      </c>
      <c r="CS156" s="498">
        <v>0</v>
      </c>
      <c r="CT156" s="498">
        <v>0</v>
      </c>
      <c r="CU156" s="498">
        <v>0</v>
      </c>
      <c r="CV156" s="498">
        <v>0</v>
      </c>
      <c r="CW156" s="498">
        <v>0</v>
      </c>
      <c r="CX156" s="498">
        <v>0</v>
      </c>
      <c r="CY156" s="498">
        <v>0</v>
      </c>
      <c r="CZ156" s="498">
        <v>0</v>
      </c>
      <c r="DA156" s="498">
        <v>0</v>
      </c>
      <c r="DB156" s="498">
        <v>0</v>
      </c>
      <c r="DC156" s="498">
        <v>0</v>
      </c>
      <c r="DD156" s="498">
        <v>0</v>
      </c>
      <c r="DE156" s="498">
        <v>0</v>
      </c>
      <c r="DF156" s="498">
        <v>0</v>
      </c>
      <c r="DG156" s="498">
        <v>0</v>
      </c>
      <c r="DH156" s="498">
        <v>0</v>
      </c>
      <c r="DI156" s="498">
        <v>0</v>
      </c>
      <c r="DJ156" s="498">
        <v>0</v>
      </c>
      <c r="DK156" s="498">
        <v>0</v>
      </c>
      <c r="DL156" s="498">
        <v>0</v>
      </c>
      <c r="DM156" s="498">
        <v>0</v>
      </c>
      <c r="DN156" s="498">
        <v>0</v>
      </c>
      <c r="DO156" s="498">
        <v>0</v>
      </c>
      <c r="DP156" s="498">
        <v>0</v>
      </c>
      <c r="DQ156" s="498">
        <v>0</v>
      </c>
      <c r="DR156" s="498">
        <v>0</v>
      </c>
      <c r="DS156" s="498">
        <v>0</v>
      </c>
      <c r="DT156" s="498">
        <v>0</v>
      </c>
      <c r="DU156" s="498">
        <v>0</v>
      </c>
      <c r="DV156" s="498">
        <v>0</v>
      </c>
      <c r="DW156" s="498">
        <v>0</v>
      </c>
      <c r="DX156" s="477"/>
      <c r="DY156" s="497" t="s">
        <v>720</v>
      </c>
      <c r="DZ156" s="497" t="s">
        <v>617</v>
      </c>
      <c r="EA156" s="497" t="s">
        <v>26</v>
      </c>
      <c r="EB156" s="498">
        <v>23</v>
      </c>
      <c r="EC156" s="494" t="str">
        <f t="shared" si="6"/>
        <v>AIJ100223</v>
      </c>
      <c r="ED156" s="498">
        <v>0</v>
      </c>
      <c r="EE156" s="498">
        <v>258</v>
      </c>
      <c r="EF156" s="498">
        <v>493</v>
      </c>
      <c r="EG156" s="498">
        <v>859</v>
      </c>
      <c r="EH156" s="498">
        <v>1228</v>
      </c>
      <c r="EI156" s="498">
        <v>1800</v>
      </c>
      <c r="EJ156" s="498">
        <v>2674</v>
      </c>
      <c r="EK156" s="498">
        <v>4000</v>
      </c>
      <c r="EL156" s="498">
        <v>5714</v>
      </c>
      <c r="EM156" s="498">
        <v>0</v>
      </c>
      <c r="EN156" s="498">
        <v>0</v>
      </c>
      <c r="EO156" s="498">
        <v>0</v>
      </c>
      <c r="EP156" s="498">
        <v>0</v>
      </c>
      <c r="EQ156" s="498">
        <v>0</v>
      </c>
      <c r="ER156" s="498">
        <v>0</v>
      </c>
      <c r="ES156" s="498">
        <v>0</v>
      </c>
      <c r="ET156" s="498">
        <v>0</v>
      </c>
      <c r="EU156" s="498">
        <v>0</v>
      </c>
      <c r="EV156" s="498">
        <v>0</v>
      </c>
      <c r="EW156" s="498">
        <v>0</v>
      </c>
      <c r="EX156" s="498">
        <v>0</v>
      </c>
      <c r="EY156" s="498">
        <v>0</v>
      </c>
      <c r="EZ156" s="498">
        <v>0</v>
      </c>
      <c r="FA156" s="498">
        <v>0</v>
      </c>
      <c r="FB156" s="498">
        <v>0</v>
      </c>
      <c r="FC156" s="498">
        <v>0</v>
      </c>
      <c r="FD156" s="498">
        <v>0</v>
      </c>
      <c r="FE156" s="498">
        <v>0</v>
      </c>
      <c r="FF156" s="498">
        <v>0</v>
      </c>
      <c r="FG156" s="498">
        <v>0</v>
      </c>
      <c r="FH156" s="498">
        <v>0</v>
      </c>
      <c r="FI156" s="498">
        <v>0</v>
      </c>
      <c r="FJ156" s="498">
        <v>0</v>
      </c>
      <c r="FK156" s="498">
        <v>0</v>
      </c>
      <c r="FL156" s="498">
        <v>0</v>
      </c>
      <c r="FM156" s="498">
        <v>0</v>
      </c>
      <c r="FN156" s="498">
        <v>0</v>
      </c>
      <c r="FO156" s="498">
        <v>0</v>
      </c>
      <c r="FP156" s="498">
        <v>0</v>
      </c>
      <c r="FQ156" s="498">
        <v>0</v>
      </c>
      <c r="FR156" s="498">
        <v>0</v>
      </c>
      <c r="FS156" s="498">
        <v>0</v>
      </c>
      <c r="FT156" s="498">
        <v>0</v>
      </c>
      <c r="FU156" s="498">
        <v>0</v>
      </c>
      <c r="FV156" s="498">
        <v>0</v>
      </c>
      <c r="FW156" s="498">
        <v>0</v>
      </c>
      <c r="FX156" s="498">
        <v>0</v>
      </c>
      <c r="FY156" s="498">
        <v>0</v>
      </c>
      <c r="FZ156" s="498">
        <v>0</v>
      </c>
      <c r="GA156" s="498">
        <v>0</v>
      </c>
      <c r="GB156" s="498">
        <v>0</v>
      </c>
      <c r="GC156" s="498">
        <v>0</v>
      </c>
      <c r="GD156" s="498">
        <v>0</v>
      </c>
      <c r="GE156" s="498">
        <v>0</v>
      </c>
      <c r="GF156" s="498">
        <v>0</v>
      </c>
      <c r="GG156" s="498">
        <v>0</v>
      </c>
      <c r="GH156" s="498">
        <v>0</v>
      </c>
      <c r="GI156" s="498">
        <v>0</v>
      </c>
      <c r="GJ156" s="498">
        <v>0</v>
      </c>
      <c r="GK156" s="498">
        <v>0</v>
      </c>
      <c r="GL156" s="498">
        <v>0</v>
      </c>
      <c r="GM156" s="498">
        <v>0</v>
      </c>
      <c r="GN156" s="498">
        <v>0</v>
      </c>
      <c r="GO156" s="498">
        <v>0</v>
      </c>
      <c r="GP156" s="498">
        <v>0</v>
      </c>
      <c r="GQ156" s="498">
        <v>0</v>
      </c>
      <c r="GR156" s="498">
        <v>0</v>
      </c>
      <c r="GS156" s="498">
        <v>0</v>
      </c>
      <c r="GT156" s="498">
        <v>0</v>
      </c>
      <c r="GU156" s="498">
        <v>0</v>
      </c>
      <c r="GV156" s="498">
        <v>0</v>
      </c>
      <c r="GW156" s="498">
        <v>0</v>
      </c>
      <c r="GX156" s="498">
        <v>0</v>
      </c>
      <c r="GY156" s="498">
        <v>0</v>
      </c>
      <c r="GZ156" s="498">
        <v>0</v>
      </c>
      <c r="HA156" s="498">
        <v>0</v>
      </c>
      <c r="HB156" s="498">
        <v>0</v>
      </c>
      <c r="HC156" s="498">
        <v>0</v>
      </c>
      <c r="HD156" s="498">
        <v>0</v>
      </c>
      <c r="HE156" s="498">
        <v>0</v>
      </c>
      <c r="HF156" s="498">
        <v>0</v>
      </c>
      <c r="HG156" s="498">
        <v>0</v>
      </c>
      <c r="HH156" s="498">
        <v>0</v>
      </c>
      <c r="HI156" s="498">
        <v>0</v>
      </c>
      <c r="HJ156" s="498">
        <v>0</v>
      </c>
      <c r="HK156" s="498">
        <v>0</v>
      </c>
      <c r="HL156" s="498">
        <v>0</v>
      </c>
      <c r="HM156" s="498">
        <v>0</v>
      </c>
      <c r="HN156" s="498">
        <v>0</v>
      </c>
      <c r="HO156" s="498">
        <v>0</v>
      </c>
      <c r="HP156" s="498">
        <v>0</v>
      </c>
      <c r="HQ156" s="498">
        <v>0</v>
      </c>
      <c r="HR156" s="498">
        <v>0</v>
      </c>
      <c r="HS156" s="498">
        <v>0</v>
      </c>
      <c r="HT156" s="498">
        <v>0</v>
      </c>
      <c r="HU156" s="498">
        <v>0</v>
      </c>
      <c r="HV156" s="498">
        <v>0</v>
      </c>
      <c r="HW156" s="498">
        <v>0</v>
      </c>
      <c r="HX156" s="498">
        <v>0</v>
      </c>
      <c r="HY156" s="498">
        <v>0</v>
      </c>
      <c r="HZ156" s="498">
        <v>0</v>
      </c>
      <c r="IA156" s="498">
        <v>0</v>
      </c>
      <c r="IB156" s="498">
        <v>0</v>
      </c>
      <c r="IC156" s="498">
        <v>0</v>
      </c>
      <c r="ID156" s="498">
        <v>0</v>
      </c>
      <c r="IE156" s="498">
        <v>0</v>
      </c>
      <c r="IF156" s="498">
        <v>0</v>
      </c>
      <c r="IG156" s="498">
        <v>0</v>
      </c>
      <c r="IH156" s="498">
        <v>0</v>
      </c>
      <c r="II156" s="498">
        <v>0</v>
      </c>
      <c r="IJ156" s="498">
        <v>0</v>
      </c>
    </row>
    <row r="157" spans="12:244" hidden="1">
      <c r="L157" s="497" t="s">
        <v>720</v>
      </c>
      <c r="M157" s="497" t="s">
        <v>617</v>
      </c>
      <c r="N157" s="497" t="s">
        <v>26</v>
      </c>
      <c r="O157" s="498">
        <v>24</v>
      </c>
      <c r="P157" s="494" t="str">
        <f t="shared" si="5"/>
        <v>AIJ100224</v>
      </c>
      <c r="Q157" s="498">
        <v>20000</v>
      </c>
      <c r="R157" s="498">
        <v>20000</v>
      </c>
      <c r="S157" s="498">
        <v>20000</v>
      </c>
      <c r="T157" s="498">
        <v>20000</v>
      </c>
      <c r="U157" s="498">
        <v>20000</v>
      </c>
      <c r="V157" s="498">
        <v>20000</v>
      </c>
      <c r="W157" s="498">
        <v>20000</v>
      </c>
      <c r="X157" s="498">
        <v>20000</v>
      </c>
      <c r="Y157" s="498">
        <v>20000</v>
      </c>
      <c r="Z157" s="498">
        <v>20000</v>
      </c>
      <c r="AA157" s="498">
        <v>0</v>
      </c>
      <c r="AB157" s="498">
        <v>0</v>
      </c>
      <c r="AC157" s="498">
        <v>0</v>
      </c>
      <c r="AD157" s="498">
        <v>0</v>
      </c>
      <c r="AE157" s="498">
        <v>0</v>
      </c>
      <c r="AF157" s="498">
        <v>0</v>
      </c>
      <c r="AG157" s="498">
        <v>0</v>
      </c>
      <c r="AH157" s="498">
        <v>0</v>
      </c>
      <c r="AI157" s="498">
        <v>0</v>
      </c>
      <c r="AJ157" s="498">
        <v>0</v>
      </c>
      <c r="AK157" s="498">
        <v>0</v>
      </c>
      <c r="AL157" s="498">
        <v>0</v>
      </c>
      <c r="AM157" s="498">
        <v>0</v>
      </c>
      <c r="AN157" s="498">
        <v>0</v>
      </c>
      <c r="AO157" s="498">
        <v>0</v>
      </c>
      <c r="AP157" s="498">
        <v>0</v>
      </c>
      <c r="AQ157" s="498">
        <v>0</v>
      </c>
      <c r="AR157" s="498">
        <v>0</v>
      </c>
      <c r="AS157" s="498">
        <v>0</v>
      </c>
      <c r="AT157" s="498">
        <v>0</v>
      </c>
      <c r="AU157" s="498">
        <v>0</v>
      </c>
      <c r="AV157" s="498">
        <v>0</v>
      </c>
      <c r="AW157" s="498">
        <v>0</v>
      </c>
      <c r="AX157" s="498">
        <v>0</v>
      </c>
      <c r="AY157" s="498">
        <v>0</v>
      </c>
      <c r="AZ157" s="498">
        <v>0</v>
      </c>
      <c r="BA157" s="498">
        <v>0</v>
      </c>
      <c r="BB157" s="498">
        <v>0</v>
      </c>
      <c r="BC157" s="498">
        <v>0</v>
      </c>
      <c r="BD157" s="498">
        <v>0</v>
      </c>
      <c r="BE157" s="498">
        <v>0</v>
      </c>
      <c r="BF157" s="498">
        <v>0</v>
      </c>
      <c r="BG157" s="498">
        <v>0</v>
      </c>
      <c r="BH157" s="498">
        <v>0</v>
      </c>
      <c r="BI157" s="498">
        <v>0</v>
      </c>
      <c r="BJ157" s="498">
        <v>0</v>
      </c>
      <c r="BK157" s="498">
        <v>0</v>
      </c>
      <c r="BL157" s="498">
        <v>0</v>
      </c>
      <c r="BM157" s="498">
        <v>0</v>
      </c>
      <c r="BN157" s="498">
        <v>0</v>
      </c>
      <c r="BO157" s="498">
        <v>0</v>
      </c>
      <c r="BP157" s="498">
        <v>0</v>
      </c>
      <c r="BQ157" s="498">
        <v>0</v>
      </c>
      <c r="BR157" s="498">
        <v>0</v>
      </c>
      <c r="BS157" s="498">
        <v>0</v>
      </c>
      <c r="BT157" s="498">
        <v>0</v>
      </c>
      <c r="BU157" s="498">
        <v>0</v>
      </c>
      <c r="BV157" s="498">
        <v>0</v>
      </c>
      <c r="BW157" s="498">
        <v>0</v>
      </c>
      <c r="BX157" s="498">
        <v>0</v>
      </c>
      <c r="BY157" s="498">
        <v>0</v>
      </c>
      <c r="BZ157" s="498">
        <v>0</v>
      </c>
      <c r="CA157" s="498">
        <v>0</v>
      </c>
      <c r="CB157" s="498">
        <v>0</v>
      </c>
      <c r="CC157" s="498">
        <v>0</v>
      </c>
      <c r="CD157" s="498">
        <v>0</v>
      </c>
      <c r="CE157" s="498">
        <v>0</v>
      </c>
      <c r="CF157" s="498">
        <v>0</v>
      </c>
      <c r="CG157" s="498">
        <v>0</v>
      </c>
      <c r="CH157" s="498">
        <v>0</v>
      </c>
      <c r="CI157" s="498">
        <v>0</v>
      </c>
      <c r="CJ157" s="498">
        <v>0</v>
      </c>
      <c r="CK157" s="498">
        <v>0</v>
      </c>
      <c r="CL157" s="498">
        <v>0</v>
      </c>
      <c r="CM157" s="498">
        <v>0</v>
      </c>
      <c r="CN157" s="498">
        <v>0</v>
      </c>
      <c r="CO157" s="498">
        <v>0</v>
      </c>
      <c r="CP157" s="498">
        <v>0</v>
      </c>
      <c r="CQ157" s="498">
        <v>0</v>
      </c>
      <c r="CR157" s="498">
        <v>0</v>
      </c>
      <c r="CS157" s="498">
        <v>0</v>
      </c>
      <c r="CT157" s="498">
        <v>0</v>
      </c>
      <c r="CU157" s="498">
        <v>0</v>
      </c>
      <c r="CV157" s="498">
        <v>0</v>
      </c>
      <c r="CW157" s="498">
        <v>0</v>
      </c>
      <c r="CX157" s="498">
        <v>0</v>
      </c>
      <c r="CY157" s="498">
        <v>0</v>
      </c>
      <c r="CZ157" s="498">
        <v>0</v>
      </c>
      <c r="DA157" s="498">
        <v>0</v>
      </c>
      <c r="DB157" s="498">
        <v>0</v>
      </c>
      <c r="DC157" s="498">
        <v>0</v>
      </c>
      <c r="DD157" s="498">
        <v>0</v>
      </c>
      <c r="DE157" s="498">
        <v>0</v>
      </c>
      <c r="DF157" s="498">
        <v>0</v>
      </c>
      <c r="DG157" s="498">
        <v>0</v>
      </c>
      <c r="DH157" s="498">
        <v>0</v>
      </c>
      <c r="DI157" s="498">
        <v>0</v>
      </c>
      <c r="DJ157" s="498">
        <v>0</v>
      </c>
      <c r="DK157" s="498">
        <v>0</v>
      </c>
      <c r="DL157" s="498">
        <v>0</v>
      </c>
      <c r="DM157" s="498">
        <v>0</v>
      </c>
      <c r="DN157" s="498">
        <v>0</v>
      </c>
      <c r="DO157" s="498">
        <v>0</v>
      </c>
      <c r="DP157" s="498">
        <v>0</v>
      </c>
      <c r="DQ157" s="498">
        <v>0</v>
      </c>
      <c r="DR157" s="498">
        <v>0</v>
      </c>
      <c r="DS157" s="498">
        <v>0</v>
      </c>
      <c r="DT157" s="498">
        <v>0</v>
      </c>
      <c r="DU157" s="498">
        <v>0</v>
      </c>
      <c r="DV157" s="498">
        <v>0</v>
      </c>
      <c r="DW157" s="498">
        <v>0</v>
      </c>
      <c r="DX157" s="477"/>
      <c r="DY157" s="497" t="s">
        <v>720</v>
      </c>
      <c r="DZ157" s="497" t="s">
        <v>617</v>
      </c>
      <c r="EA157" s="497" t="s">
        <v>26</v>
      </c>
      <c r="EB157" s="498">
        <v>24</v>
      </c>
      <c r="EC157" s="494" t="str">
        <f t="shared" si="6"/>
        <v>AIJ100224</v>
      </c>
      <c r="ED157" s="498">
        <v>0</v>
      </c>
      <c r="EE157" s="498">
        <v>256</v>
      </c>
      <c r="EF157" s="498">
        <v>486</v>
      </c>
      <c r="EG157" s="498">
        <v>846</v>
      </c>
      <c r="EH157" s="498">
        <v>1293</v>
      </c>
      <c r="EI157" s="498">
        <v>1765</v>
      </c>
      <c r="EJ157" s="498">
        <v>2759</v>
      </c>
      <c r="EK157" s="498">
        <v>4028</v>
      </c>
      <c r="EL157" s="498">
        <v>5789</v>
      </c>
      <c r="EM157" s="498">
        <v>0</v>
      </c>
      <c r="EN157" s="498">
        <v>0</v>
      </c>
      <c r="EO157" s="498">
        <v>0</v>
      </c>
      <c r="EP157" s="498">
        <v>0</v>
      </c>
      <c r="EQ157" s="498">
        <v>0</v>
      </c>
      <c r="ER157" s="498">
        <v>0</v>
      </c>
      <c r="ES157" s="498">
        <v>0</v>
      </c>
      <c r="ET157" s="498">
        <v>0</v>
      </c>
      <c r="EU157" s="498">
        <v>0</v>
      </c>
      <c r="EV157" s="498">
        <v>0</v>
      </c>
      <c r="EW157" s="498">
        <v>0</v>
      </c>
      <c r="EX157" s="498">
        <v>0</v>
      </c>
      <c r="EY157" s="498">
        <v>0</v>
      </c>
      <c r="EZ157" s="498">
        <v>0</v>
      </c>
      <c r="FA157" s="498">
        <v>0</v>
      </c>
      <c r="FB157" s="498">
        <v>0</v>
      </c>
      <c r="FC157" s="498">
        <v>0</v>
      </c>
      <c r="FD157" s="498">
        <v>0</v>
      </c>
      <c r="FE157" s="498">
        <v>0</v>
      </c>
      <c r="FF157" s="498">
        <v>0</v>
      </c>
      <c r="FG157" s="498">
        <v>0</v>
      </c>
      <c r="FH157" s="498">
        <v>0</v>
      </c>
      <c r="FI157" s="498">
        <v>0</v>
      </c>
      <c r="FJ157" s="498">
        <v>0</v>
      </c>
      <c r="FK157" s="498">
        <v>0</v>
      </c>
      <c r="FL157" s="498">
        <v>0</v>
      </c>
      <c r="FM157" s="498">
        <v>0</v>
      </c>
      <c r="FN157" s="498">
        <v>0</v>
      </c>
      <c r="FO157" s="498">
        <v>0</v>
      </c>
      <c r="FP157" s="498">
        <v>0</v>
      </c>
      <c r="FQ157" s="498">
        <v>0</v>
      </c>
      <c r="FR157" s="498">
        <v>0</v>
      </c>
      <c r="FS157" s="498">
        <v>0</v>
      </c>
      <c r="FT157" s="498">
        <v>0</v>
      </c>
      <c r="FU157" s="498">
        <v>0</v>
      </c>
      <c r="FV157" s="498">
        <v>0</v>
      </c>
      <c r="FW157" s="498">
        <v>0</v>
      </c>
      <c r="FX157" s="498">
        <v>0</v>
      </c>
      <c r="FY157" s="498">
        <v>0</v>
      </c>
      <c r="FZ157" s="498">
        <v>0</v>
      </c>
      <c r="GA157" s="498">
        <v>0</v>
      </c>
      <c r="GB157" s="498">
        <v>0</v>
      </c>
      <c r="GC157" s="498">
        <v>0</v>
      </c>
      <c r="GD157" s="498">
        <v>0</v>
      </c>
      <c r="GE157" s="498">
        <v>0</v>
      </c>
      <c r="GF157" s="498">
        <v>0</v>
      </c>
      <c r="GG157" s="498">
        <v>0</v>
      </c>
      <c r="GH157" s="498">
        <v>0</v>
      </c>
      <c r="GI157" s="498">
        <v>0</v>
      </c>
      <c r="GJ157" s="498">
        <v>0</v>
      </c>
      <c r="GK157" s="498">
        <v>0</v>
      </c>
      <c r="GL157" s="498">
        <v>0</v>
      </c>
      <c r="GM157" s="498">
        <v>0</v>
      </c>
      <c r="GN157" s="498">
        <v>0</v>
      </c>
      <c r="GO157" s="498">
        <v>0</v>
      </c>
      <c r="GP157" s="498">
        <v>0</v>
      </c>
      <c r="GQ157" s="498">
        <v>0</v>
      </c>
      <c r="GR157" s="498">
        <v>0</v>
      </c>
      <c r="GS157" s="498">
        <v>0</v>
      </c>
      <c r="GT157" s="498">
        <v>0</v>
      </c>
      <c r="GU157" s="498">
        <v>0</v>
      </c>
      <c r="GV157" s="498">
        <v>0</v>
      </c>
      <c r="GW157" s="498">
        <v>0</v>
      </c>
      <c r="GX157" s="498">
        <v>0</v>
      </c>
      <c r="GY157" s="498">
        <v>0</v>
      </c>
      <c r="GZ157" s="498">
        <v>0</v>
      </c>
      <c r="HA157" s="498">
        <v>0</v>
      </c>
      <c r="HB157" s="498">
        <v>0</v>
      </c>
      <c r="HC157" s="498">
        <v>0</v>
      </c>
      <c r="HD157" s="498">
        <v>0</v>
      </c>
      <c r="HE157" s="498">
        <v>0</v>
      </c>
      <c r="HF157" s="498">
        <v>0</v>
      </c>
      <c r="HG157" s="498">
        <v>0</v>
      </c>
      <c r="HH157" s="498">
        <v>0</v>
      </c>
      <c r="HI157" s="498">
        <v>0</v>
      </c>
      <c r="HJ157" s="498">
        <v>0</v>
      </c>
      <c r="HK157" s="498">
        <v>0</v>
      </c>
      <c r="HL157" s="498">
        <v>0</v>
      </c>
      <c r="HM157" s="498">
        <v>0</v>
      </c>
      <c r="HN157" s="498">
        <v>0</v>
      </c>
      <c r="HO157" s="498">
        <v>0</v>
      </c>
      <c r="HP157" s="498">
        <v>0</v>
      </c>
      <c r="HQ157" s="498">
        <v>0</v>
      </c>
      <c r="HR157" s="498">
        <v>0</v>
      </c>
      <c r="HS157" s="498">
        <v>0</v>
      </c>
      <c r="HT157" s="498">
        <v>0</v>
      </c>
      <c r="HU157" s="498">
        <v>0</v>
      </c>
      <c r="HV157" s="498">
        <v>0</v>
      </c>
      <c r="HW157" s="498">
        <v>0</v>
      </c>
      <c r="HX157" s="498">
        <v>0</v>
      </c>
      <c r="HY157" s="498">
        <v>0</v>
      </c>
      <c r="HZ157" s="498">
        <v>0</v>
      </c>
      <c r="IA157" s="498">
        <v>0</v>
      </c>
      <c r="IB157" s="498">
        <v>0</v>
      </c>
      <c r="IC157" s="498">
        <v>0</v>
      </c>
      <c r="ID157" s="498">
        <v>0</v>
      </c>
      <c r="IE157" s="498">
        <v>0</v>
      </c>
      <c r="IF157" s="498">
        <v>0</v>
      </c>
      <c r="IG157" s="498">
        <v>0</v>
      </c>
      <c r="IH157" s="498">
        <v>0</v>
      </c>
      <c r="II157" s="498">
        <v>0</v>
      </c>
      <c r="IJ157" s="498">
        <v>0</v>
      </c>
    </row>
    <row r="158" spans="12:244" hidden="1">
      <c r="L158" s="497" t="s">
        <v>720</v>
      </c>
      <c r="M158" s="497" t="s">
        <v>617</v>
      </c>
      <c r="N158" s="497" t="s">
        <v>26</v>
      </c>
      <c r="O158" s="498">
        <v>25</v>
      </c>
      <c r="P158" s="494" t="str">
        <f t="shared" si="5"/>
        <v>AIJ100225</v>
      </c>
      <c r="Q158" s="498">
        <v>20000</v>
      </c>
      <c r="R158" s="498">
        <v>20000</v>
      </c>
      <c r="S158" s="498">
        <v>20000</v>
      </c>
      <c r="T158" s="498">
        <v>20000</v>
      </c>
      <c r="U158" s="498">
        <v>20000</v>
      </c>
      <c r="V158" s="498">
        <v>20000</v>
      </c>
      <c r="W158" s="498">
        <v>20000</v>
      </c>
      <c r="X158" s="498">
        <v>20000</v>
      </c>
      <c r="Y158" s="498">
        <v>20000</v>
      </c>
      <c r="Z158" s="498">
        <v>20000</v>
      </c>
      <c r="AA158" s="498">
        <v>0</v>
      </c>
      <c r="AB158" s="498">
        <v>0</v>
      </c>
      <c r="AC158" s="498">
        <v>0</v>
      </c>
      <c r="AD158" s="498">
        <v>0</v>
      </c>
      <c r="AE158" s="498">
        <v>0</v>
      </c>
      <c r="AF158" s="498">
        <v>0</v>
      </c>
      <c r="AG158" s="498">
        <v>0</v>
      </c>
      <c r="AH158" s="498">
        <v>0</v>
      </c>
      <c r="AI158" s="498">
        <v>0</v>
      </c>
      <c r="AJ158" s="498">
        <v>0</v>
      </c>
      <c r="AK158" s="498">
        <v>0</v>
      </c>
      <c r="AL158" s="498">
        <v>0</v>
      </c>
      <c r="AM158" s="498">
        <v>0</v>
      </c>
      <c r="AN158" s="498">
        <v>0</v>
      </c>
      <c r="AO158" s="498">
        <v>0</v>
      </c>
      <c r="AP158" s="498">
        <v>0</v>
      </c>
      <c r="AQ158" s="498">
        <v>0</v>
      </c>
      <c r="AR158" s="498">
        <v>0</v>
      </c>
      <c r="AS158" s="498">
        <v>0</v>
      </c>
      <c r="AT158" s="498">
        <v>0</v>
      </c>
      <c r="AU158" s="498">
        <v>0</v>
      </c>
      <c r="AV158" s="498">
        <v>0</v>
      </c>
      <c r="AW158" s="498">
        <v>0</v>
      </c>
      <c r="AX158" s="498">
        <v>0</v>
      </c>
      <c r="AY158" s="498">
        <v>0</v>
      </c>
      <c r="AZ158" s="498">
        <v>0</v>
      </c>
      <c r="BA158" s="498">
        <v>0</v>
      </c>
      <c r="BB158" s="498">
        <v>0</v>
      </c>
      <c r="BC158" s="498">
        <v>0</v>
      </c>
      <c r="BD158" s="498">
        <v>0</v>
      </c>
      <c r="BE158" s="498">
        <v>0</v>
      </c>
      <c r="BF158" s="498">
        <v>0</v>
      </c>
      <c r="BG158" s="498">
        <v>0</v>
      </c>
      <c r="BH158" s="498">
        <v>0</v>
      </c>
      <c r="BI158" s="498">
        <v>0</v>
      </c>
      <c r="BJ158" s="498">
        <v>0</v>
      </c>
      <c r="BK158" s="498">
        <v>0</v>
      </c>
      <c r="BL158" s="498">
        <v>0</v>
      </c>
      <c r="BM158" s="498">
        <v>0</v>
      </c>
      <c r="BN158" s="498">
        <v>0</v>
      </c>
      <c r="BO158" s="498">
        <v>0</v>
      </c>
      <c r="BP158" s="498">
        <v>0</v>
      </c>
      <c r="BQ158" s="498">
        <v>0</v>
      </c>
      <c r="BR158" s="498">
        <v>0</v>
      </c>
      <c r="BS158" s="498">
        <v>0</v>
      </c>
      <c r="BT158" s="498">
        <v>0</v>
      </c>
      <c r="BU158" s="498">
        <v>0</v>
      </c>
      <c r="BV158" s="498">
        <v>0</v>
      </c>
      <c r="BW158" s="498">
        <v>0</v>
      </c>
      <c r="BX158" s="498">
        <v>0</v>
      </c>
      <c r="BY158" s="498">
        <v>0</v>
      </c>
      <c r="BZ158" s="498">
        <v>0</v>
      </c>
      <c r="CA158" s="498">
        <v>0</v>
      </c>
      <c r="CB158" s="498">
        <v>0</v>
      </c>
      <c r="CC158" s="498">
        <v>0</v>
      </c>
      <c r="CD158" s="498">
        <v>0</v>
      </c>
      <c r="CE158" s="498">
        <v>0</v>
      </c>
      <c r="CF158" s="498">
        <v>0</v>
      </c>
      <c r="CG158" s="498">
        <v>0</v>
      </c>
      <c r="CH158" s="498">
        <v>0</v>
      </c>
      <c r="CI158" s="498">
        <v>0</v>
      </c>
      <c r="CJ158" s="498">
        <v>0</v>
      </c>
      <c r="CK158" s="498">
        <v>0</v>
      </c>
      <c r="CL158" s="498">
        <v>0</v>
      </c>
      <c r="CM158" s="498">
        <v>0</v>
      </c>
      <c r="CN158" s="498">
        <v>0</v>
      </c>
      <c r="CO158" s="498">
        <v>0</v>
      </c>
      <c r="CP158" s="498">
        <v>0</v>
      </c>
      <c r="CQ158" s="498">
        <v>0</v>
      </c>
      <c r="CR158" s="498">
        <v>0</v>
      </c>
      <c r="CS158" s="498">
        <v>0</v>
      </c>
      <c r="CT158" s="498">
        <v>0</v>
      </c>
      <c r="CU158" s="498">
        <v>0</v>
      </c>
      <c r="CV158" s="498">
        <v>0</v>
      </c>
      <c r="CW158" s="498">
        <v>0</v>
      </c>
      <c r="CX158" s="498">
        <v>0</v>
      </c>
      <c r="CY158" s="498">
        <v>0</v>
      </c>
      <c r="CZ158" s="498">
        <v>0</v>
      </c>
      <c r="DA158" s="498">
        <v>0</v>
      </c>
      <c r="DB158" s="498">
        <v>0</v>
      </c>
      <c r="DC158" s="498">
        <v>0</v>
      </c>
      <c r="DD158" s="498">
        <v>0</v>
      </c>
      <c r="DE158" s="498">
        <v>0</v>
      </c>
      <c r="DF158" s="498">
        <v>0</v>
      </c>
      <c r="DG158" s="498">
        <v>0</v>
      </c>
      <c r="DH158" s="498">
        <v>0</v>
      </c>
      <c r="DI158" s="498">
        <v>0</v>
      </c>
      <c r="DJ158" s="498">
        <v>0</v>
      </c>
      <c r="DK158" s="498">
        <v>0</v>
      </c>
      <c r="DL158" s="498">
        <v>0</v>
      </c>
      <c r="DM158" s="498">
        <v>0</v>
      </c>
      <c r="DN158" s="498">
        <v>0</v>
      </c>
      <c r="DO158" s="498">
        <v>0</v>
      </c>
      <c r="DP158" s="498">
        <v>0</v>
      </c>
      <c r="DQ158" s="498">
        <v>0</v>
      </c>
      <c r="DR158" s="498">
        <v>0</v>
      </c>
      <c r="DS158" s="498">
        <v>0</v>
      </c>
      <c r="DT158" s="498">
        <v>0</v>
      </c>
      <c r="DU158" s="498">
        <v>0</v>
      </c>
      <c r="DV158" s="498">
        <v>0</v>
      </c>
      <c r="DW158" s="498">
        <v>0</v>
      </c>
      <c r="DX158" s="477"/>
      <c r="DY158" s="497" t="s">
        <v>720</v>
      </c>
      <c r="DZ158" s="497" t="s">
        <v>617</v>
      </c>
      <c r="EA158" s="497" t="s">
        <v>26</v>
      </c>
      <c r="EB158" s="498">
        <v>25</v>
      </c>
      <c r="EC158" s="494" t="str">
        <f t="shared" si="6"/>
        <v>AIJ100225</v>
      </c>
      <c r="ED158" s="498">
        <v>0</v>
      </c>
      <c r="EE158" s="498">
        <v>252</v>
      </c>
      <c r="EF158" s="498">
        <v>548</v>
      </c>
      <c r="EG158" s="498">
        <v>833</v>
      </c>
      <c r="EH158" s="498">
        <v>1271</v>
      </c>
      <c r="EI158" s="498">
        <v>1827</v>
      </c>
      <c r="EJ158" s="498">
        <v>2809</v>
      </c>
      <c r="EK158" s="498">
        <v>4247</v>
      </c>
      <c r="EL158" s="498">
        <v>5862</v>
      </c>
      <c r="EM158" s="498">
        <v>0</v>
      </c>
      <c r="EN158" s="498">
        <v>0</v>
      </c>
      <c r="EO158" s="498">
        <v>0</v>
      </c>
      <c r="EP158" s="498">
        <v>0</v>
      </c>
      <c r="EQ158" s="498">
        <v>0</v>
      </c>
      <c r="ER158" s="498">
        <v>0</v>
      </c>
      <c r="ES158" s="498">
        <v>0</v>
      </c>
      <c r="ET158" s="498">
        <v>0</v>
      </c>
      <c r="EU158" s="498">
        <v>0</v>
      </c>
      <c r="EV158" s="498">
        <v>0</v>
      </c>
      <c r="EW158" s="498">
        <v>0</v>
      </c>
      <c r="EX158" s="498">
        <v>0</v>
      </c>
      <c r="EY158" s="498">
        <v>0</v>
      </c>
      <c r="EZ158" s="498">
        <v>0</v>
      </c>
      <c r="FA158" s="498">
        <v>0</v>
      </c>
      <c r="FB158" s="498">
        <v>0</v>
      </c>
      <c r="FC158" s="498">
        <v>0</v>
      </c>
      <c r="FD158" s="498">
        <v>0</v>
      </c>
      <c r="FE158" s="498">
        <v>0</v>
      </c>
      <c r="FF158" s="498">
        <v>0</v>
      </c>
      <c r="FG158" s="498">
        <v>0</v>
      </c>
      <c r="FH158" s="498">
        <v>0</v>
      </c>
      <c r="FI158" s="498">
        <v>0</v>
      </c>
      <c r="FJ158" s="498">
        <v>0</v>
      </c>
      <c r="FK158" s="498">
        <v>0</v>
      </c>
      <c r="FL158" s="498">
        <v>0</v>
      </c>
      <c r="FM158" s="498">
        <v>0</v>
      </c>
      <c r="FN158" s="498">
        <v>0</v>
      </c>
      <c r="FO158" s="498">
        <v>0</v>
      </c>
      <c r="FP158" s="498">
        <v>0</v>
      </c>
      <c r="FQ158" s="498">
        <v>0</v>
      </c>
      <c r="FR158" s="498">
        <v>0</v>
      </c>
      <c r="FS158" s="498">
        <v>0</v>
      </c>
      <c r="FT158" s="498">
        <v>0</v>
      </c>
      <c r="FU158" s="498">
        <v>0</v>
      </c>
      <c r="FV158" s="498">
        <v>0</v>
      </c>
      <c r="FW158" s="498">
        <v>0</v>
      </c>
      <c r="FX158" s="498">
        <v>0</v>
      </c>
      <c r="FY158" s="498">
        <v>0</v>
      </c>
      <c r="FZ158" s="498">
        <v>0</v>
      </c>
      <c r="GA158" s="498">
        <v>0</v>
      </c>
      <c r="GB158" s="498">
        <v>0</v>
      </c>
      <c r="GC158" s="498">
        <v>0</v>
      </c>
      <c r="GD158" s="498">
        <v>0</v>
      </c>
      <c r="GE158" s="498">
        <v>0</v>
      </c>
      <c r="GF158" s="498">
        <v>0</v>
      </c>
      <c r="GG158" s="498">
        <v>0</v>
      </c>
      <c r="GH158" s="498">
        <v>0</v>
      </c>
      <c r="GI158" s="498">
        <v>0</v>
      </c>
      <c r="GJ158" s="498">
        <v>0</v>
      </c>
      <c r="GK158" s="498">
        <v>0</v>
      </c>
      <c r="GL158" s="498">
        <v>0</v>
      </c>
      <c r="GM158" s="498">
        <v>0</v>
      </c>
      <c r="GN158" s="498">
        <v>0</v>
      </c>
      <c r="GO158" s="498">
        <v>0</v>
      </c>
      <c r="GP158" s="498">
        <v>0</v>
      </c>
      <c r="GQ158" s="498">
        <v>0</v>
      </c>
      <c r="GR158" s="498">
        <v>0</v>
      </c>
      <c r="GS158" s="498">
        <v>0</v>
      </c>
      <c r="GT158" s="498">
        <v>0</v>
      </c>
      <c r="GU158" s="498">
        <v>0</v>
      </c>
      <c r="GV158" s="498">
        <v>0</v>
      </c>
      <c r="GW158" s="498">
        <v>0</v>
      </c>
      <c r="GX158" s="498">
        <v>0</v>
      </c>
      <c r="GY158" s="498">
        <v>0</v>
      </c>
      <c r="GZ158" s="498">
        <v>0</v>
      </c>
      <c r="HA158" s="498">
        <v>0</v>
      </c>
      <c r="HB158" s="498">
        <v>0</v>
      </c>
      <c r="HC158" s="498">
        <v>0</v>
      </c>
      <c r="HD158" s="498">
        <v>0</v>
      </c>
      <c r="HE158" s="498">
        <v>0</v>
      </c>
      <c r="HF158" s="498">
        <v>0</v>
      </c>
      <c r="HG158" s="498">
        <v>0</v>
      </c>
      <c r="HH158" s="498">
        <v>0</v>
      </c>
      <c r="HI158" s="498">
        <v>0</v>
      </c>
      <c r="HJ158" s="498">
        <v>0</v>
      </c>
      <c r="HK158" s="498">
        <v>0</v>
      </c>
      <c r="HL158" s="498">
        <v>0</v>
      </c>
      <c r="HM158" s="498">
        <v>0</v>
      </c>
      <c r="HN158" s="498">
        <v>0</v>
      </c>
      <c r="HO158" s="498">
        <v>0</v>
      </c>
      <c r="HP158" s="498">
        <v>0</v>
      </c>
      <c r="HQ158" s="498">
        <v>0</v>
      </c>
      <c r="HR158" s="498">
        <v>0</v>
      </c>
      <c r="HS158" s="498">
        <v>0</v>
      </c>
      <c r="HT158" s="498">
        <v>0</v>
      </c>
      <c r="HU158" s="498">
        <v>0</v>
      </c>
      <c r="HV158" s="498">
        <v>0</v>
      </c>
      <c r="HW158" s="498">
        <v>0</v>
      </c>
      <c r="HX158" s="498">
        <v>0</v>
      </c>
      <c r="HY158" s="498">
        <v>0</v>
      </c>
      <c r="HZ158" s="498">
        <v>0</v>
      </c>
      <c r="IA158" s="498">
        <v>0</v>
      </c>
      <c r="IB158" s="498">
        <v>0</v>
      </c>
      <c r="IC158" s="498">
        <v>0</v>
      </c>
      <c r="ID158" s="498">
        <v>0</v>
      </c>
      <c r="IE158" s="498">
        <v>0</v>
      </c>
      <c r="IF158" s="498">
        <v>0</v>
      </c>
      <c r="IG158" s="498">
        <v>0</v>
      </c>
      <c r="IH158" s="498">
        <v>0</v>
      </c>
      <c r="II158" s="498">
        <v>0</v>
      </c>
      <c r="IJ158" s="498">
        <v>0</v>
      </c>
    </row>
    <row r="159" spans="12:244" hidden="1">
      <c r="L159" s="497" t="s">
        <v>720</v>
      </c>
      <c r="M159" s="497" t="s">
        <v>617</v>
      </c>
      <c r="N159" s="497" t="s">
        <v>26</v>
      </c>
      <c r="O159" s="498">
        <v>26</v>
      </c>
      <c r="P159" s="494" t="str">
        <f t="shared" si="5"/>
        <v>AIJ100226</v>
      </c>
      <c r="Q159" s="498">
        <v>20000</v>
      </c>
      <c r="R159" s="498">
        <v>20000</v>
      </c>
      <c r="S159" s="498">
        <v>20000</v>
      </c>
      <c r="T159" s="498">
        <v>20000</v>
      </c>
      <c r="U159" s="498">
        <v>20000</v>
      </c>
      <c r="V159" s="498">
        <v>20000</v>
      </c>
      <c r="W159" s="498">
        <v>20000</v>
      </c>
      <c r="X159" s="498">
        <v>20000</v>
      </c>
      <c r="Y159" s="498">
        <v>20000</v>
      </c>
      <c r="Z159" s="498">
        <v>20000</v>
      </c>
      <c r="AA159" s="498">
        <v>0</v>
      </c>
      <c r="AB159" s="498">
        <v>0</v>
      </c>
      <c r="AC159" s="498">
        <v>0</v>
      </c>
      <c r="AD159" s="498">
        <v>0</v>
      </c>
      <c r="AE159" s="498">
        <v>0</v>
      </c>
      <c r="AF159" s="498">
        <v>0</v>
      </c>
      <c r="AG159" s="498">
        <v>0</v>
      </c>
      <c r="AH159" s="498">
        <v>0</v>
      </c>
      <c r="AI159" s="498">
        <v>0</v>
      </c>
      <c r="AJ159" s="498">
        <v>0</v>
      </c>
      <c r="AK159" s="498">
        <v>0</v>
      </c>
      <c r="AL159" s="498">
        <v>0</v>
      </c>
      <c r="AM159" s="498">
        <v>0</v>
      </c>
      <c r="AN159" s="498">
        <v>0</v>
      </c>
      <c r="AO159" s="498">
        <v>0</v>
      </c>
      <c r="AP159" s="498">
        <v>0</v>
      </c>
      <c r="AQ159" s="498">
        <v>0</v>
      </c>
      <c r="AR159" s="498">
        <v>0</v>
      </c>
      <c r="AS159" s="498">
        <v>0</v>
      </c>
      <c r="AT159" s="498">
        <v>0</v>
      </c>
      <c r="AU159" s="498">
        <v>0</v>
      </c>
      <c r="AV159" s="498">
        <v>0</v>
      </c>
      <c r="AW159" s="498">
        <v>0</v>
      </c>
      <c r="AX159" s="498">
        <v>0</v>
      </c>
      <c r="AY159" s="498">
        <v>0</v>
      </c>
      <c r="AZ159" s="498">
        <v>0</v>
      </c>
      <c r="BA159" s="498">
        <v>0</v>
      </c>
      <c r="BB159" s="498">
        <v>0</v>
      </c>
      <c r="BC159" s="498">
        <v>0</v>
      </c>
      <c r="BD159" s="498">
        <v>0</v>
      </c>
      <c r="BE159" s="498">
        <v>0</v>
      </c>
      <c r="BF159" s="498">
        <v>0</v>
      </c>
      <c r="BG159" s="498">
        <v>0</v>
      </c>
      <c r="BH159" s="498">
        <v>0</v>
      </c>
      <c r="BI159" s="498">
        <v>0</v>
      </c>
      <c r="BJ159" s="498">
        <v>0</v>
      </c>
      <c r="BK159" s="498">
        <v>0</v>
      </c>
      <c r="BL159" s="498">
        <v>0</v>
      </c>
      <c r="BM159" s="498">
        <v>0</v>
      </c>
      <c r="BN159" s="498">
        <v>0</v>
      </c>
      <c r="BO159" s="498">
        <v>0</v>
      </c>
      <c r="BP159" s="498">
        <v>0</v>
      </c>
      <c r="BQ159" s="498">
        <v>0</v>
      </c>
      <c r="BR159" s="498">
        <v>0</v>
      </c>
      <c r="BS159" s="498">
        <v>0</v>
      </c>
      <c r="BT159" s="498">
        <v>0</v>
      </c>
      <c r="BU159" s="498">
        <v>0</v>
      </c>
      <c r="BV159" s="498">
        <v>0</v>
      </c>
      <c r="BW159" s="498">
        <v>0</v>
      </c>
      <c r="BX159" s="498">
        <v>0</v>
      </c>
      <c r="BY159" s="498">
        <v>0</v>
      </c>
      <c r="BZ159" s="498">
        <v>0</v>
      </c>
      <c r="CA159" s="498">
        <v>0</v>
      </c>
      <c r="CB159" s="498">
        <v>0</v>
      </c>
      <c r="CC159" s="498">
        <v>0</v>
      </c>
      <c r="CD159" s="498">
        <v>0</v>
      </c>
      <c r="CE159" s="498">
        <v>0</v>
      </c>
      <c r="CF159" s="498">
        <v>0</v>
      </c>
      <c r="CG159" s="498">
        <v>0</v>
      </c>
      <c r="CH159" s="498">
        <v>0</v>
      </c>
      <c r="CI159" s="498">
        <v>0</v>
      </c>
      <c r="CJ159" s="498">
        <v>0</v>
      </c>
      <c r="CK159" s="498">
        <v>0</v>
      </c>
      <c r="CL159" s="498">
        <v>0</v>
      </c>
      <c r="CM159" s="498">
        <v>0</v>
      </c>
      <c r="CN159" s="498">
        <v>0</v>
      </c>
      <c r="CO159" s="498">
        <v>0</v>
      </c>
      <c r="CP159" s="498">
        <v>0</v>
      </c>
      <c r="CQ159" s="498">
        <v>0</v>
      </c>
      <c r="CR159" s="498">
        <v>0</v>
      </c>
      <c r="CS159" s="498">
        <v>0</v>
      </c>
      <c r="CT159" s="498">
        <v>0</v>
      </c>
      <c r="CU159" s="498">
        <v>0</v>
      </c>
      <c r="CV159" s="498">
        <v>0</v>
      </c>
      <c r="CW159" s="498">
        <v>0</v>
      </c>
      <c r="CX159" s="498">
        <v>0</v>
      </c>
      <c r="CY159" s="498">
        <v>0</v>
      </c>
      <c r="CZ159" s="498">
        <v>0</v>
      </c>
      <c r="DA159" s="498">
        <v>0</v>
      </c>
      <c r="DB159" s="498">
        <v>0</v>
      </c>
      <c r="DC159" s="498">
        <v>0</v>
      </c>
      <c r="DD159" s="498">
        <v>0</v>
      </c>
      <c r="DE159" s="498">
        <v>0</v>
      </c>
      <c r="DF159" s="498">
        <v>0</v>
      </c>
      <c r="DG159" s="498">
        <v>0</v>
      </c>
      <c r="DH159" s="498">
        <v>0</v>
      </c>
      <c r="DI159" s="498">
        <v>0</v>
      </c>
      <c r="DJ159" s="498">
        <v>0</v>
      </c>
      <c r="DK159" s="498">
        <v>0</v>
      </c>
      <c r="DL159" s="498">
        <v>0</v>
      </c>
      <c r="DM159" s="498">
        <v>0</v>
      </c>
      <c r="DN159" s="498">
        <v>0</v>
      </c>
      <c r="DO159" s="498">
        <v>0</v>
      </c>
      <c r="DP159" s="498">
        <v>0</v>
      </c>
      <c r="DQ159" s="498">
        <v>0</v>
      </c>
      <c r="DR159" s="498">
        <v>0</v>
      </c>
      <c r="DS159" s="498">
        <v>0</v>
      </c>
      <c r="DT159" s="498">
        <v>0</v>
      </c>
      <c r="DU159" s="498">
        <v>0</v>
      </c>
      <c r="DV159" s="498">
        <v>0</v>
      </c>
      <c r="DW159" s="498">
        <v>0</v>
      </c>
      <c r="DX159" s="477"/>
      <c r="DY159" s="497" t="s">
        <v>720</v>
      </c>
      <c r="DZ159" s="497" t="s">
        <v>617</v>
      </c>
      <c r="EA159" s="497" t="s">
        <v>26</v>
      </c>
      <c r="EB159" s="498">
        <v>26</v>
      </c>
      <c r="EC159" s="494" t="str">
        <f t="shared" si="6"/>
        <v>AIJ100226</v>
      </c>
      <c r="ED159" s="498">
        <v>0</v>
      </c>
      <c r="EE159" s="498">
        <v>248</v>
      </c>
      <c r="EF159" s="498">
        <v>541</v>
      </c>
      <c r="EG159" s="498">
        <v>821</v>
      </c>
      <c r="EH159" s="498">
        <v>1333</v>
      </c>
      <c r="EI159" s="498">
        <v>1887</v>
      </c>
      <c r="EJ159" s="498">
        <v>2857</v>
      </c>
      <c r="EK159" s="498">
        <v>4267</v>
      </c>
      <c r="EL159" s="498">
        <v>5932</v>
      </c>
      <c r="EM159" s="498">
        <v>0</v>
      </c>
      <c r="EN159" s="498">
        <v>0</v>
      </c>
      <c r="EO159" s="498">
        <v>0</v>
      </c>
      <c r="EP159" s="498">
        <v>0</v>
      </c>
      <c r="EQ159" s="498">
        <v>0</v>
      </c>
      <c r="ER159" s="498">
        <v>0</v>
      </c>
      <c r="ES159" s="498">
        <v>0</v>
      </c>
      <c r="ET159" s="498">
        <v>0</v>
      </c>
      <c r="EU159" s="498">
        <v>0</v>
      </c>
      <c r="EV159" s="498">
        <v>0</v>
      </c>
      <c r="EW159" s="498">
        <v>0</v>
      </c>
      <c r="EX159" s="498">
        <v>0</v>
      </c>
      <c r="EY159" s="498">
        <v>0</v>
      </c>
      <c r="EZ159" s="498">
        <v>0</v>
      </c>
      <c r="FA159" s="498">
        <v>0</v>
      </c>
      <c r="FB159" s="498">
        <v>0</v>
      </c>
      <c r="FC159" s="498">
        <v>0</v>
      </c>
      <c r="FD159" s="498">
        <v>0</v>
      </c>
      <c r="FE159" s="498">
        <v>0</v>
      </c>
      <c r="FF159" s="498">
        <v>0</v>
      </c>
      <c r="FG159" s="498">
        <v>0</v>
      </c>
      <c r="FH159" s="498">
        <v>0</v>
      </c>
      <c r="FI159" s="498">
        <v>0</v>
      </c>
      <c r="FJ159" s="498">
        <v>0</v>
      </c>
      <c r="FK159" s="498">
        <v>0</v>
      </c>
      <c r="FL159" s="498">
        <v>0</v>
      </c>
      <c r="FM159" s="498">
        <v>0</v>
      </c>
      <c r="FN159" s="498">
        <v>0</v>
      </c>
      <c r="FO159" s="498">
        <v>0</v>
      </c>
      <c r="FP159" s="498">
        <v>0</v>
      </c>
      <c r="FQ159" s="498">
        <v>0</v>
      </c>
      <c r="FR159" s="498">
        <v>0</v>
      </c>
      <c r="FS159" s="498">
        <v>0</v>
      </c>
      <c r="FT159" s="498">
        <v>0</v>
      </c>
      <c r="FU159" s="498">
        <v>0</v>
      </c>
      <c r="FV159" s="498">
        <v>0</v>
      </c>
      <c r="FW159" s="498">
        <v>0</v>
      </c>
      <c r="FX159" s="498">
        <v>0</v>
      </c>
      <c r="FY159" s="498">
        <v>0</v>
      </c>
      <c r="FZ159" s="498">
        <v>0</v>
      </c>
      <c r="GA159" s="498">
        <v>0</v>
      </c>
      <c r="GB159" s="498">
        <v>0</v>
      </c>
      <c r="GC159" s="498">
        <v>0</v>
      </c>
      <c r="GD159" s="498">
        <v>0</v>
      </c>
      <c r="GE159" s="498">
        <v>0</v>
      </c>
      <c r="GF159" s="498">
        <v>0</v>
      </c>
      <c r="GG159" s="498">
        <v>0</v>
      </c>
      <c r="GH159" s="498">
        <v>0</v>
      </c>
      <c r="GI159" s="498">
        <v>0</v>
      </c>
      <c r="GJ159" s="498">
        <v>0</v>
      </c>
      <c r="GK159" s="498">
        <v>0</v>
      </c>
      <c r="GL159" s="498">
        <v>0</v>
      </c>
      <c r="GM159" s="498">
        <v>0</v>
      </c>
      <c r="GN159" s="498">
        <v>0</v>
      </c>
      <c r="GO159" s="498">
        <v>0</v>
      </c>
      <c r="GP159" s="498">
        <v>0</v>
      </c>
      <c r="GQ159" s="498">
        <v>0</v>
      </c>
      <c r="GR159" s="498">
        <v>0</v>
      </c>
      <c r="GS159" s="498">
        <v>0</v>
      </c>
      <c r="GT159" s="498">
        <v>0</v>
      </c>
      <c r="GU159" s="498">
        <v>0</v>
      </c>
      <c r="GV159" s="498">
        <v>0</v>
      </c>
      <c r="GW159" s="498">
        <v>0</v>
      </c>
      <c r="GX159" s="498">
        <v>0</v>
      </c>
      <c r="GY159" s="498">
        <v>0</v>
      </c>
      <c r="GZ159" s="498">
        <v>0</v>
      </c>
      <c r="HA159" s="498">
        <v>0</v>
      </c>
      <c r="HB159" s="498">
        <v>0</v>
      </c>
      <c r="HC159" s="498">
        <v>0</v>
      </c>
      <c r="HD159" s="498">
        <v>0</v>
      </c>
      <c r="HE159" s="498">
        <v>0</v>
      </c>
      <c r="HF159" s="498">
        <v>0</v>
      </c>
      <c r="HG159" s="498">
        <v>0</v>
      </c>
      <c r="HH159" s="498">
        <v>0</v>
      </c>
      <c r="HI159" s="498">
        <v>0</v>
      </c>
      <c r="HJ159" s="498">
        <v>0</v>
      </c>
      <c r="HK159" s="498">
        <v>0</v>
      </c>
      <c r="HL159" s="498">
        <v>0</v>
      </c>
      <c r="HM159" s="498">
        <v>0</v>
      </c>
      <c r="HN159" s="498">
        <v>0</v>
      </c>
      <c r="HO159" s="498">
        <v>0</v>
      </c>
      <c r="HP159" s="498">
        <v>0</v>
      </c>
      <c r="HQ159" s="498">
        <v>0</v>
      </c>
      <c r="HR159" s="498">
        <v>0</v>
      </c>
      <c r="HS159" s="498">
        <v>0</v>
      </c>
      <c r="HT159" s="498">
        <v>0</v>
      </c>
      <c r="HU159" s="498">
        <v>0</v>
      </c>
      <c r="HV159" s="498">
        <v>0</v>
      </c>
      <c r="HW159" s="498">
        <v>0</v>
      </c>
      <c r="HX159" s="498">
        <v>0</v>
      </c>
      <c r="HY159" s="498">
        <v>0</v>
      </c>
      <c r="HZ159" s="498">
        <v>0</v>
      </c>
      <c r="IA159" s="498">
        <v>0</v>
      </c>
      <c r="IB159" s="498">
        <v>0</v>
      </c>
      <c r="IC159" s="498">
        <v>0</v>
      </c>
      <c r="ID159" s="498">
        <v>0</v>
      </c>
      <c r="IE159" s="498">
        <v>0</v>
      </c>
      <c r="IF159" s="498">
        <v>0</v>
      </c>
      <c r="IG159" s="498">
        <v>0</v>
      </c>
      <c r="IH159" s="498">
        <v>0</v>
      </c>
      <c r="II159" s="498">
        <v>0</v>
      </c>
      <c r="IJ159" s="498">
        <v>0</v>
      </c>
    </row>
    <row r="160" spans="12:244" hidden="1">
      <c r="L160" s="497" t="s">
        <v>720</v>
      </c>
      <c r="M160" s="497" t="s">
        <v>617</v>
      </c>
      <c r="N160" s="497" t="s">
        <v>26</v>
      </c>
      <c r="O160" s="498">
        <v>27</v>
      </c>
      <c r="P160" s="494" t="str">
        <f t="shared" si="5"/>
        <v>AIJ100227</v>
      </c>
      <c r="Q160" s="498">
        <v>20000</v>
      </c>
      <c r="R160" s="498">
        <v>20000</v>
      </c>
      <c r="S160" s="498">
        <v>20000</v>
      </c>
      <c r="T160" s="498">
        <v>20000</v>
      </c>
      <c r="U160" s="498">
        <v>20000</v>
      </c>
      <c r="V160" s="498">
        <v>20000</v>
      </c>
      <c r="W160" s="498">
        <v>20000</v>
      </c>
      <c r="X160" s="498">
        <v>20000</v>
      </c>
      <c r="Y160" s="498">
        <v>20000</v>
      </c>
      <c r="Z160" s="498">
        <v>20000</v>
      </c>
      <c r="AA160" s="498">
        <v>0</v>
      </c>
      <c r="AB160" s="498">
        <v>0</v>
      </c>
      <c r="AC160" s="498">
        <v>0</v>
      </c>
      <c r="AD160" s="498">
        <v>0</v>
      </c>
      <c r="AE160" s="498">
        <v>0</v>
      </c>
      <c r="AF160" s="498">
        <v>0</v>
      </c>
      <c r="AG160" s="498">
        <v>0</v>
      </c>
      <c r="AH160" s="498">
        <v>0</v>
      </c>
      <c r="AI160" s="498">
        <v>0</v>
      </c>
      <c r="AJ160" s="498">
        <v>0</v>
      </c>
      <c r="AK160" s="498">
        <v>0</v>
      </c>
      <c r="AL160" s="498">
        <v>0</v>
      </c>
      <c r="AM160" s="498">
        <v>0</v>
      </c>
      <c r="AN160" s="498">
        <v>0</v>
      </c>
      <c r="AO160" s="498">
        <v>0</v>
      </c>
      <c r="AP160" s="498">
        <v>0</v>
      </c>
      <c r="AQ160" s="498">
        <v>0</v>
      </c>
      <c r="AR160" s="498">
        <v>0</v>
      </c>
      <c r="AS160" s="498">
        <v>0</v>
      </c>
      <c r="AT160" s="498">
        <v>0</v>
      </c>
      <c r="AU160" s="498">
        <v>0</v>
      </c>
      <c r="AV160" s="498">
        <v>0</v>
      </c>
      <c r="AW160" s="498">
        <v>0</v>
      </c>
      <c r="AX160" s="498">
        <v>0</v>
      </c>
      <c r="AY160" s="498">
        <v>0</v>
      </c>
      <c r="AZ160" s="498">
        <v>0</v>
      </c>
      <c r="BA160" s="498">
        <v>0</v>
      </c>
      <c r="BB160" s="498">
        <v>0</v>
      </c>
      <c r="BC160" s="498">
        <v>0</v>
      </c>
      <c r="BD160" s="498">
        <v>0</v>
      </c>
      <c r="BE160" s="498">
        <v>0</v>
      </c>
      <c r="BF160" s="498">
        <v>0</v>
      </c>
      <c r="BG160" s="498">
        <v>0</v>
      </c>
      <c r="BH160" s="498">
        <v>0</v>
      </c>
      <c r="BI160" s="498">
        <v>0</v>
      </c>
      <c r="BJ160" s="498">
        <v>0</v>
      </c>
      <c r="BK160" s="498">
        <v>0</v>
      </c>
      <c r="BL160" s="498">
        <v>0</v>
      </c>
      <c r="BM160" s="498">
        <v>0</v>
      </c>
      <c r="BN160" s="498">
        <v>0</v>
      </c>
      <c r="BO160" s="498">
        <v>0</v>
      </c>
      <c r="BP160" s="498">
        <v>0</v>
      </c>
      <c r="BQ160" s="498">
        <v>0</v>
      </c>
      <c r="BR160" s="498">
        <v>0</v>
      </c>
      <c r="BS160" s="498">
        <v>0</v>
      </c>
      <c r="BT160" s="498">
        <v>0</v>
      </c>
      <c r="BU160" s="498">
        <v>0</v>
      </c>
      <c r="BV160" s="498">
        <v>0</v>
      </c>
      <c r="BW160" s="498">
        <v>0</v>
      </c>
      <c r="BX160" s="498">
        <v>0</v>
      </c>
      <c r="BY160" s="498">
        <v>0</v>
      </c>
      <c r="BZ160" s="498">
        <v>0</v>
      </c>
      <c r="CA160" s="498">
        <v>0</v>
      </c>
      <c r="CB160" s="498">
        <v>0</v>
      </c>
      <c r="CC160" s="498">
        <v>0</v>
      </c>
      <c r="CD160" s="498">
        <v>0</v>
      </c>
      <c r="CE160" s="498">
        <v>0</v>
      </c>
      <c r="CF160" s="498">
        <v>0</v>
      </c>
      <c r="CG160" s="498">
        <v>0</v>
      </c>
      <c r="CH160" s="498">
        <v>0</v>
      </c>
      <c r="CI160" s="498">
        <v>0</v>
      </c>
      <c r="CJ160" s="498">
        <v>0</v>
      </c>
      <c r="CK160" s="498">
        <v>0</v>
      </c>
      <c r="CL160" s="498">
        <v>0</v>
      </c>
      <c r="CM160" s="498">
        <v>0</v>
      </c>
      <c r="CN160" s="498">
        <v>0</v>
      </c>
      <c r="CO160" s="498">
        <v>0</v>
      </c>
      <c r="CP160" s="498">
        <v>0</v>
      </c>
      <c r="CQ160" s="498">
        <v>0</v>
      </c>
      <c r="CR160" s="498">
        <v>0</v>
      </c>
      <c r="CS160" s="498">
        <v>0</v>
      </c>
      <c r="CT160" s="498">
        <v>0</v>
      </c>
      <c r="CU160" s="498">
        <v>0</v>
      </c>
      <c r="CV160" s="498">
        <v>0</v>
      </c>
      <c r="CW160" s="498">
        <v>0</v>
      </c>
      <c r="CX160" s="498">
        <v>0</v>
      </c>
      <c r="CY160" s="498">
        <v>0</v>
      </c>
      <c r="CZ160" s="498">
        <v>0</v>
      </c>
      <c r="DA160" s="498">
        <v>0</v>
      </c>
      <c r="DB160" s="498">
        <v>0</v>
      </c>
      <c r="DC160" s="498">
        <v>0</v>
      </c>
      <c r="DD160" s="498">
        <v>0</v>
      </c>
      <c r="DE160" s="498">
        <v>0</v>
      </c>
      <c r="DF160" s="498">
        <v>0</v>
      </c>
      <c r="DG160" s="498">
        <v>0</v>
      </c>
      <c r="DH160" s="498">
        <v>0</v>
      </c>
      <c r="DI160" s="498">
        <v>0</v>
      </c>
      <c r="DJ160" s="498">
        <v>0</v>
      </c>
      <c r="DK160" s="498">
        <v>0</v>
      </c>
      <c r="DL160" s="498">
        <v>0</v>
      </c>
      <c r="DM160" s="498">
        <v>0</v>
      </c>
      <c r="DN160" s="498">
        <v>0</v>
      </c>
      <c r="DO160" s="498">
        <v>0</v>
      </c>
      <c r="DP160" s="498">
        <v>0</v>
      </c>
      <c r="DQ160" s="498">
        <v>0</v>
      </c>
      <c r="DR160" s="498">
        <v>0</v>
      </c>
      <c r="DS160" s="498">
        <v>0</v>
      </c>
      <c r="DT160" s="498">
        <v>0</v>
      </c>
      <c r="DU160" s="498">
        <v>0</v>
      </c>
      <c r="DV160" s="498">
        <v>0</v>
      </c>
      <c r="DW160" s="498">
        <v>0</v>
      </c>
      <c r="DX160" s="477"/>
      <c r="DY160" s="497" t="s">
        <v>720</v>
      </c>
      <c r="DZ160" s="497" t="s">
        <v>617</v>
      </c>
      <c r="EA160" s="497" t="s">
        <v>26</v>
      </c>
      <c r="EB160" s="498">
        <v>27</v>
      </c>
      <c r="EC160" s="494" t="str">
        <f t="shared" si="6"/>
        <v>AIJ100227</v>
      </c>
      <c r="ED160" s="498">
        <v>0</v>
      </c>
      <c r="EE160" s="498">
        <v>244</v>
      </c>
      <c r="EF160" s="498">
        <v>530</v>
      </c>
      <c r="EG160" s="498">
        <v>876</v>
      </c>
      <c r="EH160" s="498">
        <v>1382</v>
      </c>
      <c r="EI160" s="498">
        <v>1944</v>
      </c>
      <c r="EJ160" s="498">
        <v>2796</v>
      </c>
      <c r="EK160" s="498">
        <v>4211</v>
      </c>
      <c r="EL160" s="498">
        <v>5738</v>
      </c>
      <c r="EM160" s="498">
        <v>0</v>
      </c>
      <c r="EN160" s="498">
        <v>0</v>
      </c>
      <c r="EO160" s="498">
        <v>0</v>
      </c>
      <c r="EP160" s="498">
        <v>0</v>
      </c>
      <c r="EQ160" s="498">
        <v>0</v>
      </c>
      <c r="ER160" s="498">
        <v>0</v>
      </c>
      <c r="ES160" s="498">
        <v>0</v>
      </c>
      <c r="ET160" s="498">
        <v>0</v>
      </c>
      <c r="EU160" s="498">
        <v>0</v>
      </c>
      <c r="EV160" s="498">
        <v>0</v>
      </c>
      <c r="EW160" s="498">
        <v>0</v>
      </c>
      <c r="EX160" s="498">
        <v>0</v>
      </c>
      <c r="EY160" s="498">
        <v>0</v>
      </c>
      <c r="EZ160" s="498">
        <v>0</v>
      </c>
      <c r="FA160" s="498">
        <v>0</v>
      </c>
      <c r="FB160" s="498">
        <v>0</v>
      </c>
      <c r="FC160" s="498">
        <v>0</v>
      </c>
      <c r="FD160" s="498">
        <v>0</v>
      </c>
      <c r="FE160" s="498">
        <v>0</v>
      </c>
      <c r="FF160" s="498">
        <v>0</v>
      </c>
      <c r="FG160" s="498">
        <v>0</v>
      </c>
      <c r="FH160" s="498">
        <v>0</v>
      </c>
      <c r="FI160" s="498">
        <v>0</v>
      </c>
      <c r="FJ160" s="498">
        <v>0</v>
      </c>
      <c r="FK160" s="498">
        <v>0</v>
      </c>
      <c r="FL160" s="498">
        <v>0</v>
      </c>
      <c r="FM160" s="498">
        <v>0</v>
      </c>
      <c r="FN160" s="498">
        <v>0</v>
      </c>
      <c r="FO160" s="498">
        <v>0</v>
      </c>
      <c r="FP160" s="498">
        <v>0</v>
      </c>
      <c r="FQ160" s="498">
        <v>0</v>
      </c>
      <c r="FR160" s="498">
        <v>0</v>
      </c>
      <c r="FS160" s="498">
        <v>0</v>
      </c>
      <c r="FT160" s="498">
        <v>0</v>
      </c>
      <c r="FU160" s="498">
        <v>0</v>
      </c>
      <c r="FV160" s="498">
        <v>0</v>
      </c>
      <c r="FW160" s="498">
        <v>0</v>
      </c>
      <c r="FX160" s="498">
        <v>0</v>
      </c>
      <c r="FY160" s="498">
        <v>0</v>
      </c>
      <c r="FZ160" s="498">
        <v>0</v>
      </c>
      <c r="GA160" s="498">
        <v>0</v>
      </c>
      <c r="GB160" s="498">
        <v>0</v>
      </c>
      <c r="GC160" s="498">
        <v>0</v>
      </c>
      <c r="GD160" s="498">
        <v>0</v>
      </c>
      <c r="GE160" s="498">
        <v>0</v>
      </c>
      <c r="GF160" s="498">
        <v>0</v>
      </c>
      <c r="GG160" s="498">
        <v>0</v>
      </c>
      <c r="GH160" s="498">
        <v>0</v>
      </c>
      <c r="GI160" s="498">
        <v>0</v>
      </c>
      <c r="GJ160" s="498">
        <v>0</v>
      </c>
      <c r="GK160" s="498">
        <v>0</v>
      </c>
      <c r="GL160" s="498">
        <v>0</v>
      </c>
      <c r="GM160" s="498">
        <v>0</v>
      </c>
      <c r="GN160" s="498">
        <v>0</v>
      </c>
      <c r="GO160" s="498">
        <v>0</v>
      </c>
      <c r="GP160" s="498">
        <v>0</v>
      </c>
      <c r="GQ160" s="498">
        <v>0</v>
      </c>
      <c r="GR160" s="498">
        <v>0</v>
      </c>
      <c r="GS160" s="498">
        <v>0</v>
      </c>
      <c r="GT160" s="498">
        <v>0</v>
      </c>
      <c r="GU160" s="498">
        <v>0</v>
      </c>
      <c r="GV160" s="498">
        <v>0</v>
      </c>
      <c r="GW160" s="498">
        <v>0</v>
      </c>
      <c r="GX160" s="498">
        <v>0</v>
      </c>
      <c r="GY160" s="498">
        <v>0</v>
      </c>
      <c r="GZ160" s="498">
        <v>0</v>
      </c>
      <c r="HA160" s="498">
        <v>0</v>
      </c>
      <c r="HB160" s="498">
        <v>0</v>
      </c>
      <c r="HC160" s="498">
        <v>0</v>
      </c>
      <c r="HD160" s="498">
        <v>0</v>
      </c>
      <c r="HE160" s="498">
        <v>0</v>
      </c>
      <c r="HF160" s="498">
        <v>0</v>
      </c>
      <c r="HG160" s="498">
        <v>0</v>
      </c>
      <c r="HH160" s="498">
        <v>0</v>
      </c>
      <c r="HI160" s="498">
        <v>0</v>
      </c>
      <c r="HJ160" s="498">
        <v>0</v>
      </c>
      <c r="HK160" s="498">
        <v>0</v>
      </c>
      <c r="HL160" s="498">
        <v>0</v>
      </c>
      <c r="HM160" s="498">
        <v>0</v>
      </c>
      <c r="HN160" s="498">
        <v>0</v>
      </c>
      <c r="HO160" s="498">
        <v>0</v>
      </c>
      <c r="HP160" s="498">
        <v>0</v>
      </c>
      <c r="HQ160" s="498">
        <v>0</v>
      </c>
      <c r="HR160" s="498">
        <v>0</v>
      </c>
      <c r="HS160" s="498">
        <v>0</v>
      </c>
      <c r="HT160" s="498">
        <v>0</v>
      </c>
      <c r="HU160" s="498">
        <v>0</v>
      </c>
      <c r="HV160" s="498">
        <v>0</v>
      </c>
      <c r="HW160" s="498">
        <v>0</v>
      </c>
      <c r="HX160" s="498">
        <v>0</v>
      </c>
      <c r="HY160" s="498">
        <v>0</v>
      </c>
      <c r="HZ160" s="498">
        <v>0</v>
      </c>
      <c r="IA160" s="498">
        <v>0</v>
      </c>
      <c r="IB160" s="498">
        <v>0</v>
      </c>
      <c r="IC160" s="498">
        <v>0</v>
      </c>
      <c r="ID160" s="498">
        <v>0</v>
      </c>
      <c r="IE160" s="498">
        <v>0</v>
      </c>
      <c r="IF160" s="498">
        <v>0</v>
      </c>
      <c r="IG160" s="498">
        <v>0</v>
      </c>
      <c r="IH160" s="498">
        <v>0</v>
      </c>
      <c r="II160" s="498">
        <v>0</v>
      </c>
      <c r="IJ160" s="498">
        <v>0</v>
      </c>
    </row>
    <row r="161" spans="12:244" hidden="1">
      <c r="L161" s="497" t="s">
        <v>720</v>
      </c>
      <c r="M161" s="497" t="s">
        <v>617</v>
      </c>
      <c r="N161" s="497" t="s">
        <v>26</v>
      </c>
      <c r="O161" s="498">
        <v>28</v>
      </c>
      <c r="P161" s="494" t="str">
        <f t="shared" si="5"/>
        <v>AIJ100228</v>
      </c>
      <c r="Q161" s="498">
        <v>20000</v>
      </c>
      <c r="R161" s="498">
        <v>20000</v>
      </c>
      <c r="S161" s="498">
        <v>20000</v>
      </c>
      <c r="T161" s="498">
        <v>20000</v>
      </c>
      <c r="U161" s="498">
        <v>20000</v>
      </c>
      <c r="V161" s="498">
        <v>20000</v>
      </c>
      <c r="W161" s="498">
        <v>20000</v>
      </c>
      <c r="X161" s="498">
        <v>20000</v>
      </c>
      <c r="Y161" s="498">
        <v>20000</v>
      </c>
      <c r="Z161" s="498">
        <v>20000</v>
      </c>
      <c r="AA161" s="498">
        <v>0</v>
      </c>
      <c r="AB161" s="498">
        <v>0</v>
      </c>
      <c r="AC161" s="498">
        <v>0</v>
      </c>
      <c r="AD161" s="498">
        <v>0</v>
      </c>
      <c r="AE161" s="498">
        <v>0</v>
      </c>
      <c r="AF161" s="498">
        <v>0</v>
      </c>
      <c r="AG161" s="498">
        <v>0</v>
      </c>
      <c r="AH161" s="498">
        <v>0</v>
      </c>
      <c r="AI161" s="498">
        <v>0</v>
      </c>
      <c r="AJ161" s="498">
        <v>0</v>
      </c>
      <c r="AK161" s="498">
        <v>0</v>
      </c>
      <c r="AL161" s="498">
        <v>0</v>
      </c>
      <c r="AM161" s="498">
        <v>0</v>
      </c>
      <c r="AN161" s="498">
        <v>0</v>
      </c>
      <c r="AO161" s="498">
        <v>0</v>
      </c>
      <c r="AP161" s="498">
        <v>0</v>
      </c>
      <c r="AQ161" s="498">
        <v>0</v>
      </c>
      <c r="AR161" s="498">
        <v>0</v>
      </c>
      <c r="AS161" s="498">
        <v>0</v>
      </c>
      <c r="AT161" s="498">
        <v>0</v>
      </c>
      <c r="AU161" s="498">
        <v>0</v>
      </c>
      <c r="AV161" s="498">
        <v>0</v>
      </c>
      <c r="AW161" s="498">
        <v>0</v>
      </c>
      <c r="AX161" s="498">
        <v>0</v>
      </c>
      <c r="AY161" s="498">
        <v>0</v>
      </c>
      <c r="AZ161" s="498">
        <v>0</v>
      </c>
      <c r="BA161" s="498">
        <v>0</v>
      </c>
      <c r="BB161" s="498">
        <v>0</v>
      </c>
      <c r="BC161" s="498">
        <v>0</v>
      </c>
      <c r="BD161" s="498">
        <v>0</v>
      </c>
      <c r="BE161" s="498">
        <v>0</v>
      </c>
      <c r="BF161" s="498">
        <v>0</v>
      </c>
      <c r="BG161" s="498">
        <v>0</v>
      </c>
      <c r="BH161" s="498">
        <v>0</v>
      </c>
      <c r="BI161" s="498">
        <v>0</v>
      </c>
      <c r="BJ161" s="498">
        <v>0</v>
      </c>
      <c r="BK161" s="498">
        <v>0</v>
      </c>
      <c r="BL161" s="498">
        <v>0</v>
      </c>
      <c r="BM161" s="498">
        <v>0</v>
      </c>
      <c r="BN161" s="498">
        <v>0</v>
      </c>
      <c r="BO161" s="498">
        <v>0</v>
      </c>
      <c r="BP161" s="498">
        <v>0</v>
      </c>
      <c r="BQ161" s="498">
        <v>0</v>
      </c>
      <c r="BR161" s="498">
        <v>0</v>
      </c>
      <c r="BS161" s="498">
        <v>0</v>
      </c>
      <c r="BT161" s="498">
        <v>0</v>
      </c>
      <c r="BU161" s="498">
        <v>0</v>
      </c>
      <c r="BV161" s="498">
        <v>0</v>
      </c>
      <c r="BW161" s="498">
        <v>0</v>
      </c>
      <c r="BX161" s="498">
        <v>0</v>
      </c>
      <c r="BY161" s="498">
        <v>0</v>
      </c>
      <c r="BZ161" s="498">
        <v>0</v>
      </c>
      <c r="CA161" s="498">
        <v>0</v>
      </c>
      <c r="CB161" s="498">
        <v>0</v>
      </c>
      <c r="CC161" s="498">
        <v>0</v>
      </c>
      <c r="CD161" s="498">
        <v>0</v>
      </c>
      <c r="CE161" s="498">
        <v>0</v>
      </c>
      <c r="CF161" s="498">
        <v>0</v>
      </c>
      <c r="CG161" s="498">
        <v>0</v>
      </c>
      <c r="CH161" s="498">
        <v>0</v>
      </c>
      <c r="CI161" s="498">
        <v>0</v>
      </c>
      <c r="CJ161" s="498">
        <v>0</v>
      </c>
      <c r="CK161" s="498">
        <v>0</v>
      </c>
      <c r="CL161" s="498">
        <v>0</v>
      </c>
      <c r="CM161" s="498">
        <v>0</v>
      </c>
      <c r="CN161" s="498">
        <v>0</v>
      </c>
      <c r="CO161" s="498">
        <v>0</v>
      </c>
      <c r="CP161" s="498">
        <v>0</v>
      </c>
      <c r="CQ161" s="498">
        <v>0</v>
      </c>
      <c r="CR161" s="498">
        <v>0</v>
      </c>
      <c r="CS161" s="498">
        <v>0</v>
      </c>
      <c r="CT161" s="498">
        <v>0</v>
      </c>
      <c r="CU161" s="498">
        <v>0</v>
      </c>
      <c r="CV161" s="498">
        <v>0</v>
      </c>
      <c r="CW161" s="498">
        <v>0</v>
      </c>
      <c r="CX161" s="498">
        <v>0</v>
      </c>
      <c r="CY161" s="498">
        <v>0</v>
      </c>
      <c r="CZ161" s="498">
        <v>0</v>
      </c>
      <c r="DA161" s="498">
        <v>0</v>
      </c>
      <c r="DB161" s="498">
        <v>0</v>
      </c>
      <c r="DC161" s="498">
        <v>0</v>
      </c>
      <c r="DD161" s="498">
        <v>0</v>
      </c>
      <c r="DE161" s="498">
        <v>0</v>
      </c>
      <c r="DF161" s="498">
        <v>0</v>
      </c>
      <c r="DG161" s="498">
        <v>0</v>
      </c>
      <c r="DH161" s="498">
        <v>0</v>
      </c>
      <c r="DI161" s="498">
        <v>0</v>
      </c>
      <c r="DJ161" s="498">
        <v>0</v>
      </c>
      <c r="DK161" s="498">
        <v>0</v>
      </c>
      <c r="DL161" s="498">
        <v>0</v>
      </c>
      <c r="DM161" s="498">
        <v>0</v>
      </c>
      <c r="DN161" s="498">
        <v>0</v>
      </c>
      <c r="DO161" s="498">
        <v>0</v>
      </c>
      <c r="DP161" s="498">
        <v>0</v>
      </c>
      <c r="DQ161" s="498">
        <v>0</v>
      </c>
      <c r="DR161" s="498">
        <v>0</v>
      </c>
      <c r="DS161" s="498">
        <v>0</v>
      </c>
      <c r="DT161" s="498">
        <v>0</v>
      </c>
      <c r="DU161" s="498">
        <v>0</v>
      </c>
      <c r="DV161" s="498">
        <v>0</v>
      </c>
      <c r="DW161" s="498">
        <v>0</v>
      </c>
      <c r="DX161" s="477"/>
      <c r="DY161" s="497" t="s">
        <v>720</v>
      </c>
      <c r="DZ161" s="497" t="s">
        <v>617</v>
      </c>
      <c r="EA161" s="497" t="s">
        <v>26</v>
      </c>
      <c r="EB161" s="498">
        <v>28</v>
      </c>
      <c r="EC161" s="494" t="str">
        <f t="shared" si="6"/>
        <v>AIJ100228</v>
      </c>
      <c r="ED161" s="498">
        <v>0</v>
      </c>
      <c r="EE161" s="498">
        <v>299</v>
      </c>
      <c r="EF161" s="498">
        <v>519</v>
      </c>
      <c r="EG161" s="498">
        <v>929</v>
      </c>
      <c r="EH161" s="498">
        <v>1440</v>
      </c>
      <c r="EI161" s="498">
        <v>2000</v>
      </c>
      <c r="EJ161" s="498">
        <v>2842</v>
      </c>
      <c r="EK161" s="498">
        <v>4103</v>
      </c>
      <c r="EL161" s="498">
        <v>5806</v>
      </c>
      <c r="EM161" s="498">
        <v>0</v>
      </c>
      <c r="EN161" s="498">
        <v>0</v>
      </c>
      <c r="EO161" s="498">
        <v>0</v>
      </c>
      <c r="EP161" s="498">
        <v>0</v>
      </c>
      <c r="EQ161" s="498">
        <v>0</v>
      </c>
      <c r="ER161" s="498">
        <v>0</v>
      </c>
      <c r="ES161" s="498">
        <v>0</v>
      </c>
      <c r="ET161" s="498">
        <v>0</v>
      </c>
      <c r="EU161" s="498">
        <v>0</v>
      </c>
      <c r="EV161" s="498">
        <v>0</v>
      </c>
      <c r="EW161" s="498">
        <v>0</v>
      </c>
      <c r="EX161" s="498">
        <v>0</v>
      </c>
      <c r="EY161" s="498">
        <v>0</v>
      </c>
      <c r="EZ161" s="498">
        <v>0</v>
      </c>
      <c r="FA161" s="498">
        <v>0</v>
      </c>
      <c r="FB161" s="498">
        <v>0</v>
      </c>
      <c r="FC161" s="498">
        <v>0</v>
      </c>
      <c r="FD161" s="498">
        <v>0</v>
      </c>
      <c r="FE161" s="498">
        <v>0</v>
      </c>
      <c r="FF161" s="498">
        <v>0</v>
      </c>
      <c r="FG161" s="498">
        <v>0</v>
      </c>
      <c r="FH161" s="498">
        <v>0</v>
      </c>
      <c r="FI161" s="498">
        <v>0</v>
      </c>
      <c r="FJ161" s="498">
        <v>0</v>
      </c>
      <c r="FK161" s="498">
        <v>0</v>
      </c>
      <c r="FL161" s="498">
        <v>0</v>
      </c>
      <c r="FM161" s="498">
        <v>0</v>
      </c>
      <c r="FN161" s="498">
        <v>0</v>
      </c>
      <c r="FO161" s="498">
        <v>0</v>
      </c>
      <c r="FP161" s="498">
        <v>0</v>
      </c>
      <c r="FQ161" s="498">
        <v>0</v>
      </c>
      <c r="FR161" s="498">
        <v>0</v>
      </c>
      <c r="FS161" s="498">
        <v>0</v>
      </c>
      <c r="FT161" s="498">
        <v>0</v>
      </c>
      <c r="FU161" s="498">
        <v>0</v>
      </c>
      <c r="FV161" s="498">
        <v>0</v>
      </c>
      <c r="FW161" s="498">
        <v>0</v>
      </c>
      <c r="FX161" s="498">
        <v>0</v>
      </c>
      <c r="FY161" s="498">
        <v>0</v>
      </c>
      <c r="FZ161" s="498">
        <v>0</v>
      </c>
      <c r="GA161" s="498">
        <v>0</v>
      </c>
      <c r="GB161" s="498">
        <v>0</v>
      </c>
      <c r="GC161" s="498">
        <v>0</v>
      </c>
      <c r="GD161" s="498">
        <v>0</v>
      </c>
      <c r="GE161" s="498">
        <v>0</v>
      </c>
      <c r="GF161" s="498">
        <v>0</v>
      </c>
      <c r="GG161" s="498">
        <v>0</v>
      </c>
      <c r="GH161" s="498">
        <v>0</v>
      </c>
      <c r="GI161" s="498">
        <v>0</v>
      </c>
      <c r="GJ161" s="498">
        <v>0</v>
      </c>
      <c r="GK161" s="498">
        <v>0</v>
      </c>
      <c r="GL161" s="498">
        <v>0</v>
      </c>
      <c r="GM161" s="498">
        <v>0</v>
      </c>
      <c r="GN161" s="498">
        <v>0</v>
      </c>
      <c r="GO161" s="498">
        <v>0</v>
      </c>
      <c r="GP161" s="498">
        <v>0</v>
      </c>
      <c r="GQ161" s="498">
        <v>0</v>
      </c>
      <c r="GR161" s="498">
        <v>0</v>
      </c>
      <c r="GS161" s="498">
        <v>0</v>
      </c>
      <c r="GT161" s="498">
        <v>0</v>
      </c>
      <c r="GU161" s="498">
        <v>0</v>
      </c>
      <c r="GV161" s="498">
        <v>0</v>
      </c>
      <c r="GW161" s="498">
        <v>0</v>
      </c>
      <c r="GX161" s="498">
        <v>0</v>
      </c>
      <c r="GY161" s="498">
        <v>0</v>
      </c>
      <c r="GZ161" s="498">
        <v>0</v>
      </c>
      <c r="HA161" s="498">
        <v>0</v>
      </c>
      <c r="HB161" s="498">
        <v>0</v>
      </c>
      <c r="HC161" s="498">
        <v>0</v>
      </c>
      <c r="HD161" s="498">
        <v>0</v>
      </c>
      <c r="HE161" s="498">
        <v>0</v>
      </c>
      <c r="HF161" s="498">
        <v>0</v>
      </c>
      <c r="HG161" s="498">
        <v>0</v>
      </c>
      <c r="HH161" s="498">
        <v>0</v>
      </c>
      <c r="HI161" s="498">
        <v>0</v>
      </c>
      <c r="HJ161" s="498">
        <v>0</v>
      </c>
      <c r="HK161" s="498">
        <v>0</v>
      </c>
      <c r="HL161" s="498">
        <v>0</v>
      </c>
      <c r="HM161" s="498">
        <v>0</v>
      </c>
      <c r="HN161" s="498">
        <v>0</v>
      </c>
      <c r="HO161" s="498">
        <v>0</v>
      </c>
      <c r="HP161" s="498">
        <v>0</v>
      </c>
      <c r="HQ161" s="498">
        <v>0</v>
      </c>
      <c r="HR161" s="498">
        <v>0</v>
      </c>
      <c r="HS161" s="498">
        <v>0</v>
      </c>
      <c r="HT161" s="498">
        <v>0</v>
      </c>
      <c r="HU161" s="498">
        <v>0</v>
      </c>
      <c r="HV161" s="498">
        <v>0</v>
      </c>
      <c r="HW161" s="498">
        <v>0</v>
      </c>
      <c r="HX161" s="498">
        <v>0</v>
      </c>
      <c r="HY161" s="498">
        <v>0</v>
      </c>
      <c r="HZ161" s="498">
        <v>0</v>
      </c>
      <c r="IA161" s="498">
        <v>0</v>
      </c>
      <c r="IB161" s="498">
        <v>0</v>
      </c>
      <c r="IC161" s="498">
        <v>0</v>
      </c>
      <c r="ID161" s="498">
        <v>0</v>
      </c>
      <c r="IE161" s="498">
        <v>0</v>
      </c>
      <c r="IF161" s="498">
        <v>0</v>
      </c>
      <c r="IG161" s="498">
        <v>0</v>
      </c>
      <c r="IH161" s="498">
        <v>0</v>
      </c>
      <c r="II161" s="498">
        <v>0</v>
      </c>
      <c r="IJ161" s="498">
        <v>0</v>
      </c>
    </row>
    <row r="162" spans="12:244" hidden="1">
      <c r="L162" s="497" t="s">
        <v>720</v>
      </c>
      <c r="M162" s="497" t="s">
        <v>617</v>
      </c>
      <c r="N162" s="497" t="s">
        <v>26</v>
      </c>
      <c r="O162" s="498">
        <v>29</v>
      </c>
      <c r="P162" s="494" t="str">
        <f t="shared" si="5"/>
        <v>AIJ100229</v>
      </c>
      <c r="Q162" s="498">
        <v>20000</v>
      </c>
      <c r="R162" s="498">
        <v>20000</v>
      </c>
      <c r="S162" s="498">
        <v>20000</v>
      </c>
      <c r="T162" s="498">
        <v>20000</v>
      </c>
      <c r="U162" s="498">
        <v>20000</v>
      </c>
      <c r="V162" s="498">
        <v>20000</v>
      </c>
      <c r="W162" s="498">
        <v>20000</v>
      </c>
      <c r="X162" s="498">
        <v>20000</v>
      </c>
      <c r="Y162" s="498">
        <v>20000</v>
      </c>
      <c r="Z162" s="498">
        <v>20000</v>
      </c>
      <c r="AA162" s="498">
        <v>0</v>
      </c>
      <c r="AB162" s="498">
        <v>0</v>
      </c>
      <c r="AC162" s="498">
        <v>0</v>
      </c>
      <c r="AD162" s="498">
        <v>0</v>
      </c>
      <c r="AE162" s="498">
        <v>0</v>
      </c>
      <c r="AF162" s="498">
        <v>0</v>
      </c>
      <c r="AG162" s="498">
        <v>0</v>
      </c>
      <c r="AH162" s="498">
        <v>0</v>
      </c>
      <c r="AI162" s="498">
        <v>0</v>
      </c>
      <c r="AJ162" s="498">
        <v>0</v>
      </c>
      <c r="AK162" s="498">
        <v>0</v>
      </c>
      <c r="AL162" s="498">
        <v>0</v>
      </c>
      <c r="AM162" s="498">
        <v>0</v>
      </c>
      <c r="AN162" s="498">
        <v>0</v>
      </c>
      <c r="AO162" s="498">
        <v>0</v>
      </c>
      <c r="AP162" s="498">
        <v>0</v>
      </c>
      <c r="AQ162" s="498">
        <v>0</v>
      </c>
      <c r="AR162" s="498">
        <v>0</v>
      </c>
      <c r="AS162" s="498">
        <v>0</v>
      </c>
      <c r="AT162" s="498">
        <v>0</v>
      </c>
      <c r="AU162" s="498">
        <v>0</v>
      </c>
      <c r="AV162" s="498">
        <v>0</v>
      </c>
      <c r="AW162" s="498">
        <v>0</v>
      </c>
      <c r="AX162" s="498">
        <v>0</v>
      </c>
      <c r="AY162" s="498">
        <v>0</v>
      </c>
      <c r="AZ162" s="498">
        <v>0</v>
      </c>
      <c r="BA162" s="498">
        <v>0</v>
      </c>
      <c r="BB162" s="498">
        <v>0</v>
      </c>
      <c r="BC162" s="498">
        <v>0</v>
      </c>
      <c r="BD162" s="498">
        <v>0</v>
      </c>
      <c r="BE162" s="498">
        <v>0</v>
      </c>
      <c r="BF162" s="498">
        <v>0</v>
      </c>
      <c r="BG162" s="498">
        <v>0</v>
      </c>
      <c r="BH162" s="498">
        <v>0</v>
      </c>
      <c r="BI162" s="498">
        <v>0</v>
      </c>
      <c r="BJ162" s="498">
        <v>0</v>
      </c>
      <c r="BK162" s="498">
        <v>0</v>
      </c>
      <c r="BL162" s="498">
        <v>0</v>
      </c>
      <c r="BM162" s="498">
        <v>0</v>
      </c>
      <c r="BN162" s="498">
        <v>0</v>
      </c>
      <c r="BO162" s="498">
        <v>0</v>
      </c>
      <c r="BP162" s="498">
        <v>0</v>
      </c>
      <c r="BQ162" s="498">
        <v>0</v>
      </c>
      <c r="BR162" s="498">
        <v>0</v>
      </c>
      <c r="BS162" s="498">
        <v>0</v>
      </c>
      <c r="BT162" s="498">
        <v>0</v>
      </c>
      <c r="BU162" s="498">
        <v>0</v>
      </c>
      <c r="BV162" s="498">
        <v>0</v>
      </c>
      <c r="BW162" s="498">
        <v>0</v>
      </c>
      <c r="BX162" s="498">
        <v>0</v>
      </c>
      <c r="BY162" s="498">
        <v>0</v>
      </c>
      <c r="BZ162" s="498">
        <v>0</v>
      </c>
      <c r="CA162" s="498">
        <v>0</v>
      </c>
      <c r="CB162" s="498">
        <v>0</v>
      </c>
      <c r="CC162" s="498">
        <v>0</v>
      </c>
      <c r="CD162" s="498">
        <v>0</v>
      </c>
      <c r="CE162" s="498">
        <v>0</v>
      </c>
      <c r="CF162" s="498">
        <v>0</v>
      </c>
      <c r="CG162" s="498">
        <v>0</v>
      </c>
      <c r="CH162" s="498">
        <v>0</v>
      </c>
      <c r="CI162" s="498">
        <v>0</v>
      </c>
      <c r="CJ162" s="498">
        <v>0</v>
      </c>
      <c r="CK162" s="498">
        <v>0</v>
      </c>
      <c r="CL162" s="498">
        <v>0</v>
      </c>
      <c r="CM162" s="498">
        <v>0</v>
      </c>
      <c r="CN162" s="498">
        <v>0</v>
      </c>
      <c r="CO162" s="498">
        <v>0</v>
      </c>
      <c r="CP162" s="498">
        <v>0</v>
      </c>
      <c r="CQ162" s="498">
        <v>0</v>
      </c>
      <c r="CR162" s="498">
        <v>0</v>
      </c>
      <c r="CS162" s="498">
        <v>0</v>
      </c>
      <c r="CT162" s="498">
        <v>0</v>
      </c>
      <c r="CU162" s="498">
        <v>0</v>
      </c>
      <c r="CV162" s="498">
        <v>0</v>
      </c>
      <c r="CW162" s="498">
        <v>0</v>
      </c>
      <c r="CX162" s="498">
        <v>0</v>
      </c>
      <c r="CY162" s="498">
        <v>0</v>
      </c>
      <c r="CZ162" s="498">
        <v>0</v>
      </c>
      <c r="DA162" s="498">
        <v>0</v>
      </c>
      <c r="DB162" s="498">
        <v>0</v>
      </c>
      <c r="DC162" s="498">
        <v>0</v>
      </c>
      <c r="DD162" s="498">
        <v>0</v>
      </c>
      <c r="DE162" s="498">
        <v>0</v>
      </c>
      <c r="DF162" s="498">
        <v>0</v>
      </c>
      <c r="DG162" s="498">
        <v>0</v>
      </c>
      <c r="DH162" s="498">
        <v>0</v>
      </c>
      <c r="DI162" s="498">
        <v>0</v>
      </c>
      <c r="DJ162" s="498">
        <v>0</v>
      </c>
      <c r="DK162" s="498">
        <v>0</v>
      </c>
      <c r="DL162" s="498">
        <v>0</v>
      </c>
      <c r="DM162" s="498">
        <v>0</v>
      </c>
      <c r="DN162" s="498">
        <v>0</v>
      </c>
      <c r="DO162" s="498">
        <v>0</v>
      </c>
      <c r="DP162" s="498">
        <v>0</v>
      </c>
      <c r="DQ162" s="498">
        <v>0</v>
      </c>
      <c r="DR162" s="498">
        <v>0</v>
      </c>
      <c r="DS162" s="498">
        <v>0</v>
      </c>
      <c r="DT162" s="498">
        <v>0</v>
      </c>
      <c r="DU162" s="498">
        <v>0</v>
      </c>
      <c r="DV162" s="498">
        <v>0</v>
      </c>
      <c r="DW162" s="498">
        <v>0</v>
      </c>
      <c r="DX162" s="477"/>
      <c r="DY162" s="497" t="s">
        <v>720</v>
      </c>
      <c r="DZ162" s="497" t="s">
        <v>617</v>
      </c>
      <c r="EA162" s="497" t="s">
        <v>26</v>
      </c>
      <c r="EB162" s="498">
        <v>29</v>
      </c>
      <c r="EC162" s="494" t="str">
        <f t="shared" si="6"/>
        <v>AIJ100229</v>
      </c>
      <c r="ED162" s="498">
        <v>0</v>
      </c>
      <c r="EE162" s="498">
        <v>294</v>
      </c>
      <c r="EF162" s="498">
        <v>573</v>
      </c>
      <c r="EG162" s="498">
        <v>979</v>
      </c>
      <c r="EH162" s="498">
        <v>1406</v>
      </c>
      <c r="EI162" s="498">
        <v>1947</v>
      </c>
      <c r="EJ162" s="498">
        <v>2887</v>
      </c>
      <c r="EK162" s="498">
        <v>4125</v>
      </c>
      <c r="EL162" s="498">
        <v>5873</v>
      </c>
      <c r="EM162" s="498">
        <v>0</v>
      </c>
      <c r="EN162" s="498">
        <v>0</v>
      </c>
      <c r="EO162" s="498">
        <v>0</v>
      </c>
      <c r="EP162" s="498">
        <v>0</v>
      </c>
      <c r="EQ162" s="498">
        <v>0</v>
      </c>
      <c r="ER162" s="498">
        <v>0</v>
      </c>
      <c r="ES162" s="498">
        <v>0</v>
      </c>
      <c r="ET162" s="498">
        <v>0</v>
      </c>
      <c r="EU162" s="498">
        <v>0</v>
      </c>
      <c r="EV162" s="498">
        <v>0</v>
      </c>
      <c r="EW162" s="498">
        <v>0</v>
      </c>
      <c r="EX162" s="498">
        <v>0</v>
      </c>
      <c r="EY162" s="498">
        <v>0</v>
      </c>
      <c r="EZ162" s="498">
        <v>0</v>
      </c>
      <c r="FA162" s="498">
        <v>0</v>
      </c>
      <c r="FB162" s="498">
        <v>0</v>
      </c>
      <c r="FC162" s="498">
        <v>0</v>
      </c>
      <c r="FD162" s="498">
        <v>0</v>
      </c>
      <c r="FE162" s="498">
        <v>0</v>
      </c>
      <c r="FF162" s="498">
        <v>0</v>
      </c>
      <c r="FG162" s="498">
        <v>0</v>
      </c>
      <c r="FH162" s="498">
        <v>0</v>
      </c>
      <c r="FI162" s="498">
        <v>0</v>
      </c>
      <c r="FJ162" s="498">
        <v>0</v>
      </c>
      <c r="FK162" s="498">
        <v>0</v>
      </c>
      <c r="FL162" s="498">
        <v>0</v>
      </c>
      <c r="FM162" s="498">
        <v>0</v>
      </c>
      <c r="FN162" s="498">
        <v>0</v>
      </c>
      <c r="FO162" s="498">
        <v>0</v>
      </c>
      <c r="FP162" s="498">
        <v>0</v>
      </c>
      <c r="FQ162" s="498">
        <v>0</v>
      </c>
      <c r="FR162" s="498">
        <v>0</v>
      </c>
      <c r="FS162" s="498">
        <v>0</v>
      </c>
      <c r="FT162" s="498">
        <v>0</v>
      </c>
      <c r="FU162" s="498">
        <v>0</v>
      </c>
      <c r="FV162" s="498">
        <v>0</v>
      </c>
      <c r="FW162" s="498">
        <v>0</v>
      </c>
      <c r="FX162" s="498">
        <v>0</v>
      </c>
      <c r="FY162" s="498">
        <v>0</v>
      </c>
      <c r="FZ162" s="498">
        <v>0</v>
      </c>
      <c r="GA162" s="498">
        <v>0</v>
      </c>
      <c r="GB162" s="498">
        <v>0</v>
      </c>
      <c r="GC162" s="498">
        <v>0</v>
      </c>
      <c r="GD162" s="498">
        <v>0</v>
      </c>
      <c r="GE162" s="498">
        <v>0</v>
      </c>
      <c r="GF162" s="498">
        <v>0</v>
      </c>
      <c r="GG162" s="498">
        <v>0</v>
      </c>
      <c r="GH162" s="498">
        <v>0</v>
      </c>
      <c r="GI162" s="498">
        <v>0</v>
      </c>
      <c r="GJ162" s="498">
        <v>0</v>
      </c>
      <c r="GK162" s="498">
        <v>0</v>
      </c>
      <c r="GL162" s="498">
        <v>0</v>
      </c>
      <c r="GM162" s="498">
        <v>0</v>
      </c>
      <c r="GN162" s="498">
        <v>0</v>
      </c>
      <c r="GO162" s="498">
        <v>0</v>
      </c>
      <c r="GP162" s="498">
        <v>0</v>
      </c>
      <c r="GQ162" s="498">
        <v>0</v>
      </c>
      <c r="GR162" s="498">
        <v>0</v>
      </c>
      <c r="GS162" s="498">
        <v>0</v>
      </c>
      <c r="GT162" s="498">
        <v>0</v>
      </c>
      <c r="GU162" s="498">
        <v>0</v>
      </c>
      <c r="GV162" s="498">
        <v>0</v>
      </c>
      <c r="GW162" s="498">
        <v>0</v>
      </c>
      <c r="GX162" s="498">
        <v>0</v>
      </c>
      <c r="GY162" s="498">
        <v>0</v>
      </c>
      <c r="GZ162" s="498">
        <v>0</v>
      </c>
      <c r="HA162" s="498">
        <v>0</v>
      </c>
      <c r="HB162" s="498">
        <v>0</v>
      </c>
      <c r="HC162" s="498">
        <v>0</v>
      </c>
      <c r="HD162" s="498">
        <v>0</v>
      </c>
      <c r="HE162" s="498">
        <v>0</v>
      </c>
      <c r="HF162" s="498">
        <v>0</v>
      </c>
      <c r="HG162" s="498">
        <v>0</v>
      </c>
      <c r="HH162" s="498">
        <v>0</v>
      </c>
      <c r="HI162" s="498">
        <v>0</v>
      </c>
      <c r="HJ162" s="498">
        <v>0</v>
      </c>
      <c r="HK162" s="498">
        <v>0</v>
      </c>
      <c r="HL162" s="498">
        <v>0</v>
      </c>
      <c r="HM162" s="498">
        <v>0</v>
      </c>
      <c r="HN162" s="498">
        <v>0</v>
      </c>
      <c r="HO162" s="498">
        <v>0</v>
      </c>
      <c r="HP162" s="498">
        <v>0</v>
      </c>
      <c r="HQ162" s="498">
        <v>0</v>
      </c>
      <c r="HR162" s="498">
        <v>0</v>
      </c>
      <c r="HS162" s="498">
        <v>0</v>
      </c>
      <c r="HT162" s="498">
        <v>0</v>
      </c>
      <c r="HU162" s="498">
        <v>0</v>
      </c>
      <c r="HV162" s="498">
        <v>0</v>
      </c>
      <c r="HW162" s="498">
        <v>0</v>
      </c>
      <c r="HX162" s="498">
        <v>0</v>
      </c>
      <c r="HY162" s="498">
        <v>0</v>
      </c>
      <c r="HZ162" s="498">
        <v>0</v>
      </c>
      <c r="IA162" s="498">
        <v>0</v>
      </c>
      <c r="IB162" s="498">
        <v>0</v>
      </c>
      <c r="IC162" s="498">
        <v>0</v>
      </c>
      <c r="ID162" s="498">
        <v>0</v>
      </c>
      <c r="IE162" s="498">
        <v>0</v>
      </c>
      <c r="IF162" s="498">
        <v>0</v>
      </c>
      <c r="IG162" s="498">
        <v>0</v>
      </c>
      <c r="IH162" s="498">
        <v>0</v>
      </c>
      <c r="II162" s="498">
        <v>0</v>
      </c>
      <c r="IJ162" s="498">
        <v>0</v>
      </c>
    </row>
    <row r="163" spans="12:244" hidden="1">
      <c r="L163" s="497" t="s">
        <v>720</v>
      </c>
      <c r="M163" s="497" t="s">
        <v>617</v>
      </c>
      <c r="N163" s="497" t="s">
        <v>26</v>
      </c>
      <c r="O163" s="498">
        <v>30</v>
      </c>
      <c r="P163" s="494" t="str">
        <f t="shared" si="5"/>
        <v>AIJ100230</v>
      </c>
      <c r="Q163" s="498">
        <v>20000</v>
      </c>
      <c r="R163" s="498">
        <v>20000</v>
      </c>
      <c r="S163" s="498">
        <v>20000</v>
      </c>
      <c r="T163" s="498">
        <v>20000</v>
      </c>
      <c r="U163" s="498">
        <v>20000</v>
      </c>
      <c r="V163" s="498">
        <v>20000</v>
      </c>
      <c r="W163" s="498">
        <v>20000</v>
      </c>
      <c r="X163" s="498">
        <v>20000</v>
      </c>
      <c r="Y163" s="498">
        <v>20000</v>
      </c>
      <c r="Z163" s="498">
        <v>20000</v>
      </c>
      <c r="AA163" s="498">
        <v>0</v>
      </c>
      <c r="AB163" s="498">
        <v>0</v>
      </c>
      <c r="AC163" s="498">
        <v>0</v>
      </c>
      <c r="AD163" s="498">
        <v>0</v>
      </c>
      <c r="AE163" s="498">
        <v>0</v>
      </c>
      <c r="AF163" s="498">
        <v>0</v>
      </c>
      <c r="AG163" s="498">
        <v>0</v>
      </c>
      <c r="AH163" s="498">
        <v>0</v>
      </c>
      <c r="AI163" s="498">
        <v>0</v>
      </c>
      <c r="AJ163" s="498">
        <v>0</v>
      </c>
      <c r="AK163" s="498">
        <v>0</v>
      </c>
      <c r="AL163" s="498">
        <v>0</v>
      </c>
      <c r="AM163" s="498">
        <v>0</v>
      </c>
      <c r="AN163" s="498">
        <v>0</v>
      </c>
      <c r="AO163" s="498">
        <v>0</v>
      </c>
      <c r="AP163" s="498">
        <v>0</v>
      </c>
      <c r="AQ163" s="498">
        <v>0</v>
      </c>
      <c r="AR163" s="498">
        <v>0</v>
      </c>
      <c r="AS163" s="498">
        <v>0</v>
      </c>
      <c r="AT163" s="498">
        <v>0</v>
      </c>
      <c r="AU163" s="498">
        <v>0</v>
      </c>
      <c r="AV163" s="498">
        <v>0</v>
      </c>
      <c r="AW163" s="498">
        <v>0</v>
      </c>
      <c r="AX163" s="498">
        <v>0</v>
      </c>
      <c r="AY163" s="498">
        <v>0</v>
      </c>
      <c r="AZ163" s="498">
        <v>0</v>
      </c>
      <c r="BA163" s="498">
        <v>0</v>
      </c>
      <c r="BB163" s="498">
        <v>0</v>
      </c>
      <c r="BC163" s="498">
        <v>0</v>
      </c>
      <c r="BD163" s="498">
        <v>0</v>
      </c>
      <c r="BE163" s="498">
        <v>0</v>
      </c>
      <c r="BF163" s="498">
        <v>0</v>
      </c>
      <c r="BG163" s="498">
        <v>0</v>
      </c>
      <c r="BH163" s="498">
        <v>0</v>
      </c>
      <c r="BI163" s="498">
        <v>0</v>
      </c>
      <c r="BJ163" s="498">
        <v>0</v>
      </c>
      <c r="BK163" s="498">
        <v>0</v>
      </c>
      <c r="BL163" s="498">
        <v>0</v>
      </c>
      <c r="BM163" s="498">
        <v>0</v>
      </c>
      <c r="BN163" s="498">
        <v>0</v>
      </c>
      <c r="BO163" s="498">
        <v>0</v>
      </c>
      <c r="BP163" s="498">
        <v>0</v>
      </c>
      <c r="BQ163" s="498">
        <v>0</v>
      </c>
      <c r="BR163" s="498">
        <v>0</v>
      </c>
      <c r="BS163" s="498">
        <v>0</v>
      </c>
      <c r="BT163" s="498">
        <v>0</v>
      </c>
      <c r="BU163" s="498">
        <v>0</v>
      </c>
      <c r="BV163" s="498">
        <v>0</v>
      </c>
      <c r="BW163" s="498">
        <v>0</v>
      </c>
      <c r="BX163" s="498">
        <v>0</v>
      </c>
      <c r="BY163" s="498">
        <v>0</v>
      </c>
      <c r="BZ163" s="498">
        <v>0</v>
      </c>
      <c r="CA163" s="498">
        <v>0</v>
      </c>
      <c r="CB163" s="498">
        <v>0</v>
      </c>
      <c r="CC163" s="498">
        <v>0</v>
      </c>
      <c r="CD163" s="498">
        <v>0</v>
      </c>
      <c r="CE163" s="498">
        <v>0</v>
      </c>
      <c r="CF163" s="498">
        <v>0</v>
      </c>
      <c r="CG163" s="498">
        <v>0</v>
      </c>
      <c r="CH163" s="498">
        <v>0</v>
      </c>
      <c r="CI163" s="498">
        <v>0</v>
      </c>
      <c r="CJ163" s="498">
        <v>0</v>
      </c>
      <c r="CK163" s="498">
        <v>0</v>
      </c>
      <c r="CL163" s="498">
        <v>0</v>
      </c>
      <c r="CM163" s="498">
        <v>0</v>
      </c>
      <c r="CN163" s="498">
        <v>0</v>
      </c>
      <c r="CO163" s="498">
        <v>0</v>
      </c>
      <c r="CP163" s="498">
        <v>0</v>
      </c>
      <c r="CQ163" s="498">
        <v>0</v>
      </c>
      <c r="CR163" s="498">
        <v>0</v>
      </c>
      <c r="CS163" s="498">
        <v>0</v>
      </c>
      <c r="CT163" s="498">
        <v>0</v>
      </c>
      <c r="CU163" s="498">
        <v>0</v>
      </c>
      <c r="CV163" s="498">
        <v>0</v>
      </c>
      <c r="CW163" s="498">
        <v>0</v>
      </c>
      <c r="CX163" s="498">
        <v>0</v>
      </c>
      <c r="CY163" s="498">
        <v>0</v>
      </c>
      <c r="CZ163" s="498">
        <v>0</v>
      </c>
      <c r="DA163" s="498">
        <v>0</v>
      </c>
      <c r="DB163" s="498">
        <v>0</v>
      </c>
      <c r="DC163" s="498">
        <v>0</v>
      </c>
      <c r="DD163" s="498">
        <v>0</v>
      </c>
      <c r="DE163" s="498">
        <v>0</v>
      </c>
      <c r="DF163" s="498">
        <v>0</v>
      </c>
      <c r="DG163" s="498">
        <v>0</v>
      </c>
      <c r="DH163" s="498">
        <v>0</v>
      </c>
      <c r="DI163" s="498">
        <v>0</v>
      </c>
      <c r="DJ163" s="498">
        <v>0</v>
      </c>
      <c r="DK163" s="498">
        <v>0</v>
      </c>
      <c r="DL163" s="498">
        <v>0</v>
      </c>
      <c r="DM163" s="498">
        <v>0</v>
      </c>
      <c r="DN163" s="498">
        <v>0</v>
      </c>
      <c r="DO163" s="498">
        <v>0</v>
      </c>
      <c r="DP163" s="498">
        <v>0</v>
      </c>
      <c r="DQ163" s="498">
        <v>0</v>
      </c>
      <c r="DR163" s="498">
        <v>0</v>
      </c>
      <c r="DS163" s="498">
        <v>0</v>
      </c>
      <c r="DT163" s="498">
        <v>0</v>
      </c>
      <c r="DU163" s="498">
        <v>0</v>
      </c>
      <c r="DV163" s="498">
        <v>0</v>
      </c>
      <c r="DW163" s="498">
        <v>0</v>
      </c>
      <c r="DX163" s="477"/>
      <c r="DY163" s="497" t="s">
        <v>720</v>
      </c>
      <c r="DZ163" s="497" t="s">
        <v>617</v>
      </c>
      <c r="EA163" s="497" t="s">
        <v>26</v>
      </c>
      <c r="EB163" s="498">
        <v>30</v>
      </c>
      <c r="EC163" s="494" t="str">
        <f t="shared" si="6"/>
        <v>AIJ100230</v>
      </c>
      <c r="ED163" s="498">
        <v>0</v>
      </c>
      <c r="EE163" s="498">
        <v>287</v>
      </c>
      <c r="EF163" s="498">
        <v>559</v>
      </c>
      <c r="EG163" s="498">
        <v>959</v>
      </c>
      <c r="EH163" s="498">
        <v>1450</v>
      </c>
      <c r="EI163" s="498">
        <v>2000</v>
      </c>
      <c r="EJ163" s="498">
        <v>2929</v>
      </c>
      <c r="EK163" s="498">
        <v>4146</v>
      </c>
      <c r="EL163" s="498">
        <v>5846</v>
      </c>
      <c r="EM163" s="498">
        <v>0</v>
      </c>
      <c r="EN163" s="498">
        <v>0</v>
      </c>
      <c r="EO163" s="498">
        <v>0</v>
      </c>
      <c r="EP163" s="498">
        <v>0</v>
      </c>
      <c r="EQ163" s="498">
        <v>0</v>
      </c>
      <c r="ER163" s="498">
        <v>0</v>
      </c>
      <c r="ES163" s="498">
        <v>0</v>
      </c>
      <c r="ET163" s="498">
        <v>0</v>
      </c>
      <c r="EU163" s="498">
        <v>0</v>
      </c>
      <c r="EV163" s="498">
        <v>0</v>
      </c>
      <c r="EW163" s="498">
        <v>0</v>
      </c>
      <c r="EX163" s="498">
        <v>0</v>
      </c>
      <c r="EY163" s="498">
        <v>0</v>
      </c>
      <c r="EZ163" s="498">
        <v>0</v>
      </c>
      <c r="FA163" s="498">
        <v>0</v>
      </c>
      <c r="FB163" s="498">
        <v>0</v>
      </c>
      <c r="FC163" s="498">
        <v>0</v>
      </c>
      <c r="FD163" s="498">
        <v>0</v>
      </c>
      <c r="FE163" s="498">
        <v>0</v>
      </c>
      <c r="FF163" s="498">
        <v>0</v>
      </c>
      <c r="FG163" s="498">
        <v>0</v>
      </c>
      <c r="FH163" s="498">
        <v>0</v>
      </c>
      <c r="FI163" s="498">
        <v>0</v>
      </c>
      <c r="FJ163" s="498">
        <v>0</v>
      </c>
      <c r="FK163" s="498">
        <v>0</v>
      </c>
      <c r="FL163" s="498">
        <v>0</v>
      </c>
      <c r="FM163" s="498">
        <v>0</v>
      </c>
      <c r="FN163" s="498">
        <v>0</v>
      </c>
      <c r="FO163" s="498">
        <v>0</v>
      </c>
      <c r="FP163" s="498">
        <v>0</v>
      </c>
      <c r="FQ163" s="498">
        <v>0</v>
      </c>
      <c r="FR163" s="498">
        <v>0</v>
      </c>
      <c r="FS163" s="498">
        <v>0</v>
      </c>
      <c r="FT163" s="498">
        <v>0</v>
      </c>
      <c r="FU163" s="498">
        <v>0</v>
      </c>
      <c r="FV163" s="498">
        <v>0</v>
      </c>
      <c r="FW163" s="498">
        <v>0</v>
      </c>
      <c r="FX163" s="498">
        <v>0</v>
      </c>
      <c r="FY163" s="498">
        <v>0</v>
      </c>
      <c r="FZ163" s="498">
        <v>0</v>
      </c>
      <c r="GA163" s="498">
        <v>0</v>
      </c>
      <c r="GB163" s="498">
        <v>0</v>
      </c>
      <c r="GC163" s="498">
        <v>0</v>
      </c>
      <c r="GD163" s="498">
        <v>0</v>
      </c>
      <c r="GE163" s="498">
        <v>0</v>
      </c>
      <c r="GF163" s="498">
        <v>0</v>
      </c>
      <c r="GG163" s="498">
        <v>0</v>
      </c>
      <c r="GH163" s="498">
        <v>0</v>
      </c>
      <c r="GI163" s="498">
        <v>0</v>
      </c>
      <c r="GJ163" s="498">
        <v>0</v>
      </c>
      <c r="GK163" s="498">
        <v>0</v>
      </c>
      <c r="GL163" s="498">
        <v>0</v>
      </c>
      <c r="GM163" s="498">
        <v>0</v>
      </c>
      <c r="GN163" s="498">
        <v>0</v>
      </c>
      <c r="GO163" s="498">
        <v>0</v>
      </c>
      <c r="GP163" s="498">
        <v>0</v>
      </c>
      <c r="GQ163" s="498">
        <v>0</v>
      </c>
      <c r="GR163" s="498">
        <v>0</v>
      </c>
      <c r="GS163" s="498">
        <v>0</v>
      </c>
      <c r="GT163" s="498">
        <v>0</v>
      </c>
      <c r="GU163" s="498">
        <v>0</v>
      </c>
      <c r="GV163" s="498">
        <v>0</v>
      </c>
      <c r="GW163" s="498">
        <v>0</v>
      </c>
      <c r="GX163" s="498">
        <v>0</v>
      </c>
      <c r="GY163" s="498">
        <v>0</v>
      </c>
      <c r="GZ163" s="498">
        <v>0</v>
      </c>
      <c r="HA163" s="498">
        <v>0</v>
      </c>
      <c r="HB163" s="498">
        <v>0</v>
      </c>
      <c r="HC163" s="498">
        <v>0</v>
      </c>
      <c r="HD163" s="498">
        <v>0</v>
      </c>
      <c r="HE163" s="498">
        <v>0</v>
      </c>
      <c r="HF163" s="498">
        <v>0</v>
      </c>
      <c r="HG163" s="498">
        <v>0</v>
      </c>
      <c r="HH163" s="498">
        <v>0</v>
      </c>
      <c r="HI163" s="498">
        <v>0</v>
      </c>
      <c r="HJ163" s="498">
        <v>0</v>
      </c>
      <c r="HK163" s="498">
        <v>0</v>
      </c>
      <c r="HL163" s="498">
        <v>0</v>
      </c>
      <c r="HM163" s="498">
        <v>0</v>
      </c>
      <c r="HN163" s="498">
        <v>0</v>
      </c>
      <c r="HO163" s="498">
        <v>0</v>
      </c>
      <c r="HP163" s="498">
        <v>0</v>
      </c>
      <c r="HQ163" s="498">
        <v>0</v>
      </c>
      <c r="HR163" s="498">
        <v>0</v>
      </c>
      <c r="HS163" s="498">
        <v>0</v>
      </c>
      <c r="HT163" s="498">
        <v>0</v>
      </c>
      <c r="HU163" s="498">
        <v>0</v>
      </c>
      <c r="HV163" s="498">
        <v>0</v>
      </c>
      <c r="HW163" s="498">
        <v>0</v>
      </c>
      <c r="HX163" s="498">
        <v>0</v>
      </c>
      <c r="HY163" s="498">
        <v>0</v>
      </c>
      <c r="HZ163" s="498">
        <v>0</v>
      </c>
      <c r="IA163" s="498">
        <v>0</v>
      </c>
      <c r="IB163" s="498">
        <v>0</v>
      </c>
      <c r="IC163" s="498">
        <v>0</v>
      </c>
      <c r="ID163" s="498">
        <v>0</v>
      </c>
      <c r="IE163" s="498">
        <v>0</v>
      </c>
      <c r="IF163" s="498">
        <v>0</v>
      </c>
      <c r="IG163" s="498">
        <v>0</v>
      </c>
      <c r="IH163" s="498">
        <v>0</v>
      </c>
      <c r="II163" s="498">
        <v>0</v>
      </c>
      <c r="IJ163" s="498">
        <v>0</v>
      </c>
    </row>
    <row r="164" spans="12:244" hidden="1">
      <c r="L164" s="497" t="s">
        <v>720</v>
      </c>
      <c r="M164" s="497" t="s">
        <v>617</v>
      </c>
      <c r="N164" s="497" t="s">
        <v>26</v>
      </c>
      <c r="O164" s="498">
        <v>31</v>
      </c>
      <c r="P164" s="494" t="str">
        <f t="shared" si="5"/>
        <v>AIJ100231</v>
      </c>
      <c r="Q164" s="498">
        <v>20000</v>
      </c>
      <c r="R164" s="498">
        <v>20000</v>
      </c>
      <c r="S164" s="498">
        <v>20000</v>
      </c>
      <c r="T164" s="498">
        <v>20000</v>
      </c>
      <c r="U164" s="498">
        <v>20000</v>
      </c>
      <c r="V164" s="498">
        <v>20000</v>
      </c>
      <c r="W164" s="498">
        <v>20000</v>
      </c>
      <c r="X164" s="498">
        <v>20000</v>
      </c>
      <c r="Y164" s="498">
        <v>20000</v>
      </c>
      <c r="Z164" s="498">
        <v>20000</v>
      </c>
      <c r="AA164" s="498">
        <v>0</v>
      </c>
      <c r="AB164" s="498">
        <v>0</v>
      </c>
      <c r="AC164" s="498">
        <v>0</v>
      </c>
      <c r="AD164" s="498">
        <v>0</v>
      </c>
      <c r="AE164" s="498">
        <v>0</v>
      </c>
      <c r="AF164" s="498">
        <v>0</v>
      </c>
      <c r="AG164" s="498">
        <v>0</v>
      </c>
      <c r="AH164" s="498">
        <v>0</v>
      </c>
      <c r="AI164" s="498">
        <v>0</v>
      </c>
      <c r="AJ164" s="498">
        <v>0</v>
      </c>
      <c r="AK164" s="498">
        <v>0</v>
      </c>
      <c r="AL164" s="498">
        <v>0</v>
      </c>
      <c r="AM164" s="498">
        <v>0</v>
      </c>
      <c r="AN164" s="498">
        <v>0</v>
      </c>
      <c r="AO164" s="498">
        <v>0</v>
      </c>
      <c r="AP164" s="498">
        <v>0</v>
      </c>
      <c r="AQ164" s="498">
        <v>0</v>
      </c>
      <c r="AR164" s="498">
        <v>0</v>
      </c>
      <c r="AS164" s="498">
        <v>0</v>
      </c>
      <c r="AT164" s="498">
        <v>0</v>
      </c>
      <c r="AU164" s="498">
        <v>0</v>
      </c>
      <c r="AV164" s="498">
        <v>0</v>
      </c>
      <c r="AW164" s="498">
        <v>0</v>
      </c>
      <c r="AX164" s="498">
        <v>0</v>
      </c>
      <c r="AY164" s="498">
        <v>0</v>
      </c>
      <c r="AZ164" s="498">
        <v>0</v>
      </c>
      <c r="BA164" s="498">
        <v>0</v>
      </c>
      <c r="BB164" s="498">
        <v>0</v>
      </c>
      <c r="BC164" s="498">
        <v>0</v>
      </c>
      <c r="BD164" s="498">
        <v>0</v>
      </c>
      <c r="BE164" s="498">
        <v>0</v>
      </c>
      <c r="BF164" s="498">
        <v>0</v>
      </c>
      <c r="BG164" s="498">
        <v>0</v>
      </c>
      <c r="BH164" s="498">
        <v>0</v>
      </c>
      <c r="BI164" s="498">
        <v>0</v>
      </c>
      <c r="BJ164" s="498">
        <v>0</v>
      </c>
      <c r="BK164" s="498">
        <v>0</v>
      </c>
      <c r="BL164" s="498">
        <v>0</v>
      </c>
      <c r="BM164" s="498">
        <v>0</v>
      </c>
      <c r="BN164" s="498">
        <v>0</v>
      </c>
      <c r="BO164" s="498">
        <v>0</v>
      </c>
      <c r="BP164" s="498">
        <v>0</v>
      </c>
      <c r="BQ164" s="498">
        <v>0</v>
      </c>
      <c r="BR164" s="498">
        <v>0</v>
      </c>
      <c r="BS164" s="498">
        <v>0</v>
      </c>
      <c r="BT164" s="498">
        <v>0</v>
      </c>
      <c r="BU164" s="498">
        <v>0</v>
      </c>
      <c r="BV164" s="498">
        <v>0</v>
      </c>
      <c r="BW164" s="498">
        <v>0</v>
      </c>
      <c r="BX164" s="498">
        <v>0</v>
      </c>
      <c r="BY164" s="498">
        <v>0</v>
      </c>
      <c r="BZ164" s="498">
        <v>0</v>
      </c>
      <c r="CA164" s="498">
        <v>0</v>
      </c>
      <c r="CB164" s="498">
        <v>0</v>
      </c>
      <c r="CC164" s="498">
        <v>0</v>
      </c>
      <c r="CD164" s="498">
        <v>0</v>
      </c>
      <c r="CE164" s="498">
        <v>0</v>
      </c>
      <c r="CF164" s="498">
        <v>0</v>
      </c>
      <c r="CG164" s="498">
        <v>0</v>
      </c>
      <c r="CH164" s="498">
        <v>0</v>
      </c>
      <c r="CI164" s="498">
        <v>0</v>
      </c>
      <c r="CJ164" s="498">
        <v>0</v>
      </c>
      <c r="CK164" s="498">
        <v>0</v>
      </c>
      <c r="CL164" s="498">
        <v>0</v>
      </c>
      <c r="CM164" s="498">
        <v>0</v>
      </c>
      <c r="CN164" s="498">
        <v>0</v>
      </c>
      <c r="CO164" s="498">
        <v>0</v>
      </c>
      <c r="CP164" s="498">
        <v>0</v>
      </c>
      <c r="CQ164" s="498">
        <v>0</v>
      </c>
      <c r="CR164" s="498">
        <v>0</v>
      </c>
      <c r="CS164" s="498">
        <v>0</v>
      </c>
      <c r="CT164" s="498">
        <v>0</v>
      </c>
      <c r="CU164" s="498">
        <v>0</v>
      </c>
      <c r="CV164" s="498">
        <v>0</v>
      </c>
      <c r="CW164" s="498">
        <v>0</v>
      </c>
      <c r="CX164" s="498">
        <v>0</v>
      </c>
      <c r="CY164" s="498">
        <v>0</v>
      </c>
      <c r="CZ164" s="498">
        <v>0</v>
      </c>
      <c r="DA164" s="498">
        <v>0</v>
      </c>
      <c r="DB164" s="498">
        <v>0</v>
      </c>
      <c r="DC164" s="498">
        <v>0</v>
      </c>
      <c r="DD164" s="498">
        <v>0</v>
      </c>
      <c r="DE164" s="498">
        <v>0</v>
      </c>
      <c r="DF164" s="498">
        <v>0</v>
      </c>
      <c r="DG164" s="498">
        <v>0</v>
      </c>
      <c r="DH164" s="498">
        <v>0</v>
      </c>
      <c r="DI164" s="498">
        <v>0</v>
      </c>
      <c r="DJ164" s="498">
        <v>0</v>
      </c>
      <c r="DK164" s="498">
        <v>0</v>
      </c>
      <c r="DL164" s="498">
        <v>0</v>
      </c>
      <c r="DM164" s="498">
        <v>0</v>
      </c>
      <c r="DN164" s="498">
        <v>0</v>
      </c>
      <c r="DO164" s="498">
        <v>0</v>
      </c>
      <c r="DP164" s="498">
        <v>0</v>
      </c>
      <c r="DQ164" s="498">
        <v>0</v>
      </c>
      <c r="DR164" s="498">
        <v>0</v>
      </c>
      <c r="DS164" s="498">
        <v>0</v>
      </c>
      <c r="DT164" s="498">
        <v>0</v>
      </c>
      <c r="DU164" s="498">
        <v>0</v>
      </c>
      <c r="DV164" s="498">
        <v>0</v>
      </c>
      <c r="DW164" s="498">
        <v>0</v>
      </c>
      <c r="DX164" s="477"/>
      <c r="DY164" s="497" t="s">
        <v>720</v>
      </c>
      <c r="DZ164" s="497" t="s">
        <v>617</v>
      </c>
      <c r="EA164" s="497" t="s">
        <v>26</v>
      </c>
      <c r="EB164" s="498">
        <v>31</v>
      </c>
      <c r="EC164" s="494" t="str">
        <f t="shared" si="6"/>
        <v>AIJ100231</v>
      </c>
      <c r="ED164" s="498">
        <v>0</v>
      </c>
      <c r="EE164" s="498">
        <v>279</v>
      </c>
      <c r="EF164" s="498">
        <v>606</v>
      </c>
      <c r="EG164" s="498">
        <v>933</v>
      </c>
      <c r="EH164" s="498">
        <v>1418</v>
      </c>
      <c r="EI164" s="498">
        <v>2034</v>
      </c>
      <c r="EJ164" s="498">
        <v>2941</v>
      </c>
      <c r="EK164" s="498">
        <v>4167</v>
      </c>
      <c r="EL164" s="498">
        <v>5909</v>
      </c>
      <c r="EM164" s="498">
        <v>0</v>
      </c>
      <c r="EN164" s="498">
        <v>0</v>
      </c>
      <c r="EO164" s="498">
        <v>0</v>
      </c>
      <c r="EP164" s="498">
        <v>0</v>
      </c>
      <c r="EQ164" s="498">
        <v>0</v>
      </c>
      <c r="ER164" s="498">
        <v>0</v>
      </c>
      <c r="ES164" s="498">
        <v>0</v>
      </c>
      <c r="ET164" s="498">
        <v>0</v>
      </c>
      <c r="EU164" s="498">
        <v>0</v>
      </c>
      <c r="EV164" s="498">
        <v>0</v>
      </c>
      <c r="EW164" s="498">
        <v>0</v>
      </c>
      <c r="EX164" s="498">
        <v>0</v>
      </c>
      <c r="EY164" s="498">
        <v>0</v>
      </c>
      <c r="EZ164" s="498">
        <v>0</v>
      </c>
      <c r="FA164" s="498">
        <v>0</v>
      </c>
      <c r="FB164" s="498">
        <v>0</v>
      </c>
      <c r="FC164" s="498">
        <v>0</v>
      </c>
      <c r="FD164" s="498">
        <v>0</v>
      </c>
      <c r="FE164" s="498">
        <v>0</v>
      </c>
      <c r="FF164" s="498">
        <v>0</v>
      </c>
      <c r="FG164" s="498">
        <v>0</v>
      </c>
      <c r="FH164" s="498">
        <v>0</v>
      </c>
      <c r="FI164" s="498">
        <v>0</v>
      </c>
      <c r="FJ164" s="498">
        <v>0</v>
      </c>
      <c r="FK164" s="498">
        <v>0</v>
      </c>
      <c r="FL164" s="498">
        <v>0</v>
      </c>
      <c r="FM164" s="498">
        <v>0</v>
      </c>
      <c r="FN164" s="498">
        <v>0</v>
      </c>
      <c r="FO164" s="498">
        <v>0</v>
      </c>
      <c r="FP164" s="498">
        <v>0</v>
      </c>
      <c r="FQ164" s="498">
        <v>0</v>
      </c>
      <c r="FR164" s="498">
        <v>0</v>
      </c>
      <c r="FS164" s="498">
        <v>0</v>
      </c>
      <c r="FT164" s="498">
        <v>0</v>
      </c>
      <c r="FU164" s="498">
        <v>0</v>
      </c>
      <c r="FV164" s="498">
        <v>0</v>
      </c>
      <c r="FW164" s="498">
        <v>0</v>
      </c>
      <c r="FX164" s="498">
        <v>0</v>
      </c>
      <c r="FY164" s="498">
        <v>0</v>
      </c>
      <c r="FZ164" s="498">
        <v>0</v>
      </c>
      <c r="GA164" s="498">
        <v>0</v>
      </c>
      <c r="GB164" s="498">
        <v>0</v>
      </c>
      <c r="GC164" s="498">
        <v>0</v>
      </c>
      <c r="GD164" s="498">
        <v>0</v>
      </c>
      <c r="GE164" s="498">
        <v>0</v>
      </c>
      <c r="GF164" s="498">
        <v>0</v>
      </c>
      <c r="GG164" s="498">
        <v>0</v>
      </c>
      <c r="GH164" s="498">
        <v>0</v>
      </c>
      <c r="GI164" s="498">
        <v>0</v>
      </c>
      <c r="GJ164" s="498">
        <v>0</v>
      </c>
      <c r="GK164" s="498">
        <v>0</v>
      </c>
      <c r="GL164" s="498">
        <v>0</v>
      </c>
      <c r="GM164" s="498">
        <v>0</v>
      </c>
      <c r="GN164" s="498">
        <v>0</v>
      </c>
      <c r="GO164" s="498">
        <v>0</v>
      </c>
      <c r="GP164" s="498">
        <v>0</v>
      </c>
      <c r="GQ164" s="498">
        <v>0</v>
      </c>
      <c r="GR164" s="498">
        <v>0</v>
      </c>
      <c r="GS164" s="498">
        <v>0</v>
      </c>
      <c r="GT164" s="498">
        <v>0</v>
      </c>
      <c r="GU164" s="498">
        <v>0</v>
      </c>
      <c r="GV164" s="498">
        <v>0</v>
      </c>
      <c r="GW164" s="498">
        <v>0</v>
      </c>
      <c r="GX164" s="498">
        <v>0</v>
      </c>
      <c r="GY164" s="498">
        <v>0</v>
      </c>
      <c r="GZ164" s="498">
        <v>0</v>
      </c>
      <c r="HA164" s="498">
        <v>0</v>
      </c>
      <c r="HB164" s="498">
        <v>0</v>
      </c>
      <c r="HC164" s="498">
        <v>0</v>
      </c>
      <c r="HD164" s="498">
        <v>0</v>
      </c>
      <c r="HE164" s="498">
        <v>0</v>
      </c>
      <c r="HF164" s="498">
        <v>0</v>
      </c>
      <c r="HG164" s="498">
        <v>0</v>
      </c>
      <c r="HH164" s="498">
        <v>0</v>
      </c>
      <c r="HI164" s="498">
        <v>0</v>
      </c>
      <c r="HJ164" s="498">
        <v>0</v>
      </c>
      <c r="HK164" s="498">
        <v>0</v>
      </c>
      <c r="HL164" s="498">
        <v>0</v>
      </c>
      <c r="HM164" s="498">
        <v>0</v>
      </c>
      <c r="HN164" s="498">
        <v>0</v>
      </c>
      <c r="HO164" s="498">
        <v>0</v>
      </c>
      <c r="HP164" s="498">
        <v>0</v>
      </c>
      <c r="HQ164" s="498">
        <v>0</v>
      </c>
      <c r="HR164" s="498">
        <v>0</v>
      </c>
      <c r="HS164" s="498">
        <v>0</v>
      </c>
      <c r="HT164" s="498">
        <v>0</v>
      </c>
      <c r="HU164" s="498">
        <v>0</v>
      </c>
      <c r="HV164" s="498">
        <v>0</v>
      </c>
      <c r="HW164" s="498">
        <v>0</v>
      </c>
      <c r="HX164" s="498">
        <v>0</v>
      </c>
      <c r="HY164" s="498">
        <v>0</v>
      </c>
      <c r="HZ164" s="498">
        <v>0</v>
      </c>
      <c r="IA164" s="498">
        <v>0</v>
      </c>
      <c r="IB164" s="498">
        <v>0</v>
      </c>
      <c r="IC164" s="498">
        <v>0</v>
      </c>
      <c r="ID164" s="498">
        <v>0</v>
      </c>
      <c r="IE164" s="498">
        <v>0</v>
      </c>
      <c r="IF164" s="498">
        <v>0</v>
      </c>
      <c r="IG164" s="498">
        <v>0</v>
      </c>
      <c r="IH164" s="498">
        <v>0</v>
      </c>
      <c r="II164" s="498">
        <v>0</v>
      </c>
      <c r="IJ164" s="498">
        <v>0</v>
      </c>
    </row>
    <row r="165" spans="12:244" hidden="1">
      <c r="L165" s="497" t="s">
        <v>720</v>
      </c>
      <c r="M165" s="497" t="s">
        <v>617</v>
      </c>
      <c r="N165" s="497" t="s">
        <v>26</v>
      </c>
      <c r="O165" s="498">
        <v>32</v>
      </c>
      <c r="P165" s="494" t="str">
        <f t="shared" si="5"/>
        <v>AIJ100232</v>
      </c>
      <c r="Q165" s="498">
        <v>20000</v>
      </c>
      <c r="R165" s="498">
        <v>20000</v>
      </c>
      <c r="S165" s="498">
        <v>20000</v>
      </c>
      <c r="T165" s="498">
        <v>20000</v>
      </c>
      <c r="U165" s="498">
        <v>20000</v>
      </c>
      <c r="V165" s="498">
        <v>20000</v>
      </c>
      <c r="W165" s="498">
        <v>20000</v>
      </c>
      <c r="X165" s="498">
        <v>20000</v>
      </c>
      <c r="Y165" s="498">
        <v>20000</v>
      </c>
      <c r="Z165" s="498">
        <v>20000</v>
      </c>
      <c r="AA165" s="498">
        <v>0</v>
      </c>
      <c r="AB165" s="498">
        <v>0</v>
      </c>
      <c r="AC165" s="498">
        <v>0</v>
      </c>
      <c r="AD165" s="498">
        <v>0</v>
      </c>
      <c r="AE165" s="498">
        <v>0</v>
      </c>
      <c r="AF165" s="498">
        <v>0</v>
      </c>
      <c r="AG165" s="498">
        <v>0</v>
      </c>
      <c r="AH165" s="498">
        <v>0</v>
      </c>
      <c r="AI165" s="498">
        <v>0</v>
      </c>
      <c r="AJ165" s="498">
        <v>0</v>
      </c>
      <c r="AK165" s="498">
        <v>0</v>
      </c>
      <c r="AL165" s="498">
        <v>0</v>
      </c>
      <c r="AM165" s="498">
        <v>0</v>
      </c>
      <c r="AN165" s="498">
        <v>0</v>
      </c>
      <c r="AO165" s="498">
        <v>0</v>
      </c>
      <c r="AP165" s="498">
        <v>0</v>
      </c>
      <c r="AQ165" s="498">
        <v>0</v>
      </c>
      <c r="AR165" s="498">
        <v>0</v>
      </c>
      <c r="AS165" s="498">
        <v>0</v>
      </c>
      <c r="AT165" s="498">
        <v>0</v>
      </c>
      <c r="AU165" s="498">
        <v>0</v>
      </c>
      <c r="AV165" s="498">
        <v>0</v>
      </c>
      <c r="AW165" s="498">
        <v>0</v>
      </c>
      <c r="AX165" s="498">
        <v>0</v>
      </c>
      <c r="AY165" s="498">
        <v>0</v>
      </c>
      <c r="AZ165" s="498">
        <v>0</v>
      </c>
      <c r="BA165" s="498">
        <v>0</v>
      </c>
      <c r="BB165" s="498">
        <v>0</v>
      </c>
      <c r="BC165" s="498">
        <v>0</v>
      </c>
      <c r="BD165" s="498">
        <v>0</v>
      </c>
      <c r="BE165" s="498">
        <v>0</v>
      </c>
      <c r="BF165" s="498">
        <v>0</v>
      </c>
      <c r="BG165" s="498">
        <v>0</v>
      </c>
      <c r="BH165" s="498">
        <v>0</v>
      </c>
      <c r="BI165" s="498">
        <v>0</v>
      </c>
      <c r="BJ165" s="498">
        <v>0</v>
      </c>
      <c r="BK165" s="498">
        <v>0</v>
      </c>
      <c r="BL165" s="498">
        <v>0</v>
      </c>
      <c r="BM165" s="498">
        <v>0</v>
      </c>
      <c r="BN165" s="498">
        <v>0</v>
      </c>
      <c r="BO165" s="498">
        <v>0</v>
      </c>
      <c r="BP165" s="498">
        <v>0</v>
      </c>
      <c r="BQ165" s="498">
        <v>0</v>
      </c>
      <c r="BR165" s="498">
        <v>0</v>
      </c>
      <c r="BS165" s="498">
        <v>0</v>
      </c>
      <c r="BT165" s="498">
        <v>0</v>
      </c>
      <c r="BU165" s="498">
        <v>0</v>
      </c>
      <c r="BV165" s="498">
        <v>0</v>
      </c>
      <c r="BW165" s="498">
        <v>0</v>
      </c>
      <c r="BX165" s="498">
        <v>0</v>
      </c>
      <c r="BY165" s="498">
        <v>0</v>
      </c>
      <c r="BZ165" s="498">
        <v>0</v>
      </c>
      <c r="CA165" s="498">
        <v>0</v>
      </c>
      <c r="CB165" s="498">
        <v>0</v>
      </c>
      <c r="CC165" s="498">
        <v>0</v>
      </c>
      <c r="CD165" s="498">
        <v>0</v>
      </c>
      <c r="CE165" s="498">
        <v>0</v>
      </c>
      <c r="CF165" s="498">
        <v>0</v>
      </c>
      <c r="CG165" s="498">
        <v>0</v>
      </c>
      <c r="CH165" s="498">
        <v>0</v>
      </c>
      <c r="CI165" s="498">
        <v>0</v>
      </c>
      <c r="CJ165" s="498">
        <v>0</v>
      </c>
      <c r="CK165" s="498">
        <v>0</v>
      </c>
      <c r="CL165" s="498">
        <v>0</v>
      </c>
      <c r="CM165" s="498">
        <v>0</v>
      </c>
      <c r="CN165" s="498">
        <v>0</v>
      </c>
      <c r="CO165" s="498">
        <v>0</v>
      </c>
      <c r="CP165" s="498">
        <v>0</v>
      </c>
      <c r="CQ165" s="498">
        <v>0</v>
      </c>
      <c r="CR165" s="498">
        <v>0</v>
      </c>
      <c r="CS165" s="498">
        <v>0</v>
      </c>
      <c r="CT165" s="498">
        <v>0</v>
      </c>
      <c r="CU165" s="498">
        <v>0</v>
      </c>
      <c r="CV165" s="498">
        <v>0</v>
      </c>
      <c r="CW165" s="498">
        <v>0</v>
      </c>
      <c r="CX165" s="498">
        <v>0</v>
      </c>
      <c r="CY165" s="498">
        <v>0</v>
      </c>
      <c r="CZ165" s="498">
        <v>0</v>
      </c>
      <c r="DA165" s="498">
        <v>0</v>
      </c>
      <c r="DB165" s="498">
        <v>0</v>
      </c>
      <c r="DC165" s="498">
        <v>0</v>
      </c>
      <c r="DD165" s="498">
        <v>0</v>
      </c>
      <c r="DE165" s="498">
        <v>0</v>
      </c>
      <c r="DF165" s="498">
        <v>0</v>
      </c>
      <c r="DG165" s="498">
        <v>0</v>
      </c>
      <c r="DH165" s="498">
        <v>0</v>
      </c>
      <c r="DI165" s="498">
        <v>0</v>
      </c>
      <c r="DJ165" s="498">
        <v>0</v>
      </c>
      <c r="DK165" s="498">
        <v>0</v>
      </c>
      <c r="DL165" s="498">
        <v>0</v>
      </c>
      <c r="DM165" s="498">
        <v>0</v>
      </c>
      <c r="DN165" s="498">
        <v>0</v>
      </c>
      <c r="DO165" s="498">
        <v>0</v>
      </c>
      <c r="DP165" s="498">
        <v>0</v>
      </c>
      <c r="DQ165" s="498">
        <v>0</v>
      </c>
      <c r="DR165" s="498">
        <v>0</v>
      </c>
      <c r="DS165" s="498">
        <v>0</v>
      </c>
      <c r="DT165" s="498">
        <v>0</v>
      </c>
      <c r="DU165" s="498">
        <v>0</v>
      </c>
      <c r="DV165" s="498">
        <v>0</v>
      </c>
      <c r="DW165" s="498">
        <v>0</v>
      </c>
      <c r="DX165" s="477"/>
      <c r="DY165" s="497" t="s">
        <v>720</v>
      </c>
      <c r="DZ165" s="497" t="s">
        <v>617</v>
      </c>
      <c r="EA165" s="497" t="s">
        <v>26</v>
      </c>
      <c r="EB165" s="498">
        <v>32</v>
      </c>
      <c r="EC165" s="494" t="str">
        <f t="shared" si="6"/>
        <v>AIJ100232</v>
      </c>
      <c r="ED165" s="498">
        <v>0</v>
      </c>
      <c r="EE165" s="498">
        <v>273</v>
      </c>
      <c r="EF165" s="498">
        <v>592</v>
      </c>
      <c r="EG165" s="498">
        <v>909</v>
      </c>
      <c r="EH165" s="498">
        <v>1449</v>
      </c>
      <c r="EI165" s="498">
        <v>2049</v>
      </c>
      <c r="EJ165" s="498">
        <v>2952</v>
      </c>
      <c r="EK165" s="498">
        <v>4186</v>
      </c>
      <c r="EL165" s="498">
        <v>5882</v>
      </c>
      <c r="EM165" s="498">
        <v>0</v>
      </c>
      <c r="EN165" s="498">
        <v>0</v>
      </c>
      <c r="EO165" s="498">
        <v>0</v>
      </c>
      <c r="EP165" s="498">
        <v>0</v>
      </c>
      <c r="EQ165" s="498">
        <v>0</v>
      </c>
      <c r="ER165" s="498">
        <v>0</v>
      </c>
      <c r="ES165" s="498">
        <v>0</v>
      </c>
      <c r="ET165" s="498">
        <v>0</v>
      </c>
      <c r="EU165" s="498">
        <v>0</v>
      </c>
      <c r="EV165" s="498">
        <v>0</v>
      </c>
      <c r="EW165" s="498">
        <v>0</v>
      </c>
      <c r="EX165" s="498">
        <v>0</v>
      </c>
      <c r="EY165" s="498">
        <v>0</v>
      </c>
      <c r="EZ165" s="498">
        <v>0</v>
      </c>
      <c r="FA165" s="498">
        <v>0</v>
      </c>
      <c r="FB165" s="498">
        <v>0</v>
      </c>
      <c r="FC165" s="498">
        <v>0</v>
      </c>
      <c r="FD165" s="498">
        <v>0</v>
      </c>
      <c r="FE165" s="498">
        <v>0</v>
      </c>
      <c r="FF165" s="498">
        <v>0</v>
      </c>
      <c r="FG165" s="498">
        <v>0</v>
      </c>
      <c r="FH165" s="498">
        <v>0</v>
      </c>
      <c r="FI165" s="498">
        <v>0</v>
      </c>
      <c r="FJ165" s="498">
        <v>0</v>
      </c>
      <c r="FK165" s="498">
        <v>0</v>
      </c>
      <c r="FL165" s="498">
        <v>0</v>
      </c>
      <c r="FM165" s="498">
        <v>0</v>
      </c>
      <c r="FN165" s="498">
        <v>0</v>
      </c>
      <c r="FO165" s="498">
        <v>0</v>
      </c>
      <c r="FP165" s="498">
        <v>0</v>
      </c>
      <c r="FQ165" s="498">
        <v>0</v>
      </c>
      <c r="FR165" s="498">
        <v>0</v>
      </c>
      <c r="FS165" s="498">
        <v>0</v>
      </c>
      <c r="FT165" s="498">
        <v>0</v>
      </c>
      <c r="FU165" s="498">
        <v>0</v>
      </c>
      <c r="FV165" s="498">
        <v>0</v>
      </c>
      <c r="FW165" s="498">
        <v>0</v>
      </c>
      <c r="FX165" s="498">
        <v>0</v>
      </c>
      <c r="FY165" s="498">
        <v>0</v>
      </c>
      <c r="FZ165" s="498">
        <v>0</v>
      </c>
      <c r="GA165" s="498">
        <v>0</v>
      </c>
      <c r="GB165" s="498">
        <v>0</v>
      </c>
      <c r="GC165" s="498">
        <v>0</v>
      </c>
      <c r="GD165" s="498">
        <v>0</v>
      </c>
      <c r="GE165" s="498">
        <v>0</v>
      </c>
      <c r="GF165" s="498">
        <v>0</v>
      </c>
      <c r="GG165" s="498">
        <v>0</v>
      </c>
      <c r="GH165" s="498">
        <v>0</v>
      </c>
      <c r="GI165" s="498">
        <v>0</v>
      </c>
      <c r="GJ165" s="498">
        <v>0</v>
      </c>
      <c r="GK165" s="498">
        <v>0</v>
      </c>
      <c r="GL165" s="498">
        <v>0</v>
      </c>
      <c r="GM165" s="498">
        <v>0</v>
      </c>
      <c r="GN165" s="498">
        <v>0</v>
      </c>
      <c r="GO165" s="498">
        <v>0</v>
      </c>
      <c r="GP165" s="498">
        <v>0</v>
      </c>
      <c r="GQ165" s="498">
        <v>0</v>
      </c>
      <c r="GR165" s="498">
        <v>0</v>
      </c>
      <c r="GS165" s="498">
        <v>0</v>
      </c>
      <c r="GT165" s="498">
        <v>0</v>
      </c>
      <c r="GU165" s="498">
        <v>0</v>
      </c>
      <c r="GV165" s="498">
        <v>0</v>
      </c>
      <c r="GW165" s="498">
        <v>0</v>
      </c>
      <c r="GX165" s="498">
        <v>0</v>
      </c>
      <c r="GY165" s="498">
        <v>0</v>
      </c>
      <c r="GZ165" s="498">
        <v>0</v>
      </c>
      <c r="HA165" s="498">
        <v>0</v>
      </c>
      <c r="HB165" s="498">
        <v>0</v>
      </c>
      <c r="HC165" s="498">
        <v>0</v>
      </c>
      <c r="HD165" s="498">
        <v>0</v>
      </c>
      <c r="HE165" s="498">
        <v>0</v>
      </c>
      <c r="HF165" s="498">
        <v>0</v>
      </c>
      <c r="HG165" s="498">
        <v>0</v>
      </c>
      <c r="HH165" s="498">
        <v>0</v>
      </c>
      <c r="HI165" s="498">
        <v>0</v>
      </c>
      <c r="HJ165" s="498">
        <v>0</v>
      </c>
      <c r="HK165" s="498">
        <v>0</v>
      </c>
      <c r="HL165" s="498">
        <v>0</v>
      </c>
      <c r="HM165" s="498">
        <v>0</v>
      </c>
      <c r="HN165" s="498">
        <v>0</v>
      </c>
      <c r="HO165" s="498">
        <v>0</v>
      </c>
      <c r="HP165" s="498">
        <v>0</v>
      </c>
      <c r="HQ165" s="498">
        <v>0</v>
      </c>
      <c r="HR165" s="498">
        <v>0</v>
      </c>
      <c r="HS165" s="498">
        <v>0</v>
      </c>
      <c r="HT165" s="498">
        <v>0</v>
      </c>
      <c r="HU165" s="498">
        <v>0</v>
      </c>
      <c r="HV165" s="498">
        <v>0</v>
      </c>
      <c r="HW165" s="498">
        <v>0</v>
      </c>
      <c r="HX165" s="498">
        <v>0</v>
      </c>
      <c r="HY165" s="498">
        <v>0</v>
      </c>
      <c r="HZ165" s="498">
        <v>0</v>
      </c>
      <c r="IA165" s="498">
        <v>0</v>
      </c>
      <c r="IB165" s="498">
        <v>0</v>
      </c>
      <c r="IC165" s="498">
        <v>0</v>
      </c>
      <c r="ID165" s="498">
        <v>0</v>
      </c>
      <c r="IE165" s="498">
        <v>0</v>
      </c>
      <c r="IF165" s="498">
        <v>0</v>
      </c>
      <c r="IG165" s="498">
        <v>0</v>
      </c>
      <c r="IH165" s="498">
        <v>0</v>
      </c>
      <c r="II165" s="498">
        <v>0</v>
      </c>
      <c r="IJ165" s="498">
        <v>0</v>
      </c>
    </row>
    <row r="166" spans="12:244" hidden="1">
      <c r="L166" s="497" t="s">
        <v>720</v>
      </c>
      <c r="M166" s="497" t="s">
        <v>617</v>
      </c>
      <c r="N166" s="497" t="s">
        <v>26</v>
      </c>
      <c r="O166" s="498">
        <v>33</v>
      </c>
      <c r="P166" s="494" t="str">
        <f t="shared" si="5"/>
        <v>AIJ100233</v>
      </c>
      <c r="Q166" s="498">
        <v>20000</v>
      </c>
      <c r="R166" s="498">
        <v>20000</v>
      </c>
      <c r="S166" s="498">
        <v>20000</v>
      </c>
      <c r="T166" s="498">
        <v>20000</v>
      </c>
      <c r="U166" s="498">
        <v>20000</v>
      </c>
      <c r="V166" s="498">
        <v>20000</v>
      </c>
      <c r="W166" s="498">
        <v>20000</v>
      </c>
      <c r="X166" s="498">
        <v>20000</v>
      </c>
      <c r="Y166" s="498">
        <v>20000</v>
      </c>
      <c r="Z166" s="498">
        <v>20000</v>
      </c>
      <c r="AA166" s="498">
        <v>0</v>
      </c>
      <c r="AB166" s="498">
        <v>0</v>
      </c>
      <c r="AC166" s="498">
        <v>0</v>
      </c>
      <c r="AD166" s="498">
        <v>0</v>
      </c>
      <c r="AE166" s="498">
        <v>0</v>
      </c>
      <c r="AF166" s="498">
        <v>0</v>
      </c>
      <c r="AG166" s="498">
        <v>0</v>
      </c>
      <c r="AH166" s="498">
        <v>0</v>
      </c>
      <c r="AI166" s="498">
        <v>0</v>
      </c>
      <c r="AJ166" s="498">
        <v>0</v>
      </c>
      <c r="AK166" s="498">
        <v>0</v>
      </c>
      <c r="AL166" s="498">
        <v>0</v>
      </c>
      <c r="AM166" s="498">
        <v>0</v>
      </c>
      <c r="AN166" s="498">
        <v>0</v>
      </c>
      <c r="AO166" s="498">
        <v>0</v>
      </c>
      <c r="AP166" s="498">
        <v>0</v>
      </c>
      <c r="AQ166" s="498">
        <v>0</v>
      </c>
      <c r="AR166" s="498">
        <v>0</v>
      </c>
      <c r="AS166" s="498">
        <v>0</v>
      </c>
      <c r="AT166" s="498">
        <v>0</v>
      </c>
      <c r="AU166" s="498">
        <v>0</v>
      </c>
      <c r="AV166" s="498">
        <v>0</v>
      </c>
      <c r="AW166" s="498">
        <v>0</v>
      </c>
      <c r="AX166" s="498">
        <v>0</v>
      </c>
      <c r="AY166" s="498">
        <v>0</v>
      </c>
      <c r="AZ166" s="498">
        <v>0</v>
      </c>
      <c r="BA166" s="498">
        <v>0</v>
      </c>
      <c r="BB166" s="498">
        <v>0</v>
      </c>
      <c r="BC166" s="498">
        <v>0</v>
      </c>
      <c r="BD166" s="498">
        <v>0</v>
      </c>
      <c r="BE166" s="498">
        <v>0</v>
      </c>
      <c r="BF166" s="498">
        <v>0</v>
      </c>
      <c r="BG166" s="498">
        <v>0</v>
      </c>
      <c r="BH166" s="498">
        <v>0</v>
      </c>
      <c r="BI166" s="498">
        <v>0</v>
      </c>
      <c r="BJ166" s="498">
        <v>0</v>
      </c>
      <c r="BK166" s="498">
        <v>0</v>
      </c>
      <c r="BL166" s="498">
        <v>0</v>
      </c>
      <c r="BM166" s="498">
        <v>0</v>
      </c>
      <c r="BN166" s="498">
        <v>0</v>
      </c>
      <c r="BO166" s="498">
        <v>0</v>
      </c>
      <c r="BP166" s="498">
        <v>0</v>
      </c>
      <c r="BQ166" s="498">
        <v>0</v>
      </c>
      <c r="BR166" s="498">
        <v>0</v>
      </c>
      <c r="BS166" s="498">
        <v>0</v>
      </c>
      <c r="BT166" s="498">
        <v>0</v>
      </c>
      <c r="BU166" s="498">
        <v>0</v>
      </c>
      <c r="BV166" s="498">
        <v>0</v>
      </c>
      <c r="BW166" s="498">
        <v>0</v>
      </c>
      <c r="BX166" s="498">
        <v>0</v>
      </c>
      <c r="BY166" s="498">
        <v>0</v>
      </c>
      <c r="BZ166" s="498">
        <v>0</v>
      </c>
      <c r="CA166" s="498">
        <v>0</v>
      </c>
      <c r="CB166" s="498">
        <v>0</v>
      </c>
      <c r="CC166" s="498">
        <v>0</v>
      </c>
      <c r="CD166" s="498">
        <v>0</v>
      </c>
      <c r="CE166" s="498">
        <v>0</v>
      </c>
      <c r="CF166" s="498">
        <v>0</v>
      </c>
      <c r="CG166" s="498">
        <v>0</v>
      </c>
      <c r="CH166" s="498">
        <v>0</v>
      </c>
      <c r="CI166" s="498">
        <v>0</v>
      </c>
      <c r="CJ166" s="498">
        <v>0</v>
      </c>
      <c r="CK166" s="498">
        <v>0</v>
      </c>
      <c r="CL166" s="498">
        <v>0</v>
      </c>
      <c r="CM166" s="498">
        <v>0</v>
      </c>
      <c r="CN166" s="498">
        <v>0</v>
      </c>
      <c r="CO166" s="498">
        <v>0</v>
      </c>
      <c r="CP166" s="498">
        <v>0</v>
      </c>
      <c r="CQ166" s="498">
        <v>0</v>
      </c>
      <c r="CR166" s="498">
        <v>0</v>
      </c>
      <c r="CS166" s="498">
        <v>0</v>
      </c>
      <c r="CT166" s="498">
        <v>0</v>
      </c>
      <c r="CU166" s="498">
        <v>0</v>
      </c>
      <c r="CV166" s="498">
        <v>0</v>
      </c>
      <c r="CW166" s="498">
        <v>0</v>
      </c>
      <c r="CX166" s="498">
        <v>0</v>
      </c>
      <c r="CY166" s="498">
        <v>0</v>
      </c>
      <c r="CZ166" s="498">
        <v>0</v>
      </c>
      <c r="DA166" s="498">
        <v>0</v>
      </c>
      <c r="DB166" s="498">
        <v>0</v>
      </c>
      <c r="DC166" s="498">
        <v>0</v>
      </c>
      <c r="DD166" s="498">
        <v>0</v>
      </c>
      <c r="DE166" s="498">
        <v>0</v>
      </c>
      <c r="DF166" s="498">
        <v>0</v>
      </c>
      <c r="DG166" s="498">
        <v>0</v>
      </c>
      <c r="DH166" s="498">
        <v>0</v>
      </c>
      <c r="DI166" s="498">
        <v>0</v>
      </c>
      <c r="DJ166" s="498">
        <v>0</v>
      </c>
      <c r="DK166" s="498">
        <v>0</v>
      </c>
      <c r="DL166" s="498">
        <v>0</v>
      </c>
      <c r="DM166" s="498">
        <v>0</v>
      </c>
      <c r="DN166" s="498">
        <v>0</v>
      </c>
      <c r="DO166" s="498">
        <v>0</v>
      </c>
      <c r="DP166" s="498">
        <v>0</v>
      </c>
      <c r="DQ166" s="498">
        <v>0</v>
      </c>
      <c r="DR166" s="498">
        <v>0</v>
      </c>
      <c r="DS166" s="498">
        <v>0</v>
      </c>
      <c r="DT166" s="498">
        <v>0</v>
      </c>
      <c r="DU166" s="498">
        <v>0</v>
      </c>
      <c r="DV166" s="498">
        <v>0</v>
      </c>
      <c r="DW166" s="498">
        <v>0</v>
      </c>
      <c r="DX166" s="477"/>
      <c r="DY166" s="497" t="s">
        <v>720</v>
      </c>
      <c r="DZ166" s="497" t="s">
        <v>617</v>
      </c>
      <c r="EA166" s="497" t="s">
        <v>26</v>
      </c>
      <c r="EB166" s="498">
        <v>33</v>
      </c>
      <c r="EC166" s="494" t="str">
        <f t="shared" si="6"/>
        <v>AIJ100233</v>
      </c>
      <c r="ED166" s="498">
        <v>0</v>
      </c>
      <c r="EE166" s="498">
        <v>266</v>
      </c>
      <c r="EF166" s="498">
        <v>632</v>
      </c>
      <c r="EG166" s="498">
        <v>949</v>
      </c>
      <c r="EH166" s="498">
        <v>1479</v>
      </c>
      <c r="EI166" s="498">
        <v>2080</v>
      </c>
      <c r="EJ166" s="498">
        <v>2897</v>
      </c>
      <c r="EK166" s="498">
        <v>4205</v>
      </c>
      <c r="EL166" s="498">
        <v>5942</v>
      </c>
      <c r="EM166" s="498">
        <v>0</v>
      </c>
      <c r="EN166" s="498">
        <v>0</v>
      </c>
      <c r="EO166" s="498">
        <v>0</v>
      </c>
      <c r="EP166" s="498">
        <v>0</v>
      </c>
      <c r="EQ166" s="498">
        <v>0</v>
      </c>
      <c r="ER166" s="498">
        <v>0</v>
      </c>
      <c r="ES166" s="498">
        <v>0</v>
      </c>
      <c r="ET166" s="498">
        <v>0</v>
      </c>
      <c r="EU166" s="498">
        <v>0</v>
      </c>
      <c r="EV166" s="498">
        <v>0</v>
      </c>
      <c r="EW166" s="498">
        <v>0</v>
      </c>
      <c r="EX166" s="498">
        <v>0</v>
      </c>
      <c r="EY166" s="498">
        <v>0</v>
      </c>
      <c r="EZ166" s="498">
        <v>0</v>
      </c>
      <c r="FA166" s="498">
        <v>0</v>
      </c>
      <c r="FB166" s="498">
        <v>0</v>
      </c>
      <c r="FC166" s="498">
        <v>0</v>
      </c>
      <c r="FD166" s="498">
        <v>0</v>
      </c>
      <c r="FE166" s="498">
        <v>0</v>
      </c>
      <c r="FF166" s="498">
        <v>0</v>
      </c>
      <c r="FG166" s="498">
        <v>0</v>
      </c>
      <c r="FH166" s="498">
        <v>0</v>
      </c>
      <c r="FI166" s="498">
        <v>0</v>
      </c>
      <c r="FJ166" s="498">
        <v>0</v>
      </c>
      <c r="FK166" s="498">
        <v>0</v>
      </c>
      <c r="FL166" s="498">
        <v>0</v>
      </c>
      <c r="FM166" s="498">
        <v>0</v>
      </c>
      <c r="FN166" s="498">
        <v>0</v>
      </c>
      <c r="FO166" s="498">
        <v>0</v>
      </c>
      <c r="FP166" s="498">
        <v>0</v>
      </c>
      <c r="FQ166" s="498">
        <v>0</v>
      </c>
      <c r="FR166" s="498">
        <v>0</v>
      </c>
      <c r="FS166" s="498">
        <v>0</v>
      </c>
      <c r="FT166" s="498">
        <v>0</v>
      </c>
      <c r="FU166" s="498">
        <v>0</v>
      </c>
      <c r="FV166" s="498">
        <v>0</v>
      </c>
      <c r="FW166" s="498">
        <v>0</v>
      </c>
      <c r="FX166" s="498">
        <v>0</v>
      </c>
      <c r="FY166" s="498">
        <v>0</v>
      </c>
      <c r="FZ166" s="498">
        <v>0</v>
      </c>
      <c r="GA166" s="498">
        <v>0</v>
      </c>
      <c r="GB166" s="498">
        <v>0</v>
      </c>
      <c r="GC166" s="498">
        <v>0</v>
      </c>
      <c r="GD166" s="498">
        <v>0</v>
      </c>
      <c r="GE166" s="498">
        <v>0</v>
      </c>
      <c r="GF166" s="498">
        <v>0</v>
      </c>
      <c r="GG166" s="498">
        <v>0</v>
      </c>
      <c r="GH166" s="498">
        <v>0</v>
      </c>
      <c r="GI166" s="498">
        <v>0</v>
      </c>
      <c r="GJ166" s="498">
        <v>0</v>
      </c>
      <c r="GK166" s="498">
        <v>0</v>
      </c>
      <c r="GL166" s="498">
        <v>0</v>
      </c>
      <c r="GM166" s="498">
        <v>0</v>
      </c>
      <c r="GN166" s="498">
        <v>0</v>
      </c>
      <c r="GO166" s="498">
        <v>0</v>
      </c>
      <c r="GP166" s="498">
        <v>0</v>
      </c>
      <c r="GQ166" s="498">
        <v>0</v>
      </c>
      <c r="GR166" s="498">
        <v>0</v>
      </c>
      <c r="GS166" s="498">
        <v>0</v>
      </c>
      <c r="GT166" s="498">
        <v>0</v>
      </c>
      <c r="GU166" s="498">
        <v>0</v>
      </c>
      <c r="GV166" s="498">
        <v>0</v>
      </c>
      <c r="GW166" s="498">
        <v>0</v>
      </c>
      <c r="GX166" s="498">
        <v>0</v>
      </c>
      <c r="GY166" s="498">
        <v>0</v>
      </c>
      <c r="GZ166" s="498">
        <v>0</v>
      </c>
      <c r="HA166" s="498">
        <v>0</v>
      </c>
      <c r="HB166" s="498">
        <v>0</v>
      </c>
      <c r="HC166" s="498">
        <v>0</v>
      </c>
      <c r="HD166" s="498">
        <v>0</v>
      </c>
      <c r="HE166" s="498">
        <v>0</v>
      </c>
      <c r="HF166" s="498">
        <v>0</v>
      </c>
      <c r="HG166" s="498">
        <v>0</v>
      </c>
      <c r="HH166" s="498">
        <v>0</v>
      </c>
      <c r="HI166" s="498">
        <v>0</v>
      </c>
      <c r="HJ166" s="498">
        <v>0</v>
      </c>
      <c r="HK166" s="498">
        <v>0</v>
      </c>
      <c r="HL166" s="498">
        <v>0</v>
      </c>
      <c r="HM166" s="498">
        <v>0</v>
      </c>
      <c r="HN166" s="498">
        <v>0</v>
      </c>
      <c r="HO166" s="498">
        <v>0</v>
      </c>
      <c r="HP166" s="498">
        <v>0</v>
      </c>
      <c r="HQ166" s="498">
        <v>0</v>
      </c>
      <c r="HR166" s="498">
        <v>0</v>
      </c>
      <c r="HS166" s="498">
        <v>0</v>
      </c>
      <c r="HT166" s="498">
        <v>0</v>
      </c>
      <c r="HU166" s="498">
        <v>0</v>
      </c>
      <c r="HV166" s="498">
        <v>0</v>
      </c>
      <c r="HW166" s="498">
        <v>0</v>
      </c>
      <c r="HX166" s="498">
        <v>0</v>
      </c>
      <c r="HY166" s="498">
        <v>0</v>
      </c>
      <c r="HZ166" s="498">
        <v>0</v>
      </c>
      <c r="IA166" s="498">
        <v>0</v>
      </c>
      <c r="IB166" s="498">
        <v>0</v>
      </c>
      <c r="IC166" s="498">
        <v>0</v>
      </c>
      <c r="ID166" s="498">
        <v>0</v>
      </c>
      <c r="IE166" s="498">
        <v>0</v>
      </c>
      <c r="IF166" s="498">
        <v>0</v>
      </c>
      <c r="IG166" s="498">
        <v>0</v>
      </c>
      <c r="IH166" s="498">
        <v>0</v>
      </c>
      <c r="II166" s="498">
        <v>0</v>
      </c>
      <c r="IJ166" s="498">
        <v>0</v>
      </c>
    </row>
    <row r="167" spans="12:244" hidden="1">
      <c r="L167" s="497" t="s">
        <v>720</v>
      </c>
      <c r="M167" s="497" t="s">
        <v>617</v>
      </c>
      <c r="N167" s="497" t="s">
        <v>26</v>
      </c>
      <c r="O167" s="498">
        <v>34</v>
      </c>
      <c r="P167" s="494" t="str">
        <f t="shared" si="5"/>
        <v>AIJ100234</v>
      </c>
      <c r="Q167" s="498">
        <v>20000</v>
      </c>
      <c r="R167" s="498">
        <v>20000</v>
      </c>
      <c r="S167" s="498">
        <v>20000</v>
      </c>
      <c r="T167" s="498">
        <v>20000</v>
      </c>
      <c r="U167" s="498">
        <v>20000</v>
      </c>
      <c r="V167" s="498">
        <v>20000</v>
      </c>
      <c r="W167" s="498">
        <v>20000</v>
      </c>
      <c r="X167" s="498">
        <v>20000</v>
      </c>
      <c r="Y167" s="498">
        <v>20000</v>
      </c>
      <c r="Z167" s="498">
        <v>20000</v>
      </c>
      <c r="AA167" s="498">
        <v>0</v>
      </c>
      <c r="AB167" s="498">
        <v>0</v>
      </c>
      <c r="AC167" s="498">
        <v>0</v>
      </c>
      <c r="AD167" s="498">
        <v>0</v>
      </c>
      <c r="AE167" s="498">
        <v>0</v>
      </c>
      <c r="AF167" s="498">
        <v>0</v>
      </c>
      <c r="AG167" s="498">
        <v>0</v>
      </c>
      <c r="AH167" s="498">
        <v>0</v>
      </c>
      <c r="AI167" s="498">
        <v>0</v>
      </c>
      <c r="AJ167" s="498">
        <v>0</v>
      </c>
      <c r="AK167" s="498">
        <v>0</v>
      </c>
      <c r="AL167" s="498">
        <v>0</v>
      </c>
      <c r="AM167" s="498">
        <v>0</v>
      </c>
      <c r="AN167" s="498">
        <v>0</v>
      </c>
      <c r="AO167" s="498">
        <v>0</v>
      </c>
      <c r="AP167" s="498">
        <v>0</v>
      </c>
      <c r="AQ167" s="498">
        <v>0</v>
      </c>
      <c r="AR167" s="498">
        <v>0</v>
      </c>
      <c r="AS167" s="498">
        <v>0</v>
      </c>
      <c r="AT167" s="498">
        <v>0</v>
      </c>
      <c r="AU167" s="498">
        <v>0</v>
      </c>
      <c r="AV167" s="498">
        <v>0</v>
      </c>
      <c r="AW167" s="498">
        <v>0</v>
      </c>
      <c r="AX167" s="498">
        <v>0</v>
      </c>
      <c r="AY167" s="498">
        <v>0</v>
      </c>
      <c r="AZ167" s="498">
        <v>0</v>
      </c>
      <c r="BA167" s="498">
        <v>0</v>
      </c>
      <c r="BB167" s="498">
        <v>0</v>
      </c>
      <c r="BC167" s="498">
        <v>0</v>
      </c>
      <c r="BD167" s="498">
        <v>0</v>
      </c>
      <c r="BE167" s="498">
        <v>0</v>
      </c>
      <c r="BF167" s="498">
        <v>0</v>
      </c>
      <c r="BG167" s="498">
        <v>0</v>
      </c>
      <c r="BH167" s="498">
        <v>0</v>
      </c>
      <c r="BI167" s="498">
        <v>0</v>
      </c>
      <c r="BJ167" s="498">
        <v>0</v>
      </c>
      <c r="BK167" s="498">
        <v>0</v>
      </c>
      <c r="BL167" s="498">
        <v>0</v>
      </c>
      <c r="BM167" s="498">
        <v>0</v>
      </c>
      <c r="BN167" s="498">
        <v>0</v>
      </c>
      <c r="BO167" s="498">
        <v>0</v>
      </c>
      <c r="BP167" s="498">
        <v>0</v>
      </c>
      <c r="BQ167" s="498">
        <v>0</v>
      </c>
      <c r="BR167" s="498">
        <v>0</v>
      </c>
      <c r="BS167" s="498">
        <v>0</v>
      </c>
      <c r="BT167" s="498">
        <v>0</v>
      </c>
      <c r="BU167" s="498">
        <v>0</v>
      </c>
      <c r="BV167" s="498">
        <v>0</v>
      </c>
      <c r="BW167" s="498">
        <v>0</v>
      </c>
      <c r="BX167" s="498">
        <v>0</v>
      </c>
      <c r="BY167" s="498">
        <v>0</v>
      </c>
      <c r="BZ167" s="498">
        <v>0</v>
      </c>
      <c r="CA167" s="498">
        <v>0</v>
      </c>
      <c r="CB167" s="498">
        <v>0</v>
      </c>
      <c r="CC167" s="498">
        <v>0</v>
      </c>
      <c r="CD167" s="498">
        <v>0</v>
      </c>
      <c r="CE167" s="498">
        <v>0</v>
      </c>
      <c r="CF167" s="498">
        <v>0</v>
      </c>
      <c r="CG167" s="498">
        <v>0</v>
      </c>
      <c r="CH167" s="498">
        <v>0</v>
      </c>
      <c r="CI167" s="498">
        <v>0</v>
      </c>
      <c r="CJ167" s="498">
        <v>0</v>
      </c>
      <c r="CK167" s="498">
        <v>0</v>
      </c>
      <c r="CL167" s="498">
        <v>0</v>
      </c>
      <c r="CM167" s="498">
        <v>0</v>
      </c>
      <c r="CN167" s="498">
        <v>0</v>
      </c>
      <c r="CO167" s="498">
        <v>0</v>
      </c>
      <c r="CP167" s="498">
        <v>0</v>
      </c>
      <c r="CQ167" s="498">
        <v>0</v>
      </c>
      <c r="CR167" s="498">
        <v>0</v>
      </c>
      <c r="CS167" s="498">
        <v>0</v>
      </c>
      <c r="CT167" s="498">
        <v>0</v>
      </c>
      <c r="CU167" s="498">
        <v>0</v>
      </c>
      <c r="CV167" s="498">
        <v>0</v>
      </c>
      <c r="CW167" s="498">
        <v>0</v>
      </c>
      <c r="CX167" s="498">
        <v>0</v>
      </c>
      <c r="CY167" s="498">
        <v>0</v>
      </c>
      <c r="CZ167" s="498">
        <v>0</v>
      </c>
      <c r="DA167" s="498">
        <v>0</v>
      </c>
      <c r="DB167" s="498">
        <v>0</v>
      </c>
      <c r="DC167" s="498">
        <v>0</v>
      </c>
      <c r="DD167" s="498">
        <v>0</v>
      </c>
      <c r="DE167" s="498">
        <v>0</v>
      </c>
      <c r="DF167" s="498">
        <v>0</v>
      </c>
      <c r="DG167" s="498">
        <v>0</v>
      </c>
      <c r="DH167" s="498">
        <v>0</v>
      </c>
      <c r="DI167" s="498">
        <v>0</v>
      </c>
      <c r="DJ167" s="498">
        <v>0</v>
      </c>
      <c r="DK167" s="498">
        <v>0</v>
      </c>
      <c r="DL167" s="498">
        <v>0</v>
      </c>
      <c r="DM167" s="498">
        <v>0</v>
      </c>
      <c r="DN167" s="498">
        <v>0</v>
      </c>
      <c r="DO167" s="498">
        <v>0</v>
      </c>
      <c r="DP167" s="498">
        <v>0</v>
      </c>
      <c r="DQ167" s="498">
        <v>0</v>
      </c>
      <c r="DR167" s="498">
        <v>0</v>
      </c>
      <c r="DS167" s="498">
        <v>0</v>
      </c>
      <c r="DT167" s="498">
        <v>0</v>
      </c>
      <c r="DU167" s="498">
        <v>0</v>
      </c>
      <c r="DV167" s="498">
        <v>0</v>
      </c>
      <c r="DW167" s="498">
        <v>0</v>
      </c>
      <c r="DX167" s="477"/>
      <c r="DY167" s="497" t="s">
        <v>720</v>
      </c>
      <c r="DZ167" s="497" t="s">
        <v>617</v>
      </c>
      <c r="EA167" s="497" t="s">
        <v>26</v>
      </c>
      <c r="EB167" s="498">
        <v>34</v>
      </c>
      <c r="EC167" s="494" t="str">
        <f t="shared" si="6"/>
        <v>AIJ100234</v>
      </c>
      <c r="ED167" s="498">
        <v>0</v>
      </c>
      <c r="EE167" s="498">
        <v>259</v>
      </c>
      <c r="EF167" s="498">
        <v>615</v>
      </c>
      <c r="EG167" s="498">
        <v>982</v>
      </c>
      <c r="EH167" s="498">
        <v>1507</v>
      </c>
      <c r="EI167" s="498">
        <v>2031</v>
      </c>
      <c r="EJ167" s="498">
        <v>2909</v>
      </c>
      <c r="EK167" s="498">
        <v>4222</v>
      </c>
      <c r="EL167" s="498">
        <v>5775</v>
      </c>
      <c r="EM167" s="498">
        <v>0</v>
      </c>
      <c r="EN167" s="498">
        <v>0</v>
      </c>
      <c r="EO167" s="498">
        <v>0</v>
      </c>
      <c r="EP167" s="498">
        <v>0</v>
      </c>
      <c r="EQ167" s="498">
        <v>0</v>
      </c>
      <c r="ER167" s="498">
        <v>0</v>
      </c>
      <c r="ES167" s="498">
        <v>0</v>
      </c>
      <c r="ET167" s="498">
        <v>0</v>
      </c>
      <c r="EU167" s="498">
        <v>0</v>
      </c>
      <c r="EV167" s="498">
        <v>0</v>
      </c>
      <c r="EW167" s="498">
        <v>0</v>
      </c>
      <c r="EX167" s="498">
        <v>0</v>
      </c>
      <c r="EY167" s="498">
        <v>0</v>
      </c>
      <c r="EZ167" s="498">
        <v>0</v>
      </c>
      <c r="FA167" s="498">
        <v>0</v>
      </c>
      <c r="FB167" s="498">
        <v>0</v>
      </c>
      <c r="FC167" s="498">
        <v>0</v>
      </c>
      <c r="FD167" s="498">
        <v>0</v>
      </c>
      <c r="FE167" s="498">
        <v>0</v>
      </c>
      <c r="FF167" s="498">
        <v>0</v>
      </c>
      <c r="FG167" s="498">
        <v>0</v>
      </c>
      <c r="FH167" s="498">
        <v>0</v>
      </c>
      <c r="FI167" s="498">
        <v>0</v>
      </c>
      <c r="FJ167" s="498">
        <v>0</v>
      </c>
      <c r="FK167" s="498">
        <v>0</v>
      </c>
      <c r="FL167" s="498">
        <v>0</v>
      </c>
      <c r="FM167" s="498">
        <v>0</v>
      </c>
      <c r="FN167" s="498">
        <v>0</v>
      </c>
      <c r="FO167" s="498">
        <v>0</v>
      </c>
      <c r="FP167" s="498">
        <v>0</v>
      </c>
      <c r="FQ167" s="498">
        <v>0</v>
      </c>
      <c r="FR167" s="498">
        <v>0</v>
      </c>
      <c r="FS167" s="498">
        <v>0</v>
      </c>
      <c r="FT167" s="498">
        <v>0</v>
      </c>
      <c r="FU167" s="498">
        <v>0</v>
      </c>
      <c r="FV167" s="498">
        <v>0</v>
      </c>
      <c r="FW167" s="498">
        <v>0</v>
      </c>
      <c r="FX167" s="498">
        <v>0</v>
      </c>
      <c r="FY167" s="498">
        <v>0</v>
      </c>
      <c r="FZ167" s="498">
        <v>0</v>
      </c>
      <c r="GA167" s="498">
        <v>0</v>
      </c>
      <c r="GB167" s="498">
        <v>0</v>
      </c>
      <c r="GC167" s="498">
        <v>0</v>
      </c>
      <c r="GD167" s="498">
        <v>0</v>
      </c>
      <c r="GE167" s="498">
        <v>0</v>
      </c>
      <c r="GF167" s="498">
        <v>0</v>
      </c>
      <c r="GG167" s="498">
        <v>0</v>
      </c>
      <c r="GH167" s="498">
        <v>0</v>
      </c>
      <c r="GI167" s="498">
        <v>0</v>
      </c>
      <c r="GJ167" s="498">
        <v>0</v>
      </c>
      <c r="GK167" s="498">
        <v>0</v>
      </c>
      <c r="GL167" s="498">
        <v>0</v>
      </c>
      <c r="GM167" s="498">
        <v>0</v>
      </c>
      <c r="GN167" s="498">
        <v>0</v>
      </c>
      <c r="GO167" s="498">
        <v>0</v>
      </c>
      <c r="GP167" s="498">
        <v>0</v>
      </c>
      <c r="GQ167" s="498">
        <v>0</v>
      </c>
      <c r="GR167" s="498">
        <v>0</v>
      </c>
      <c r="GS167" s="498">
        <v>0</v>
      </c>
      <c r="GT167" s="498">
        <v>0</v>
      </c>
      <c r="GU167" s="498">
        <v>0</v>
      </c>
      <c r="GV167" s="498">
        <v>0</v>
      </c>
      <c r="GW167" s="498">
        <v>0</v>
      </c>
      <c r="GX167" s="498">
        <v>0</v>
      </c>
      <c r="GY167" s="498">
        <v>0</v>
      </c>
      <c r="GZ167" s="498">
        <v>0</v>
      </c>
      <c r="HA167" s="498">
        <v>0</v>
      </c>
      <c r="HB167" s="498">
        <v>0</v>
      </c>
      <c r="HC167" s="498">
        <v>0</v>
      </c>
      <c r="HD167" s="498">
        <v>0</v>
      </c>
      <c r="HE167" s="498">
        <v>0</v>
      </c>
      <c r="HF167" s="498">
        <v>0</v>
      </c>
      <c r="HG167" s="498">
        <v>0</v>
      </c>
      <c r="HH167" s="498">
        <v>0</v>
      </c>
      <c r="HI167" s="498">
        <v>0</v>
      </c>
      <c r="HJ167" s="498">
        <v>0</v>
      </c>
      <c r="HK167" s="498">
        <v>0</v>
      </c>
      <c r="HL167" s="498">
        <v>0</v>
      </c>
      <c r="HM167" s="498">
        <v>0</v>
      </c>
      <c r="HN167" s="498">
        <v>0</v>
      </c>
      <c r="HO167" s="498">
        <v>0</v>
      </c>
      <c r="HP167" s="498">
        <v>0</v>
      </c>
      <c r="HQ167" s="498">
        <v>0</v>
      </c>
      <c r="HR167" s="498">
        <v>0</v>
      </c>
      <c r="HS167" s="498">
        <v>0</v>
      </c>
      <c r="HT167" s="498">
        <v>0</v>
      </c>
      <c r="HU167" s="498">
        <v>0</v>
      </c>
      <c r="HV167" s="498">
        <v>0</v>
      </c>
      <c r="HW167" s="498">
        <v>0</v>
      </c>
      <c r="HX167" s="498">
        <v>0</v>
      </c>
      <c r="HY167" s="498">
        <v>0</v>
      </c>
      <c r="HZ167" s="498">
        <v>0</v>
      </c>
      <c r="IA167" s="498">
        <v>0</v>
      </c>
      <c r="IB167" s="498">
        <v>0</v>
      </c>
      <c r="IC167" s="498">
        <v>0</v>
      </c>
      <c r="ID167" s="498">
        <v>0</v>
      </c>
      <c r="IE167" s="498">
        <v>0</v>
      </c>
      <c r="IF167" s="498">
        <v>0</v>
      </c>
      <c r="IG167" s="498">
        <v>0</v>
      </c>
      <c r="IH167" s="498">
        <v>0</v>
      </c>
      <c r="II167" s="498">
        <v>0</v>
      </c>
      <c r="IJ167" s="498">
        <v>0</v>
      </c>
    </row>
    <row r="168" spans="12:244" hidden="1">
      <c r="L168" s="497" t="s">
        <v>720</v>
      </c>
      <c r="M168" s="497" t="s">
        <v>617</v>
      </c>
      <c r="N168" s="497" t="s">
        <v>26</v>
      </c>
      <c r="O168" s="498">
        <v>35</v>
      </c>
      <c r="P168" s="494" t="str">
        <f t="shared" si="5"/>
        <v>AIJ100235</v>
      </c>
      <c r="Q168" s="498">
        <v>20000</v>
      </c>
      <c r="R168" s="498">
        <v>20000</v>
      </c>
      <c r="S168" s="498">
        <v>20000</v>
      </c>
      <c r="T168" s="498">
        <v>20000</v>
      </c>
      <c r="U168" s="498">
        <v>20000</v>
      </c>
      <c r="V168" s="498">
        <v>20000</v>
      </c>
      <c r="W168" s="498">
        <v>20000</v>
      </c>
      <c r="X168" s="498">
        <v>20000</v>
      </c>
      <c r="Y168" s="498">
        <v>20000</v>
      </c>
      <c r="Z168" s="498">
        <v>20000</v>
      </c>
      <c r="AA168" s="498">
        <v>0</v>
      </c>
      <c r="AB168" s="498">
        <v>0</v>
      </c>
      <c r="AC168" s="498">
        <v>0</v>
      </c>
      <c r="AD168" s="498">
        <v>0</v>
      </c>
      <c r="AE168" s="498">
        <v>0</v>
      </c>
      <c r="AF168" s="498">
        <v>0</v>
      </c>
      <c r="AG168" s="498">
        <v>0</v>
      </c>
      <c r="AH168" s="498">
        <v>0</v>
      </c>
      <c r="AI168" s="498">
        <v>0</v>
      </c>
      <c r="AJ168" s="498">
        <v>0</v>
      </c>
      <c r="AK168" s="498">
        <v>0</v>
      </c>
      <c r="AL168" s="498">
        <v>0</v>
      </c>
      <c r="AM168" s="498">
        <v>0</v>
      </c>
      <c r="AN168" s="498">
        <v>0</v>
      </c>
      <c r="AO168" s="498">
        <v>0</v>
      </c>
      <c r="AP168" s="498">
        <v>0</v>
      </c>
      <c r="AQ168" s="498">
        <v>0</v>
      </c>
      <c r="AR168" s="498">
        <v>0</v>
      </c>
      <c r="AS168" s="498">
        <v>0</v>
      </c>
      <c r="AT168" s="498">
        <v>0</v>
      </c>
      <c r="AU168" s="498">
        <v>0</v>
      </c>
      <c r="AV168" s="498">
        <v>0</v>
      </c>
      <c r="AW168" s="498">
        <v>0</v>
      </c>
      <c r="AX168" s="498">
        <v>0</v>
      </c>
      <c r="AY168" s="498">
        <v>0</v>
      </c>
      <c r="AZ168" s="498">
        <v>0</v>
      </c>
      <c r="BA168" s="498">
        <v>0</v>
      </c>
      <c r="BB168" s="498">
        <v>0</v>
      </c>
      <c r="BC168" s="498">
        <v>0</v>
      </c>
      <c r="BD168" s="498">
        <v>0</v>
      </c>
      <c r="BE168" s="498">
        <v>0</v>
      </c>
      <c r="BF168" s="498">
        <v>0</v>
      </c>
      <c r="BG168" s="498">
        <v>0</v>
      </c>
      <c r="BH168" s="498">
        <v>0</v>
      </c>
      <c r="BI168" s="498">
        <v>0</v>
      </c>
      <c r="BJ168" s="498">
        <v>0</v>
      </c>
      <c r="BK168" s="498">
        <v>0</v>
      </c>
      <c r="BL168" s="498">
        <v>0</v>
      </c>
      <c r="BM168" s="498">
        <v>0</v>
      </c>
      <c r="BN168" s="498">
        <v>0</v>
      </c>
      <c r="BO168" s="498">
        <v>0</v>
      </c>
      <c r="BP168" s="498">
        <v>0</v>
      </c>
      <c r="BQ168" s="498">
        <v>0</v>
      </c>
      <c r="BR168" s="498">
        <v>0</v>
      </c>
      <c r="BS168" s="498">
        <v>0</v>
      </c>
      <c r="BT168" s="498">
        <v>0</v>
      </c>
      <c r="BU168" s="498">
        <v>0</v>
      </c>
      <c r="BV168" s="498">
        <v>0</v>
      </c>
      <c r="BW168" s="498">
        <v>0</v>
      </c>
      <c r="BX168" s="498">
        <v>0</v>
      </c>
      <c r="BY168" s="498">
        <v>0</v>
      </c>
      <c r="BZ168" s="498">
        <v>0</v>
      </c>
      <c r="CA168" s="498">
        <v>0</v>
      </c>
      <c r="CB168" s="498">
        <v>0</v>
      </c>
      <c r="CC168" s="498">
        <v>0</v>
      </c>
      <c r="CD168" s="498">
        <v>0</v>
      </c>
      <c r="CE168" s="498">
        <v>0</v>
      </c>
      <c r="CF168" s="498">
        <v>0</v>
      </c>
      <c r="CG168" s="498">
        <v>0</v>
      </c>
      <c r="CH168" s="498">
        <v>0</v>
      </c>
      <c r="CI168" s="498">
        <v>0</v>
      </c>
      <c r="CJ168" s="498">
        <v>0</v>
      </c>
      <c r="CK168" s="498">
        <v>0</v>
      </c>
      <c r="CL168" s="498">
        <v>0</v>
      </c>
      <c r="CM168" s="498">
        <v>0</v>
      </c>
      <c r="CN168" s="498">
        <v>0</v>
      </c>
      <c r="CO168" s="498">
        <v>0</v>
      </c>
      <c r="CP168" s="498">
        <v>0</v>
      </c>
      <c r="CQ168" s="498">
        <v>0</v>
      </c>
      <c r="CR168" s="498">
        <v>0</v>
      </c>
      <c r="CS168" s="498">
        <v>0</v>
      </c>
      <c r="CT168" s="498">
        <v>0</v>
      </c>
      <c r="CU168" s="498">
        <v>0</v>
      </c>
      <c r="CV168" s="498">
        <v>0</v>
      </c>
      <c r="CW168" s="498">
        <v>0</v>
      </c>
      <c r="CX168" s="498">
        <v>0</v>
      </c>
      <c r="CY168" s="498">
        <v>0</v>
      </c>
      <c r="CZ168" s="498">
        <v>0</v>
      </c>
      <c r="DA168" s="498">
        <v>0</v>
      </c>
      <c r="DB168" s="498">
        <v>0</v>
      </c>
      <c r="DC168" s="498">
        <v>0</v>
      </c>
      <c r="DD168" s="498">
        <v>0</v>
      </c>
      <c r="DE168" s="498">
        <v>0</v>
      </c>
      <c r="DF168" s="498">
        <v>0</v>
      </c>
      <c r="DG168" s="498">
        <v>0</v>
      </c>
      <c r="DH168" s="498">
        <v>0</v>
      </c>
      <c r="DI168" s="498">
        <v>0</v>
      </c>
      <c r="DJ168" s="498">
        <v>0</v>
      </c>
      <c r="DK168" s="498">
        <v>0</v>
      </c>
      <c r="DL168" s="498">
        <v>0</v>
      </c>
      <c r="DM168" s="498">
        <v>0</v>
      </c>
      <c r="DN168" s="498">
        <v>0</v>
      </c>
      <c r="DO168" s="498">
        <v>0</v>
      </c>
      <c r="DP168" s="498">
        <v>0</v>
      </c>
      <c r="DQ168" s="498">
        <v>0</v>
      </c>
      <c r="DR168" s="498">
        <v>0</v>
      </c>
      <c r="DS168" s="498">
        <v>0</v>
      </c>
      <c r="DT168" s="498">
        <v>0</v>
      </c>
      <c r="DU168" s="498">
        <v>0</v>
      </c>
      <c r="DV168" s="498">
        <v>0</v>
      </c>
      <c r="DW168" s="498">
        <v>0</v>
      </c>
      <c r="DX168" s="477"/>
      <c r="DY168" s="497" t="s">
        <v>720</v>
      </c>
      <c r="DZ168" s="497" t="s">
        <v>617</v>
      </c>
      <c r="EA168" s="497" t="s">
        <v>26</v>
      </c>
      <c r="EB168" s="498">
        <v>35</v>
      </c>
      <c r="EC168" s="494" t="str">
        <f t="shared" si="6"/>
        <v>AIJ100235</v>
      </c>
      <c r="ED168" s="498">
        <v>0</v>
      </c>
      <c r="EE168" s="498">
        <v>302</v>
      </c>
      <c r="EF168" s="498">
        <v>598</v>
      </c>
      <c r="EG168" s="498">
        <v>1018</v>
      </c>
      <c r="EH168" s="498">
        <v>1467</v>
      </c>
      <c r="EI168" s="498">
        <v>2045</v>
      </c>
      <c r="EJ168" s="498">
        <v>2920</v>
      </c>
      <c r="EK168" s="498">
        <v>4194</v>
      </c>
      <c r="EL168" s="498">
        <v>5833</v>
      </c>
      <c r="EM168" s="498">
        <v>0</v>
      </c>
      <c r="EN168" s="498">
        <v>0</v>
      </c>
      <c r="EO168" s="498">
        <v>0</v>
      </c>
      <c r="EP168" s="498">
        <v>0</v>
      </c>
      <c r="EQ168" s="498">
        <v>0</v>
      </c>
      <c r="ER168" s="498">
        <v>0</v>
      </c>
      <c r="ES168" s="498">
        <v>0</v>
      </c>
      <c r="ET168" s="498">
        <v>0</v>
      </c>
      <c r="EU168" s="498">
        <v>0</v>
      </c>
      <c r="EV168" s="498">
        <v>0</v>
      </c>
      <c r="EW168" s="498">
        <v>0</v>
      </c>
      <c r="EX168" s="498">
        <v>0</v>
      </c>
      <c r="EY168" s="498">
        <v>0</v>
      </c>
      <c r="EZ168" s="498">
        <v>0</v>
      </c>
      <c r="FA168" s="498">
        <v>0</v>
      </c>
      <c r="FB168" s="498">
        <v>0</v>
      </c>
      <c r="FC168" s="498">
        <v>0</v>
      </c>
      <c r="FD168" s="498">
        <v>0</v>
      </c>
      <c r="FE168" s="498">
        <v>0</v>
      </c>
      <c r="FF168" s="498">
        <v>0</v>
      </c>
      <c r="FG168" s="498">
        <v>0</v>
      </c>
      <c r="FH168" s="498">
        <v>0</v>
      </c>
      <c r="FI168" s="498">
        <v>0</v>
      </c>
      <c r="FJ168" s="498">
        <v>0</v>
      </c>
      <c r="FK168" s="498">
        <v>0</v>
      </c>
      <c r="FL168" s="498">
        <v>0</v>
      </c>
      <c r="FM168" s="498">
        <v>0</v>
      </c>
      <c r="FN168" s="498">
        <v>0</v>
      </c>
      <c r="FO168" s="498">
        <v>0</v>
      </c>
      <c r="FP168" s="498">
        <v>0</v>
      </c>
      <c r="FQ168" s="498">
        <v>0</v>
      </c>
      <c r="FR168" s="498">
        <v>0</v>
      </c>
      <c r="FS168" s="498">
        <v>0</v>
      </c>
      <c r="FT168" s="498">
        <v>0</v>
      </c>
      <c r="FU168" s="498">
        <v>0</v>
      </c>
      <c r="FV168" s="498">
        <v>0</v>
      </c>
      <c r="FW168" s="498">
        <v>0</v>
      </c>
      <c r="FX168" s="498">
        <v>0</v>
      </c>
      <c r="FY168" s="498">
        <v>0</v>
      </c>
      <c r="FZ168" s="498">
        <v>0</v>
      </c>
      <c r="GA168" s="498">
        <v>0</v>
      </c>
      <c r="GB168" s="498">
        <v>0</v>
      </c>
      <c r="GC168" s="498">
        <v>0</v>
      </c>
      <c r="GD168" s="498">
        <v>0</v>
      </c>
      <c r="GE168" s="498">
        <v>0</v>
      </c>
      <c r="GF168" s="498">
        <v>0</v>
      </c>
      <c r="GG168" s="498">
        <v>0</v>
      </c>
      <c r="GH168" s="498">
        <v>0</v>
      </c>
      <c r="GI168" s="498">
        <v>0</v>
      </c>
      <c r="GJ168" s="498">
        <v>0</v>
      </c>
      <c r="GK168" s="498">
        <v>0</v>
      </c>
      <c r="GL168" s="498">
        <v>0</v>
      </c>
      <c r="GM168" s="498">
        <v>0</v>
      </c>
      <c r="GN168" s="498">
        <v>0</v>
      </c>
      <c r="GO168" s="498">
        <v>0</v>
      </c>
      <c r="GP168" s="498">
        <v>0</v>
      </c>
      <c r="GQ168" s="498">
        <v>0</v>
      </c>
      <c r="GR168" s="498">
        <v>0</v>
      </c>
      <c r="GS168" s="498">
        <v>0</v>
      </c>
      <c r="GT168" s="498">
        <v>0</v>
      </c>
      <c r="GU168" s="498">
        <v>0</v>
      </c>
      <c r="GV168" s="498">
        <v>0</v>
      </c>
      <c r="GW168" s="498">
        <v>0</v>
      </c>
      <c r="GX168" s="498">
        <v>0</v>
      </c>
      <c r="GY168" s="498">
        <v>0</v>
      </c>
      <c r="GZ168" s="498">
        <v>0</v>
      </c>
      <c r="HA168" s="498">
        <v>0</v>
      </c>
      <c r="HB168" s="498">
        <v>0</v>
      </c>
      <c r="HC168" s="498">
        <v>0</v>
      </c>
      <c r="HD168" s="498">
        <v>0</v>
      </c>
      <c r="HE168" s="498">
        <v>0</v>
      </c>
      <c r="HF168" s="498">
        <v>0</v>
      </c>
      <c r="HG168" s="498">
        <v>0</v>
      </c>
      <c r="HH168" s="498">
        <v>0</v>
      </c>
      <c r="HI168" s="498">
        <v>0</v>
      </c>
      <c r="HJ168" s="498">
        <v>0</v>
      </c>
      <c r="HK168" s="498">
        <v>0</v>
      </c>
      <c r="HL168" s="498">
        <v>0</v>
      </c>
      <c r="HM168" s="498">
        <v>0</v>
      </c>
      <c r="HN168" s="498">
        <v>0</v>
      </c>
      <c r="HO168" s="498">
        <v>0</v>
      </c>
      <c r="HP168" s="498">
        <v>0</v>
      </c>
      <c r="HQ168" s="498">
        <v>0</v>
      </c>
      <c r="HR168" s="498">
        <v>0</v>
      </c>
      <c r="HS168" s="498">
        <v>0</v>
      </c>
      <c r="HT168" s="498">
        <v>0</v>
      </c>
      <c r="HU168" s="498">
        <v>0</v>
      </c>
      <c r="HV168" s="498">
        <v>0</v>
      </c>
      <c r="HW168" s="498">
        <v>0</v>
      </c>
      <c r="HX168" s="498">
        <v>0</v>
      </c>
      <c r="HY168" s="498">
        <v>0</v>
      </c>
      <c r="HZ168" s="498">
        <v>0</v>
      </c>
      <c r="IA168" s="498">
        <v>0</v>
      </c>
      <c r="IB168" s="498">
        <v>0</v>
      </c>
      <c r="IC168" s="498">
        <v>0</v>
      </c>
      <c r="ID168" s="498">
        <v>0</v>
      </c>
      <c r="IE168" s="498">
        <v>0</v>
      </c>
      <c r="IF168" s="498">
        <v>0</v>
      </c>
      <c r="IG168" s="498">
        <v>0</v>
      </c>
      <c r="IH168" s="498">
        <v>0</v>
      </c>
      <c r="II168" s="498">
        <v>0</v>
      </c>
      <c r="IJ168" s="498">
        <v>0</v>
      </c>
    </row>
    <row r="169" spans="12:244" hidden="1">
      <c r="L169" s="497" t="s">
        <v>720</v>
      </c>
      <c r="M169" s="497" t="s">
        <v>617</v>
      </c>
      <c r="N169" s="497" t="s">
        <v>26</v>
      </c>
      <c r="O169" s="498">
        <v>36</v>
      </c>
      <c r="P169" s="494" t="str">
        <f t="shared" si="5"/>
        <v>AIJ100236</v>
      </c>
      <c r="Q169" s="498">
        <v>20000</v>
      </c>
      <c r="R169" s="498">
        <v>20000</v>
      </c>
      <c r="S169" s="498">
        <v>20000</v>
      </c>
      <c r="T169" s="498">
        <v>20000</v>
      </c>
      <c r="U169" s="498">
        <v>20000</v>
      </c>
      <c r="V169" s="498">
        <v>20000</v>
      </c>
      <c r="W169" s="498">
        <v>20000</v>
      </c>
      <c r="X169" s="498">
        <v>20000</v>
      </c>
      <c r="Y169" s="498">
        <v>20000</v>
      </c>
      <c r="Z169" s="498">
        <v>20000</v>
      </c>
      <c r="AA169" s="498">
        <v>0</v>
      </c>
      <c r="AB169" s="498">
        <v>0</v>
      </c>
      <c r="AC169" s="498">
        <v>0</v>
      </c>
      <c r="AD169" s="498">
        <v>0</v>
      </c>
      <c r="AE169" s="498">
        <v>0</v>
      </c>
      <c r="AF169" s="498">
        <v>0</v>
      </c>
      <c r="AG169" s="498">
        <v>0</v>
      </c>
      <c r="AH169" s="498">
        <v>0</v>
      </c>
      <c r="AI169" s="498">
        <v>0</v>
      </c>
      <c r="AJ169" s="498">
        <v>0</v>
      </c>
      <c r="AK169" s="498">
        <v>0</v>
      </c>
      <c r="AL169" s="498">
        <v>0</v>
      </c>
      <c r="AM169" s="498">
        <v>0</v>
      </c>
      <c r="AN169" s="498">
        <v>0</v>
      </c>
      <c r="AO169" s="498">
        <v>0</v>
      </c>
      <c r="AP169" s="498">
        <v>0</v>
      </c>
      <c r="AQ169" s="498">
        <v>0</v>
      </c>
      <c r="AR169" s="498">
        <v>0</v>
      </c>
      <c r="AS169" s="498">
        <v>0</v>
      </c>
      <c r="AT169" s="498">
        <v>0</v>
      </c>
      <c r="AU169" s="498">
        <v>0</v>
      </c>
      <c r="AV169" s="498">
        <v>0</v>
      </c>
      <c r="AW169" s="498">
        <v>0</v>
      </c>
      <c r="AX169" s="498">
        <v>0</v>
      </c>
      <c r="AY169" s="498">
        <v>0</v>
      </c>
      <c r="AZ169" s="498">
        <v>0</v>
      </c>
      <c r="BA169" s="498">
        <v>0</v>
      </c>
      <c r="BB169" s="498">
        <v>0</v>
      </c>
      <c r="BC169" s="498">
        <v>0</v>
      </c>
      <c r="BD169" s="498">
        <v>0</v>
      </c>
      <c r="BE169" s="498">
        <v>0</v>
      </c>
      <c r="BF169" s="498">
        <v>0</v>
      </c>
      <c r="BG169" s="498">
        <v>0</v>
      </c>
      <c r="BH169" s="498">
        <v>0</v>
      </c>
      <c r="BI169" s="498">
        <v>0</v>
      </c>
      <c r="BJ169" s="498">
        <v>0</v>
      </c>
      <c r="BK169" s="498">
        <v>0</v>
      </c>
      <c r="BL169" s="498">
        <v>0</v>
      </c>
      <c r="BM169" s="498">
        <v>0</v>
      </c>
      <c r="BN169" s="498">
        <v>0</v>
      </c>
      <c r="BO169" s="498">
        <v>0</v>
      </c>
      <c r="BP169" s="498">
        <v>0</v>
      </c>
      <c r="BQ169" s="498">
        <v>0</v>
      </c>
      <c r="BR169" s="498">
        <v>0</v>
      </c>
      <c r="BS169" s="498">
        <v>0</v>
      </c>
      <c r="BT169" s="498">
        <v>0</v>
      </c>
      <c r="BU169" s="498">
        <v>0</v>
      </c>
      <c r="BV169" s="498">
        <v>0</v>
      </c>
      <c r="BW169" s="498">
        <v>0</v>
      </c>
      <c r="BX169" s="498">
        <v>0</v>
      </c>
      <c r="BY169" s="498">
        <v>0</v>
      </c>
      <c r="BZ169" s="498">
        <v>0</v>
      </c>
      <c r="CA169" s="498">
        <v>0</v>
      </c>
      <c r="CB169" s="498">
        <v>0</v>
      </c>
      <c r="CC169" s="498">
        <v>0</v>
      </c>
      <c r="CD169" s="498">
        <v>0</v>
      </c>
      <c r="CE169" s="498">
        <v>0</v>
      </c>
      <c r="CF169" s="498">
        <v>0</v>
      </c>
      <c r="CG169" s="498">
        <v>0</v>
      </c>
      <c r="CH169" s="498">
        <v>0</v>
      </c>
      <c r="CI169" s="498">
        <v>0</v>
      </c>
      <c r="CJ169" s="498">
        <v>0</v>
      </c>
      <c r="CK169" s="498">
        <v>0</v>
      </c>
      <c r="CL169" s="498">
        <v>0</v>
      </c>
      <c r="CM169" s="498">
        <v>0</v>
      </c>
      <c r="CN169" s="498">
        <v>0</v>
      </c>
      <c r="CO169" s="498">
        <v>0</v>
      </c>
      <c r="CP169" s="498">
        <v>0</v>
      </c>
      <c r="CQ169" s="498">
        <v>0</v>
      </c>
      <c r="CR169" s="498">
        <v>0</v>
      </c>
      <c r="CS169" s="498">
        <v>0</v>
      </c>
      <c r="CT169" s="498">
        <v>0</v>
      </c>
      <c r="CU169" s="498">
        <v>0</v>
      </c>
      <c r="CV169" s="498">
        <v>0</v>
      </c>
      <c r="CW169" s="498">
        <v>0</v>
      </c>
      <c r="CX169" s="498">
        <v>0</v>
      </c>
      <c r="CY169" s="498">
        <v>0</v>
      </c>
      <c r="CZ169" s="498">
        <v>0</v>
      </c>
      <c r="DA169" s="498">
        <v>0</v>
      </c>
      <c r="DB169" s="498">
        <v>0</v>
      </c>
      <c r="DC169" s="498">
        <v>0</v>
      </c>
      <c r="DD169" s="498">
        <v>0</v>
      </c>
      <c r="DE169" s="498">
        <v>0</v>
      </c>
      <c r="DF169" s="498">
        <v>0</v>
      </c>
      <c r="DG169" s="498">
        <v>0</v>
      </c>
      <c r="DH169" s="498">
        <v>0</v>
      </c>
      <c r="DI169" s="498">
        <v>0</v>
      </c>
      <c r="DJ169" s="498">
        <v>0</v>
      </c>
      <c r="DK169" s="498">
        <v>0</v>
      </c>
      <c r="DL169" s="498">
        <v>0</v>
      </c>
      <c r="DM169" s="498">
        <v>0</v>
      </c>
      <c r="DN169" s="498">
        <v>0</v>
      </c>
      <c r="DO169" s="498">
        <v>0</v>
      </c>
      <c r="DP169" s="498">
        <v>0</v>
      </c>
      <c r="DQ169" s="498">
        <v>0</v>
      </c>
      <c r="DR169" s="498">
        <v>0</v>
      </c>
      <c r="DS169" s="498">
        <v>0</v>
      </c>
      <c r="DT169" s="498">
        <v>0</v>
      </c>
      <c r="DU169" s="498">
        <v>0</v>
      </c>
      <c r="DV169" s="498">
        <v>0</v>
      </c>
      <c r="DW169" s="498">
        <v>0</v>
      </c>
      <c r="DX169" s="477"/>
      <c r="DY169" s="497" t="s">
        <v>720</v>
      </c>
      <c r="DZ169" s="497" t="s">
        <v>617</v>
      </c>
      <c r="EA169" s="497" t="s">
        <v>26</v>
      </c>
      <c r="EB169" s="498">
        <v>36</v>
      </c>
      <c r="EC169" s="494" t="str">
        <f t="shared" si="6"/>
        <v>AIJ100236</v>
      </c>
      <c r="ED169" s="498">
        <v>0</v>
      </c>
      <c r="EE169" s="498">
        <v>293</v>
      </c>
      <c r="EF169" s="498">
        <v>579</v>
      </c>
      <c r="EG169" s="498">
        <v>983</v>
      </c>
      <c r="EH169" s="498">
        <v>1484</v>
      </c>
      <c r="EI169" s="498">
        <v>2059</v>
      </c>
      <c r="EJ169" s="498">
        <v>2906</v>
      </c>
      <c r="EK169" s="498">
        <v>4167</v>
      </c>
      <c r="EL169" s="498">
        <v>5811</v>
      </c>
      <c r="EM169" s="498">
        <v>0</v>
      </c>
      <c r="EN169" s="498">
        <v>0</v>
      </c>
      <c r="EO169" s="498">
        <v>0</v>
      </c>
      <c r="EP169" s="498">
        <v>0</v>
      </c>
      <c r="EQ169" s="498">
        <v>0</v>
      </c>
      <c r="ER169" s="498">
        <v>0</v>
      </c>
      <c r="ES169" s="498">
        <v>0</v>
      </c>
      <c r="ET169" s="498">
        <v>0</v>
      </c>
      <c r="EU169" s="498">
        <v>0</v>
      </c>
      <c r="EV169" s="498">
        <v>0</v>
      </c>
      <c r="EW169" s="498">
        <v>0</v>
      </c>
      <c r="EX169" s="498">
        <v>0</v>
      </c>
      <c r="EY169" s="498">
        <v>0</v>
      </c>
      <c r="EZ169" s="498">
        <v>0</v>
      </c>
      <c r="FA169" s="498">
        <v>0</v>
      </c>
      <c r="FB169" s="498">
        <v>0</v>
      </c>
      <c r="FC169" s="498">
        <v>0</v>
      </c>
      <c r="FD169" s="498">
        <v>0</v>
      </c>
      <c r="FE169" s="498">
        <v>0</v>
      </c>
      <c r="FF169" s="498">
        <v>0</v>
      </c>
      <c r="FG169" s="498">
        <v>0</v>
      </c>
      <c r="FH169" s="498">
        <v>0</v>
      </c>
      <c r="FI169" s="498">
        <v>0</v>
      </c>
      <c r="FJ169" s="498">
        <v>0</v>
      </c>
      <c r="FK169" s="498">
        <v>0</v>
      </c>
      <c r="FL169" s="498">
        <v>0</v>
      </c>
      <c r="FM169" s="498">
        <v>0</v>
      </c>
      <c r="FN169" s="498">
        <v>0</v>
      </c>
      <c r="FO169" s="498">
        <v>0</v>
      </c>
      <c r="FP169" s="498">
        <v>0</v>
      </c>
      <c r="FQ169" s="498">
        <v>0</v>
      </c>
      <c r="FR169" s="498">
        <v>0</v>
      </c>
      <c r="FS169" s="498">
        <v>0</v>
      </c>
      <c r="FT169" s="498">
        <v>0</v>
      </c>
      <c r="FU169" s="498">
        <v>0</v>
      </c>
      <c r="FV169" s="498">
        <v>0</v>
      </c>
      <c r="FW169" s="498">
        <v>0</v>
      </c>
      <c r="FX169" s="498">
        <v>0</v>
      </c>
      <c r="FY169" s="498">
        <v>0</v>
      </c>
      <c r="FZ169" s="498">
        <v>0</v>
      </c>
      <c r="GA169" s="498">
        <v>0</v>
      </c>
      <c r="GB169" s="498">
        <v>0</v>
      </c>
      <c r="GC169" s="498">
        <v>0</v>
      </c>
      <c r="GD169" s="498">
        <v>0</v>
      </c>
      <c r="GE169" s="498">
        <v>0</v>
      </c>
      <c r="GF169" s="498">
        <v>0</v>
      </c>
      <c r="GG169" s="498">
        <v>0</v>
      </c>
      <c r="GH169" s="498">
        <v>0</v>
      </c>
      <c r="GI169" s="498">
        <v>0</v>
      </c>
      <c r="GJ169" s="498">
        <v>0</v>
      </c>
      <c r="GK169" s="498">
        <v>0</v>
      </c>
      <c r="GL169" s="498">
        <v>0</v>
      </c>
      <c r="GM169" s="498">
        <v>0</v>
      </c>
      <c r="GN169" s="498">
        <v>0</v>
      </c>
      <c r="GO169" s="498">
        <v>0</v>
      </c>
      <c r="GP169" s="498">
        <v>0</v>
      </c>
      <c r="GQ169" s="498">
        <v>0</v>
      </c>
      <c r="GR169" s="498">
        <v>0</v>
      </c>
      <c r="GS169" s="498">
        <v>0</v>
      </c>
      <c r="GT169" s="498">
        <v>0</v>
      </c>
      <c r="GU169" s="498">
        <v>0</v>
      </c>
      <c r="GV169" s="498">
        <v>0</v>
      </c>
      <c r="GW169" s="498">
        <v>0</v>
      </c>
      <c r="GX169" s="498">
        <v>0</v>
      </c>
      <c r="GY169" s="498">
        <v>0</v>
      </c>
      <c r="GZ169" s="498">
        <v>0</v>
      </c>
      <c r="HA169" s="498">
        <v>0</v>
      </c>
      <c r="HB169" s="498">
        <v>0</v>
      </c>
      <c r="HC169" s="498">
        <v>0</v>
      </c>
      <c r="HD169" s="498">
        <v>0</v>
      </c>
      <c r="HE169" s="498">
        <v>0</v>
      </c>
      <c r="HF169" s="498">
        <v>0</v>
      </c>
      <c r="HG169" s="498">
        <v>0</v>
      </c>
      <c r="HH169" s="498">
        <v>0</v>
      </c>
      <c r="HI169" s="498">
        <v>0</v>
      </c>
      <c r="HJ169" s="498">
        <v>0</v>
      </c>
      <c r="HK169" s="498">
        <v>0</v>
      </c>
      <c r="HL169" s="498">
        <v>0</v>
      </c>
      <c r="HM169" s="498">
        <v>0</v>
      </c>
      <c r="HN169" s="498">
        <v>0</v>
      </c>
      <c r="HO169" s="498">
        <v>0</v>
      </c>
      <c r="HP169" s="498">
        <v>0</v>
      </c>
      <c r="HQ169" s="498">
        <v>0</v>
      </c>
      <c r="HR169" s="498">
        <v>0</v>
      </c>
      <c r="HS169" s="498">
        <v>0</v>
      </c>
      <c r="HT169" s="498">
        <v>0</v>
      </c>
      <c r="HU169" s="498">
        <v>0</v>
      </c>
      <c r="HV169" s="498">
        <v>0</v>
      </c>
      <c r="HW169" s="498">
        <v>0</v>
      </c>
      <c r="HX169" s="498">
        <v>0</v>
      </c>
      <c r="HY169" s="498">
        <v>0</v>
      </c>
      <c r="HZ169" s="498">
        <v>0</v>
      </c>
      <c r="IA169" s="498">
        <v>0</v>
      </c>
      <c r="IB169" s="498">
        <v>0</v>
      </c>
      <c r="IC169" s="498">
        <v>0</v>
      </c>
      <c r="ID169" s="498">
        <v>0</v>
      </c>
      <c r="IE169" s="498">
        <v>0</v>
      </c>
      <c r="IF169" s="498">
        <v>0</v>
      </c>
      <c r="IG169" s="498">
        <v>0</v>
      </c>
      <c r="IH169" s="498">
        <v>0</v>
      </c>
      <c r="II169" s="498">
        <v>0</v>
      </c>
      <c r="IJ169" s="498">
        <v>0</v>
      </c>
    </row>
    <row r="170" spans="12:244" hidden="1">
      <c r="L170" s="497" t="s">
        <v>720</v>
      </c>
      <c r="M170" s="497" t="s">
        <v>617</v>
      </c>
      <c r="N170" s="497" t="s">
        <v>26</v>
      </c>
      <c r="O170" s="498">
        <v>37</v>
      </c>
      <c r="P170" s="494" t="str">
        <f t="shared" si="5"/>
        <v>AIJ100237</v>
      </c>
      <c r="Q170" s="498">
        <v>20000</v>
      </c>
      <c r="R170" s="498">
        <v>20000</v>
      </c>
      <c r="S170" s="498">
        <v>20000</v>
      </c>
      <c r="T170" s="498">
        <v>20000</v>
      </c>
      <c r="U170" s="498">
        <v>20000</v>
      </c>
      <c r="V170" s="498">
        <v>20000</v>
      </c>
      <c r="W170" s="498">
        <v>20000</v>
      </c>
      <c r="X170" s="498">
        <v>20000</v>
      </c>
      <c r="Y170" s="498">
        <v>20000</v>
      </c>
      <c r="Z170" s="498">
        <v>20000</v>
      </c>
      <c r="AA170" s="498">
        <v>0</v>
      </c>
      <c r="AB170" s="498">
        <v>0</v>
      </c>
      <c r="AC170" s="498">
        <v>0</v>
      </c>
      <c r="AD170" s="498">
        <v>0</v>
      </c>
      <c r="AE170" s="498">
        <v>0</v>
      </c>
      <c r="AF170" s="498">
        <v>0</v>
      </c>
      <c r="AG170" s="498">
        <v>0</v>
      </c>
      <c r="AH170" s="498">
        <v>0</v>
      </c>
      <c r="AI170" s="498">
        <v>0</v>
      </c>
      <c r="AJ170" s="498">
        <v>0</v>
      </c>
      <c r="AK170" s="498">
        <v>0</v>
      </c>
      <c r="AL170" s="498">
        <v>0</v>
      </c>
      <c r="AM170" s="498">
        <v>0</v>
      </c>
      <c r="AN170" s="498">
        <v>0</v>
      </c>
      <c r="AO170" s="498">
        <v>0</v>
      </c>
      <c r="AP170" s="498">
        <v>0</v>
      </c>
      <c r="AQ170" s="498">
        <v>0</v>
      </c>
      <c r="AR170" s="498">
        <v>0</v>
      </c>
      <c r="AS170" s="498">
        <v>0</v>
      </c>
      <c r="AT170" s="498">
        <v>0</v>
      </c>
      <c r="AU170" s="498">
        <v>0</v>
      </c>
      <c r="AV170" s="498">
        <v>0</v>
      </c>
      <c r="AW170" s="498">
        <v>0</v>
      </c>
      <c r="AX170" s="498">
        <v>0</v>
      </c>
      <c r="AY170" s="498">
        <v>0</v>
      </c>
      <c r="AZ170" s="498">
        <v>0</v>
      </c>
      <c r="BA170" s="498">
        <v>0</v>
      </c>
      <c r="BB170" s="498">
        <v>0</v>
      </c>
      <c r="BC170" s="498">
        <v>0</v>
      </c>
      <c r="BD170" s="498">
        <v>0</v>
      </c>
      <c r="BE170" s="498">
        <v>0</v>
      </c>
      <c r="BF170" s="498">
        <v>0</v>
      </c>
      <c r="BG170" s="498">
        <v>0</v>
      </c>
      <c r="BH170" s="498">
        <v>0</v>
      </c>
      <c r="BI170" s="498">
        <v>0</v>
      </c>
      <c r="BJ170" s="498">
        <v>0</v>
      </c>
      <c r="BK170" s="498">
        <v>0</v>
      </c>
      <c r="BL170" s="498">
        <v>0</v>
      </c>
      <c r="BM170" s="498">
        <v>0</v>
      </c>
      <c r="BN170" s="498">
        <v>0</v>
      </c>
      <c r="BO170" s="498">
        <v>0</v>
      </c>
      <c r="BP170" s="498">
        <v>0</v>
      </c>
      <c r="BQ170" s="498">
        <v>0</v>
      </c>
      <c r="BR170" s="498">
        <v>0</v>
      </c>
      <c r="BS170" s="498">
        <v>0</v>
      </c>
      <c r="BT170" s="498">
        <v>0</v>
      </c>
      <c r="BU170" s="498">
        <v>0</v>
      </c>
      <c r="BV170" s="498">
        <v>0</v>
      </c>
      <c r="BW170" s="498">
        <v>0</v>
      </c>
      <c r="BX170" s="498">
        <v>0</v>
      </c>
      <c r="BY170" s="498">
        <v>0</v>
      </c>
      <c r="BZ170" s="498">
        <v>0</v>
      </c>
      <c r="CA170" s="498">
        <v>0</v>
      </c>
      <c r="CB170" s="498">
        <v>0</v>
      </c>
      <c r="CC170" s="498">
        <v>0</v>
      </c>
      <c r="CD170" s="498">
        <v>0</v>
      </c>
      <c r="CE170" s="498">
        <v>0</v>
      </c>
      <c r="CF170" s="498">
        <v>0</v>
      </c>
      <c r="CG170" s="498">
        <v>0</v>
      </c>
      <c r="CH170" s="498">
        <v>0</v>
      </c>
      <c r="CI170" s="498">
        <v>0</v>
      </c>
      <c r="CJ170" s="498">
        <v>0</v>
      </c>
      <c r="CK170" s="498">
        <v>0</v>
      </c>
      <c r="CL170" s="498">
        <v>0</v>
      </c>
      <c r="CM170" s="498">
        <v>0</v>
      </c>
      <c r="CN170" s="498">
        <v>0</v>
      </c>
      <c r="CO170" s="498">
        <v>0</v>
      </c>
      <c r="CP170" s="498">
        <v>0</v>
      </c>
      <c r="CQ170" s="498">
        <v>0</v>
      </c>
      <c r="CR170" s="498">
        <v>0</v>
      </c>
      <c r="CS170" s="498">
        <v>0</v>
      </c>
      <c r="CT170" s="498">
        <v>0</v>
      </c>
      <c r="CU170" s="498">
        <v>0</v>
      </c>
      <c r="CV170" s="498">
        <v>0</v>
      </c>
      <c r="CW170" s="498">
        <v>0</v>
      </c>
      <c r="CX170" s="498">
        <v>0</v>
      </c>
      <c r="CY170" s="498">
        <v>0</v>
      </c>
      <c r="CZ170" s="498">
        <v>0</v>
      </c>
      <c r="DA170" s="498">
        <v>0</v>
      </c>
      <c r="DB170" s="498">
        <v>0</v>
      </c>
      <c r="DC170" s="498">
        <v>0</v>
      </c>
      <c r="DD170" s="498">
        <v>0</v>
      </c>
      <c r="DE170" s="498">
        <v>0</v>
      </c>
      <c r="DF170" s="498">
        <v>0</v>
      </c>
      <c r="DG170" s="498">
        <v>0</v>
      </c>
      <c r="DH170" s="498">
        <v>0</v>
      </c>
      <c r="DI170" s="498">
        <v>0</v>
      </c>
      <c r="DJ170" s="498">
        <v>0</v>
      </c>
      <c r="DK170" s="498">
        <v>0</v>
      </c>
      <c r="DL170" s="498">
        <v>0</v>
      </c>
      <c r="DM170" s="498">
        <v>0</v>
      </c>
      <c r="DN170" s="498">
        <v>0</v>
      </c>
      <c r="DO170" s="498">
        <v>0</v>
      </c>
      <c r="DP170" s="498">
        <v>0</v>
      </c>
      <c r="DQ170" s="498">
        <v>0</v>
      </c>
      <c r="DR170" s="498">
        <v>0</v>
      </c>
      <c r="DS170" s="498">
        <v>0</v>
      </c>
      <c r="DT170" s="498">
        <v>0</v>
      </c>
      <c r="DU170" s="498">
        <v>0</v>
      </c>
      <c r="DV170" s="498">
        <v>0</v>
      </c>
      <c r="DW170" s="498">
        <v>0</v>
      </c>
      <c r="DX170" s="477"/>
      <c r="DY170" s="497" t="s">
        <v>720</v>
      </c>
      <c r="DZ170" s="497" t="s">
        <v>617</v>
      </c>
      <c r="EA170" s="497" t="s">
        <v>26</v>
      </c>
      <c r="EB170" s="498">
        <v>37</v>
      </c>
      <c r="EC170" s="494" t="str">
        <f t="shared" si="6"/>
        <v>AIJ100237</v>
      </c>
      <c r="ED170" s="498">
        <v>0</v>
      </c>
      <c r="EE170" s="498">
        <v>282</v>
      </c>
      <c r="EF170" s="498">
        <v>609</v>
      </c>
      <c r="EG170" s="498">
        <v>950</v>
      </c>
      <c r="EH170" s="498">
        <v>1491</v>
      </c>
      <c r="EI170" s="498">
        <v>2042</v>
      </c>
      <c r="EJ170" s="498">
        <v>2951</v>
      </c>
      <c r="EK170" s="498">
        <v>4200</v>
      </c>
      <c r="EL170" s="498">
        <v>5844</v>
      </c>
      <c r="EM170" s="498">
        <v>0</v>
      </c>
      <c r="EN170" s="498">
        <v>0</v>
      </c>
      <c r="EO170" s="498">
        <v>0</v>
      </c>
      <c r="EP170" s="498">
        <v>0</v>
      </c>
      <c r="EQ170" s="498">
        <v>0</v>
      </c>
      <c r="ER170" s="498">
        <v>0</v>
      </c>
      <c r="ES170" s="498">
        <v>0</v>
      </c>
      <c r="ET170" s="498">
        <v>0</v>
      </c>
      <c r="EU170" s="498">
        <v>0</v>
      </c>
      <c r="EV170" s="498">
        <v>0</v>
      </c>
      <c r="EW170" s="498">
        <v>0</v>
      </c>
      <c r="EX170" s="498">
        <v>0</v>
      </c>
      <c r="EY170" s="498">
        <v>0</v>
      </c>
      <c r="EZ170" s="498">
        <v>0</v>
      </c>
      <c r="FA170" s="498">
        <v>0</v>
      </c>
      <c r="FB170" s="498">
        <v>0</v>
      </c>
      <c r="FC170" s="498">
        <v>0</v>
      </c>
      <c r="FD170" s="498">
        <v>0</v>
      </c>
      <c r="FE170" s="498">
        <v>0</v>
      </c>
      <c r="FF170" s="498">
        <v>0</v>
      </c>
      <c r="FG170" s="498">
        <v>0</v>
      </c>
      <c r="FH170" s="498">
        <v>0</v>
      </c>
      <c r="FI170" s="498">
        <v>0</v>
      </c>
      <c r="FJ170" s="498">
        <v>0</v>
      </c>
      <c r="FK170" s="498">
        <v>0</v>
      </c>
      <c r="FL170" s="498">
        <v>0</v>
      </c>
      <c r="FM170" s="498">
        <v>0</v>
      </c>
      <c r="FN170" s="498">
        <v>0</v>
      </c>
      <c r="FO170" s="498">
        <v>0</v>
      </c>
      <c r="FP170" s="498">
        <v>0</v>
      </c>
      <c r="FQ170" s="498">
        <v>0</v>
      </c>
      <c r="FR170" s="498">
        <v>0</v>
      </c>
      <c r="FS170" s="498">
        <v>0</v>
      </c>
      <c r="FT170" s="498">
        <v>0</v>
      </c>
      <c r="FU170" s="498">
        <v>0</v>
      </c>
      <c r="FV170" s="498">
        <v>0</v>
      </c>
      <c r="FW170" s="498">
        <v>0</v>
      </c>
      <c r="FX170" s="498">
        <v>0</v>
      </c>
      <c r="FY170" s="498">
        <v>0</v>
      </c>
      <c r="FZ170" s="498">
        <v>0</v>
      </c>
      <c r="GA170" s="498">
        <v>0</v>
      </c>
      <c r="GB170" s="498">
        <v>0</v>
      </c>
      <c r="GC170" s="498">
        <v>0</v>
      </c>
      <c r="GD170" s="498">
        <v>0</v>
      </c>
      <c r="GE170" s="498">
        <v>0</v>
      </c>
      <c r="GF170" s="498">
        <v>0</v>
      </c>
      <c r="GG170" s="498">
        <v>0</v>
      </c>
      <c r="GH170" s="498">
        <v>0</v>
      </c>
      <c r="GI170" s="498">
        <v>0</v>
      </c>
      <c r="GJ170" s="498">
        <v>0</v>
      </c>
      <c r="GK170" s="498">
        <v>0</v>
      </c>
      <c r="GL170" s="498">
        <v>0</v>
      </c>
      <c r="GM170" s="498">
        <v>0</v>
      </c>
      <c r="GN170" s="498">
        <v>0</v>
      </c>
      <c r="GO170" s="498">
        <v>0</v>
      </c>
      <c r="GP170" s="498">
        <v>0</v>
      </c>
      <c r="GQ170" s="498">
        <v>0</v>
      </c>
      <c r="GR170" s="498">
        <v>0</v>
      </c>
      <c r="GS170" s="498">
        <v>0</v>
      </c>
      <c r="GT170" s="498">
        <v>0</v>
      </c>
      <c r="GU170" s="498">
        <v>0</v>
      </c>
      <c r="GV170" s="498">
        <v>0</v>
      </c>
      <c r="GW170" s="498">
        <v>0</v>
      </c>
      <c r="GX170" s="498">
        <v>0</v>
      </c>
      <c r="GY170" s="498">
        <v>0</v>
      </c>
      <c r="GZ170" s="498">
        <v>0</v>
      </c>
      <c r="HA170" s="498">
        <v>0</v>
      </c>
      <c r="HB170" s="498">
        <v>0</v>
      </c>
      <c r="HC170" s="498">
        <v>0</v>
      </c>
      <c r="HD170" s="498">
        <v>0</v>
      </c>
      <c r="HE170" s="498">
        <v>0</v>
      </c>
      <c r="HF170" s="498">
        <v>0</v>
      </c>
      <c r="HG170" s="498">
        <v>0</v>
      </c>
      <c r="HH170" s="498">
        <v>0</v>
      </c>
      <c r="HI170" s="498">
        <v>0</v>
      </c>
      <c r="HJ170" s="498">
        <v>0</v>
      </c>
      <c r="HK170" s="498">
        <v>0</v>
      </c>
      <c r="HL170" s="498">
        <v>0</v>
      </c>
      <c r="HM170" s="498">
        <v>0</v>
      </c>
      <c r="HN170" s="498">
        <v>0</v>
      </c>
      <c r="HO170" s="498">
        <v>0</v>
      </c>
      <c r="HP170" s="498">
        <v>0</v>
      </c>
      <c r="HQ170" s="498">
        <v>0</v>
      </c>
      <c r="HR170" s="498">
        <v>0</v>
      </c>
      <c r="HS170" s="498">
        <v>0</v>
      </c>
      <c r="HT170" s="498">
        <v>0</v>
      </c>
      <c r="HU170" s="498">
        <v>0</v>
      </c>
      <c r="HV170" s="498">
        <v>0</v>
      </c>
      <c r="HW170" s="498">
        <v>0</v>
      </c>
      <c r="HX170" s="498">
        <v>0</v>
      </c>
      <c r="HY170" s="498">
        <v>0</v>
      </c>
      <c r="HZ170" s="498">
        <v>0</v>
      </c>
      <c r="IA170" s="498">
        <v>0</v>
      </c>
      <c r="IB170" s="498">
        <v>0</v>
      </c>
      <c r="IC170" s="498">
        <v>0</v>
      </c>
      <c r="ID170" s="498">
        <v>0</v>
      </c>
      <c r="IE170" s="498">
        <v>0</v>
      </c>
      <c r="IF170" s="498">
        <v>0</v>
      </c>
      <c r="IG170" s="498">
        <v>0</v>
      </c>
      <c r="IH170" s="498">
        <v>0</v>
      </c>
      <c r="II170" s="498">
        <v>0</v>
      </c>
      <c r="IJ170" s="498">
        <v>0</v>
      </c>
    </row>
    <row r="171" spans="12:244" hidden="1">
      <c r="L171" s="497" t="s">
        <v>720</v>
      </c>
      <c r="M171" s="497" t="s">
        <v>617</v>
      </c>
      <c r="N171" s="497" t="s">
        <v>26</v>
      </c>
      <c r="O171" s="498">
        <v>38</v>
      </c>
      <c r="P171" s="494" t="str">
        <f t="shared" si="5"/>
        <v>AIJ100238</v>
      </c>
      <c r="Q171" s="498">
        <v>20000</v>
      </c>
      <c r="R171" s="498">
        <v>20000</v>
      </c>
      <c r="S171" s="498">
        <v>20000</v>
      </c>
      <c r="T171" s="498">
        <v>20000</v>
      </c>
      <c r="U171" s="498">
        <v>20000</v>
      </c>
      <c r="V171" s="498">
        <v>20000</v>
      </c>
      <c r="W171" s="498">
        <v>20000</v>
      </c>
      <c r="X171" s="498">
        <v>20000</v>
      </c>
      <c r="Y171" s="498">
        <v>20000</v>
      </c>
      <c r="Z171" s="498">
        <v>20000</v>
      </c>
      <c r="AA171" s="498">
        <v>0</v>
      </c>
      <c r="AB171" s="498">
        <v>0</v>
      </c>
      <c r="AC171" s="498">
        <v>0</v>
      </c>
      <c r="AD171" s="498">
        <v>0</v>
      </c>
      <c r="AE171" s="498">
        <v>0</v>
      </c>
      <c r="AF171" s="498">
        <v>0</v>
      </c>
      <c r="AG171" s="498">
        <v>0</v>
      </c>
      <c r="AH171" s="498">
        <v>0</v>
      </c>
      <c r="AI171" s="498">
        <v>0</v>
      </c>
      <c r="AJ171" s="498">
        <v>0</v>
      </c>
      <c r="AK171" s="498">
        <v>0</v>
      </c>
      <c r="AL171" s="498">
        <v>0</v>
      </c>
      <c r="AM171" s="498">
        <v>0</v>
      </c>
      <c r="AN171" s="498">
        <v>0</v>
      </c>
      <c r="AO171" s="498">
        <v>0</v>
      </c>
      <c r="AP171" s="498">
        <v>0</v>
      </c>
      <c r="AQ171" s="498">
        <v>0</v>
      </c>
      <c r="AR171" s="498">
        <v>0</v>
      </c>
      <c r="AS171" s="498">
        <v>0</v>
      </c>
      <c r="AT171" s="498">
        <v>0</v>
      </c>
      <c r="AU171" s="498">
        <v>0</v>
      </c>
      <c r="AV171" s="498">
        <v>0</v>
      </c>
      <c r="AW171" s="498">
        <v>0</v>
      </c>
      <c r="AX171" s="498">
        <v>0</v>
      </c>
      <c r="AY171" s="498">
        <v>0</v>
      </c>
      <c r="AZ171" s="498">
        <v>0</v>
      </c>
      <c r="BA171" s="498">
        <v>0</v>
      </c>
      <c r="BB171" s="498">
        <v>0</v>
      </c>
      <c r="BC171" s="498">
        <v>0</v>
      </c>
      <c r="BD171" s="498">
        <v>0</v>
      </c>
      <c r="BE171" s="498">
        <v>0</v>
      </c>
      <c r="BF171" s="498">
        <v>0</v>
      </c>
      <c r="BG171" s="498">
        <v>0</v>
      </c>
      <c r="BH171" s="498">
        <v>0</v>
      </c>
      <c r="BI171" s="498">
        <v>0</v>
      </c>
      <c r="BJ171" s="498">
        <v>0</v>
      </c>
      <c r="BK171" s="498">
        <v>0</v>
      </c>
      <c r="BL171" s="498">
        <v>0</v>
      </c>
      <c r="BM171" s="498">
        <v>0</v>
      </c>
      <c r="BN171" s="498">
        <v>0</v>
      </c>
      <c r="BO171" s="498">
        <v>0</v>
      </c>
      <c r="BP171" s="498">
        <v>0</v>
      </c>
      <c r="BQ171" s="498">
        <v>0</v>
      </c>
      <c r="BR171" s="498">
        <v>0</v>
      </c>
      <c r="BS171" s="498">
        <v>0</v>
      </c>
      <c r="BT171" s="498">
        <v>0</v>
      </c>
      <c r="BU171" s="498">
        <v>0</v>
      </c>
      <c r="BV171" s="498">
        <v>0</v>
      </c>
      <c r="BW171" s="498">
        <v>0</v>
      </c>
      <c r="BX171" s="498">
        <v>0</v>
      </c>
      <c r="BY171" s="498">
        <v>0</v>
      </c>
      <c r="BZ171" s="498">
        <v>0</v>
      </c>
      <c r="CA171" s="498">
        <v>0</v>
      </c>
      <c r="CB171" s="498">
        <v>0</v>
      </c>
      <c r="CC171" s="498">
        <v>0</v>
      </c>
      <c r="CD171" s="498">
        <v>0</v>
      </c>
      <c r="CE171" s="498">
        <v>0</v>
      </c>
      <c r="CF171" s="498">
        <v>0</v>
      </c>
      <c r="CG171" s="498">
        <v>0</v>
      </c>
      <c r="CH171" s="498">
        <v>0</v>
      </c>
      <c r="CI171" s="498">
        <v>0</v>
      </c>
      <c r="CJ171" s="498">
        <v>0</v>
      </c>
      <c r="CK171" s="498">
        <v>0</v>
      </c>
      <c r="CL171" s="498">
        <v>0</v>
      </c>
      <c r="CM171" s="498">
        <v>0</v>
      </c>
      <c r="CN171" s="498">
        <v>0</v>
      </c>
      <c r="CO171" s="498">
        <v>0</v>
      </c>
      <c r="CP171" s="498">
        <v>0</v>
      </c>
      <c r="CQ171" s="498">
        <v>0</v>
      </c>
      <c r="CR171" s="498">
        <v>0</v>
      </c>
      <c r="CS171" s="498">
        <v>0</v>
      </c>
      <c r="CT171" s="498">
        <v>0</v>
      </c>
      <c r="CU171" s="498">
        <v>0</v>
      </c>
      <c r="CV171" s="498">
        <v>0</v>
      </c>
      <c r="CW171" s="498">
        <v>0</v>
      </c>
      <c r="CX171" s="498">
        <v>0</v>
      </c>
      <c r="CY171" s="498">
        <v>0</v>
      </c>
      <c r="CZ171" s="498">
        <v>0</v>
      </c>
      <c r="DA171" s="498">
        <v>0</v>
      </c>
      <c r="DB171" s="498">
        <v>0</v>
      </c>
      <c r="DC171" s="498">
        <v>0</v>
      </c>
      <c r="DD171" s="498">
        <v>0</v>
      </c>
      <c r="DE171" s="498">
        <v>0</v>
      </c>
      <c r="DF171" s="498">
        <v>0</v>
      </c>
      <c r="DG171" s="498">
        <v>0</v>
      </c>
      <c r="DH171" s="498">
        <v>0</v>
      </c>
      <c r="DI171" s="498">
        <v>0</v>
      </c>
      <c r="DJ171" s="498">
        <v>0</v>
      </c>
      <c r="DK171" s="498">
        <v>0</v>
      </c>
      <c r="DL171" s="498">
        <v>0</v>
      </c>
      <c r="DM171" s="498">
        <v>0</v>
      </c>
      <c r="DN171" s="498">
        <v>0</v>
      </c>
      <c r="DO171" s="498">
        <v>0</v>
      </c>
      <c r="DP171" s="498">
        <v>0</v>
      </c>
      <c r="DQ171" s="498">
        <v>0</v>
      </c>
      <c r="DR171" s="498">
        <v>0</v>
      </c>
      <c r="DS171" s="498">
        <v>0</v>
      </c>
      <c r="DT171" s="498">
        <v>0</v>
      </c>
      <c r="DU171" s="498">
        <v>0</v>
      </c>
      <c r="DV171" s="498">
        <v>0</v>
      </c>
      <c r="DW171" s="498">
        <v>0</v>
      </c>
      <c r="DX171" s="477"/>
      <c r="DY171" s="497" t="s">
        <v>720</v>
      </c>
      <c r="DZ171" s="497" t="s">
        <v>617</v>
      </c>
      <c r="EA171" s="497" t="s">
        <v>26</v>
      </c>
      <c r="EB171" s="498">
        <v>38</v>
      </c>
      <c r="EC171" s="494" t="str">
        <f t="shared" si="6"/>
        <v>AIJ100238</v>
      </c>
      <c r="ED171" s="498">
        <v>0</v>
      </c>
      <c r="EE171" s="498">
        <v>317</v>
      </c>
      <c r="EF171" s="498">
        <v>634</v>
      </c>
      <c r="EG171" s="498">
        <v>1016</v>
      </c>
      <c r="EH171" s="498">
        <v>1548</v>
      </c>
      <c r="EI171" s="498">
        <v>2027</v>
      </c>
      <c r="EJ171" s="498">
        <v>2913</v>
      </c>
      <c r="EK171" s="498">
        <v>4231</v>
      </c>
      <c r="EL171" s="498">
        <v>5875</v>
      </c>
      <c r="EM171" s="498">
        <v>0</v>
      </c>
      <c r="EN171" s="498">
        <v>0</v>
      </c>
      <c r="EO171" s="498">
        <v>0</v>
      </c>
      <c r="EP171" s="498">
        <v>0</v>
      </c>
      <c r="EQ171" s="498">
        <v>0</v>
      </c>
      <c r="ER171" s="498">
        <v>0</v>
      </c>
      <c r="ES171" s="498">
        <v>0</v>
      </c>
      <c r="ET171" s="498">
        <v>0</v>
      </c>
      <c r="EU171" s="498">
        <v>0</v>
      </c>
      <c r="EV171" s="498">
        <v>0</v>
      </c>
      <c r="EW171" s="498">
        <v>0</v>
      </c>
      <c r="EX171" s="498">
        <v>0</v>
      </c>
      <c r="EY171" s="498">
        <v>0</v>
      </c>
      <c r="EZ171" s="498">
        <v>0</v>
      </c>
      <c r="FA171" s="498">
        <v>0</v>
      </c>
      <c r="FB171" s="498">
        <v>0</v>
      </c>
      <c r="FC171" s="498">
        <v>0</v>
      </c>
      <c r="FD171" s="498">
        <v>0</v>
      </c>
      <c r="FE171" s="498">
        <v>0</v>
      </c>
      <c r="FF171" s="498">
        <v>0</v>
      </c>
      <c r="FG171" s="498">
        <v>0</v>
      </c>
      <c r="FH171" s="498">
        <v>0</v>
      </c>
      <c r="FI171" s="498">
        <v>0</v>
      </c>
      <c r="FJ171" s="498">
        <v>0</v>
      </c>
      <c r="FK171" s="498">
        <v>0</v>
      </c>
      <c r="FL171" s="498">
        <v>0</v>
      </c>
      <c r="FM171" s="498">
        <v>0</v>
      </c>
      <c r="FN171" s="498">
        <v>0</v>
      </c>
      <c r="FO171" s="498">
        <v>0</v>
      </c>
      <c r="FP171" s="498">
        <v>0</v>
      </c>
      <c r="FQ171" s="498">
        <v>0</v>
      </c>
      <c r="FR171" s="498">
        <v>0</v>
      </c>
      <c r="FS171" s="498">
        <v>0</v>
      </c>
      <c r="FT171" s="498">
        <v>0</v>
      </c>
      <c r="FU171" s="498">
        <v>0</v>
      </c>
      <c r="FV171" s="498">
        <v>0</v>
      </c>
      <c r="FW171" s="498">
        <v>0</v>
      </c>
      <c r="FX171" s="498">
        <v>0</v>
      </c>
      <c r="FY171" s="498">
        <v>0</v>
      </c>
      <c r="FZ171" s="498">
        <v>0</v>
      </c>
      <c r="GA171" s="498">
        <v>0</v>
      </c>
      <c r="GB171" s="498">
        <v>0</v>
      </c>
      <c r="GC171" s="498">
        <v>0</v>
      </c>
      <c r="GD171" s="498">
        <v>0</v>
      </c>
      <c r="GE171" s="498">
        <v>0</v>
      </c>
      <c r="GF171" s="498">
        <v>0</v>
      </c>
      <c r="GG171" s="498">
        <v>0</v>
      </c>
      <c r="GH171" s="498">
        <v>0</v>
      </c>
      <c r="GI171" s="498">
        <v>0</v>
      </c>
      <c r="GJ171" s="498">
        <v>0</v>
      </c>
      <c r="GK171" s="498">
        <v>0</v>
      </c>
      <c r="GL171" s="498">
        <v>0</v>
      </c>
      <c r="GM171" s="498">
        <v>0</v>
      </c>
      <c r="GN171" s="498">
        <v>0</v>
      </c>
      <c r="GO171" s="498">
        <v>0</v>
      </c>
      <c r="GP171" s="498">
        <v>0</v>
      </c>
      <c r="GQ171" s="498">
        <v>0</v>
      </c>
      <c r="GR171" s="498">
        <v>0</v>
      </c>
      <c r="GS171" s="498">
        <v>0</v>
      </c>
      <c r="GT171" s="498">
        <v>0</v>
      </c>
      <c r="GU171" s="498">
        <v>0</v>
      </c>
      <c r="GV171" s="498">
        <v>0</v>
      </c>
      <c r="GW171" s="498">
        <v>0</v>
      </c>
      <c r="GX171" s="498">
        <v>0</v>
      </c>
      <c r="GY171" s="498">
        <v>0</v>
      </c>
      <c r="GZ171" s="498">
        <v>0</v>
      </c>
      <c r="HA171" s="498">
        <v>0</v>
      </c>
      <c r="HB171" s="498">
        <v>0</v>
      </c>
      <c r="HC171" s="498">
        <v>0</v>
      </c>
      <c r="HD171" s="498">
        <v>0</v>
      </c>
      <c r="HE171" s="498">
        <v>0</v>
      </c>
      <c r="HF171" s="498">
        <v>0</v>
      </c>
      <c r="HG171" s="498">
        <v>0</v>
      </c>
      <c r="HH171" s="498">
        <v>0</v>
      </c>
      <c r="HI171" s="498">
        <v>0</v>
      </c>
      <c r="HJ171" s="498">
        <v>0</v>
      </c>
      <c r="HK171" s="498">
        <v>0</v>
      </c>
      <c r="HL171" s="498">
        <v>0</v>
      </c>
      <c r="HM171" s="498">
        <v>0</v>
      </c>
      <c r="HN171" s="498">
        <v>0</v>
      </c>
      <c r="HO171" s="498">
        <v>0</v>
      </c>
      <c r="HP171" s="498">
        <v>0</v>
      </c>
      <c r="HQ171" s="498">
        <v>0</v>
      </c>
      <c r="HR171" s="498">
        <v>0</v>
      </c>
      <c r="HS171" s="498">
        <v>0</v>
      </c>
      <c r="HT171" s="498">
        <v>0</v>
      </c>
      <c r="HU171" s="498">
        <v>0</v>
      </c>
      <c r="HV171" s="498">
        <v>0</v>
      </c>
      <c r="HW171" s="498">
        <v>0</v>
      </c>
      <c r="HX171" s="498">
        <v>0</v>
      </c>
      <c r="HY171" s="498">
        <v>0</v>
      </c>
      <c r="HZ171" s="498">
        <v>0</v>
      </c>
      <c r="IA171" s="498">
        <v>0</v>
      </c>
      <c r="IB171" s="498">
        <v>0</v>
      </c>
      <c r="IC171" s="498">
        <v>0</v>
      </c>
      <c r="ID171" s="498">
        <v>0</v>
      </c>
      <c r="IE171" s="498">
        <v>0</v>
      </c>
      <c r="IF171" s="498">
        <v>0</v>
      </c>
      <c r="IG171" s="498">
        <v>0</v>
      </c>
      <c r="IH171" s="498">
        <v>0</v>
      </c>
      <c r="II171" s="498">
        <v>0</v>
      </c>
      <c r="IJ171" s="498">
        <v>0</v>
      </c>
    </row>
    <row r="172" spans="12:244" hidden="1">
      <c r="L172" s="497" t="s">
        <v>720</v>
      </c>
      <c r="M172" s="497" t="s">
        <v>617</v>
      </c>
      <c r="N172" s="497" t="s">
        <v>26</v>
      </c>
      <c r="O172" s="498">
        <v>39</v>
      </c>
      <c r="P172" s="494" t="str">
        <f t="shared" si="5"/>
        <v>AIJ100239</v>
      </c>
      <c r="Q172" s="498">
        <v>20000</v>
      </c>
      <c r="R172" s="498">
        <v>20000</v>
      </c>
      <c r="S172" s="498">
        <v>20000</v>
      </c>
      <c r="T172" s="498">
        <v>20000</v>
      </c>
      <c r="U172" s="498">
        <v>20000</v>
      </c>
      <c r="V172" s="498">
        <v>20000</v>
      </c>
      <c r="W172" s="498">
        <v>20000</v>
      </c>
      <c r="X172" s="498">
        <v>20000</v>
      </c>
      <c r="Y172" s="498">
        <v>20000</v>
      </c>
      <c r="Z172" s="498">
        <v>20000</v>
      </c>
      <c r="AA172" s="498">
        <v>0</v>
      </c>
      <c r="AB172" s="498">
        <v>0</v>
      </c>
      <c r="AC172" s="498">
        <v>0</v>
      </c>
      <c r="AD172" s="498">
        <v>0</v>
      </c>
      <c r="AE172" s="498">
        <v>0</v>
      </c>
      <c r="AF172" s="498">
        <v>0</v>
      </c>
      <c r="AG172" s="498">
        <v>0</v>
      </c>
      <c r="AH172" s="498">
        <v>0</v>
      </c>
      <c r="AI172" s="498">
        <v>0</v>
      </c>
      <c r="AJ172" s="498">
        <v>0</v>
      </c>
      <c r="AK172" s="498">
        <v>0</v>
      </c>
      <c r="AL172" s="498">
        <v>0</v>
      </c>
      <c r="AM172" s="498">
        <v>0</v>
      </c>
      <c r="AN172" s="498">
        <v>0</v>
      </c>
      <c r="AO172" s="498">
        <v>0</v>
      </c>
      <c r="AP172" s="498">
        <v>0</v>
      </c>
      <c r="AQ172" s="498">
        <v>0</v>
      </c>
      <c r="AR172" s="498">
        <v>0</v>
      </c>
      <c r="AS172" s="498">
        <v>0</v>
      </c>
      <c r="AT172" s="498">
        <v>0</v>
      </c>
      <c r="AU172" s="498">
        <v>0</v>
      </c>
      <c r="AV172" s="498">
        <v>0</v>
      </c>
      <c r="AW172" s="498">
        <v>0</v>
      </c>
      <c r="AX172" s="498">
        <v>0</v>
      </c>
      <c r="AY172" s="498">
        <v>0</v>
      </c>
      <c r="AZ172" s="498">
        <v>0</v>
      </c>
      <c r="BA172" s="498">
        <v>0</v>
      </c>
      <c r="BB172" s="498">
        <v>0</v>
      </c>
      <c r="BC172" s="498">
        <v>0</v>
      </c>
      <c r="BD172" s="498">
        <v>0</v>
      </c>
      <c r="BE172" s="498">
        <v>0</v>
      </c>
      <c r="BF172" s="498">
        <v>0</v>
      </c>
      <c r="BG172" s="498">
        <v>0</v>
      </c>
      <c r="BH172" s="498">
        <v>0</v>
      </c>
      <c r="BI172" s="498">
        <v>0</v>
      </c>
      <c r="BJ172" s="498">
        <v>0</v>
      </c>
      <c r="BK172" s="498">
        <v>0</v>
      </c>
      <c r="BL172" s="498">
        <v>0</v>
      </c>
      <c r="BM172" s="498">
        <v>0</v>
      </c>
      <c r="BN172" s="498">
        <v>0</v>
      </c>
      <c r="BO172" s="498">
        <v>0</v>
      </c>
      <c r="BP172" s="498">
        <v>0</v>
      </c>
      <c r="BQ172" s="498">
        <v>0</v>
      </c>
      <c r="BR172" s="498">
        <v>0</v>
      </c>
      <c r="BS172" s="498">
        <v>0</v>
      </c>
      <c r="BT172" s="498">
        <v>0</v>
      </c>
      <c r="BU172" s="498">
        <v>0</v>
      </c>
      <c r="BV172" s="498">
        <v>0</v>
      </c>
      <c r="BW172" s="498">
        <v>0</v>
      </c>
      <c r="BX172" s="498">
        <v>0</v>
      </c>
      <c r="BY172" s="498">
        <v>0</v>
      </c>
      <c r="BZ172" s="498">
        <v>0</v>
      </c>
      <c r="CA172" s="498">
        <v>0</v>
      </c>
      <c r="CB172" s="498">
        <v>0</v>
      </c>
      <c r="CC172" s="498">
        <v>0</v>
      </c>
      <c r="CD172" s="498">
        <v>0</v>
      </c>
      <c r="CE172" s="498">
        <v>0</v>
      </c>
      <c r="CF172" s="498">
        <v>0</v>
      </c>
      <c r="CG172" s="498">
        <v>0</v>
      </c>
      <c r="CH172" s="498">
        <v>0</v>
      </c>
      <c r="CI172" s="498">
        <v>0</v>
      </c>
      <c r="CJ172" s="498">
        <v>0</v>
      </c>
      <c r="CK172" s="498">
        <v>0</v>
      </c>
      <c r="CL172" s="498">
        <v>0</v>
      </c>
      <c r="CM172" s="498">
        <v>0</v>
      </c>
      <c r="CN172" s="498">
        <v>0</v>
      </c>
      <c r="CO172" s="498">
        <v>0</v>
      </c>
      <c r="CP172" s="498">
        <v>0</v>
      </c>
      <c r="CQ172" s="498">
        <v>0</v>
      </c>
      <c r="CR172" s="498">
        <v>0</v>
      </c>
      <c r="CS172" s="498">
        <v>0</v>
      </c>
      <c r="CT172" s="498">
        <v>0</v>
      </c>
      <c r="CU172" s="498">
        <v>0</v>
      </c>
      <c r="CV172" s="498">
        <v>0</v>
      </c>
      <c r="CW172" s="498">
        <v>0</v>
      </c>
      <c r="CX172" s="498">
        <v>0</v>
      </c>
      <c r="CY172" s="498">
        <v>0</v>
      </c>
      <c r="CZ172" s="498">
        <v>0</v>
      </c>
      <c r="DA172" s="498">
        <v>0</v>
      </c>
      <c r="DB172" s="498">
        <v>0</v>
      </c>
      <c r="DC172" s="498">
        <v>0</v>
      </c>
      <c r="DD172" s="498">
        <v>0</v>
      </c>
      <c r="DE172" s="498">
        <v>0</v>
      </c>
      <c r="DF172" s="498">
        <v>0</v>
      </c>
      <c r="DG172" s="498">
        <v>0</v>
      </c>
      <c r="DH172" s="498">
        <v>0</v>
      </c>
      <c r="DI172" s="498">
        <v>0</v>
      </c>
      <c r="DJ172" s="498">
        <v>0</v>
      </c>
      <c r="DK172" s="498">
        <v>0</v>
      </c>
      <c r="DL172" s="498">
        <v>0</v>
      </c>
      <c r="DM172" s="498">
        <v>0</v>
      </c>
      <c r="DN172" s="498">
        <v>0</v>
      </c>
      <c r="DO172" s="498">
        <v>0</v>
      </c>
      <c r="DP172" s="498">
        <v>0</v>
      </c>
      <c r="DQ172" s="498">
        <v>0</v>
      </c>
      <c r="DR172" s="498">
        <v>0</v>
      </c>
      <c r="DS172" s="498">
        <v>0</v>
      </c>
      <c r="DT172" s="498">
        <v>0</v>
      </c>
      <c r="DU172" s="498">
        <v>0</v>
      </c>
      <c r="DV172" s="498">
        <v>0</v>
      </c>
      <c r="DW172" s="498">
        <v>0</v>
      </c>
      <c r="DX172" s="477"/>
      <c r="DY172" s="497" t="s">
        <v>720</v>
      </c>
      <c r="DZ172" s="497" t="s">
        <v>617</v>
      </c>
      <c r="EA172" s="497" t="s">
        <v>26</v>
      </c>
      <c r="EB172" s="498">
        <v>39</v>
      </c>
      <c r="EC172" s="494" t="str">
        <f t="shared" si="6"/>
        <v>AIJ100239</v>
      </c>
      <c r="ED172" s="498">
        <v>0</v>
      </c>
      <c r="EE172" s="498">
        <v>303</v>
      </c>
      <c r="EF172" s="498">
        <v>657</v>
      </c>
      <c r="EG172" s="498">
        <v>1026</v>
      </c>
      <c r="EH172" s="498">
        <v>1543</v>
      </c>
      <c r="EI172" s="498">
        <v>2143</v>
      </c>
      <c r="EJ172" s="498">
        <v>2932</v>
      </c>
      <c r="EK172" s="498">
        <v>4259</v>
      </c>
      <c r="EL172" s="498">
        <v>5904</v>
      </c>
      <c r="EM172" s="498">
        <v>0</v>
      </c>
      <c r="EN172" s="498">
        <v>0</v>
      </c>
      <c r="EO172" s="498">
        <v>0</v>
      </c>
      <c r="EP172" s="498">
        <v>0</v>
      </c>
      <c r="EQ172" s="498">
        <v>0</v>
      </c>
      <c r="ER172" s="498">
        <v>0</v>
      </c>
      <c r="ES172" s="498">
        <v>0</v>
      </c>
      <c r="ET172" s="498">
        <v>0</v>
      </c>
      <c r="EU172" s="498">
        <v>0</v>
      </c>
      <c r="EV172" s="498">
        <v>0</v>
      </c>
      <c r="EW172" s="498">
        <v>0</v>
      </c>
      <c r="EX172" s="498">
        <v>0</v>
      </c>
      <c r="EY172" s="498">
        <v>0</v>
      </c>
      <c r="EZ172" s="498">
        <v>0</v>
      </c>
      <c r="FA172" s="498">
        <v>0</v>
      </c>
      <c r="FB172" s="498">
        <v>0</v>
      </c>
      <c r="FC172" s="498">
        <v>0</v>
      </c>
      <c r="FD172" s="498">
        <v>0</v>
      </c>
      <c r="FE172" s="498">
        <v>0</v>
      </c>
      <c r="FF172" s="498">
        <v>0</v>
      </c>
      <c r="FG172" s="498">
        <v>0</v>
      </c>
      <c r="FH172" s="498">
        <v>0</v>
      </c>
      <c r="FI172" s="498">
        <v>0</v>
      </c>
      <c r="FJ172" s="498">
        <v>0</v>
      </c>
      <c r="FK172" s="498">
        <v>0</v>
      </c>
      <c r="FL172" s="498">
        <v>0</v>
      </c>
      <c r="FM172" s="498">
        <v>0</v>
      </c>
      <c r="FN172" s="498">
        <v>0</v>
      </c>
      <c r="FO172" s="498">
        <v>0</v>
      </c>
      <c r="FP172" s="498">
        <v>0</v>
      </c>
      <c r="FQ172" s="498">
        <v>0</v>
      </c>
      <c r="FR172" s="498">
        <v>0</v>
      </c>
      <c r="FS172" s="498">
        <v>0</v>
      </c>
      <c r="FT172" s="498">
        <v>0</v>
      </c>
      <c r="FU172" s="498">
        <v>0</v>
      </c>
      <c r="FV172" s="498">
        <v>0</v>
      </c>
      <c r="FW172" s="498">
        <v>0</v>
      </c>
      <c r="FX172" s="498">
        <v>0</v>
      </c>
      <c r="FY172" s="498">
        <v>0</v>
      </c>
      <c r="FZ172" s="498">
        <v>0</v>
      </c>
      <c r="GA172" s="498">
        <v>0</v>
      </c>
      <c r="GB172" s="498">
        <v>0</v>
      </c>
      <c r="GC172" s="498">
        <v>0</v>
      </c>
      <c r="GD172" s="498">
        <v>0</v>
      </c>
      <c r="GE172" s="498">
        <v>0</v>
      </c>
      <c r="GF172" s="498">
        <v>0</v>
      </c>
      <c r="GG172" s="498">
        <v>0</v>
      </c>
      <c r="GH172" s="498">
        <v>0</v>
      </c>
      <c r="GI172" s="498">
        <v>0</v>
      </c>
      <c r="GJ172" s="498">
        <v>0</v>
      </c>
      <c r="GK172" s="498">
        <v>0</v>
      </c>
      <c r="GL172" s="498">
        <v>0</v>
      </c>
      <c r="GM172" s="498">
        <v>0</v>
      </c>
      <c r="GN172" s="498">
        <v>0</v>
      </c>
      <c r="GO172" s="498">
        <v>0</v>
      </c>
      <c r="GP172" s="498">
        <v>0</v>
      </c>
      <c r="GQ172" s="498">
        <v>0</v>
      </c>
      <c r="GR172" s="498">
        <v>0</v>
      </c>
      <c r="GS172" s="498">
        <v>0</v>
      </c>
      <c r="GT172" s="498">
        <v>0</v>
      </c>
      <c r="GU172" s="498">
        <v>0</v>
      </c>
      <c r="GV172" s="498">
        <v>0</v>
      </c>
      <c r="GW172" s="498">
        <v>0</v>
      </c>
      <c r="GX172" s="498">
        <v>0</v>
      </c>
      <c r="GY172" s="498">
        <v>0</v>
      </c>
      <c r="GZ172" s="498">
        <v>0</v>
      </c>
      <c r="HA172" s="498">
        <v>0</v>
      </c>
      <c r="HB172" s="498">
        <v>0</v>
      </c>
      <c r="HC172" s="498">
        <v>0</v>
      </c>
      <c r="HD172" s="498">
        <v>0</v>
      </c>
      <c r="HE172" s="498">
        <v>0</v>
      </c>
      <c r="HF172" s="498">
        <v>0</v>
      </c>
      <c r="HG172" s="498">
        <v>0</v>
      </c>
      <c r="HH172" s="498">
        <v>0</v>
      </c>
      <c r="HI172" s="498">
        <v>0</v>
      </c>
      <c r="HJ172" s="498">
        <v>0</v>
      </c>
      <c r="HK172" s="498">
        <v>0</v>
      </c>
      <c r="HL172" s="498">
        <v>0</v>
      </c>
      <c r="HM172" s="498">
        <v>0</v>
      </c>
      <c r="HN172" s="498">
        <v>0</v>
      </c>
      <c r="HO172" s="498">
        <v>0</v>
      </c>
      <c r="HP172" s="498">
        <v>0</v>
      </c>
      <c r="HQ172" s="498">
        <v>0</v>
      </c>
      <c r="HR172" s="498">
        <v>0</v>
      </c>
      <c r="HS172" s="498">
        <v>0</v>
      </c>
      <c r="HT172" s="498">
        <v>0</v>
      </c>
      <c r="HU172" s="498">
        <v>0</v>
      </c>
      <c r="HV172" s="498">
        <v>0</v>
      </c>
      <c r="HW172" s="498">
        <v>0</v>
      </c>
      <c r="HX172" s="498">
        <v>0</v>
      </c>
      <c r="HY172" s="498">
        <v>0</v>
      </c>
      <c r="HZ172" s="498">
        <v>0</v>
      </c>
      <c r="IA172" s="498">
        <v>0</v>
      </c>
      <c r="IB172" s="498">
        <v>0</v>
      </c>
      <c r="IC172" s="498">
        <v>0</v>
      </c>
      <c r="ID172" s="498">
        <v>0</v>
      </c>
      <c r="IE172" s="498">
        <v>0</v>
      </c>
      <c r="IF172" s="498">
        <v>0</v>
      </c>
      <c r="IG172" s="498">
        <v>0</v>
      </c>
      <c r="IH172" s="498">
        <v>0</v>
      </c>
      <c r="II172" s="498">
        <v>0</v>
      </c>
      <c r="IJ172" s="498">
        <v>0</v>
      </c>
    </row>
    <row r="173" spans="12:244" hidden="1">
      <c r="L173" s="497" t="s">
        <v>720</v>
      </c>
      <c r="M173" s="497" t="s">
        <v>617</v>
      </c>
      <c r="N173" s="497" t="s">
        <v>26</v>
      </c>
      <c r="O173" s="498">
        <v>40</v>
      </c>
      <c r="P173" s="494" t="str">
        <f t="shared" si="5"/>
        <v>AIJ100240</v>
      </c>
      <c r="Q173" s="498">
        <v>20000</v>
      </c>
      <c r="R173" s="498">
        <v>20000</v>
      </c>
      <c r="S173" s="498">
        <v>20000</v>
      </c>
      <c r="T173" s="498">
        <v>20000</v>
      </c>
      <c r="U173" s="498">
        <v>20000</v>
      </c>
      <c r="V173" s="498">
        <v>20000</v>
      </c>
      <c r="W173" s="498">
        <v>20000</v>
      </c>
      <c r="X173" s="498">
        <v>20000</v>
      </c>
      <c r="Y173" s="498">
        <v>20000</v>
      </c>
      <c r="Z173" s="498">
        <v>20000</v>
      </c>
      <c r="AA173" s="498">
        <v>0</v>
      </c>
      <c r="AB173" s="498">
        <v>0</v>
      </c>
      <c r="AC173" s="498">
        <v>0</v>
      </c>
      <c r="AD173" s="498">
        <v>0</v>
      </c>
      <c r="AE173" s="498">
        <v>0</v>
      </c>
      <c r="AF173" s="498">
        <v>0</v>
      </c>
      <c r="AG173" s="498">
        <v>0</v>
      </c>
      <c r="AH173" s="498">
        <v>0</v>
      </c>
      <c r="AI173" s="498">
        <v>0</v>
      </c>
      <c r="AJ173" s="498">
        <v>0</v>
      </c>
      <c r="AK173" s="498">
        <v>0</v>
      </c>
      <c r="AL173" s="498">
        <v>0</v>
      </c>
      <c r="AM173" s="498">
        <v>0</v>
      </c>
      <c r="AN173" s="498">
        <v>0</v>
      </c>
      <c r="AO173" s="498">
        <v>0</v>
      </c>
      <c r="AP173" s="498">
        <v>0</v>
      </c>
      <c r="AQ173" s="498">
        <v>0</v>
      </c>
      <c r="AR173" s="498">
        <v>0</v>
      </c>
      <c r="AS173" s="498">
        <v>0</v>
      </c>
      <c r="AT173" s="498">
        <v>0</v>
      </c>
      <c r="AU173" s="498">
        <v>0</v>
      </c>
      <c r="AV173" s="498">
        <v>0</v>
      </c>
      <c r="AW173" s="498">
        <v>0</v>
      </c>
      <c r="AX173" s="498">
        <v>0</v>
      </c>
      <c r="AY173" s="498">
        <v>0</v>
      </c>
      <c r="AZ173" s="498">
        <v>0</v>
      </c>
      <c r="BA173" s="498">
        <v>0</v>
      </c>
      <c r="BB173" s="498">
        <v>0</v>
      </c>
      <c r="BC173" s="498">
        <v>0</v>
      </c>
      <c r="BD173" s="498">
        <v>0</v>
      </c>
      <c r="BE173" s="498">
        <v>0</v>
      </c>
      <c r="BF173" s="498">
        <v>0</v>
      </c>
      <c r="BG173" s="498">
        <v>0</v>
      </c>
      <c r="BH173" s="498">
        <v>0</v>
      </c>
      <c r="BI173" s="498">
        <v>0</v>
      </c>
      <c r="BJ173" s="498">
        <v>0</v>
      </c>
      <c r="BK173" s="498">
        <v>0</v>
      </c>
      <c r="BL173" s="498">
        <v>0</v>
      </c>
      <c r="BM173" s="498">
        <v>0</v>
      </c>
      <c r="BN173" s="498">
        <v>0</v>
      </c>
      <c r="BO173" s="498">
        <v>0</v>
      </c>
      <c r="BP173" s="498">
        <v>0</v>
      </c>
      <c r="BQ173" s="498">
        <v>0</v>
      </c>
      <c r="BR173" s="498">
        <v>0</v>
      </c>
      <c r="BS173" s="498">
        <v>0</v>
      </c>
      <c r="BT173" s="498">
        <v>0</v>
      </c>
      <c r="BU173" s="498">
        <v>0</v>
      </c>
      <c r="BV173" s="498">
        <v>0</v>
      </c>
      <c r="BW173" s="498">
        <v>0</v>
      </c>
      <c r="BX173" s="498">
        <v>0</v>
      </c>
      <c r="BY173" s="498">
        <v>0</v>
      </c>
      <c r="BZ173" s="498">
        <v>0</v>
      </c>
      <c r="CA173" s="498">
        <v>0</v>
      </c>
      <c r="CB173" s="498">
        <v>0</v>
      </c>
      <c r="CC173" s="498">
        <v>0</v>
      </c>
      <c r="CD173" s="498">
        <v>0</v>
      </c>
      <c r="CE173" s="498">
        <v>0</v>
      </c>
      <c r="CF173" s="498">
        <v>0</v>
      </c>
      <c r="CG173" s="498">
        <v>0</v>
      </c>
      <c r="CH173" s="498">
        <v>0</v>
      </c>
      <c r="CI173" s="498">
        <v>0</v>
      </c>
      <c r="CJ173" s="498">
        <v>0</v>
      </c>
      <c r="CK173" s="498">
        <v>0</v>
      </c>
      <c r="CL173" s="498">
        <v>0</v>
      </c>
      <c r="CM173" s="498">
        <v>0</v>
      </c>
      <c r="CN173" s="498">
        <v>0</v>
      </c>
      <c r="CO173" s="498">
        <v>0</v>
      </c>
      <c r="CP173" s="498">
        <v>0</v>
      </c>
      <c r="CQ173" s="498">
        <v>0</v>
      </c>
      <c r="CR173" s="498">
        <v>0</v>
      </c>
      <c r="CS173" s="498">
        <v>0</v>
      </c>
      <c r="CT173" s="498">
        <v>0</v>
      </c>
      <c r="CU173" s="498">
        <v>0</v>
      </c>
      <c r="CV173" s="498">
        <v>0</v>
      </c>
      <c r="CW173" s="498">
        <v>0</v>
      </c>
      <c r="CX173" s="498">
        <v>0</v>
      </c>
      <c r="CY173" s="498">
        <v>0</v>
      </c>
      <c r="CZ173" s="498">
        <v>0</v>
      </c>
      <c r="DA173" s="498">
        <v>0</v>
      </c>
      <c r="DB173" s="498">
        <v>0</v>
      </c>
      <c r="DC173" s="498">
        <v>0</v>
      </c>
      <c r="DD173" s="498">
        <v>0</v>
      </c>
      <c r="DE173" s="498">
        <v>0</v>
      </c>
      <c r="DF173" s="498">
        <v>0</v>
      </c>
      <c r="DG173" s="498">
        <v>0</v>
      </c>
      <c r="DH173" s="498">
        <v>0</v>
      </c>
      <c r="DI173" s="498">
        <v>0</v>
      </c>
      <c r="DJ173" s="498">
        <v>0</v>
      </c>
      <c r="DK173" s="498">
        <v>0</v>
      </c>
      <c r="DL173" s="498">
        <v>0</v>
      </c>
      <c r="DM173" s="498">
        <v>0</v>
      </c>
      <c r="DN173" s="498">
        <v>0</v>
      </c>
      <c r="DO173" s="498">
        <v>0</v>
      </c>
      <c r="DP173" s="498">
        <v>0</v>
      </c>
      <c r="DQ173" s="498">
        <v>0</v>
      </c>
      <c r="DR173" s="498">
        <v>0</v>
      </c>
      <c r="DS173" s="498">
        <v>0</v>
      </c>
      <c r="DT173" s="498">
        <v>0</v>
      </c>
      <c r="DU173" s="498">
        <v>0</v>
      </c>
      <c r="DV173" s="498">
        <v>0</v>
      </c>
      <c r="DW173" s="498">
        <v>0</v>
      </c>
      <c r="DX173" s="477"/>
      <c r="DY173" s="497" t="s">
        <v>720</v>
      </c>
      <c r="DZ173" s="497" t="s">
        <v>617</v>
      </c>
      <c r="EA173" s="497" t="s">
        <v>26</v>
      </c>
      <c r="EB173" s="498">
        <v>40</v>
      </c>
      <c r="EC173" s="494" t="str">
        <f t="shared" si="6"/>
        <v>AIJ100240</v>
      </c>
      <c r="ED173" s="498">
        <v>0</v>
      </c>
      <c r="EE173" s="498">
        <v>332</v>
      </c>
      <c r="EF173" s="498">
        <v>628</v>
      </c>
      <c r="EG173" s="498">
        <v>1029</v>
      </c>
      <c r="EH173" s="498">
        <v>1585</v>
      </c>
      <c r="EI173" s="498">
        <v>2099</v>
      </c>
      <c r="EJ173" s="498">
        <v>3043</v>
      </c>
      <c r="EK173" s="498">
        <v>4248</v>
      </c>
      <c r="EL173" s="498">
        <v>5747</v>
      </c>
      <c r="EM173" s="498">
        <v>0</v>
      </c>
      <c r="EN173" s="498">
        <v>0</v>
      </c>
      <c r="EO173" s="498">
        <v>0</v>
      </c>
      <c r="EP173" s="498">
        <v>0</v>
      </c>
      <c r="EQ173" s="498">
        <v>0</v>
      </c>
      <c r="ER173" s="498">
        <v>0</v>
      </c>
      <c r="ES173" s="498">
        <v>0</v>
      </c>
      <c r="ET173" s="498">
        <v>0</v>
      </c>
      <c r="EU173" s="498">
        <v>0</v>
      </c>
      <c r="EV173" s="498">
        <v>0</v>
      </c>
      <c r="EW173" s="498">
        <v>0</v>
      </c>
      <c r="EX173" s="498">
        <v>0</v>
      </c>
      <c r="EY173" s="498">
        <v>0</v>
      </c>
      <c r="EZ173" s="498">
        <v>0</v>
      </c>
      <c r="FA173" s="498">
        <v>0</v>
      </c>
      <c r="FB173" s="498">
        <v>0</v>
      </c>
      <c r="FC173" s="498">
        <v>0</v>
      </c>
      <c r="FD173" s="498">
        <v>0</v>
      </c>
      <c r="FE173" s="498">
        <v>0</v>
      </c>
      <c r="FF173" s="498">
        <v>0</v>
      </c>
      <c r="FG173" s="498">
        <v>0</v>
      </c>
      <c r="FH173" s="498">
        <v>0</v>
      </c>
      <c r="FI173" s="498">
        <v>0</v>
      </c>
      <c r="FJ173" s="498">
        <v>0</v>
      </c>
      <c r="FK173" s="498">
        <v>0</v>
      </c>
      <c r="FL173" s="498">
        <v>0</v>
      </c>
      <c r="FM173" s="498">
        <v>0</v>
      </c>
      <c r="FN173" s="498">
        <v>0</v>
      </c>
      <c r="FO173" s="498">
        <v>0</v>
      </c>
      <c r="FP173" s="498">
        <v>0</v>
      </c>
      <c r="FQ173" s="498">
        <v>0</v>
      </c>
      <c r="FR173" s="498">
        <v>0</v>
      </c>
      <c r="FS173" s="498">
        <v>0</v>
      </c>
      <c r="FT173" s="498">
        <v>0</v>
      </c>
      <c r="FU173" s="498">
        <v>0</v>
      </c>
      <c r="FV173" s="498">
        <v>0</v>
      </c>
      <c r="FW173" s="498">
        <v>0</v>
      </c>
      <c r="FX173" s="498">
        <v>0</v>
      </c>
      <c r="FY173" s="498">
        <v>0</v>
      </c>
      <c r="FZ173" s="498">
        <v>0</v>
      </c>
      <c r="GA173" s="498">
        <v>0</v>
      </c>
      <c r="GB173" s="498">
        <v>0</v>
      </c>
      <c r="GC173" s="498">
        <v>0</v>
      </c>
      <c r="GD173" s="498">
        <v>0</v>
      </c>
      <c r="GE173" s="498">
        <v>0</v>
      </c>
      <c r="GF173" s="498">
        <v>0</v>
      </c>
      <c r="GG173" s="498">
        <v>0</v>
      </c>
      <c r="GH173" s="498">
        <v>0</v>
      </c>
      <c r="GI173" s="498">
        <v>0</v>
      </c>
      <c r="GJ173" s="498">
        <v>0</v>
      </c>
      <c r="GK173" s="498">
        <v>0</v>
      </c>
      <c r="GL173" s="498">
        <v>0</v>
      </c>
      <c r="GM173" s="498">
        <v>0</v>
      </c>
      <c r="GN173" s="498">
        <v>0</v>
      </c>
      <c r="GO173" s="498">
        <v>0</v>
      </c>
      <c r="GP173" s="498">
        <v>0</v>
      </c>
      <c r="GQ173" s="498">
        <v>0</v>
      </c>
      <c r="GR173" s="498">
        <v>0</v>
      </c>
      <c r="GS173" s="498">
        <v>0</v>
      </c>
      <c r="GT173" s="498">
        <v>0</v>
      </c>
      <c r="GU173" s="498">
        <v>0</v>
      </c>
      <c r="GV173" s="498">
        <v>0</v>
      </c>
      <c r="GW173" s="498">
        <v>0</v>
      </c>
      <c r="GX173" s="498">
        <v>0</v>
      </c>
      <c r="GY173" s="498">
        <v>0</v>
      </c>
      <c r="GZ173" s="498">
        <v>0</v>
      </c>
      <c r="HA173" s="498">
        <v>0</v>
      </c>
      <c r="HB173" s="498">
        <v>0</v>
      </c>
      <c r="HC173" s="498">
        <v>0</v>
      </c>
      <c r="HD173" s="498">
        <v>0</v>
      </c>
      <c r="HE173" s="498">
        <v>0</v>
      </c>
      <c r="HF173" s="498">
        <v>0</v>
      </c>
      <c r="HG173" s="498">
        <v>0</v>
      </c>
      <c r="HH173" s="498">
        <v>0</v>
      </c>
      <c r="HI173" s="498">
        <v>0</v>
      </c>
      <c r="HJ173" s="498">
        <v>0</v>
      </c>
      <c r="HK173" s="498">
        <v>0</v>
      </c>
      <c r="HL173" s="498">
        <v>0</v>
      </c>
      <c r="HM173" s="498">
        <v>0</v>
      </c>
      <c r="HN173" s="498">
        <v>0</v>
      </c>
      <c r="HO173" s="498">
        <v>0</v>
      </c>
      <c r="HP173" s="498">
        <v>0</v>
      </c>
      <c r="HQ173" s="498">
        <v>0</v>
      </c>
      <c r="HR173" s="498">
        <v>0</v>
      </c>
      <c r="HS173" s="498">
        <v>0</v>
      </c>
      <c r="HT173" s="498">
        <v>0</v>
      </c>
      <c r="HU173" s="498">
        <v>0</v>
      </c>
      <c r="HV173" s="498">
        <v>0</v>
      </c>
      <c r="HW173" s="498">
        <v>0</v>
      </c>
      <c r="HX173" s="498">
        <v>0</v>
      </c>
      <c r="HY173" s="498">
        <v>0</v>
      </c>
      <c r="HZ173" s="498">
        <v>0</v>
      </c>
      <c r="IA173" s="498">
        <v>0</v>
      </c>
      <c r="IB173" s="498">
        <v>0</v>
      </c>
      <c r="IC173" s="498">
        <v>0</v>
      </c>
      <c r="ID173" s="498">
        <v>0</v>
      </c>
      <c r="IE173" s="498">
        <v>0</v>
      </c>
      <c r="IF173" s="498">
        <v>0</v>
      </c>
      <c r="IG173" s="498">
        <v>0</v>
      </c>
      <c r="IH173" s="498">
        <v>0</v>
      </c>
      <c r="II173" s="498">
        <v>0</v>
      </c>
      <c r="IJ173" s="498">
        <v>0</v>
      </c>
    </row>
    <row r="174" spans="12:244" hidden="1">
      <c r="L174" s="497" t="s">
        <v>720</v>
      </c>
      <c r="M174" s="497" t="s">
        <v>617</v>
      </c>
      <c r="N174" s="497" t="s">
        <v>26</v>
      </c>
      <c r="O174" s="498">
        <v>41</v>
      </c>
      <c r="P174" s="494" t="str">
        <f t="shared" si="5"/>
        <v>AIJ100241</v>
      </c>
      <c r="Q174" s="498">
        <v>20000</v>
      </c>
      <c r="R174" s="498">
        <v>20000</v>
      </c>
      <c r="S174" s="498">
        <v>20000</v>
      </c>
      <c r="T174" s="498">
        <v>20000</v>
      </c>
      <c r="U174" s="498">
        <v>20000</v>
      </c>
      <c r="V174" s="498">
        <v>20000</v>
      </c>
      <c r="W174" s="498">
        <v>20000</v>
      </c>
      <c r="X174" s="498">
        <v>20000</v>
      </c>
      <c r="Y174" s="498">
        <v>20000</v>
      </c>
      <c r="Z174" s="498">
        <v>20000</v>
      </c>
      <c r="AA174" s="498">
        <v>0</v>
      </c>
      <c r="AB174" s="498">
        <v>0</v>
      </c>
      <c r="AC174" s="498">
        <v>0</v>
      </c>
      <c r="AD174" s="498">
        <v>0</v>
      </c>
      <c r="AE174" s="498">
        <v>0</v>
      </c>
      <c r="AF174" s="498">
        <v>0</v>
      </c>
      <c r="AG174" s="498">
        <v>0</v>
      </c>
      <c r="AH174" s="498">
        <v>0</v>
      </c>
      <c r="AI174" s="498">
        <v>0</v>
      </c>
      <c r="AJ174" s="498">
        <v>0</v>
      </c>
      <c r="AK174" s="498">
        <v>0</v>
      </c>
      <c r="AL174" s="498">
        <v>0</v>
      </c>
      <c r="AM174" s="498">
        <v>0</v>
      </c>
      <c r="AN174" s="498">
        <v>0</v>
      </c>
      <c r="AO174" s="498">
        <v>0</v>
      </c>
      <c r="AP174" s="498">
        <v>0</v>
      </c>
      <c r="AQ174" s="498">
        <v>0</v>
      </c>
      <c r="AR174" s="498">
        <v>0</v>
      </c>
      <c r="AS174" s="498">
        <v>0</v>
      </c>
      <c r="AT174" s="498">
        <v>0</v>
      </c>
      <c r="AU174" s="498">
        <v>0</v>
      </c>
      <c r="AV174" s="498">
        <v>0</v>
      </c>
      <c r="AW174" s="498">
        <v>0</v>
      </c>
      <c r="AX174" s="498">
        <v>0</v>
      </c>
      <c r="AY174" s="498">
        <v>0</v>
      </c>
      <c r="AZ174" s="498">
        <v>0</v>
      </c>
      <c r="BA174" s="498">
        <v>0</v>
      </c>
      <c r="BB174" s="498">
        <v>0</v>
      </c>
      <c r="BC174" s="498">
        <v>0</v>
      </c>
      <c r="BD174" s="498">
        <v>0</v>
      </c>
      <c r="BE174" s="498">
        <v>0</v>
      </c>
      <c r="BF174" s="498">
        <v>0</v>
      </c>
      <c r="BG174" s="498">
        <v>0</v>
      </c>
      <c r="BH174" s="498">
        <v>0</v>
      </c>
      <c r="BI174" s="498">
        <v>0</v>
      </c>
      <c r="BJ174" s="498">
        <v>0</v>
      </c>
      <c r="BK174" s="498">
        <v>0</v>
      </c>
      <c r="BL174" s="498">
        <v>0</v>
      </c>
      <c r="BM174" s="498">
        <v>0</v>
      </c>
      <c r="BN174" s="498">
        <v>0</v>
      </c>
      <c r="BO174" s="498">
        <v>0</v>
      </c>
      <c r="BP174" s="498">
        <v>0</v>
      </c>
      <c r="BQ174" s="498">
        <v>0</v>
      </c>
      <c r="BR174" s="498">
        <v>0</v>
      </c>
      <c r="BS174" s="498">
        <v>0</v>
      </c>
      <c r="BT174" s="498">
        <v>0</v>
      </c>
      <c r="BU174" s="498">
        <v>0</v>
      </c>
      <c r="BV174" s="498">
        <v>0</v>
      </c>
      <c r="BW174" s="498">
        <v>0</v>
      </c>
      <c r="BX174" s="498">
        <v>0</v>
      </c>
      <c r="BY174" s="498">
        <v>0</v>
      </c>
      <c r="BZ174" s="498">
        <v>0</v>
      </c>
      <c r="CA174" s="498">
        <v>0</v>
      </c>
      <c r="CB174" s="498">
        <v>0</v>
      </c>
      <c r="CC174" s="498">
        <v>0</v>
      </c>
      <c r="CD174" s="498">
        <v>0</v>
      </c>
      <c r="CE174" s="498">
        <v>0</v>
      </c>
      <c r="CF174" s="498">
        <v>0</v>
      </c>
      <c r="CG174" s="498">
        <v>0</v>
      </c>
      <c r="CH174" s="498">
        <v>0</v>
      </c>
      <c r="CI174" s="498">
        <v>0</v>
      </c>
      <c r="CJ174" s="498">
        <v>0</v>
      </c>
      <c r="CK174" s="498">
        <v>0</v>
      </c>
      <c r="CL174" s="498">
        <v>0</v>
      </c>
      <c r="CM174" s="498">
        <v>0</v>
      </c>
      <c r="CN174" s="498">
        <v>0</v>
      </c>
      <c r="CO174" s="498">
        <v>0</v>
      </c>
      <c r="CP174" s="498">
        <v>0</v>
      </c>
      <c r="CQ174" s="498">
        <v>0</v>
      </c>
      <c r="CR174" s="498">
        <v>0</v>
      </c>
      <c r="CS174" s="498">
        <v>0</v>
      </c>
      <c r="CT174" s="498">
        <v>0</v>
      </c>
      <c r="CU174" s="498">
        <v>0</v>
      </c>
      <c r="CV174" s="498">
        <v>0</v>
      </c>
      <c r="CW174" s="498">
        <v>0</v>
      </c>
      <c r="CX174" s="498">
        <v>0</v>
      </c>
      <c r="CY174" s="498">
        <v>0</v>
      </c>
      <c r="CZ174" s="498">
        <v>0</v>
      </c>
      <c r="DA174" s="498">
        <v>0</v>
      </c>
      <c r="DB174" s="498">
        <v>0</v>
      </c>
      <c r="DC174" s="498">
        <v>0</v>
      </c>
      <c r="DD174" s="498">
        <v>0</v>
      </c>
      <c r="DE174" s="498">
        <v>0</v>
      </c>
      <c r="DF174" s="498">
        <v>0</v>
      </c>
      <c r="DG174" s="498">
        <v>0</v>
      </c>
      <c r="DH174" s="498">
        <v>0</v>
      </c>
      <c r="DI174" s="498">
        <v>0</v>
      </c>
      <c r="DJ174" s="498">
        <v>0</v>
      </c>
      <c r="DK174" s="498">
        <v>0</v>
      </c>
      <c r="DL174" s="498">
        <v>0</v>
      </c>
      <c r="DM174" s="498">
        <v>0</v>
      </c>
      <c r="DN174" s="498">
        <v>0</v>
      </c>
      <c r="DO174" s="498">
        <v>0</v>
      </c>
      <c r="DP174" s="498">
        <v>0</v>
      </c>
      <c r="DQ174" s="498">
        <v>0</v>
      </c>
      <c r="DR174" s="498">
        <v>0</v>
      </c>
      <c r="DS174" s="498">
        <v>0</v>
      </c>
      <c r="DT174" s="498">
        <v>0</v>
      </c>
      <c r="DU174" s="498">
        <v>0</v>
      </c>
      <c r="DV174" s="498">
        <v>0</v>
      </c>
      <c r="DW174" s="498">
        <v>0</v>
      </c>
      <c r="DX174" s="477"/>
      <c r="DY174" s="497" t="s">
        <v>720</v>
      </c>
      <c r="DZ174" s="497" t="s">
        <v>617</v>
      </c>
      <c r="EA174" s="497" t="s">
        <v>26</v>
      </c>
      <c r="EB174" s="498">
        <v>41</v>
      </c>
      <c r="EC174" s="494" t="str">
        <f t="shared" si="6"/>
        <v>AIJ100241</v>
      </c>
      <c r="ED174" s="498">
        <v>0</v>
      </c>
      <c r="EE174" s="498">
        <v>317</v>
      </c>
      <c r="EF174" s="498">
        <v>684</v>
      </c>
      <c r="EG174" s="498">
        <v>1080</v>
      </c>
      <c r="EH174" s="498">
        <v>1563</v>
      </c>
      <c r="EI174" s="498">
        <v>2130</v>
      </c>
      <c r="EJ174" s="498">
        <v>2966</v>
      </c>
      <c r="EK174" s="498">
        <v>4237</v>
      </c>
      <c r="EL174" s="498">
        <v>5778</v>
      </c>
      <c r="EM174" s="498">
        <v>0</v>
      </c>
      <c r="EN174" s="498">
        <v>0</v>
      </c>
      <c r="EO174" s="498">
        <v>0</v>
      </c>
      <c r="EP174" s="498">
        <v>0</v>
      </c>
      <c r="EQ174" s="498">
        <v>0</v>
      </c>
      <c r="ER174" s="498">
        <v>0</v>
      </c>
      <c r="ES174" s="498">
        <v>0</v>
      </c>
      <c r="ET174" s="498">
        <v>0</v>
      </c>
      <c r="EU174" s="498">
        <v>0</v>
      </c>
      <c r="EV174" s="498">
        <v>0</v>
      </c>
      <c r="EW174" s="498">
        <v>0</v>
      </c>
      <c r="EX174" s="498">
        <v>0</v>
      </c>
      <c r="EY174" s="498">
        <v>0</v>
      </c>
      <c r="EZ174" s="498">
        <v>0</v>
      </c>
      <c r="FA174" s="498">
        <v>0</v>
      </c>
      <c r="FB174" s="498">
        <v>0</v>
      </c>
      <c r="FC174" s="498">
        <v>0</v>
      </c>
      <c r="FD174" s="498">
        <v>0</v>
      </c>
      <c r="FE174" s="498">
        <v>0</v>
      </c>
      <c r="FF174" s="498">
        <v>0</v>
      </c>
      <c r="FG174" s="498">
        <v>0</v>
      </c>
      <c r="FH174" s="498">
        <v>0</v>
      </c>
      <c r="FI174" s="498">
        <v>0</v>
      </c>
      <c r="FJ174" s="498">
        <v>0</v>
      </c>
      <c r="FK174" s="498">
        <v>0</v>
      </c>
      <c r="FL174" s="498">
        <v>0</v>
      </c>
      <c r="FM174" s="498">
        <v>0</v>
      </c>
      <c r="FN174" s="498">
        <v>0</v>
      </c>
      <c r="FO174" s="498">
        <v>0</v>
      </c>
      <c r="FP174" s="498">
        <v>0</v>
      </c>
      <c r="FQ174" s="498">
        <v>0</v>
      </c>
      <c r="FR174" s="498">
        <v>0</v>
      </c>
      <c r="FS174" s="498">
        <v>0</v>
      </c>
      <c r="FT174" s="498">
        <v>0</v>
      </c>
      <c r="FU174" s="498">
        <v>0</v>
      </c>
      <c r="FV174" s="498">
        <v>0</v>
      </c>
      <c r="FW174" s="498">
        <v>0</v>
      </c>
      <c r="FX174" s="498">
        <v>0</v>
      </c>
      <c r="FY174" s="498">
        <v>0</v>
      </c>
      <c r="FZ174" s="498">
        <v>0</v>
      </c>
      <c r="GA174" s="498">
        <v>0</v>
      </c>
      <c r="GB174" s="498">
        <v>0</v>
      </c>
      <c r="GC174" s="498">
        <v>0</v>
      </c>
      <c r="GD174" s="498">
        <v>0</v>
      </c>
      <c r="GE174" s="498">
        <v>0</v>
      </c>
      <c r="GF174" s="498">
        <v>0</v>
      </c>
      <c r="GG174" s="498">
        <v>0</v>
      </c>
      <c r="GH174" s="498">
        <v>0</v>
      </c>
      <c r="GI174" s="498">
        <v>0</v>
      </c>
      <c r="GJ174" s="498">
        <v>0</v>
      </c>
      <c r="GK174" s="498">
        <v>0</v>
      </c>
      <c r="GL174" s="498">
        <v>0</v>
      </c>
      <c r="GM174" s="498">
        <v>0</v>
      </c>
      <c r="GN174" s="498">
        <v>0</v>
      </c>
      <c r="GO174" s="498">
        <v>0</v>
      </c>
      <c r="GP174" s="498">
        <v>0</v>
      </c>
      <c r="GQ174" s="498">
        <v>0</v>
      </c>
      <c r="GR174" s="498">
        <v>0</v>
      </c>
      <c r="GS174" s="498">
        <v>0</v>
      </c>
      <c r="GT174" s="498">
        <v>0</v>
      </c>
      <c r="GU174" s="498">
        <v>0</v>
      </c>
      <c r="GV174" s="498">
        <v>0</v>
      </c>
      <c r="GW174" s="498">
        <v>0</v>
      </c>
      <c r="GX174" s="498">
        <v>0</v>
      </c>
      <c r="GY174" s="498">
        <v>0</v>
      </c>
      <c r="GZ174" s="498">
        <v>0</v>
      </c>
      <c r="HA174" s="498">
        <v>0</v>
      </c>
      <c r="HB174" s="498">
        <v>0</v>
      </c>
      <c r="HC174" s="498">
        <v>0</v>
      </c>
      <c r="HD174" s="498">
        <v>0</v>
      </c>
      <c r="HE174" s="498">
        <v>0</v>
      </c>
      <c r="HF174" s="498">
        <v>0</v>
      </c>
      <c r="HG174" s="498">
        <v>0</v>
      </c>
      <c r="HH174" s="498">
        <v>0</v>
      </c>
      <c r="HI174" s="498">
        <v>0</v>
      </c>
      <c r="HJ174" s="498">
        <v>0</v>
      </c>
      <c r="HK174" s="498">
        <v>0</v>
      </c>
      <c r="HL174" s="498">
        <v>0</v>
      </c>
      <c r="HM174" s="498">
        <v>0</v>
      </c>
      <c r="HN174" s="498">
        <v>0</v>
      </c>
      <c r="HO174" s="498">
        <v>0</v>
      </c>
      <c r="HP174" s="498">
        <v>0</v>
      </c>
      <c r="HQ174" s="498">
        <v>0</v>
      </c>
      <c r="HR174" s="498">
        <v>0</v>
      </c>
      <c r="HS174" s="498">
        <v>0</v>
      </c>
      <c r="HT174" s="498">
        <v>0</v>
      </c>
      <c r="HU174" s="498">
        <v>0</v>
      </c>
      <c r="HV174" s="498">
        <v>0</v>
      </c>
      <c r="HW174" s="498">
        <v>0</v>
      </c>
      <c r="HX174" s="498">
        <v>0</v>
      </c>
      <c r="HY174" s="498">
        <v>0</v>
      </c>
      <c r="HZ174" s="498">
        <v>0</v>
      </c>
      <c r="IA174" s="498">
        <v>0</v>
      </c>
      <c r="IB174" s="498">
        <v>0</v>
      </c>
      <c r="IC174" s="498">
        <v>0</v>
      </c>
      <c r="ID174" s="498">
        <v>0</v>
      </c>
      <c r="IE174" s="498">
        <v>0</v>
      </c>
      <c r="IF174" s="498">
        <v>0</v>
      </c>
      <c r="IG174" s="498">
        <v>0</v>
      </c>
      <c r="IH174" s="498">
        <v>0</v>
      </c>
      <c r="II174" s="498">
        <v>0</v>
      </c>
      <c r="IJ174" s="498">
        <v>0</v>
      </c>
    </row>
    <row r="175" spans="12:244" hidden="1">
      <c r="L175" s="497" t="s">
        <v>720</v>
      </c>
      <c r="M175" s="497" t="s">
        <v>617</v>
      </c>
      <c r="N175" s="497" t="s">
        <v>26</v>
      </c>
      <c r="O175" s="498">
        <v>42</v>
      </c>
      <c r="P175" s="494" t="str">
        <f t="shared" si="5"/>
        <v>AIJ100242</v>
      </c>
      <c r="Q175" s="498">
        <v>20000</v>
      </c>
      <c r="R175" s="498">
        <v>20000</v>
      </c>
      <c r="S175" s="498">
        <v>20000</v>
      </c>
      <c r="T175" s="498">
        <v>20000</v>
      </c>
      <c r="U175" s="498">
        <v>20000</v>
      </c>
      <c r="V175" s="498">
        <v>20000</v>
      </c>
      <c r="W175" s="498">
        <v>20000</v>
      </c>
      <c r="X175" s="498">
        <v>20000</v>
      </c>
      <c r="Y175" s="498">
        <v>20000</v>
      </c>
      <c r="Z175" s="498">
        <v>20000</v>
      </c>
      <c r="AA175" s="498">
        <v>0</v>
      </c>
      <c r="AB175" s="498">
        <v>0</v>
      </c>
      <c r="AC175" s="498">
        <v>0</v>
      </c>
      <c r="AD175" s="498">
        <v>0</v>
      </c>
      <c r="AE175" s="498">
        <v>0</v>
      </c>
      <c r="AF175" s="498">
        <v>0</v>
      </c>
      <c r="AG175" s="498">
        <v>0</v>
      </c>
      <c r="AH175" s="498">
        <v>0</v>
      </c>
      <c r="AI175" s="498">
        <v>0</v>
      </c>
      <c r="AJ175" s="498">
        <v>0</v>
      </c>
      <c r="AK175" s="498">
        <v>0</v>
      </c>
      <c r="AL175" s="498">
        <v>0</v>
      </c>
      <c r="AM175" s="498">
        <v>0</v>
      </c>
      <c r="AN175" s="498">
        <v>0</v>
      </c>
      <c r="AO175" s="498">
        <v>0</v>
      </c>
      <c r="AP175" s="498">
        <v>0</v>
      </c>
      <c r="AQ175" s="498">
        <v>0</v>
      </c>
      <c r="AR175" s="498">
        <v>0</v>
      </c>
      <c r="AS175" s="498">
        <v>0</v>
      </c>
      <c r="AT175" s="498">
        <v>0</v>
      </c>
      <c r="AU175" s="498">
        <v>0</v>
      </c>
      <c r="AV175" s="498">
        <v>0</v>
      </c>
      <c r="AW175" s="498">
        <v>0</v>
      </c>
      <c r="AX175" s="498">
        <v>0</v>
      </c>
      <c r="AY175" s="498">
        <v>0</v>
      </c>
      <c r="AZ175" s="498">
        <v>0</v>
      </c>
      <c r="BA175" s="498">
        <v>0</v>
      </c>
      <c r="BB175" s="498">
        <v>0</v>
      </c>
      <c r="BC175" s="498">
        <v>0</v>
      </c>
      <c r="BD175" s="498">
        <v>0</v>
      </c>
      <c r="BE175" s="498">
        <v>0</v>
      </c>
      <c r="BF175" s="498">
        <v>0</v>
      </c>
      <c r="BG175" s="498">
        <v>0</v>
      </c>
      <c r="BH175" s="498">
        <v>0</v>
      </c>
      <c r="BI175" s="498">
        <v>0</v>
      </c>
      <c r="BJ175" s="498">
        <v>0</v>
      </c>
      <c r="BK175" s="498">
        <v>0</v>
      </c>
      <c r="BL175" s="498">
        <v>0</v>
      </c>
      <c r="BM175" s="498">
        <v>0</v>
      </c>
      <c r="BN175" s="498">
        <v>0</v>
      </c>
      <c r="BO175" s="498">
        <v>0</v>
      </c>
      <c r="BP175" s="498">
        <v>0</v>
      </c>
      <c r="BQ175" s="498">
        <v>0</v>
      </c>
      <c r="BR175" s="498">
        <v>0</v>
      </c>
      <c r="BS175" s="498">
        <v>0</v>
      </c>
      <c r="BT175" s="498">
        <v>0</v>
      </c>
      <c r="BU175" s="498">
        <v>0</v>
      </c>
      <c r="BV175" s="498">
        <v>0</v>
      </c>
      <c r="BW175" s="498">
        <v>0</v>
      </c>
      <c r="BX175" s="498">
        <v>0</v>
      </c>
      <c r="BY175" s="498">
        <v>0</v>
      </c>
      <c r="BZ175" s="498">
        <v>0</v>
      </c>
      <c r="CA175" s="498">
        <v>0</v>
      </c>
      <c r="CB175" s="498">
        <v>0</v>
      </c>
      <c r="CC175" s="498">
        <v>0</v>
      </c>
      <c r="CD175" s="498">
        <v>0</v>
      </c>
      <c r="CE175" s="498">
        <v>0</v>
      </c>
      <c r="CF175" s="498">
        <v>0</v>
      </c>
      <c r="CG175" s="498">
        <v>0</v>
      </c>
      <c r="CH175" s="498">
        <v>0</v>
      </c>
      <c r="CI175" s="498">
        <v>0</v>
      </c>
      <c r="CJ175" s="498">
        <v>0</v>
      </c>
      <c r="CK175" s="498">
        <v>0</v>
      </c>
      <c r="CL175" s="498">
        <v>0</v>
      </c>
      <c r="CM175" s="498">
        <v>0</v>
      </c>
      <c r="CN175" s="498">
        <v>0</v>
      </c>
      <c r="CO175" s="498">
        <v>0</v>
      </c>
      <c r="CP175" s="498">
        <v>0</v>
      </c>
      <c r="CQ175" s="498">
        <v>0</v>
      </c>
      <c r="CR175" s="498">
        <v>0</v>
      </c>
      <c r="CS175" s="498">
        <v>0</v>
      </c>
      <c r="CT175" s="498">
        <v>0</v>
      </c>
      <c r="CU175" s="498">
        <v>0</v>
      </c>
      <c r="CV175" s="498">
        <v>0</v>
      </c>
      <c r="CW175" s="498">
        <v>0</v>
      </c>
      <c r="CX175" s="498">
        <v>0</v>
      </c>
      <c r="CY175" s="498">
        <v>0</v>
      </c>
      <c r="CZ175" s="498">
        <v>0</v>
      </c>
      <c r="DA175" s="498">
        <v>0</v>
      </c>
      <c r="DB175" s="498">
        <v>0</v>
      </c>
      <c r="DC175" s="498">
        <v>0</v>
      </c>
      <c r="DD175" s="498">
        <v>0</v>
      </c>
      <c r="DE175" s="498">
        <v>0</v>
      </c>
      <c r="DF175" s="498">
        <v>0</v>
      </c>
      <c r="DG175" s="498">
        <v>0</v>
      </c>
      <c r="DH175" s="498">
        <v>0</v>
      </c>
      <c r="DI175" s="498">
        <v>0</v>
      </c>
      <c r="DJ175" s="498">
        <v>0</v>
      </c>
      <c r="DK175" s="498">
        <v>0</v>
      </c>
      <c r="DL175" s="498">
        <v>0</v>
      </c>
      <c r="DM175" s="498">
        <v>0</v>
      </c>
      <c r="DN175" s="498">
        <v>0</v>
      </c>
      <c r="DO175" s="498">
        <v>0</v>
      </c>
      <c r="DP175" s="498">
        <v>0</v>
      </c>
      <c r="DQ175" s="498">
        <v>0</v>
      </c>
      <c r="DR175" s="498">
        <v>0</v>
      </c>
      <c r="DS175" s="498">
        <v>0</v>
      </c>
      <c r="DT175" s="498">
        <v>0</v>
      </c>
      <c r="DU175" s="498">
        <v>0</v>
      </c>
      <c r="DV175" s="498">
        <v>0</v>
      </c>
      <c r="DW175" s="498">
        <v>0</v>
      </c>
      <c r="DX175" s="477"/>
      <c r="DY175" s="497" t="s">
        <v>720</v>
      </c>
      <c r="DZ175" s="497" t="s">
        <v>617</v>
      </c>
      <c r="EA175" s="497" t="s">
        <v>26</v>
      </c>
      <c r="EB175" s="498">
        <v>42</v>
      </c>
      <c r="EC175" s="494" t="str">
        <f t="shared" si="6"/>
        <v>AIJ100242</v>
      </c>
      <c r="ED175" s="498">
        <v>0</v>
      </c>
      <c r="EE175" s="498">
        <v>340</v>
      </c>
      <c r="EF175" s="498">
        <v>691</v>
      </c>
      <c r="EG175" s="498">
        <v>1067</v>
      </c>
      <c r="EH175" s="498">
        <v>1626</v>
      </c>
      <c r="EI175" s="498">
        <v>2123</v>
      </c>
      <c r="EJ175" s="498">
        <v>3007</v>
      </c>
      <c r="EK175" s="498">
        <v>4274</v>
      </c>
      <c r="EL175" s="498">
        <v>5789</v>
      </c>
      <c r="EM175" s="498">
        <v>0</v>
      </c>
      <c r="EN175" s="498">
        <v>0</v>
      </c>
      <c r="EO175" s="498">
        <v>0</v>
      </c>
      <c r="EP175" s="498">
        <v>0</v>
      </c>
      <c r="EQ175" s="498">
        <v>0</v>
      </c>
      <c r="ER175" s="498">
        <v>0</v>
      </c>
      <c r="ES175" s="498">
        <v>0</v>
      </c>
      <c r="ET175" s="498">
        <v>0</v>
      </c>
      <c r="EU175" s="498">
        <v>0</v>
      </c>
      <c r="EV175" s="498">
        <v>0</v>
      </c>
      <c r="EW175" s="498">
        <v>0</v>
      </c>
      <c r="EX175" s="498">
        <v>0</v>
      </c>
      <c r="EY175" s="498">
        <v>0</v>
      </c>
      <c r="EZ175" s="498">
        <v>0</v>
      </c>
      <c r="FA175" s="498">
        <v>0</v>
      </c>
      <c r="FB175" s="498">
        <v>0</v>
      </c>
      <c r="FC175" s="498">
        <v>0</v>
      </c>
      <c r="FD175" s="498">
        <v>0</v>
      </c>
      <c r="FE175" s="498">
        <v>0</v>
      </c>
      <c r="FF175" s="498">
        <v>0</v>
      </c>
      <c r="FG175" s="498">
        <v>0</v>
      </c>
      <c r="FH175" s="498">
        <v>0</v>
      </c>
      <c r="FI175" s="498">
        <v>0</v>
      </c>
      <c r="FJ175" s="498">
        <v>0</v>
      </c>
      <c r="FK175" s="498">
        <v>0</v>
      </c>
      <c r="FL175" s="498">
        <v>0</v>
      </c>
      <c r="FM175" s="498">
        <v>0</v>
      </c>
      <c r="FN175" s="498">
        <v>0</v>
      </c>
      <c r="FO175" s="498">
        <v>0</v>
      </c>
      <c r="FP175" s="498">
        <v>0</v>
      </c>
      <c r="FQ175" s="498">
        <v>0</v>
      </c>
      <c r="FR175" s="498">
        <v>0</v>
      </c>
      <c r="FS175" s="498">
        <v>0</v>
      </c>
      <c r="FT175" s="498">
        <v>0</v>
      </c>
      <c r="FU175" s="498">
        <v>0</v>
      </c>
      <c r="FV175" s="498">
        <v>0</v>
      </c>
      <c r="FW175" s="498">
        <v>0</v>
      </c>
      <c r="FX175" s="498">
        <v>0</v>
      </c>
      <c r="FY175" s="498">
        <v>0</v>
      </c>
      <c r="FZ175" s="498">
        <v>0</v>
      </c>
      <c r="GA175" s="498">
        <v>0</v>
      </c>
      <c r="GB175" s="498">
        <v>0</v>
      </c>
      <c r="GC175" s="498">
        <v>0</v>
      </c>
      <c r="GD175" s="498">
        <v>0</v>
      </c>
      <c r="GE175" s="498">
        <v>0</v>
      </c>
      <c r="GF175" s="498">
        <v>0</v>
      </c>
      <c r="GG175" s="498">
        <v>0</v>
      </c>
      <c r="GH175" s="498">
        <v>0</v>
      </c>
      <c r="GI175" s="498">
        <v>0</v>
      </c>
      <c r="GJ175" s="498">
        <v>0</v>
      </c>
      <c r="GK175" s="498">
        <v>0</v>
      </c>
      <c r="GL175" s="498">
        <v>0</v>
      </c>
      <c r="GM175" s="498">
        <v>0</v>
      </c>
      <c r="GN175" s="498">
        <v>0</v>
      </c>
      <c r="GO175" s="498">
        <v>0</v>
      </c>
      <c r="GP175" s="498">
        <v>0</v>
      </c>
      <c r="GQ175" s="498">
        <v>0</v>
      </c>
      <c r="GR175" s="498">
        <v>0</v>
      </c>
      <c r="GS175" s="498">
        <v>0</v>
      </c>
      <c r="GT175" s="498">
        <v>0</v>
      </c>
      <c r="GU175" s="498">
        <v>0</v>
      </c>
      <c r="GV175" s="498">
        <v>0</v>
      </c>
      <c r="GW175" s="498">
        <v>0</v>
      </c>
      <c r="GX175" s="498">
        <v>0</v>
      </c>
      <c r="GY175" s="498">
        <v>0</v>
      </c>
      <c r="GZ175" s="498">
        <v>0</v>
      </c>
      <c r="HA175" s="498">
        <v>0</v>
      </c>
      <c r="HB175" s="498">
        <v>0</v>
      </c>
      <c r="HC175" s="498">
        <v>0</v>
      </c>
      <c r="HD175" s="498">
        <v>0</v>
      </c>
      <c r="HE175" s="498">
        <v>0</v>
      </c>
      <c r="HF175" s="498">
        <v>0</v>
      </c>
      <c r="HG175" s="498">
        <v>0</v>
      </c>
      <c r="HH175" s="498">
        <v>0</v>
      </c>
      <c r="HI175" s="498">
        <v>0</v>
      </c>
      <c r="HJ175" s="498">
        <v>0</v>
      </c>
      <c r="HK175" s="498">
        <v>0</v>
      </c>
      <c r="HL175" s="498">
        <v>0</v>
      </c>
      <c r="HM175" s="498">
        <v>0</v>
      </c>
      <c r="HN175" s="498">
        <v>0</v>
      </c>
      <c r="HO175" s="498">
        <v>0</v>
      </c>
      <c r="HP175" s="498">
        <v>0</v>
      </c>
      <c r="HQ175" s="498">
        <v>0</v>
      </c>
      <c r="HR175" s="498">
        <v>0</v>
      </c>
      <c r="HS175" s="498">
        <v>0</v>
      </c>
      <c r="HT175" s="498">
        <v>0</v>
      </c>
      <c r="HU175" s="498">
        <v>0</v>
      </c>
      <c r="HV175" s="498">
        <v>0</v>
      </c>
      <c r="HW175" s="498">
        <v>0</v>
      </c>
      <c r="HX175" s="498">
        <v>0</v>
      </c>
      <c r="HY175" s="498">
        <v>0</v>
      </c>
      <c r="HZ175" s="498">
        <v>0</v>
      </c>
      <c r="IA175" s="498">
        <v>0</v>
      </c>
      <c r="IB175" s="498">
        <v>0</v>
      </c>
      <c r="IC175" s="498">
        <v>0</v>
      </c>
      <c r="ID175" s="498">
        <v>0</v>
      </c>
      <c r="IE175" s="498">
        <v>0</v>
      </c>
      <c r="IF175" s="498">
        <v>0</v>
      </c>
      <c r="IG175" s="498">
        <v>0</v>
      </c>
      <c r="IH175" s="498">
        <v>0</v>
      </c>
      <c r="II175" s="498">
        <v>0</v>
      </c>
      <c r="IJ175" s="498">
        <v>0</v>
      </c>
    </row>
    <row r="176" spans="12:244" hidden="1">
      <c r="L176" s="497" t="s">
        <v>720</v>
      </c>
      <c r="M176" s="497" t="s">
        <v>617</v>
      </c>
      <c r="N176" s="497" t="s">
        <v>26</v>
      </c>
      <c r="O176" s="498">
        <v>43</v>
      </c>
      <c r="P176" s="494" t="str">
        <f t="shared" si="5"/>
        <v>AIJ100243</v>
      </c>
      <c r="Q176" s="498">
        <v>20000</v>
      </c>
      <c r="R176" s="498">
        <v>20000</v>
      </c>
      <c r="S176" s="498">
        <v>20000</v>
      </c>
      <c r="T176" s="498">
        <v>20000</v>
      </c>
      <c r="U176" s="498">
        <v>20000</v>
      </c>
      <c r="V176" s="498">
        <v>20000</v>
      </c>
      <c r="W176" s="498">
        <v>20000</v>
      </c>
      <c r="X176" s="498">
        <v>20000</v>
      </c>
      <c r="Y176" s="498">
        <v>20000</v>
      </c>
      <c r="Z176" s="498">
        <v>20000</v>
      </c>
      <c r="AA176" s="498">
        <v>0</v>
      </c>
      <c r="AB176" s="498">
        <v>0</v>
      </c>
      <c r="AC176" s="498">
        <v>0</v>
      </c>
      <c r="AD176" s="498">
        <v>0</v>
      </c>
      <c r="AE176" s="498">
        <v>0</v>
      </c>
      <c r="AF176" s="498">
        <v>0</v>
      </c>
      <c r="AG176" s="498">
        <v>0</v>
      </c>
      <c r="AH176" s="498">
        <v>0</v>
      </c>
      <c r="AI176" s="498">
        <v>0</v>
      </c>
      <c r="AJ176" s="498">
        <v>0</v>
      </c>
      <c r="AK176" s="498">
        <v>0</v>
      </c>
      <c r="AL176" s="498">
        <v>0</v>
      </c>
      <c r="AM176" s="498">
        <v>0</v>
      </c>
      <c r="AN176" s="498">
        <v>0</v>
      </c>
      <c r="AO176" s="498">
        <v>0</v>
      </c>
      <c r="AP176" s="498">
        <v>0</v>
      </c>
      <c r="AQ176" s="498">
        <v>0</v>
      </c>
      <c r="AR176" s="498">
        <v>0</v>
      </c>
      <c r="AS176" s="498">
        <v>0</v>
      </c>
      <c r="AT176" s="498">
        <v>0</v>
      </c>
      <c r="AU176" s="498">
        <v>0</v>
      </c>
      <c r="AV176" s="498">
        <v>0</v>
      </c>
      <c r="AW176" s="498">
        <v>0</v>
      </c>
      <c r="AX176" s="498">
        <v>0</v>
      </c>
      <c r="AY176" s="498">
        <v>0</v>
      </c>
      <c r="AZ176" s="498">
        <v>0</v>
      </c>
      <c r="BA176" s="498">
        <v>0</v>
      </c>
      <c r="BB176" s="498">
        <v>0</v>
      </c>
      <c r="BC176" s="498">
        <v>0</v>
      </c>
      <c r="BD176" s="498">
        <v>0</v>
      </c>
      <c r="BE176" s="498">
        <v>0</v>
      </c>
      <c r="BF176" s="498">
        <v>0</v>
      </c>
      <c r="BG176" s="498">
        <v>0</v>
      </c>
      <c r="BH176" s="498">
        <v>0</v>
      </c>
      <c r="BI176" s="498">
        <v>0</v>
      </c>
      <c r="BJ176" s="498">
        <v>0</v>
      </c>
      <c r="BK176" s="498">
        <v>0</v>
      </c>
      <c r="BL176" s="498">
        <v>0</v>
      </c>
      <c r="BM176" s="498">
        <v>0</v>
      </c>
      <c r="BN176" s="498">
        <v>0</v>
      </c>
      <c r="BO176" s="498">
        <v>0</v>
      </c>
      <c r="BP176" s="498">
        <v>0</v>
      </c>
      <c r="BQ176" s="498">
        <v>0</v>
      </c>
      <c r="BR176" s="498">
        <v>0</v>
      </c>
      <c r="BS176" s="498">
        <v>0</v>
      </c>
      <c r="BT176" s="498">
        <v>0</v>
      </c>
      <c r="BU176" s="498">
        <v>0</v>
      </c>
      <c r="BV176" s="498">
        <v>0</v>
      </c>
      <c r="BW176" s="498">
        <v>0</v>
      </c>
      <c r="BX176" s="498">
        <v>0</v>
      </c>
      <c r="BY176" s="498">
        <v>0</v>
      </c>
      <c r="BZ176" s="498">
        <v>0</v>
      </c>
      <c r="CA176" s="498">
        <v>0</v>
      </c>
      <c r="CB176" s="498">
        <v>0</v>
      </c>
      <c r="CC176" s="498">
        <v>0</v>
      </c>
      <c r="CD176" s="498">
        <v>0</v>
      </c>
      <c r="CE176" s="498">
        <v>0</v>
      </c>
      <c r="CF176" s="498">
        <v>0</v>
      </c>
      <c r="CG176" s="498">
        <v>0</v>
      </c>
      <c r="CH176" s="498">
        <v>0</v>
      </c>
      <c r="CI176" s="498">
        <v>0</v>
      </c>
      <c r="CJ176" s="498">
        <v>0</v>
      </c>
      <c r="CK176" s="498">
        <v>0</v>
      </c>
      <c r="CL176" s="498">
        <v>0</v>
      </c>
      <c r="CM176" s="498">
        <v>0</v>
      </c>
      <c r="CN176" s="498">
        <v>0</v>
      </c>
      <c r="CO176" s="498">
        <v>0</v>
      </c>
      <c r="CP176" s="498">
        <v>0</v>
      </c>
      <c r="CQ176" s="498">
        <v>0</v>
      </c>
      <c r="CR176" s="498">
        <v>0</v>
      </c>
      <c r="CS176" s="498">
        <v>0</v>
      </c>
      <c r="CT176" s="498">
        <v>0</v>
      </c>
      <c r="CU176" s="498">
        <v>0</v>
      </c>
      <c r="CV176" s="498">
        <v>0</v>
      </c>
      <c r="CW176" s="498">
        <v>0</v>
      </c>
      <c r="CX176" s="498">
        <v>0</v>
      </c>
      <c r="CY176" s="498">
        <v>0</v>
      </c>
      <c r="CZ176" s="498">
        <v>0</v>
      </c>
      <c r="DA176" s="498">
        <v>0</v>
      </c>
      <c r="DB176" s="498">
        <v>0</v>
      </c>
      <c r="DC176" s="498">
        <v>0</v>
      </c>
      <c r="DD176" s="498">
        <v>0</v>
      </c>
      <c r="DE176" s="498">
        <v>0</v>
      </c>
      <c r="DF176" s="498">
        <v>0</v>
      </c>
      <c r="DG176" s="498">
        <v>0</v>
      </c>
      <c r="DH176" s="498">
        <v>0</v>
      </c>
      <c r="DI176" s="498">
        <v>0</v>
      </c>
      <c r="DJ176" s="498">
        <v>0</v>
      </c>
      <c r="DK176" s="498">
        <v>0</v>
      </c>
      <c r="DL176" s="498">
        <v>0</v>
      </c>
      <c r="DM176" s="498">
        <v>0</v>
      </c>
      <c r="DN176" s="498">
        <v>0</v>
      </c>
      <c r="DO176" s="498">
        <v>0</v>
      </c>
      <c r="DP176" s="498">
        <v>0</v>
      </c>
      <c r="DQ176" s="498">
        <v>0</v>
      </c>
      <c r="DR176" s="498">
        <v>0</v>
      </c>
      <c r="DS176" s="498">
        <v>0</v>
      </c>
      <c r="DT176" s="498">
        <v>0</v>
      </c>
      <c r="DU176" s="498">
        <v>0</v>
      </c>
      <c r="DV176" s="498">
        <v>0</v>
      </c>
      <c r="DW176" s="498">
        <v>0</v>
      </c>
      <c r="DX176" s="477"/>
      <c r="DY176" s="497" t="s">
        <v>720</v>
      </c>
      <c r="DZ176" s="497" t="s">
        <v>617</v>
      </c>
      <c r="EA176" s="497" t="s">
        <v>26</v>
      </c>
      <c r="EB176" s="498">
        <v>43</v>
      </c>
      <c r="EC176" s="494" t="str">
        <f t="shared" si="6"/>
        <v>AIJ100243</v>
      </c>
      <c r="ED176" s="498">
        <v>0</v>
      </c>
      <c r="EE176" s="498">
        <v>323</v>
      </c>
      <c r="EF176" s="498">
        <v>695</v>
      </c>
      <c r="EG176" s="498">
        <v>1097</v>
      </c>
      <c r="EH176" s="498">
        <v>1589</v>
      </c>
      <c r="EI176" s="498">
        <v>2181</v>
      </c>
      <c r="EJ176" s="498">
        <v>2981</v>
      </c>
      <c r="EK176" s="498">
        <v>4275</v>
      </c>
      <c r="EL176" s="498">
        <v>5859</v>
      </c>
      <c r="EM176" s="498">
        <v>0</v>
      </c>
      <c r="EN176" s="498">
        <v>0</v>
      </c>
      <c r="EO176" s="498">
        <v>0</v>
      </c>
      <c r="EP176" s="498">
        <v>0</v>
      </c>
      <c r="EQ176" s="498">
        <v>0</v>
      </c>
      <c r="ER176" s="498">
        <v>0</v>
      </c>
      <c r="ES176" s="498">
        <v>0</v>
      </c>
      <c r="ET176" s="498">
        <v>0</v>
      </c>
      <c r="EU176" s="498">
        <v>0</v>
      </c>
      <c r="EV176" s="498">
        <v>0</v>
      </c>
      <c r="EW176" s="498">
        <v>0</v>
      </c>
      <c r="EX176" s="498">
        <v>0</v>
      </c>
      <c r="EY176" s="498">
        <v>0</v>
      </c>
      <c r="EZ176" s="498">
        <v>0</v>
      </c>
      <c r="FA176" s="498">
        <v>0</v>
      </c>
      <c r="FB176" s="498">
        <v>0</v>
      </c>
      <c r="FC176" s="498">
        <v>0</v>
      </c>
      <c r="FD176" s="498">
        <v>0</v>
      </c>
      <c r="FE176" s="498">
        <v>0</v>
      </c>
      <c r="FF176" s="498">
        <v>0</v>
      </c>
      <c r="FG176" s="498">
        <v>0</v>
      </c>
      <c r="FH176" s="498">
        <v>0</v>
      </c>
      <c r="FI176" s="498">
        <v>0</v>
      </c>
      <c r="FJ176" s="498">
        <v>0</v>
      </c>
      <c r="FK176" s="498">
        <v>0</v>
      </c>
      <c r="FL176" s="498">
        <v>0</v>
      </c>
      <c r="FM176" s="498">
        <v>0</v>
      </c>
      <c r="FN176" s="498">
        <v>0</v>
      </c>
      <c r="FO176" s="498">
        <v>0</v>
      </c>
      <c r="FP176" s="498">
        <v>0</v>
      </c>
      <c r="FQ176" s="498">
        <v>0</v>
      </c>
      <c r="FR176" s="498">
        <v>0</v>
      </c>
      <c r="FS176" s="498">
        <v>0</v>
      </c>
      <c r="FT176" s="498">
        <v>0</v>
      </c>
      <c r="FU176" s="498">
        <v>0</v>
      </c>
      <c r="FV176" s="498">
        <v>0</v>
      </c>
      <c r="FW176" s="498">
        <v>0</v>
      </c>
      <c r="FX176" s="498">
        <v>0</v>
      </c>
      <c r="FY176" s="498">
        <v>0</v>
      </c>
      <c r="FZ176" s="498">
        <v>0</v>
      </c>
      <c r="GA176" s="498">
        <v>0</v>
      </c>
      <c r="GB176" s="498">
        <v>0</v>
      </c>
      <c r="GC176" s="498">
        <v>0</v>
      </c>
      <c r="GD176" s="498">
        <v>0</v>
      </c>
      <c r="GE176" s="498">
        <v>0</v>
      </c>
      <c r="GF176" s="498">
        <v>0</v>
      </c>
      <c r="GG176" s="498">
        <v>0</v>
      </c>
      <c r="GH176" s="498">
        <v>0</v>
      </c>
      <c r="GI176" s="498">
        <v>0</v>
      </c>
      <c r="GJ176" s="498">
        <v>0</v>
      </c>
      <c r="GK176" s="498">
        <v>0</v>
      </c>
      <c r="GL176" s="498">
        <v>0</v>
      </c>
      <c r="GM176" s="498">
        <v>0</v>
      </c>
      <c r="GN176" s="498">
        <v>0</v>
      </c>
      <c r="GO176" s="498">
        <v>0</v>
      </c>
      <c r="GP176" s="498">
        <v>0</v>
      </c>
      <c r="GQ176" s="498">
        <v>0</v>
      </c>
      <c r="GR176" s="498">
        <v>0</v>
      </c>
      <c r="GS176" s="498">
        <v>0</v>
      </c>
      <c r="GT176" s="498">
        <v>0</v>
      </c>
      <c r="GU176" s="498">
        <v>0</v>
      </c>
      <c r="GV176" s="498">
        <v>0</v>
      </c>
      <c r="GW176" s="498">
        <v>0</v>
      </c>
      <c r="GX176" s="498">
        <v>0</v>
      </c>
      <c r="GY176" s="498">
        <v>0</v>
      </c>
      <c r="GZ176" s="498">
        <v>0</v>
      </c>
      <c r="HA176" s="498">
        <v>0</v>
      </c>
      <c r="HB176" s="498">
        <v>0</v>
      </c>
      <c r="HC176" s="498">
        <v>0</v>
      </c>
      <c r="HD176" s="498">
        <v>0</v>
      </c>
      <c r="HE176" s="498">
        <v>0</v>
      </c>
      <c r="HF176" s="498">
        <v>0</v>
      </c>
      <c r="HG176" s="498">
        <v>0</v>
      </c>
      <c r="HH176" s="498">
        <v>0</v>
      </c>
      <c r="HI176" s="498">
        <v>0</v>
      </c>
      <c r="HJ176" s="498">
        <v>0</v>
      </c>
      <c r="HK176" s="498">
        <v>0</v>
      </c>
      <c r="HL176" s="498">
        <v>0</v>
      </c>
      <c r="HM176" s="498">
        <v>0</v>
      </c>
      <c r="HN176" s="498">
        <v>0</v>
      </c>
      <c r="HO176" s="498">
        <v>0</v>
      </c>
      <c r="HP176" s="498">
        <v>0</v>
      </c>
      <c r="HQ176" s="498">
        <v>0</v>
      </c>
      <c r="HR176" s="498">
        <v>0</v>
      </c>
      <c r="HS176" s="498">
        <v>0</v>
      </c>
      <c r="HT176" s="498">
        <v>0</v>
      </c>
      <c r="HU176" s="498">
        <v>0</v>
      </c>
      <c r="HV176" s="498">
        <v>0</v>
      </c>
      <c r="HW176" s="498">
        <v>0</v>
      </c>
      <c r="HX176" s="498">
        <v>0</v>
      </c>
      <c r="HY176" s="498">
        <v>0</v>
      </c>
      <c r="HZ176" s="498">
        <v>0</v>
      </c>
      <c r="IA176" s="498">
        <v>0</v>
      </c>
      <c r="IB176" s="498">
        <v>0</v>
      </c>
      <c r="IC176" s="498">
        <v>0</v>
      </c>
      <c r="ID176" s="498">
        <v>0</v>
      </c>
      <c r="IE176" s="498">
        <v>0</v>
      </c>
      <c r="IF176" s="498">
        <v>0</v>
      </c>
      <c r="IG176" s="498">
        <v>0</v>
      </c>
      <c r="IH176" s="498">
        <v>0</v>
      </c>
      <c r="II176" s="498">
        <v>0</v>
      </c>
      <c r="IJ176" s="498">
        <v>0</v>
      </c>
    </row>
    <row r="177" spans="12:244" hidden="1">
      <c r="L177" s="497" t="s">
        <v>720</v>
      </c>
      <c r="M177" s="497" t="s">
        <v>617</v>
      </c>
      <c r="N177" s="497" t="s">
        <v>26</v>
      </c>
      <c r="O177" s="498">
        <v>44</v>
      </c>
      <c r="P177" s="494" t="str">
        <f t="shared" si="5"/>
        <v>AIJ100244</v>
      </c>
      <c r="Q177" s="498">
        <v>20000</v>
      </c>
      <c r="R177" s="498">
        <v>20000</v>
      </c>
      <c r="S177" s="498">
        <v>20000</v>
      </c>
      <c r="T177" s="498">
        <v>20000</v>
      </c>
      <c r="U177" s="498">
        <v>20000</v>
      </c>
      <c r="V177" s="498">
        <v>20000</v>
      </c>
      <c r="W177" s="498">
        <v>20000</v>
      </c>
      <c r="X177" s="498">
        <v>20000</v>
      </c>
      <c r="Y177" s="498">
        <v>20000</v>
      </c>
      <c r="Z177" s="498">
        <v>20000</v>
      </c>
      <c r="AA177" s="498">
        <v>0</v>
      </c>
      <c r="AB177" s="498">
        <v>0</v>
      </c>
      <c r="AC177" s="498">
        <v>0</v>
      </c>
      <c r="AD177" s="498">
        <v>0</v>
      </c>
      <c r="AE177" s="498">
        <v>0</v>
      </c>
      <c r="AF177" s="498">
        <v>0</v>
      </c>
      <c r="AG177" s="498">
        <v>0</v>
      </c>
      <c r="AH177" s="498">
        <v>0</v>
      </c>
      <c r="AI177" s="498">
        <v>0</v>
      </c>
      <c r="AJ177" s="498">
        <v>0</v>
      </c>
      <c r="AK177" s="498">
        <v>0</v>
      </c>
      <c r="AL177" s="498">
        <v>0</v>
      </c>
      <c r="AM177" s="498">
        <v>0</v>
      </c>
      <c r="AN177" s="498">
        <v>0</v>
      </c>
      <c r="AO177" s="498">
        <v>0</v>
      </c>
      <c r="AP177" s="498">
        <v>0</v>
      </c>
      <c r="AQ177" s="498">
        <v>0</v>
      </c>
      <c r="AR177" s="498">
        <v>0</v>
      </c>
      <c r="AS177" s="498">
        <v>0</v>
      </c>
      <c r="AT177" s="498">
        <v>0</v>
      </c>
      <c r="AU177" s="498">
        <v>0</v>
      </c>
      <c r="AV177" s="498">
        <v>0</v>
      </c>
      <c r="AW177" s="498">
        <v>0</v>
      </c>
      <c r="AX177" s="498">
        <v>0</v>
      </c>
      <c r="AY177" s="498">
        <v>0</v>
      </c>
      <c r="AZ177" s="498">
        <v>0</v>
      </c>
      <c r="BA177" s="498">
        <v>0</v>
      </c>
      <c r="BB177" s="498">
        <v>0</v>
      </c>
      <c r="BC177" s="498">
        <v>0</v>
      </c>
      <c r="BD177" s="498">
        <v>0</v>
      </c>
      <c r="BE177" s="498">
        <v>0</v>
      </c>
      <c r="BF177" s="498">
        <v>0</v>
      </c>
      <c r="BG177" s="498">
        <v>0</v>
      </c>
      <c r="BH177" s="498">
        <v>0</v>
      </c>
      <c r="BI177" s="498">
        <v>0</v>
      </c>
      <c r="BJ177" s="498">
        <v>0</v>
      </c>
      <c r="BK177" s="498">
        <v>0</v>
      </c>
      <c r="BL177" s="498">
        <v>0</v>
      </c>
      <c r="BM177" s="498">
        <v>0</v>
      </c>
      <c r="BN177" s="498">
        <v>0</v>
      </c>
      <c r="BO177" s="498">
        <v>0</v>
      </c>
      <c r="BP177" s="498">
        <v>0</v>
      </c>
      <c r="BQ177" s="498">
        <v>0</v>
      </c>
      <c r="BR177" s="498">
        <v>0</v>
      </c>
      <c r="BS177" s="498">
        <v>0</v>
      </c>
      <c r="BT177" s="498">
        <v>0</v>
      </c>
      <c r="BU177" s="498">
        <v>0</v>
      </c>
      <c r="BV177" s="498">
        <v>0</v>
      </c>
      <c r="BW177" s="498">
        <v>0</v>
      </c>
      <c r="BX177" s="498">
        <v>0</v>
      </c>
      <c r="BY177" s="498">
        <v>0</v>
      </c>
      <c r="BZ177" s="498">
        <v>0</v>
      </c>
      <c r="CA177" s="498">
        <v>0</v>
      </c>
      <c r="CB177" s="498">
        <v>0</v>
      </c>
      <c r="CC177" s="498">
        <v>0</v>
      </c>
      <c r="CD177" s="498">
        <v>0</v>
      </c>
      <c r="CE177" s="498">
        <v>0</v>
      </c>
      <c r="CF177" s="498">
        <v>0</v>
      </c>
      <c r="CG177" s="498">
        <v>0</v>
      </c>
      <c r="CH177" s="498">
        <v>0</v>
      </c>
      <c r="CI177" s="498">
        <v>0</v>
      </c>
      <c r="CJ177" s="498">
        <v>0</v>
      </c>
      <c r="CK177" s="498">
        <v>0</v>
      </c>
      <c r="CL177" s="498">
        <v>0</v>
      </c>
      <c r="CM177" s="498">
        <v>0</v>
      </c>
      <c r="CN177" s="498">
        <v>0</v>
      </c>
      <c r="CO177" s="498">
        <v>0</v>
      </c>
      <c r="CP177" s="498">
        <v>0</v>
      </c>
      <c r="CQ177" s="498">
        <v>0</v>
      </c>
      <c r="CR177" s="498">
        <v>0</v>
      </c>
      <c r="CS177" s="498">
        <v>0</v>
      </c>
      <c r="CT177" s="498">
        <v>0</v>
      </c>
      <c r="CU177" s="498">
        <v>0</v>
      </c>
      <c r="CV177" s="498">
        <v>0</v>
      </c>
      <c r="CW177" s="498">
        <v>0</v>
      </c>
      <c r="CX177" s="498">
        <v>0</v>
      </c>
      <c r="CY177" s="498">
        <v>0</v>
      </c>
      <c r="CZ177" s="498">
        <v>0</v>
      </c>
      <c r="DA177" s="498">
        <v>0</v>
      </c>
      <c r="DB177" s="498">
        <v>0</v>
      </c>
      <c r="DC177" s="498">
        <v>0</v>
      </c>
      <c r="DD177" s="498">
        <v>0</v>
      </c>
      <c r="DE177" s="498">
        <v>0</v>
      </c>
      <c r="DF177" s="498">
        <v>0</v>
      </c>
      <c r="DG177" s="498">
        <v>0</v>
      </c>
      <c r="DH177" s="498">
        <v>0</v>
      </c>
      <c r="DI177" s="498">
        <v>0</v>
      </c>
      <c r="DJ177" s="498">
        <v>0</v>
      </c>
      <c r="DK177" s="498">
        <v>0</v>
      </c>
      <c r="DL177" s="498">
        <v>0</v>
      </c>
      <c r="DM177" s="498">
        <v>0</v>
      </c>
      <c r="DN177" s="498">
        <v>0</v>
      </c>
      <c r="DO177" s="498">
        <v>0</v>
      </c>
      <c r="DP177" s="498">
        <v>0</v>
      </c>
      <c r="DQ177" s="498">
        <v>0</v>
      </c>
      <c r="DR177" s="498">
        <v>0</v>
      </c>
      <c r="DS177" s="498">
        <v>0</v>
      </c>
      <c r="DT177" s="498">
        <v>0</v>
      </c>
      <c r="DU177" s="498">
        <v>0</v>
      </c>
      <c r="DV177" s="498">
        <v>0</v>
      </c>
      <c r="DW177" s="498">
        <v>0</v>
      </c>
      <c r="DX177" s="477"/>
      <c r="DY177" s="497" t="s">
        <v>720</v>
      </c>
      <c r="DZ177" s="497" t="s">
        <v>617</v>
      </c>
      <c r="EA177" s="497" t="s">
        <v>26</v>
      </c>
      <c r="EB177" s="498">
        <v>44</v>
      </c>
      <c r="EC177" s="494" t="str">
        <f t="shared" si="6"/>
        <v>AIJ100244</v>
      </c>
      <c r="ED177" s="498">
        <v>0</v>
      </c>
      <c r="EE177" s="498">
        <v>340</v>
      </c>
      <c r="EF177" s="498">
        <v>696</v>
      </c>
      <c r="EG177" s="498">
        <v>1080</v>
      </c>
      <c r="EH177" s="498">
        <v>1644</v>
      </c>
      <c r="EI177" s="498">
        <v>2161</v>
      </c>
      <c r="EJ177" s="498">
        <v>3000</v>
      </c>
      <c r="EK177" s="498">
        <v>4203</v>
      </c>
      <c r="EL177" s="498">
        <v>5769</v>
      </c>
      <c r="EM177" s="498">
        <v>0</v>
      </c>
      <c r="EN177" s="498">
        <v>0</v>
      </c>
      <c r="EO177" s="498">
        <v>0</v>
      </c>
      <c r="EP177" s="498">
        <v>0</v>
      </c>
      <c r="EQ177" s="498">
        <v>0</v>
      </c>
      <c r="ER177" s="498">
        <v>0</v>
      </c>
      <c r="ES177" s="498">
        <v>0</v>
      </c>
      <c r="ET177" s="498">
        <v>0</v>
      </c>
      <c r="EU177" s="498">
        <v>0</v>
      </c>
      <c r="EV177" s="498">
        <v>0</v>
      </c>
      <c r="EW177" s="498">
        <v>0</v>
      </c>
      <c r="EX177" s="498">
        <v>0</v>
      </c>
      <c r="EY177" s="498">
        <v>0</v>
      </c>
      <c r="EZ177" s="498">
        <v>0</v>
      </c>
      <c r="FA177" s="498">
        <v>0</v>
      </c>
      <c r="FB177" s="498">
        <v>0</v>
      </c>
      <c r="FC177" s="498">
        <v>0</v>
      </c>
      <c r="FD177" s="498">
        <v>0</v>
      </c>
      <c r="FE177" s="498">
        <v>0</v>
      </c>
      <c r="FF177" s="498">
        <v>0</v>
      </c>
      <c r="FG177" s="498">
        <v>0</v>
      </c>
      <c r="FH177" s="498">
        <v>0</v>
      </c>
      <c r="FI177" s="498">
        <v>0</v>
      </c>
      <c r="FJ177" s="498">
        <v>0</v>
      </c>
      <c r="FK177" s="498">
        <v>0</v>
      </c>
      <c r="FL177" s="498">
        <v>0</v>
      </c>
      <c r="FM177" s="498">
        <v>0</v>
      </c>
      <c r="FN177" s="498">
        <v>0</v>
      </c>
      <c r="FO177" s="498">
        <v>0</v>
      </c>
      <c r="FP177" s="498">
        <v>0</v>
      </c>
      <c r="FQ177" s="498">
        <v>0</v>
      </c>
      <c r="FR177" s="498">
        <v>0</v>
      </c>
      <c r="FS177" s="498">
        <v>0</v>
      </c>
      <c r="FT177" s="498">
        <v>0</v>
      </c>
      <c r="FU177" s="498">
        <v>0</v>
      </c>
      <c r="FV177" s="498">
        <v>0</v>
      </c>
      <c r="FW177" s="498">
        <v>0</v>
      </c>
      <c r="FX177" s="498">
        <v>0</v>
      </c>
      <c r="FY177" s="498">
        <v>0</v>
      </c>
      <c r="FZ177" s="498">
        <v>0</v>
      </c>
      <c r="GA177" s="498">
        <v>0</v>
      </c>
      <c r="GB177" s="498">
        <v>0</v>
      </c>
      <c r="GC177" s="498">
        <v>0</v>
      </c>
      <c r="GD177" s="498">
        <v>0</v>
      </c>
      <c r="GE177" s="498">
        <v>0</v>
      </c>
      <c r="GF177" s="498">
        <v>0</v>
      </c>
      <c r="GG177" s="498">
        <v>0</v>
      </c>
      <c r="GH177" s="498">
        <v>0</v>
      </c>
      <c r="GI177" s="498">
        <v>0</v>
      </c>
      <c r="GJ177" s="498">
        <v>0</v>
      </c>
      <c r="GK177" s="498">
        <v>0</v>
      </c>
      <c r="GL177" s="498">
        <v>0</v>
      </c>
      <c r="GM177" s="498">
        <v>0</v>
      </c>
      <c r="GN177" s="498">
        <v>0</v>
      </c>
      <c r="GO177" s="498">
        <v>0</v>
      </c>
      <c r="GP177" s="498">
        <v>0</v>
      </c>
      <c r="GQ177" s="498">
        <v>0</v>
      </c>
      <c r="GR177" s="498">
        <v>0</v>
      </c>
      <c r="GS177" s="498">
        <v>0</v>
      </c>
      <c r="GT177" s="498">
        <v>0</v>
      </c>
      <c r="GU177" s="498">
        <v>0</v>
      </c>
      <c r="GV177" s="498">
        <v>0</v>
      </c>
      <c r="GW177" s="498">
        <v>0</v>
      </c>
      <c r="GX177" s="498">
        <v>0</v>
      </c>
      <c r="GY177" s="498">
        <v>0</v>
      </c>
      <c r="GZ177" s="498">
        <v>0</v>
      </c>
      <c r="HA177" s="498">
        <v>0</v>
      </c>
      <c r="HB177" s="498">
        <v>0</v>
      </c>
      <c r="HC177" s="498">
        <v>0</v>
      </c>
      <c r="HD177" s="498">
        <v>0</v>
      </c>
      <c r="HE177" s="498">
        <v>0</v>
      </c>
      <c r="HF177" s="498">
        <v>0</v>
      </c>
      <c r="HG177" s="498">
        <v>0</v>
      </c>
      <c r="HH177" s="498">
        <v>0</v>
      </c>
      <c r="HI177" s="498">
        <v>0</v>
      </c>
      <c r="HJ177" s="498">
        <v>0</v>
      </c>
      <c r="HK177" s="498">
        <v>0</v>
      </c>
      <c r="HL177" s="498">
        <v>0</v>
      </c>
      <c r="HM177" s="498">
        <v>0</v>
      </c>
      <c r="HN177" s="498">
        <v>0</v>
      </c>
      <c r="HO177" s="498">
        <v>0</v>
      </c>
      <c r="HP177" s="498">
        <v>0</v>
      </c>
      <c r="HQ177" s="498">
        <v>0</v>
      </c>
      <c r="HR177" s="498">
        <v>0</v>
      </c>
      <c r="HS177" s="498">
        <v>0</v>
      </c>
      <c r="HT177" s="498">
        <v>0</v>
      </c>
      <c r="HU177" s="498">
        <v>0</v>
      </c>
      <c r="HV177" s="498">
        <v>0</v>
      </c>
      <c r="HW177" s="498">
        <v>0</v>
      </c>
      <c r="HX177" s="498">
        <v>0</v>
      </c>
      <c r="HY177" s="498">
        <v>0</v>
      </c>
      <c r="HZ177" s="498">
        <v>0</v>
      </c>
      <c r="IA177" s="498">
        <v>0</v>
      </c>
      <c r="IB177" s="498">
        <v>0</v>
      </c>
      <c r="IC177" s="498">
        <v>0</v>
      </c>
      <c r="ID177" s="498">
        <v>0</v>
      </c>
      <c r="IE177" s="498">
        <v>0</v>
      </c>
      <c r="IF177" s="498">
        <v>0</v>
      </c>
      <c r="IG177" s="498">
        <v>0</v>
      </c>
      <c r="IH177" s="498">
        <v>0</v>
      </c>
      <c r="II177" s="498">
        <v>0</v>
      </c>
      <c r="IJ177" s="498">
        <v>0</v>
      </c>
    </row>
    <row r="178" spans="12:244" hidden="1">
      <c r="L178" s="497" t="s">
        <v>720</v>
      </c>
      <c r="M178" s="497" t="s">
        <v>617</v>
      </c>
      <c r="N178" s="497" t="s">
        <v>26</v>
      </c>
      <c r="O178" s="498">
        <v>45</v>
      </c>
      <c r="P178" s="494" t="str">
        <f t="shared" si="5"/>
        <v>AIJ100245</v>
      </c>
      <c r="Q178" s="498">
        <v>20000</v>
      </c>
      <c r="R178" s="498">
        <v>20000</v>
      </c>
      <c r="S178" s="498">
        <v>20000</v>
      </c>
      <c r="T178" s="498">
        <v>20000</v>
      </c>
      <c r="U178" s="498">
        <v>20000</v>
      </c>
      <c r="V178" s="498">
        <v>20000</v>
      </c>
      <c r="W178" s="498">
        <v>20000</v>
      </c>
      <c r="X178" s="498">
        <v>20000</v>
      </c>
      <c r="Y178" s="498">
        <v>20000</v>
      </c>
      <c r="Z178" s="498">
        <v>20000</v>
      </c>
      <c r="AA178" s="498">
        <v>0</v>
      </c>
      <c r="AB178" s="498">
        <v>0</v>
      </c>
      <c r="AC178" s="498">
        <v>0</v>
      </c>
      <c r="AD178" s="498">
        <v>0</v>
      </c>
      <c r="AE178" s="498">
        <v>0</v>
      </c>
      <c r="AF178" s="498">
        <v>0</v>
      </c>
      <c r="AG178" s="498">
        <v>0</v>
      </c>
      <c r="AH178" s="498">
        <v>0</v>
      </c>
      <c r="AI178" s="498">
        <v>0</v>
      </c>
      <c r="AJ178" s="498">
        <v>0</v>
      </c>
      <c r="AK178" s="498">
        <v>0</v>
      </c>
      <c r="AL178" s="498">
        <v>0</v>
      </c>
      <c r="AM178" s="498">
        <v>0</v>
      </c>
      <c r="AN178" s="498">
        <v>0</v>
      </c>
      <c r="AO178" s="498">
        <v>0</v>
      </c>
      <c r="AP178" s="498">
        <v>0</v>
      </c>
      <c r="AQ178" s="498">
        <v>0</v>
      </c>
      <c r="AR178" s="498">
        <v>0</v>
      </c>
      <c r="AS178" s="498">
        <v>0</v>
      </c>
      <c r="AT178" s="498">
        <v>0</v>
      </c>
      <c r="AU178" s="498">
        <v>0</v>
      </c>
      <c r="AV178" s="498">
        <v>0</v>
      </c>
      <c r="AW178" s="498">
        <v>0</v>
      </c>
      <c r="AX178" s="498">
        <v>0</v>
      </c>
      <c r="AY178" s="498">
        <v>0</v>
      </c>
      <c r="AZ178" s="498">
        <v>0</v>
      </c>
      <c r="BA178" s="498">
        <v>0</v>
      </c>
      <c r="BB178" s="498">
        <v>0</v>
      </c>
      <c r="BC178" s="498">
        <v>0</v>
      </c>
      <c r="BD178" s="498">
        <v>0</v>
      </c>
      <c r="BE178" s="498">
        <v>0</v>
      </c>
      <c r="BF178" s="498">
        <v>0</v>
      </c>
      <c r="BG178" s="498">
        <v>0</v>
      </c>
      <c r="BH178" s="498">
        <v>0</v>
      </c>
      <c r="BI178" s="498">
        <v>0</v>
      </c>
      <c r="BJ178" s="498">
        <v>0</v>
      </c>
      <c r="BK178" s="498">
        <v>0</v>
      </c>
      <c r="BL178" s="498">
        <v>0</v>
      </c>
      <c r="BM178" s="498">
        <v>0</v>
      </c>
      <c r="BN178" s="498">
        <v>0</v>
      </c>
      <c r="BO178" s="498">
        <v>0</v>
      </c>
      <c r="BP178" s="498">
        <v>0</v>
      </c>
      <c r="BQ178" s="498">
        <v>0</v>
      </c>
      <c r="BR178" s="498">
        <v>0</v>
      </c>
      <c r="BS178" s="498">
        <v>0</v>
      </c>
      <c r="BT178" s="498">
        <v>0</v>
      </c>
      <c r="BU178" s="498">
        <v>0</v>
      </c>
      <c r="BV178" s="498">
        <v>0</v>
      </c>
      <c r="BW178" s="498">
        <v>0</v>
      </c>
      <c r="BX178" s="498">
        <v>0</v>
      </c>
      <c r="BY178" s="498">
        <v>0</v>
      </c>
      <c r="BZ178" s="498">
        <v>0</v>
      </c>
      <c r="CA178" s="498">
        <v>0</v>
      </c>
      <c r="CB178" s="498">
        <v>0</v>
      </c>
      <c r="CC178" s="498">
        <v>0</v>
      </c>
      <c r="CD178" s="498">
        <v>0</v>
      </c>
      <c r="CE178" s="498">
        <v>0</v>
      </c>
      <c r="CF178" s="498">
        <v>0</v>
      </c>
      <c r="CG178" s="498">
        <v>0</v>
      </c>
      <c r="CH178" s="498">
        <v>0</v>
      </c>
      <c r="CI178" s="498">
        <v>0</v>
      </c>
      <c r="CJ178" s="498">
        <v>0</v>
      </c>
      <c r="CK178" s="498">
        <v>0</v>
      </c>
      <c r="CL178" s="498">
        <v>0</v>
      </c>
      <c r="CM178" s="498">
        <v>0</v>
      </c>
      <c r="CN178" s="498">
        <v>0</v>
      </c>
      <c r="CO178" s="498">
        <v>0</v>
      </c>
      <c r="CP178" s="498">
        <v>0</v>
      </c>
      <c r="CQ178" s="498">
        <v>0</v>
      </c>
      <c r="CR178" s="498">
        <v>0</v>
      </c>
      <c r="CS178" s="498">
        <v>0</v>
      </c>
      <c r="CT178" s="498">
        <v>0</v>
      </c>
      <c r="CU178" s="498">
        <v>0</v>
      </c>
      <c r="CV178" s="498">
        <v>0</v>
      </c>
      <c r="CW178" s="498">
        <v>0</v>
      </c>
      <c r="CX178" s="498">
        <v>0</v>
      </c>
      <c r="CY178" s="498">
        <v>0</v>
      </c>
      <c r="CZ178" s="498">
        <v>0</v>
      </c>
      <c r="DA178" s="498">
        <v>0</v>
      </c>
      <c r="DB178" s="498">
        <v>0</v>
      </c>
      <c r="DC178" s="498">
        <v>0</v>
      </c>
      <c r="DD178" s="498">
        <v>0</v>
      </c>
      <c r="DE178" s="498">
        <v>0</v>
      </c>
      <c r="DF178" s="498">
        <v>0</v>
      </c>
      <c r="DG178" s="498">
        <v>0</v>
      </c>
      <c r="DH178" s="498">
        <v>0</v>
      </c>
      <c r="DI178" s="498">
        <v>0</v>
      </c>
      <c r="DJ178" s="498">
        <v>0</v>
      </c>
      <c r="DK178" s="498">
        <v>0</v>
      </c>
      <c r="DL178" s="498">
        <v>0</v>
      </c>
      <c r="DM178" s="498">
        <v>0</v>
      </c>
      <c r="DN178" s="498">
        <v>0</v>
      </c>
      <c r="DO178" s="498">
        <v>0</v>
      </c>
      <c r="DP178" s="498">
        <v>0</v>
      </c>
      <c r="DQ178" s="498">
        <v>0</v>
      </c>
      <c r="DR178" s="498">
        <v>0</v>
      </c>
      <c r="DS178" s="498">
        <v>0</v>
      </c>
      <c r="DT178" s="498">
        <v>0</v>
      </c>
      <c r="DU178" s="498">
        <v>0</v>
      </c>
      <c r="DV178" s="498">
        <v>0</v>
      </c>
      <c r="DW178" s="498">
        <v>0</v>
      </c>
      <c r="DX178" s="477"/>
      <c r="DY178" s="497" t="s">
        <v>720</v>
      </c>
      <c r="DZ178" s="497" t="s">
        <v>617</v>
      </c>
      <c r="EA178" s="497" t="s">
        <v>26</v>
      </c>
      <c r="EB178" s="498">
        <v>45</v>
      </c>
      <c r="EC178" s="494" t="str">
        <f t="shared" si="6"/>
        <v>AIJ100245</v>
      </c>
      <c r="ED178" s="498">
        <v>0</v>
      </c>
      <c r="EE178" s="498">
        <v>355</v>
      </c>
      <c r="EF178" s="498">
        <v>697</v>
      </c>
      <c r="EG178" s="498">
        <v>1098</v>
      </c>
      <c r="EH178" s="498">
        <v>1603</v>
      </c>
      <c r="EI178" s="498">
        <v>2153</v>
      </c>
      <c r="EJ178" s="498">
        <v>3034</v>
      </c>
      <c r="EK178" s="498">
        <v>4167</v>
      </c>
      <c r="EL178" s="498">
        <v>5741</v>
      </c>
      <c r="EM178" s="498">
        <v>0</v>
      </c>
      <c r="EN178" s="498">
        <v>0</v>
      </c>
      <c r="EO178" s="498">
        <v>0</v>
      </c>
      <c r="EP178" s="498">
        <v>0</v>
      </c>
      <c r="EQ178" s="498">
        <v>0</v>
      </c>
      <c r="ER178" s="498">
        <v>0</v>
      </c>
      <c r="ES178" s="498">
        <v>0</v>
      </c>
      <c r="ET178" s="498">
        <v>0</v>
      </c>
      <c r="EU178" s="498">
        <v>0</v>
      </c>
      <c r="EV178" s="498">
        <v>0</v>
      </c>
      <c r="EW178" s="498">
        <v>0</v>
      </c>
      <c r="EX178" s="498">
        <v>0</v>
      </c>
      <c r="EY178" s="498">
        <v>0</v>
      </c>
      <c r="EZ178" s="498">
        <v>0</v>
      </c>
      <c r="FA178" s="498">
        <v>0</v>
      </c>
      <c r="FB178" s="498">
        <v>0</v>
      </c>
      <c r="FC178" s="498">
        <v>0</v>
      </c>
      <c r="FD178" s="498">
        <v>0</v>
      </c>
      <c r="FE178" s="498">
        <v>0</v>
      </c>
      <c r="FF178" s="498">
        <v>0</v>
      </c>
      <c r="FG178" s="498">
        <v>0</v>
      </c>
      <c r="FH178" s="498">
        <v>0</v>
      </c>
      <c r="FI178" s="498">
        <v>0</v>
      </c>
      <c r="FJ178" s="498">
        <v>0</v>
      </c>
      <c r="FK178" s="498">
        <v>0</v>
      </c>
      <c r="FL178" s="498">
        <v>0</v>
      </c>
      <c r="FM178" s="498">
        <v>0</v>
      </c>
      <c r="FN178" s="498">
        <v>0</v>
      </c>
      <c r="FO178" s="498">
        <v>0</v>
      </c>
      <c r="FP178" s="498">
        <v>0</v>
      </c>
      <c r="FQ178" s="498">
        <v>0</v>
      </c>
      <c r="FR178" s="498">
        <v>0</v>
      </c>
      <c r="FS178" s="498">
        <v>0</v>
      </c>
      <c r="FT178" s="498">
        <v>0</v>
      </c>
      <c r="FU178" s="498">
        <v>0</v>
      </c>
      <c r="FV178" s="498">
        <v>0</v>
      </c>
      <c r="FW178" s="498">
        <v>0</v>
      </c>
      <c r="FX178" s="498">
        <v>0</v>
      </c>
      <c r="FY178" s="498">
        <v>0</v>
      </c>
      <c r="FZ178" s="498">
        <v>0</v>
      </c>
      <c r="GA178" s="498">
        <v>0</v>
      </c>
      <c r="GB178" s="498">
        <v>0</v>
      </c>
      <c r="GC178" s="498">
        <v>0</v>
      </c>
      <c r="GD178" s="498">
        <v>0</v>
      </c>
      <c r="GE178" s="498">
        <v>0</v>
      </c>
      <c r="GF178" s="498">
        <v>0</v>
      </c>
      <c r="GG178" s="498">
        <v>0</v>
      </c>
      <c r="GH178" s="498">
        <v>0</v>
      </c>
      <c r="GI178" s="498">
        <v>0</v>
      </c>
      <c r="GJ178" s="498">
        <v>0</v>
      </c>
      <c r="GK178" s="498">
        <v>0</v>
      </c>
      <c r="GL178" s="498">
        <v>0</v>
      </c>
      <c r="GM178" s="498">
        <v>0</v>
      </c>
      <c r="GN178" s="498">
        <v>0</v>
      </c>
      <c r="GO178" s="498">
        <v>0</v>
      </c>
      <c r="GP178" s="498">
        <v>0</v>
      </c>
      <c r="GQ178" s="498">
        <v>0</v>
      </c>
      <c r="GR178" s="498">
        <v>0</v>
      </c>
      <c r="GS178" s="498">
        <v>0</v>
      </c>
      <c r="GT178" s="498">
        <v>0</v>
      </c>
      <c r="GU178" s="498">
        <v>0</v>
      </c>
      <c r="GV178" s="498">
        <v>0</v>
      </c>
      <c r="GW178" s="498">
        <v>0</v>
      </c>
      <c r="GX178" s="498">
        <v>0</v>
      </c>
      <c r="GY178" s="498">
        <v>0</v>
      </c>
      <c r="GZ178" s="498">
        <v>0</v>
      </c>
      <c r="HA178" s="498">
        <v>0</v>
      </c>
      <c r="HB178" s="498">
        <v>0</v>
      </c>
      <c r="HC178" s="498">
        <v>0</v>
      </c>
      <c r="HD178" s="498">
        <v>0</v>
      </c>
      <c r="HE178" s="498">
        <v>0</v>
      </c>
      <c r="HF178" s="498">
        <v>0</v>
      </c>
      <c r="HG178" s="498">
        <v>0</v>
      </c>
      <c r="HH178" s="498">
        <v>0</v>
      </c>
      <c r="HI178" s="498">
        <v>0</v>
      </c>
      <c r="HJ178" s="498">
        <v>0</v>
      </c>
      <c r="HK178" s="498">
        <v>0</v>
      </c>
      <c r="HL178" s="498">
        <v>0</v>
      </c>
      <c r="HM178" s="498">
        <v>0</v>
      </c>
      <c r="HN178" s="498">
        <v>0</v>
      </c>
      <c r="HO178" s="498">
        <v>0</v>
      </c>
      <c r="HP178" s="498">
        <v>0</v>
      </c>
      <c r="HQ178" s="498">
        <v>0</v>
      </c>
      <c r="HR178" s="498">
        <v>0</v>
      </c>
      <c r="HS178" s="498">
        <v>0</v>
      </c>
      <c r="HT178" s="498">
        <v>0</v>
      </c>
      <c r="HU178" s="498">
        <v>0</v>
      </c>
      <c r="HV178" s="498">
        <v>0</v>
      </c>
      <c r="HW178" s="498">
        <v>0</v>
      </c>
      <c r="HX178" s="498">
        <v>0</v>
      </c>
      <c r="HY178" s="498">
        <v>0</v>
      </c>
      <c r="HZ178" s="498">
        <v>0</v>
      </c>
      <c r="IA178" s="498">
        <v>0</v>
      </c>
      <c r="IB178" s="498">
        <v>0</v>
      </c>
      <c r="IC178" s="498">
        <v>0</v>
      </c>
      <c r="ID178" s="498">
        <v>0</v>
      </c>
      <c r="IE178" s="498">
        <v>0</v>
      </c>
      <c r="IF178" s="498">
        <v>0</v>
      </c>
      <c r="IG178" s="498">
        <v>0</v>
      </c>
      <c r="IH178" s="498">
        <v>0</v>
      </c>
      <c r="II178" s="498">
        <v>0</v>
      </c>
      <c r="IJ178" s="498">
        <v>0</v>
      </c>
    </row>
    <row r="179" spans="12:244" hidden="1">
      <c r="L179" s="497" t="s">
        <v>720</v>
      </c>
      <c r="M179" s="497" t="s">
        <v>617</v>
      </c>
      <c r="N179" s="497" t="s">
        <v>26</v>
      </c>
      <c r="O179" s="498">
        <v>46</v>
      </c>
      <c r="P179" s="494" t="str">
        <f t="shared" si="5"/>
        <v>AIJ100246</v>
      </c>
      <c r="Q179" s="498">
        <v>20000</v>
      </c>
      <c r="R179" s="498">
        <v>20000</v>
      </c>
      <c r="S179" s="498">
        <v>20000</v>
      </c>
      <c r="T179" s="498">
        <v>20000</v>
      </c>
      <c r="U179" s="498">
        <v>20000</v>
      </c>
      <c r="V179" s="498">
        <v>20000</v>
      </c>
      <c r="W179" s="498">
        <v>20000</v>
      </c>
      <c r="X179" s="498">
        <v>20000</v>
      </c>
      <c r="Y179" s="498">
        <v>20000</v>
      </c>
      <c r="Z179" s="498">
        <v>20000</v>
      </c>
      <c r="AA179" s="498">
        <v>0</v>
      </c>
      <c r="AB179" s="498">
        <v>0</v>
      </c>
      <c r="AC179" s="498">
        <v>0</v>
      </c>
      <c r="AD179" s="498">
        <v>0</v>
      </c>
      <c r="AE179" s="498">
        <v>0</v>
      </c>
      <c r="AF179" s="498">
        <v>0</v>
      </c>
      <c r="AG179" s="498">
        <v>0</v>
      </c>
      <c r="AH179" s="498">
        <v>0</v>
      </c>
      <c r="AI179" s="498">
        <v>0</v>
      </c>
      <c r="AJ179" s="498">
        <v>0</v>
      </c>
      <c r="AK179" s="498">
        <v>0</v>
      </c>
      <c r="AL179" s="498">
        <v>0</v>
      </c>
      <c r="AM179" s="498">
        <v>0</v>
      </c>
      <c r="AN179" s="498">
        <v>0</v>
      </c>
      <c r="AO179" s="498">
        <v>0</v>
      </c>
      <c r="AP179" s="498">
        <v>0</v>
      </c>
      <c r="AQ179" s="498">
        <v>0</v>
      </c>
      <c r="AR179" s="498">
        <v>0</v>
      </c>
      <c r="AS179" s="498">
        <v>0</v>
      </c>
      <c r="AT179" s="498">
        <v>0</v>
      </c>
      <c r="AU179" s="498">
        <v>0</v>
      </c>
      <c r="AV179" s="498">
        <v>0</v>
      </c>
      <c r="AW179" s="498">
        <v>0</v>
      </c>
      <c r="AX179" s="498">
        <v>0</v>
      </c>
      <c r="AY179" s="498">
        <v>0</v>
      </c>
      <c r="AZ179" s="498">
        <v>0</v>
      </c>
      <c r="BA179" s="498">
        <v>0</v>
      </c>
      <c r="BB179" s="498">
        <v>0</v>
      </c>
      <c r="BC179" s="498">
        <v>0</v>
      </c>
      <c r="BD179" s="498">
        <v>0</v>
      </c>
      <c r="BE179" s="498">
        <v>0</v>
      </c>
      <c r="BF179" s="498">
        <v>0</v>
      </c>
      <c r="BG179" s="498">
        <v>0</v>
      </c>
      <c r="BH179" s="498">
        <v>0</v>
      </c>
      <c r="BI179" s="498">
        <v>0</v>
      </c>
      <c r="BJ179" s="498">
        <v>0</v>
      </c>
      <c r="BK179" s="498">
        <v>0</v>
      </c>
      <c r="BL179" s="498">
        <v>0</v>
      </c>
      <c r="BM179" s="498">
        <v>0</v>
      </c>
      <c r="BN179" s="498">
        <v>0</v>
      </c>
      <c r="BO179" s="498">
        <v>0</v>
      </c>
      <c r="BP179" s="498">
        <v>0</v>
      </c>
      <c r="BQ179" s="498">
        <v>0</v>
      </c>
      <c r="BR179" s="498">
        <v>0</v>
      </c>
      <c r="BS179" s="498">
        <v>0</v>
      </c>
      <c r="BT179" s="498">
        <v>0</v>
      </c>
      <c r="BU179" s="498">
        <v>0</v>
      </c>
      <c r="BV179" s="498">
        <v>0</v>
      </c>
      <c r="BW179" s="498">
        <v>0</v>
      </c>
      <c r="BX179" s="498">
        <v>0</v>
      </c>
      <c r="BY179" s="498">
        <v>0</v>
      </c>
      <c r="BZ179" s="498">
        <v>0</v>
      </c>
      <c r="CA179" s="498">
        <v>0</v>
      </c>
      <c r="CB179" s="498">
        <v>0</v>
      </c>
      <c r="CC179" s="498">
        <v>0</v>
      </c>
      <c r="CD179" s="498">
        <v>0</v>
      </c>
      <c r="CE179" s="498">
        <v>0</v>
      </c>
      <c r="CF179" s="498">
        <v>0</v>
      </c>
      <c r="CG179" s="498">
        <v>0</v>
      </c>
      <c r="CH179" s="498">
        <v>0</v>
      </c>
      <c r="CI179" s="498">
        <v>0</v>
      </c>
      <c r="CJ179" s="498">
        <v>0</v>
      </c>
      <c r="CK179" s="498">
        <v>0</v>
      </c>
      <c r="CL179" s="498">
        <v>0</v>
      </c>
      <c r="CM179" s="498">
        <v>0</v>
      </c>
      <c r="CN179" s="498">
        <v>0</v>
      </c>
      <c r="CO179" s="498">
        <v>0</v>
      </c>
      <c r="CP179" s="498">
        <v>0</v>
      </c>
      <c r="CQ179" s="498">
        <v>0</v>
      </c>
      <c r="CR179" s="498">
        <v>0</v>
      </c>
      <c r="CS179" s="498">
        <v>0</v>
      </c>
      <c r="CT179" s="498">
        <v>0</v>
      </c>
      <c r="CU179" s="498">
        <v>0</v>
      </c>
      <c r="CV179" s="498">
        <v>0</v>
      </c>
      <c r="CW179" s="498">
        <v>0</v>
      </c>
      <c r="CX179" s="498">
        <v>0</v>
      </c>
      <c r="CY179" s="498">
        <v>0</v>
      </c>
      <c r="CZ179" s="498">
        <v>0</v>
      </c>
      <c r="DA179" s="498">
        <v>0</v>
      </c>
      <c r="DB179" s="498">
        <v>0</v>
      </c>
      <c r="DC179" s="498">
        <v>0</v>
      </c>
      <c r="DD179" s="498">
        <v>0</v>
      </c>
      <c r="DE179" s="498">
        <v>0</v>
      </c>
      <c r="DF179" s="498">
        <v>0</v>
      </c>
      <c r="DG179" s="498">
        <v>0</v>
      </c>
      <c r="DH179" s="498">
        <v>0</v>
      </c>
      <c r="DI179" s="498">
        <v>0</v>
      </c>
      <c r="DJ179" s="498">
        <v>0</v>
      </c>
      <c r="DK179" s="498">
        <v>0</v>
      </c>
      <c r="DL179" s="498">
        <v>0</v>
      </c>
      <c r="DM179" s="498">
        <v>0</v>
      </c>
      <c r="DN179" s="498">
        <v>0</v>
      </c>
      <c r="DO179" s="498">
        <v>0</v>
      </c>
      <c r="DP179" s="498">
        <v>0</v>
      </c>
      <c r="DQ179" s="498">
        <v>0</v>
      </c>
      <c r="DR179" s="498">
        <v>0</v>
      </c>
      <c r="DS179" s="498">
        <v>0</v>
      </c>
      <c r="DT179" s="498">
        <v>0</v>
      </c>
      <c r="DU179" s="498">
        <v>0</v>
      </c>
      <c r="DV179" s="498">
        <v>0</v>
      </c>
      <c r="DW179" s="498">
        <v>0</v>
      </c>
      <c r="DX179" s="477"/>
      <c r="DY179" s="497" t="s">
        <v>720</v>
      </c>
      <c r="DZ179" s="497" t="s">
        <v>617</v>
      </c>
      <c r="EA179" s="497" t="s">
        <v>26</v>
      </c>
      <c r="EB179" s="498">
        <v>46</v>
      </c>
      <c r="EC179" s="494" t="str">
        <f t="shared" si="6"/>
        <v>AIJ100246</v>
      </c>
      <c r="ED179" s="498">
        <v>0</v>
      </c>
      <c r="EE179" s="498">
        <v>335</v>
      </c>
      <c r="EF179" s="498">
        <v>724</v>
      </c>
      <c r="EG179" s="498">
        <v>1111</v>
      </c>
      <c r="EH179" s="498">
        <v>1633</v>
      </c>
      <c r="EI179" s="498">
        <v>2127</v>
      </c>
      <c r="EJ179" s="498">
        <v>2979</v>
      </c>
      <c r="EK179" s="498">
        <v>4145</v>
      </c>
      <c r="EL179" s="498">
        <v>5739</v>
      </c>
      <c r="EM179" s="498">
        <v>0</v>
      </c>
      <c r="EN179" s="498">
        <v>0</v>
      </c>
      <c r="EO179" s="498">
        <v>0</v>
      </c>
      <c r="EP179" s="498">
        <v>0</v>
      </c>
      <c r="EQ179" s="498">
        <v>0</v>
      </c>
      <c r="ER179" s="498">
        <v>0</v>
      </c>
      <c r="ES179" s="498">
        <v>0</v>
      </c>
      <c r="ET179" s="498">
        <v>0</v>
      </c>
      <c r="EU179" s="498">
        <v>0</v>
      </c>
      <c r="EV179" s="498">
        <v>0</v>
      </c>
      <c r="EW179" s="498">
        <v>0</v>
      </c>
      <c r="EX179" s="498">
        <v>0</v>
      </c>
      <c r="EY179" s="498">
        <v>0</v>
      </c>
      <c r="EZ179" s="498">
        <v>0</v>
      </c>
      <c r="FA179" s="498">
        <v>0</v>
      </c>
      <c r="FB179" s="498">
        <v>0</v>
      </c>
      <c r="FC179" s="498">
        <v>0</v>
      </c>
      <c r="FD179" s="498">
        <v>0</v>
      </c>
      <c r="FE179" s="498">
        <v>0</v>
      </c>
      <c r="FF179" s="498">
        <v>0</v>
      </c>
      <c r="FG179" s="498">
        <v>0</v>
      </c>
      <c r="FH179" s="498">
        <v>0</v>
      </c>
      <c r="FI179" s="498">
        <v>0</v>
      </c>
      <c r="FJ179" s="498">
        <v>0</v>
      </c>
      <c r="FK179" s="498">
        <v>0</v>
      </c>
      <c r="FL179" s="498">
        <v>0</v>
      </c>
      <c r="FM179" s="498">
        <v>0</v>
      </c>
      <c r="FN179" s="498">
        <v>0</v>
      </c>
      <c r="FO179" s="498">
        <v>0</v>
      </c>
      <c r="FP179" s="498">
        <v>0</v>
      </c>
      <c r="FQ179" s="498">
        <v>0</v>
      </c>
      <c r="FR179" s="498">
        <v>0</v>
      </c>
      <c r="FS179" s="498">
        <v>0</v>
      </c>
      <c r="FT179" s="498">
        <v>0</v>
      </c>
      <c r="FU179" s="498">
        <v>0</v>
      </c>
      <c r="FV179" s="498">
        <v>0</v>
      </c>
      <c r="FW179" s="498">
        <v>0</v>
      </c>
      <c r="FX179" s="498">
        <v>0</v>
      </c>
      <c r="FY179" s="498">
        <v>0</v>
      </c>
      <c r="FZ179" s="498">
        <v>0</v>
      </c>
      <c r="GA179" s="498">
        <v>0</v>
      </c>
      <c r="GB179" s="498">
        <v>0</v>
      </c>
      <c r="GC179" s="498">
        <v>0</v>
      </c>
      <c r="GD179" s="498">
        <v>0</v>
      </c>
      <c r="GE179" s="498">
        <v>0</v>
      </c>
      <c r="GF179" s="498">
        <v>0</v>
      </c>
      <c r="GG179" s="498">
        <v>0</v>
      </c>
      <c r="GH179" s="498">
        <v>0</v>
      </c>
      <c r="GI179" s="498">
        <v>0</v>
      </c>
      <c r="GJ179" s="498">
        <v>0</v>
      </c>
      <c r="GK179" s="498">
        <v>0</v>
      </c>
      <c r="GL179" s="498">
        <v>0</v>
      </c>
      <c r="GM179" s="498">
        <v>0</v>
      </c>
      <c r="GN179" s="498">
        <v>0</v>
      </c>
      <c r="GO179" s="498">
        <v>0</v>
      </c>
      <c r="GP179" s="498">
        <v>0</v>
      </c>
      <c r="GQ179" s="498">
        <v>0</v>
      </c>
      <c r="GR179" s="498">
        <v>0</v>
      </c>
      <c r="GS179" s="498">
        <v>0</v>
      </c>
      <c r="GT179" s="498">
        <v>0</v>
      </c>
      <c r="GU179" s="498">
        <v>0</v>
      </c>
      <c r="GV179" s="498">
        <v>0</v>
      </c>
      <c r="GW179" s="498">
        <v>0</v>
      </c>
      <c r="GX179" s="498">
        <v>0</v>
      </c>
      <c r="GY179" s="498">
        <v>0</v>
      </c>
      <c r="GZ179" s="498">
        <v>0</v>
      </c>
      <c r="HA179" s="498">
        <v>0</v>
      </c>
      <c r="HB179" s="498">
        <v>0</v>
      </c>
      <c r="HC179" s="498">
        <v>0</v>
      </c>
      <c r="HD179" s="498">
        <v>0</v>
      </c>
      <c r="HE179" s="498">
        <v>0</v>
      </c>
      <c r="HF179" s="498">
        <v>0</v>
      </c>
      <c r="HG179" s="498">
        <v>0</v>
      </c>
      <c r="HH179" s="498">
        <v>0</v>
      </c>
      <c r="HI179" s="498">
        <v>0</v>
      </c>
      <c r="HJ179" s="498">
        <v>0</v>
      </c>
      <c r="HK179" s="498">
        <v>0</v>
      </c>
      <c r="HL179" s="498">
        <v>0</v>
      </c>
      <c r="HM179" s="498">
        <v>0</v>
      </c>
      <c r="HN179" s="498">
        <v>0</v>
      </c>
      <c r="HO179" s="498">
        <v>0</v>
      </c>
      <c r="HP179" s="498">
        <v>0</v>
      </c>
      <c r="HQ179" s="498">
        <v>0</v>
      </c>
      <c r="HR179" s="498">
        <v>0</v>
      </c>
      <c r="HS179" s="498">
        <v>0</v>
      </c>
      <c r="HT179" s="498">
        <v>0</v>
      </c>
      <c r="HU179" s="498">
        <v>0</v>
      </c>
      <c r="HV179" s="498">
        <v>0</v>
      </c>
      <c r="HW179" s="498">
        <v>0</v>
      </c>
      <c r="HX179" s="498">
        <v>0</v>
      </c>
      <c r="HY179" s="498">
        <v>0</v>
      </c>
      <c r="HZ179" s="498">
        <v>0</v>
      </c>
      <c r="IA179" s="498">
        <v>0</v>
      </c>
      <c r="IB179" s="498">
        <v>0</v>
      </c>
      <c r="IC179" s="498">
        <v>0</v>
      </c>
      <c r="ID179" s="498">
        <v>0</v>
      </c>
      <c r="IE179" s="498">
        <v>0</v>
      </c>
      <c r="IF179" s="498">
        <v>0</v>
      </c>
      <c r="IG179" s="498">
        <v>0</v>
      </c>
      <c r="IH179" s="498">
        <v>0</v>
      </c>
      <c r="II179" s="498">
        <v>0</v>
      </c>
      <c r="IJ179" s="498">
        <v>0</v>
      </c>
    </row>
    <row r="180" spans="12:244" hidden="1">
      <c r="L180" s="497" t="s">
        <v>720</v>
      </c>
      <c r="M180" s="497" t="s">
        <v>617</v>
      </c>
      <c r="N180" s="497" t="s">
        <v>26</v>
      </c>
      <c r="O180" s="498">
        <v>47</v>
      </c>
      <c r="P180" s="494" t="str">
        <f t="shared" si="5"/>
        <v>AIJ100247</v>
      </c>
      <c r="Q180" s="498">
        <v>20000</v>
      </c>
      <c r="R180" s="498">
        <v>20000</v>
      </c>
      <c r="S180" s="498">
        <v>20000</v>
      </c>
      <c r="T180" s="498">
        <v>20000</v>
      </c>
      <c r="U180" s="498">
        <v>20000</v>
      </c>
      <c r="V180" s="498">
        <v>20000</v>
      </c>
      <c r="W180" s="498">
        <v>20000</v>
      </c>
      <c r="X180" s="498">
        <v>20000</v>
      </c>
      <c r="Y180" s="498">
        <v>20000</v>
      </c>
      <c r="Z180" s="498">
        <v>20000</v>
      </c>
      <c r="AA180" s="498">
        <v>0</v>
      </c>
      <c r="AB180" s="498">
        <v>0</v>
      </c>
      <c r="AC180" s="498">
        <v>0</v>
      </c>
      <c r="AD180" s="498">
        <v>0</v>
      </c>
      <c r="AE180" s="498">
        <v>0</v>
      </c>
      <c r="AF180" s="498">
        <v>0</v>
      </c>
      <c r="AG180" s="498">
        <v>0</v>
      </c>
      <c r="AH180" s="498">
        <v>0</v>
      </c>
      <c r="AI180" s="498">
        <v>0</v>
      </c>
      <c r="AJ180" s="498">
        <v>0</v>
      </c>
      <c r="AK180" s="498">
        <v>0</v>
      </c>
      <c r="AL180" s="498">
        <v>0</v>
      </c>
      <c r="AM180" s="498">
        <v>0</v>
      </c>
      <c r="AN180" s="498">
        <v>0</v>
      </c>
      <c r="AO180" s="498">
        <v>0</v>
      </c>
      <c r="AP180" s="498">
        <v>0</v>
      </c>
      <c r="AQ180" s="498">
        <v>0</v>
      </c>
      <c r="AR180" s="498">
        <v>0</v>
      </c>
      <c r="AS180" s="498">
        <v>0</v>
      </c>
      <c r="AT180" s="498">
        <v>0</v>
      </c>
      <c r="AU180" s="498">
        <v>0</v>
      </c>
      <c r="AV180" s="498">
        <v>0</v>
      </c>
      <c r="AW180" s="498">
        <v>0</v>
      </c>
      <c r="AX180" s="498">
        <v>0</v>
      </c>
      <c r="AY180" s="498">
        <v>0</v>
      </c>
      <c r="AZ180" s="498">
        <v>0</v>
      </c>
      <c r="BA180" s="498">
        <v>0</v>
      </c>
      <c r="BB180" s="498">
        <v>0</v>
      </c>
      <c r="BC180" s="498">
        <v>0</v>
      </c>
      <c r="BD180" s="498">
        <v>0</v>
      </c>
      <c r="BE180" s="498">
        <v>0</v>
      </c>
      <c r="BF180" s="498">
        <v>0</v>
      </c>
      <c r="BG180" s="498">
        <v>0</v>
      </c>
      <c r="BH180" s="498">
        <v>0</v>
      </c>
      <c r="BI180" s="498">
        <v>0</v>
      </c>
      <c r="BJ180" s="498">
        <v>0</v>
      </c>
      <c r="BK180" s="498">
        <v>0</v>
      </c>
      <c r="BL180" s="498">
        <v>0</v>
      </c>
      <c r="BM180" s="498">
        <v>0</v>
      </c>
      <c r="BN180" s="498">
        <v>0</v>
      </c>
      <c r="BO180" s="498">
        <v>0</v>
      </c>
      <c r="BP180" s="498">
        <v>0</v>
      </c>
      <c r="BQ180" s="498">
        <v>0</v>
      </c>
      <c r="BR180" s="498">
        <v>0</v>
      </c>
      <c r="BS180" s="498">
        <v>0</v>
      </c>
      <c r="BT180" s="498">
        <v>0</v>
      </c>
      <c r="BU180" s="498">
        <v>0</v>
      </c>
      <c r="BV180" s="498">
        <v>0</v>
      </c>
      <c r="BW180" s="498">
        <v>0</v>
      </c>
      <c r="BX180" s="498">
        <v>0</v>
      </c>
      <c r="BY180" s="498">
        <v>0</v>
      </c>
      <c r="BZ180" s="498">
        <v>0</v>
      </c>
      <c r="CA180" s="498">
        <v>0</v>
      </c>
      <c r="CB180" s="498">
        <v>0</v>
      </c>
      <c r="CC180" s="498">
        <v>0</v>
      </c>
      <c r="CD180" s="498">
        <v>0</v>
      </c>
      <c r="CE180" s="498">
        <v>0</v>
      </c>
      <c r="CF180" s="498">
        <v>0</v>
      </c>
      <c r="CG180" s="498">
        <v>0</v>
      </c>
      <c r="CH180" s="498">
        <v>0</v>
      </c>
      <c r="CI180" s="498">
        <v>0</v>
      </c>
      <c r="CJ180" s="498">
        <v>0</v>
      </c>
      <c r="CK180" s="498">
        <v>0</v>
      </c>
      <c r="CL180" s="498">
        <v>0</v>
      </c>
      <c r="CM180" s="498">
        <v>0</v>
      </c>
      <c r="CN180" s="498">
        <v>0</v>
      </c>
      <c r="CO180" s="498">
        <v>0</v>
      </c>
      <c r="CP180" s="498">
        <v>0</v>
      </c>
      <c r="CQ180" s="498">
        <v>0</v>
      </c>
      <c r="CR180" s="498">
        <v>0</v>
      </c>
      <c r="CS180" s="498">
        <v>0</v>
      </c>
      <c r="CT180" s="498">
        <v>0</v>
      </c>
      <c r="CU180" s="498">
        <v>0</v>
      </c>
      <c r="CV180" s="498">
        <v>0</v>
      </c>
      <c r="CW180" s="498">
        <v>0</v>
      </c>
      <c r="CX180" s="498">
        <v>0</v>
      </c>
      <c r="CY180" s="498">
        <v>0</v>
      </c>
      <c r="CZ180" s="498">
        <v>0</v>
      </c>
      <c r="DA180" s="498">
        <v>0</v>
      </c>
      <c r="DB180" s="498">
        <v>0</v>
      </c>
      <c r="DC180" s="498">
        <v>0</v>
      </c>
      <c r="DD180" s="498">
        <v>0</v>
      </c>
      <c r="DE180" s="498">
        <v>0</v>
      </c>
      <c r="DF180" s="498">
        <v>0</v>
      </c>
      <c r="DG180" s="498">
        <v>0</v>
      </c>
      <c r="DH180" s="498">
        <v>0</v>
      </c>
      <c r="DI180" s="498">
        <v>0</v>
      </c>
      <c r="DJ180" s="498">
        <v>0</v>
      </c>
      <c r="DK180" s="498">
        <v>0</v>
      </c>
      <c r="DL180" s="498">
        <v>0</v>
      </c>
      <c r="DM180" s="498">
        <v>0</v>
      </c>
      <c r="DN180" s="498">
        <v>0</v>
      </c>
      <c r="DO180" s="498">
        <v>0</v>
      </c>
      <c r="DP180" s="498">
        <v>0</v>
      </c>
      <c r="DQ180" s="498">
        <v>0</v>
      </c>
      <c r="DR180" s="498">
        <v>0</v>
      </c>
      <c r="DS180" s="498">
        <v>0</v>
      </c>
      <c r="DT180" s="498">
        <v>0</v>
      </c>
      <c r="DU180" s="498">
        <v>0</v>
      </c>
      <c r="DV180" s="498">
        <v>0</v>
      </c>
      <c r="DW180" s="498">
        <v>0</v>
      </c>
      <c r="DX180" s="477"/>
      <c r="DY180" s="497" t="s">
        <v>720</v>
      </c>
      <c r="DZ180" s="497" t="s">
        <v>617</v>
      </c>
      <c r="EA180" s="497" t="s">
        <v>26</v>
      </c>
      <c r="EB180" s="498">
        <v>47</v>
      </c>
      <c r="EC180" s="494" t="str">
        <f t="shared" si="6"/>
        <v>AIJ100247</v>
      </c>
      <c r="ED180" s="498">
        <v>0</v>
      </c>
      <c r="EE180" s="498">
        <v>345</v>
      </c>
      <c r="EF180" s="498">
        <v>712</v>
      </c>
      <c r="EG180" s="498">
        <v>1081</v>
      </c>
      <c r="EH180" s="498">
        <v>1617</v>
      </c>
      <c r="EI180" s="498">
        <v>2137</v>
      </c>
      <c r="EJ180" s="498">
        <v>3015</v>
      </c>
      <c r="EK180" s="498">
        <v>4224</v>
      </c>
      <c r="EL180" s="498">
        <v>5738</v>
      </c>
      <c r="EM180" s="498">
        <v>0</v>
      </c>
      <c r="EN180" s="498">
        <v>0</v>
      </c>
      <c r="EO180" s="498">
        <v>0</v>
      </c>
      <c r="EP180" s="498">
        <v>0</v>
      </c>
      <c r="EQ180" s="498">
        <v>0</v>
      </c>
      <c r="ER180" s="498">
        <v>0</v>
      </c>
      <c r="ES180" s="498">
        <v>0</v>
      </c>
      <c r="ET180" s="498">
        <v>0</v>
      </c>
      <c r="EU180" s="498">
        <v>0</v>
      </c>
      <c r="EV180" s="498">
        <v>0</v>
      </c>
      <c r="EW180" s="498">
        <v>0</v>
      </c>
      <c r="EX180" s="498">
        <v>0</v>
      </c>
      <c r="EY180" s="498">
        <v>0</v>
      </c>
      <c r="EZ180" s="498">
        <v>0</v>
      </c>
      <c r="FA180" s="498">
        <v>0</v>
      </c>
      <c r="FB180" s="498">
        <v>0</v>
      </c>
      <c r="FC180" s="498">
        <v>0</v>
      </c>
      <c r="FD180" s="498">
        <v>0</v>
      </c>
      <c r="FE180" s="498">
        <v>0</v>
      </c>
      <c r="FF180" s="498">
        <v>0</v>
      </c>
      <c r="FG180" s="498">
        <v>0</v>
      </c>
      <c r="FH180" s="498">
        <v>0</v>
      </c>
      <c r="FI180" s="498">
        <v>0</v>
      </c>
      <c r="FJ180" s="498">
        <v>0</v>
      </c>
      <c r="FK180" s="498">
        <v>0</v>
      </c>
      <c r="FL180" s="498">
        <v>0</v>
      </c>
      <c r="FM180" s="498">
        <v>0</v>
      </c>
      <c r="FN180" s="498">
        <v>0</v>
      </c>
      <c r="FO180" s="498">
        <v>0</v>
      </c>
      <c r="FP180" s="498">
        <v>0</v>
      </c>
      <c r="FQ180" s="498">
        <v>0</v>
      </c>
      <c r="FR180" s="498">
        <v>0</v>
      </c>
      <c r="FS180" s="498">
        <v>0</v>
      </c>
      <c r="FT180" s="498">
        <v>0</v>
      </c>
      <c r="FU180" s="498">
        <v>0</v>
      </c>
      <c r="FV180" s="498">
        <v>0</v>
      </c>
      <c r="FW180" s="498">
        <v>0</v>
      </c>
      <c r="FX180" s="498">
        <v>0</v>
      </c>
      <c r="FY180" s="498">
        <v>0</v>
      </c>
      <c r="FZ180" s="498">
        <v>0</v>
      </c>
      <c r="GA180" s="498">
        <v>0</v>
      </c>
      <c r="GB180" s="498">
        <v>0</v>
      </c>
      <c r="GC180" s="498">
        <v>0</v>
      </c>
      <c r="GD180" s="498">
        <v>0</v>
      </c>
      <c r="GE180" s="498">
        <v>0</v>
      </c>
      <c r="GF180" s="498">
        <v>0</v>
      </c>
      <c r="GG180" s="498">
        <v>0</v>
      </c>
      <c r="GH180" s="498">
        <v>0</v>
      </c>
      <c r="GI180" s="498">
        <v>0</v>
      </c>
      <c r="GJ180" s="498">
        <v>0</v>
      </c>
      <c r="GK180" s="498">
        <v>0</v>
      </c>
      <c r="GL180" s="498">
        <v>0</v>
      </c>
      <c r="GM180" s="498">
        <v>0</v>
      </c>
      <c r="GN180" s="498">
        <v>0</v>
      </c>
      <c r="GO180" s="498">
        <v>0</v>
      </c>
      <c r="GP180" s="498">
        <v>0</v>
      </c>
      <c r="GQ180" s="498">
        <v>0</v>
      </c>
      <c r="GR180" s="498">
        <v>0</v>
      </c>
      <c r="GS180" s="498">
        <v>0</v>
      </c>
      <c r="GT180" s="498">
        <v>0</v>
      </c>
      <c r="GU180" s="498">
        <v>0</v>
      </c>
      <c r="GV180" s="498">
        <v>0</v>
      </c>
      <c r="GW180" s="498">
        <v>0</v>
      </c>
      <c r="GX180" s="498">
        <v>0</v>
      </c>
      <c r="GY180" s="498">
        <v>0</v>
      </c>
      <c r="GZ180" s="498">
        <v>0</v>
      </c>
      <c r="HA180" s="498">
        <v>0</v>
      </c>
      <c r="HB180" s="498">
        <v>0</v>
      </c>
      <c r="HC180" s="498">
        <v>0</v>
      </c>
      <c r="HD180" s="498">
        <v>0</v>
      </c>
      <c r="HE180" s="498">
        <v>0</v>
      </c>
      <c r="HF180" s="498">
        <v>0</v>
      </c>
      <c r="HG180" s="498">
        <v>0</v>
      </c>
      <c r="HH180" s="498">
        <v>0</v>
      </c>
      <c r="HI180" s="498">
        <v>0</v>
      </c>
      <c r="HJ180" s="498">
        <v>0</v>
      </c>
      <c r="HK180" s="498">
        <v>0</v>
      </c>
      <c r="HL180" s="498">
        <v>0</v>
      </c>
      <c r="HM180" s="498">
        <v>0</v>
      </c>
      <c r="HN180" s="498">
        <v>0</v>
      </c>
      <c r="HO180" s="498">
        <v>0</v>
      </c>
      <c r="HP180" s="498">
        <v>0</v>
      </c>
      <c r="HQ180" s="498">
        <v>0</v>
      </c>
      <c r="HR180" s="498">
        <v>0</v>
      </c>
      <c r="HS180" s="498">
        <v>0</v>
      </c>
      <c r="HT180" s="498">
        <v>0</v>
      </c>
      <c r="HU180" s="498">
        <v>0</v>
      </c>
      <c r="HV180" s="498">
        <v>0</v>
      </c>
      <c r="HW180" s="498">
        <v>0</v>
      </c>
      <c r="HX180" s="498">
        <v>0</v>
      </c>
      <c r="HY180" s="498">
        <v>0</v>
      </c>
      <c r="HZ180" s="498">
        <v>0</v>
      </c>
      <c r="IA180" s="498">
        <v>0</v>
      </c>
      <c r="IB180" s="498">
        <v>0</v>
      </c>
      <c r="IC180" s="498">
        <v>0</v>
      </c>
      <c r="ID180" s="498">
        <v>0</v>
      </c>
      <c r="IE180" s="498">
        <v>0</v>
      </c>
      <c r="IF180" s="498">
        <v>0</v>
      </c>
      <c r="IG180" s="498">
        <v>0</v>
      </c>
      <c r="IH180" s="498">
        <v>0</v>
      </c>
      <c r="II180" s="498">
        <v>0</v>
      </c>
      <c r="IJ180" s="498">
        <v>0</v>
      </c>
    </row>
    <row r="181" spans="12:244" hidden="1">
      <c r="L181" s="497" t="s">
        <v>720</v>
      </c>
      <c r="M181" s="497" t="s">
        <v>617</v>
      </c>
      <c r="N181" s="497" t="s">
        <v>26</v>
      </c>
      <c r="O181" s="498">
        <v>48</v>
      </c>
      <c r="P181" s="494" t="str">
        <f t="shared" si="5"/>
        <v>AIJ100248</v>
      </c>
      <c r="Q181" s="498">
        <v>20000</v>
      </c>
      <c r="R181" s="498">
        <v>20000</v>
      </c>
      <c r="S181" s="498">
        <v>20000</v>
      </c>
      <c r="T181" s="498">
        <v>20000</v>
      </c>
      <c r="U181" s="498">
        <v>20000</v>
      </c>
      <c r="V181" s="498">
        <v>20000</v>
      </c>
      <c r="W181" s="498">
        <v>20000</v>
      </c>
      <c r="X181" s="498">
        <v>20000</v>
      </c>
      <c r="Y181" s="498">
        <v>20000</v>
      </c>
      <c r="Z181" s="498">
        <v>20000</v>
      </c>
      <c r="AA181" s="498">
        <v>0</v>
      </c>
      <c r="AB181" s="498">
        <v>0</v>
      </c>
      <c r="AC181" s="498">
        <v>0</v>
      </c>
      <c r="AD181" s="498">
        <v>0</v>
      </c>
      <c r="AE181" s="498">
        <v>0</v>
      </c>
      <c r="AF181" s="498">
        <v>0</v>
      </c>
      <c r="AG181" s="498">
        <v>0</v>
      </c>
      <c r="AH181" s="498">
        <v>0</v>
      </c>
      <c r="AI181" s="498">
        <v>0</v>
      </c>
      <c r="AJ181" s="498">
        <v>0</v>
      </c>
      <c r="AK181" s="498">
        <v>0</v>
      </c>
      <c r="AL181" s="498">
        <v>0</v>
      </c>
      <c r="AM181" s="498">
        <v>0</v>
      </c>
      <c r="AN181" s="498">
        <v>0</v>
      </c>
      <c r="AO181" s="498">
        <v>0</v>
      </c>
      <c r="AP181" s="498">
        <v>0</v>
      </c>
      <c r="AQ181" s="498">
        <v>0</v>
      </c>
      <c r="AR181" s="498">
        <v>0</v>
      </c>
      <c r="AS181" s="498">
        <v>0</v>
      </c>
      <c r="AT181" s="498">
        <v>0</v>
      </c>
      <c r="AU181" s="498">
        <v>0</v>
      </c>
      <c r="AV181" s="498">
        <v>0</v>
      </c>
      <c r="AW181" s="498">
        <v>0</v>
      </c>
      <c r="AX181" s="498">
        <v>0</v>
      </c>
      <c r="AY181" s="498">
        <v>0</v>
      </c>
      <c r="AZ181" s="498">
        <v>0</v>
      </c>
      <c r="BA181" s="498">
        <v>0</v>
      </c>
      <c r="BB181" s="498">
        <v>0</v>
      </c>
      <c r="BC181" s="498">
        <v>0</v>
      </c>
      <c r="BD181" s="498">
        <v>0</v>
      </c>
      <c r="BE181" s="498">
        <v>0</v>
      </c>
      <c r="BF181" s="498">
        <v>0</v>
      </c>
      <c r="BG181" s="498">
        <v>0</v>
      </c>
      <c r="BH181" s="498">
        <v>0</v>
      </c>
      <c r="BI181" s="498">
        <v>0</v>
      </c>
      <c r="BJ181" s="498">
        <v>0</v>
      </c>
      <c r="BK181" s="498">
        <v>0</v>
      </c>
      <c r="BL181" s="498">
        <v>0</v>
      </c>
      <c r="BM181" s="498">
        <v>0</v>
      </c>
      <c r="BN181" s="498">
        <v>0</v>
      </c>
      <c r="BO181" s="498">
        <v>0</v>
      </c>
      <c r="BP181" s="498">
        <v>0</v>
      </c>
      <c r="BQ181" s="498">
        <v>0</v>
      </c>
      <c r="BR181" s="498">
        <v>0</v>
      </c>
      <c r="BS181" s="498">
        <v>0</v>
      </c>
      <c r="BT181" s="498">
        <v>0</v>
      </c>
      <c r="BU181" s="498">
        <v>0</v>
      </c>
      <c r="BV181" s="498">
        <v>0</v>
      </c>
      <c r="BW181" s="498">
        <v>0</v>
      </c>
      <c r="BX181" s="498">
        <v>0</v>
      </c>
      <c r="BY181" s="498">
        <v>0</v>
      </c>
      <c r="BZ181" s="498">
        <v>0</v>
      </c>
      <c r="CA181" s="498">
        <v>0</v>
      </c>
      <c r="CB181" s="498">
        <v>0</v>
      </c>
      <c r="CC181" s="498">
        <v>0</v>
      </c>
      <c r="CD181" s="498">
        <v>0</v>
      </c>
      <c r="CE181" s="498">
        <v>0</v>
      </c>
      <c r="CF181" s="498">
        <v>0</v>
      </c>
      <c r="CG181" s="498">
        <v>0</v>
      </c>
      <c r="CH181" s="498">
        <v>0</v>
      </c>
      <c r="CI181" s="498">
        <v>0</v>
      </c>
      <c r="CJ181" s="498">
        <v>0</v>
      </c>
      <c r="CK181" s="498">
        <v>0</v>
      </c>
      <c r="CL181" s="498">
        <v>0</v>
      </c>
      <c r="CM181" s="498">
        <v>0</v>
      </c>
      <c r="CN181" s="498">
        <v>0</v>
      </c>
      <c r="CO181" s="498">
        <v>0</v>
      </c>
      <c r="CP181" s="498">
        <v>0</v>
      </c>
      <c r="CQ181" s="498">
        <v>0</v>
      </c>
      <c r="CR181" s="498">
        <v>0</v>
      </c>
      <c r="CS181" s="498">
        <v>0</v>
      </c>
      <c r="CT181" s="498">
        <v>0</v>
      </c>
      <c r="CU181" s="498">
        <v>0</v>
      </c>
      <c r="CV181" s="498">
        <v>0</v>
      </c>
      <c r="CW181" s="498">
        <v>0</v>
      </c>
      <c r="CX181" s="498">
        <v>0</v>
      </c>
      <c r="CY181" s="498">
        <v>0</v>
      </c>
      <c r="CZ181" s="498">
        <v>0</v>
      </c>
      <c r="DA181" s="498">
        <v>0</v>
      </c>
      <c r="DB181" s="498">
        <v>0</v>
      </c>
      <c r="DC181" s="498">
        <v>0</v>
      </c>
      <c r="DD181" s="498">
        <v>0</v>
      </c>
      <c r="DE181" s="498">
        <v>0</v>
      </c>
      <c r="DF181" s="498">
        <v>0</v>
      </c>
      <c r="DG181" s="498">
        <v>0</v>
      </c>
      <c r="DH181" s="498">
        <v>0</v>
      </c>
      <c r="DI181" s="498">
        <v>0</v>
      </c>
      <c r="DJ181" s="498">
        <v>0</v>
      </c>
      <c r="DK181" s="498">
        <v>0</v>
      </c>
      <c r="DL181" s="498">
        <v>0</v>
      </c>
      <c r="DM181" s="498">
        <v>0</v>
      </c>
      <c r="DN181" s="498">
        <v>0</v>
      </c>
      <c r="DO181" s="498">
        <v>0</v>
      </c>
      <c r="DP181" s="498">
        <v>0</v>
      </c>
      <c r="DQ181" s="498">
        <v>0</v>
      </c>
      <c r="DR181" s="498">
        <v>0</v>
      </c>
      <c r="DS181" s="498">
        <v>0</v>
      </c>
      <c r="DT181" s="498">
        <v>0</v>
      </c>
      <c r="DU181" s="498">
        <v>0</v>
      </c>
      <c r="DV181" s="498">
        <v>0</v>
      </c>
      <c r="DW181" s="498">
        <v>0</v>
      </c>
      <c r="DX181" s="477"/>
      <c r="DY181" s="497" t="s">
        <v>720</v>
      </c>
      <c r="DZ181" s="497" t="s">
        <v>617</v>
      </c>
      <c r="EA181" s="497" t="s">
        <v>26</v>
      </c>
      <c r="EB181" s="498">
        <v>48</v>
      </c>
      <c r="EC181" s="494" t="str">
        <f t="shared" si="6"/>
        <v>AIJ100248</v>
      </c>
      <c r="ED181" s="498">
        <v>0</v>
      </c>
      <c r="EE181" s="498">
        <v>352</v>
      </c>
      <c r="EF181" s="498">
        <v>702</v>
      </c>
      <c r="EG181" s="498">
        <v>1115</v>
      </c>
      <c r="EH181" s="498">
        <v>1631</v>
      </c>
      <c r="EI181" s="498">
        <v>2177</v>
      </c>
      <c r="EJ181" s="498">
        <v>2972</v>
      </c>
      <c r="EK181" s="498">
        <v>4186</v>
      </c>
      <c r="EL181" s="498">
        <v>5846</v>
      </c>
      <c r="EM181" s="498">
        <v>0</v>
      </c>
      <c r="EN181" s="498">
        <v>0</v>
      </c>
      <c r="EO181" s="498">
        <v>0</v>
      </c>
      <c r="EP181" s="498">
        <v>0</v>
      </c>
      <c r="EQ181" s="498">
        <v>0</v>
      </c>
      <c r="ER181" s="498">
        <v>0</v>
      </c>
      <c r="ES181" s="498">
        <v>0</v>
      </c>
      <c r="ET181" s="498">
        <v>0</v>
      </c>
      <c r="EU181" s="498">
        <v>0</v>
      </c>
      <c r="EV181" s="498">
        <v>0</v>
      </c>
      <c r="EW181" s="498">
        <v>0</v>
      </c>
      <c r="EX181" s="498">
        <v>0</v>
      </c>
      <c r="EY181" s="498">
        <v>0</v>
      </c>
      <c r="EZ181" s="498">
        <v>0</v>
      </c>
      <c r="FA181" s="498">
        <v>0</v>
      </c>
      <c r="FB181" s="498">
        <v>0</v>
      </c>
      <c r="FC181" s="498">
        <v>0</v>
      </c>
      <c r="FD181" s="498">
        <v>0</v>
      </c>
      <c r="FE181" s="498">
        <v>0</v>
      </c>
      <c r="FF181" s="498">
        <v>0</v>
      </c>
      <c r="FG181" s="498">
        <v>0</v>
      </c>
      <c r="FH181" s="498">
        <v>0</v>
      </c>
      <c r="FI181" s="498">
        <v>0</v>
      </c>
      <c r="FJ181" s="498">
        <v>0</v>
      </c>
      <c r="FK181" s="498">
        <v>0</v>
      </c>
      <c r="FL181" s="498">
        <v>0</v>
      </c>
      <c r="FM181" s="498">
        <v>0</v>
      </c>
      <c r="FN181" s="498">
        <v>0</v>
      </c>
      <c r="FO181" s="498">
        <v>0</v>
      </c>
      <c r="FP181" s="498">
        <v>0</v>
      </c>
      <c r="FQ181" s="498">
        <v>0</v>
      </c>
      <c r="FR181" s="498">
        <v>0</v>
      </c>
      <c r="FS181" s="498">
        <v>0</v>
      </c>
      <c r="FT181" s="498">
        <v>0</v>
      </c>
      <c r="FU181" s="498">
        <v>0</v>
      </c>
      <c r="FV181" s="498">
        <v>0</v>
      </c>
      <c r="FW181" s="498">
        <v>0</v>
      </c>
      <c r="FX181" s="498">
        <v>0</v>
      </c>
      <c r="FY181" s="498">
        <v>0</v>
      </c>
      <c r="FZ181" s="498">
        <v>0</v>
      </c>
      <c r="GA181" s="498">
        <v>0</v>
      </c>
      <c r="GB181" s="498">
        <v>0</v>
      </c>
      <c r="GC181" s="498">
        <v>0</v>
      </c>
      <c r="GD181" s="498">
        <v>0</v>
      </c>
      <c r="GE181" s="498">
        <v>0</v>
      </c>
      <c r="GF181" s="498">
        <v>0</v>
      </c>
      <c r="GG181" s="498">
        <v>0</v>
      </c>
      <c r="GH181" s="498">
        <v>0</v>
      </c>
      <c r="GI181" s="498">
        <v>0</v>
      </c>
      <c r="GJ181" s="498">
        <v>0</v>
      </c>
      <c r="GK181" s="498">
        <v>0</v>
      </c>
      <c r="GL181" s="498">
        <v>0</v>
      </c>
      <c r="GM181" s="498">
        <v>0</v>
      </c>
      <c r="GN181" s="498">
        <v>0</v>
      </c>
      <c r="GO181" s="498">
        <v>0</v>
      </c>
      <c r="GP181" s="498">
        <v>0</v>
      </c>
      <c r="GQ181" s="498">
        <v>0</v>
      </c>
      <c r="GR181" s="498">
        <v>0</v>
      </c>
      <c r="GS181" s="498">
        <v>0</v>
      </c>
      <c r="GT181" s="498">
        <v>0</v>
      </c>
      <c r="GU181" s="498">
        <v>0</v>
      </c>
      <c r="GV181" s="498">
        <v>0</v>
      </c>
      <c r="GW181" s="498">
        <v>0</v>
      </c>
      <c r="GX181" s="498">
        <v>0</v>
      </c>
      <c r="GY181" s="498">
        <v>0</v>
      </c>
      <c r="GZ181" s="498">
        <v>0</v>
      </c>
      <c r="HA181" s="498">
        <v>0</v>
      </c>
      <c r="HB181" s="498">
        <v>0</v>
      </c>
      <c r="HC181" s="498">
        <v>0</v>
      </c>
      <c r="HD181" s="498">
        <v>0</v>
      </c>
      <c r="HE181" s="498">
        <v>0</v>
      </c>
      <c r="HF181" s="498">
        <v>0</v>
      </c>
      <c r="HG181" s="498">
        <v>0</v>
      </c>
      <c r="HH181" s="498">
        <v>0</v>
      </c>
      <c r="HI181" s="498">
        <v>0</v>
      </c>
      <c r="HJ181" s="498">
        <v>0</v>
      </c>
      <c r="HK181" s="498">
        <v>0</v>
      </c>
      <c r="HL181" s="498">
        <v>0</v>
      </c>
      <c r="HM181" s="498">
        <v>0</v>
      </c>
      <c r="HN181" s="498">
        <v>0</v>
      </c>
      <c r="HO181" s="498">
        <v>0</v>
      </c>
      <c r="HP181" s="498">
        <v>0</v>
      </c>
      <c r="HQ181" s="498">
        <v>0</v>
      </c>
      <c r="HR181" s="498">
        <v>0</v>
      </c>
      <c r="HS181" s="498">
        <v>0</v>
      </c>
      <c r="HT181" s="498">
        <v>0</v>
      </c>
      <c r="HU181" s="498">
        <v>0</v>
      </c>
      <c r="HV181" s="498">
        <v>0</v>
      </c>
      <c r="HW181" s="498">
        <v>0</v>
      </c>
      <c r="HX181" s="498">
        <v>0</v>
      </c>
      <c r="HY181" s="498">
        <v>0</v>
      </c>
      <c r="HZ181" s="498">
        <v>0</v>
      </c>
      <c r="IA181" s="498">
        <v>0</v>
      </c>
      <c r="IB181" s="498">
        <v>0</v>
      </c>
      <c r="IC181" s="498">
        <v>0</v>
      </c>
      <c r="ID181" s="498">
        <v>0</v>
      </c>
      <c r="IE181" s="498">
        <v>0</v>
      </c>
      <c r="IF181" s="498">
        <v>0</v>
      </c>
      <c r="IG181" s="498">
        <v>0</v>
      </c>
      <c r="IH181" s="498">
        <v>0</v>
      </c>
      <c r="II181" s="498">
        <v>0</v>
      </c>
      <c r="IJ181" s="498">
        <v>0</v>
      </c>
    </row>
    <row r="182" spans="12:244" hidden="1">
      <c r="L182" s="497" t="s">
        <v>720</v>
      </c>
      <c r="M182" s="497" t="s">
        <v>617</v>
      </c>
      <c r="N182" s="497" t="s">
        <v>26</v>
      </c>
      <c r="O182" s="498">
        <v>49</v>
      </c>
      <c r="P182" s="494" t="str">
        <f t="shared" si="5"/>
        <v>AIJ100249</v>
      </c>
      <c r="Q182" s="498">
        <v>20000</v>
      </c>
      <c r="R182" s="498">
        <v>20000</v>
      </c>
      <c r="S182" s="498">
        <v>20000</v>
      </c>
      <c r="T182" s="498">
        <v>20000</v>
      </c>
      <c r="U182" s="498">
        <v>20000</v>
      </c>
      <c r="V182" s="498">
        <v>20000</v>
      </c>
      <c r="W182" s="498">
        <v>20000</v>
      </c>
      <c r="X182" s="498">
        <v>20000</v>
      </c>
      <c r="Y182" s="498">
        <v>20000</v>
      </c>
      <c r="Z182" s="498">
        <v>20000</v>
      </c>
      <c r="AA182" s="498">
        <v>0</v>
      </c>
      <c r="AB182" s="498">
        <v>0</v>
      </c>
      <c r="AC182" s="498">
        <v>0</v>
      </c>
      <c r="AD182" s="498">
        <v>0</v>
      </c>
      <c r="AE182" s="498">
        <v>0</v>
      </c>
      <c r="AF182" s="498">
        <v>0</v>
      </c>
      <c r="AG182" s="498">
        <v>0</v>
      </c>
      <c r="AH182" s="498">
        <v>0</v>
      </c>
      <c r="AI182" s="498">
        <v>0</v>
      </c>
      <c r="AJ182" s="498">
        <v>0</v>
      </c>
      <c r="AK182" s="498">
        <v>0</v>
      </c>
      <c r="AL182" s="498">
        <v>0</v>
      </c>
      <c r="AM182" s="498">
        <v>0</v>
      </c>
      <c r="AN182" s="498">
        <v>0</v>
      </c>
      <c r="AO182" s="498">
        <v>0</v>
      </c>
      <c r="AP182" s="498">
        <v>0</v>
      </c>
      <c r="AQ182" s="498">
        <v>0</v>
      </c>
      <c r="AR182" s="498">
        <v>0</v>
      </c>
      <c r="AS182" s="498">
        <v>0</v>
      </c>
      <c r="AT182" s="498">
        <v>0</v>
      </c>
      <c r="AU182" s="498">
        <v>0</v>
      </c>
      <c r="AV182" s="498">
        <v>0</v>
      </c>
      <c r="AW182" s="498">
        <v>0</v>
      </c>
      <c r="AX182" s="498">
        <v>0</v>
      </c>
      <c r="AY182" s="498">
        <v>0</v>
      </c>
      <c r="AZ182" s="498">
        <v>0</v>
      </c>
      <c r="BA182" s="498">
        <v>0</v>
      </c>
      <c r="BB182" s="498">
        <v>0</v>
      </c>
      <c r="BC182" s="498">
        <v>0</v>
      </c>
      <c r="BD182" s="498">
        <v>0</v>
      </c>
      <c r="BE182" s="498">
        <v>0</v>
      </c>
      <c r="BF182" s="498">
        <v>0</v>
      </c>
      <c r="BG182" s="498">
        <v>0</v>
      </c>
      <c r="BH182" s="498">
        <v>0</v>
      </c>
      <c r="BI182" s="498">
        <v>0</v>
      </c>
      <c r="BJ182" s="498">
        <v>0</v>
      </c>
      <c r="BK182" s="498">
        <v>0</v>
      </c>
      <c r="BL182" s="498">
        <v>0</v>
      </c>
      <c r="BM182" s="498">
        <v>0</v>
      </c>
      <c r="BN182" s="498">
        <v>0</v>
      </c>
      <c r="BO182" s="498">
        <v>0</v>
      </c>
      <c r="BP182" s="498">
        <v>0</v>
      </c>
      <c r="BQ182" s="498">
        <v>0</v>
      </c>
      <c r="BR182" s="498">
        <v>0</v>
      </c>
      <c r="BS182" s="498">
        <v>0</v>
      </c>
      <c r="BT182" s="498">
        <v>0</v>
      </c>
      <c r="BU182" s="498">
        <v>0</v>
      </c>
      <c r="BV182" s="498">
        <v>0</v>
      </c>
      <c r="BW182" s="498">
        <v>0</v>
      </c>
      <c r="BX182" s="498">
        <v>0</v>
      </c>
      <c r="BY182" s="498">
        <v>0</v>
      </c>
      <c r="BZ182" s="498">
        <v>0</v>
      </c>
      <c r="CA182" s="498">
        <v>0</v>
      </c>
      <c r="CB182" s="498">
        <v>0</v>
      </c>
      <c r="CC182" s="498">
        <v>0</v>
      </c>
      <c r="CD182" s="498">
        <v>0</v>
      </c>
      <c r="CE182" s="498">
        <v>0</v>
      </c>
      <c r="CF182" s="498">
        <v>0</v>
      </c>
      <c r="CG182" s="498">
        <v>0</v>
      </c>
      <c r="CH182" s="498">
        <v>0</v>
      </c>
      <c r="CI182" s="498">
        <v>0</v>
      </c>
      <c r="CJ182" s="498">
        <v>0</v>
      </c>
      <c r="CK182" s="498">
        <v>0</v>
      </c>
      <c r="CL182" s="498">
        <v>0</v>
      </c>
      <c r="CM182" s="498">
        <v>0</v>
      </c>
      <c r="CN182" s="498">
        <v>0</v>
      </c>
      <c r="CO182" s="498">
        <v>0</v>
      </c>
      <c r="CP182" s="498">
        <v>0</v>
      </c>
      <c r="CQ182" s="498">
        <v>0</v>
      </c>
      <c r="CR182" s="498">
        <v>0</v>
      </c>
      <c r="CS182" s="498">
        <v>0</v>
      </c>
      <c r="CT182" s="498">
        <v>0</v>
      </c>
      <c r="CU182" s="498">
        <v>0</v>
      </c>
      <c r="CV182" s="498">
        <v>0</v>
      </c>
      <c r="CW182" s="498">
        <v>0</v>
      </c>
      <c r="CX182" s="498">
        <v>0</v>
      </c>
      <c r="CY182" s="498">
        <v>0</v>
      </c>
      <c r="CZ182" s="498">
        <v>0</v>
      </c>
      <c r="DA182" s="498">
        <v>0</v>
      </c>
      <c r="DB182" s="498">
        <v>0</v>
      </c>
      <c r="DC182" s="498">
        <v>0</v>
      </c>
      <c r="DD182" s="498">
        <v>0</v>
      </c>
      <c r="DE182" s="498">
        <v>0</v>
      </c>
      <c r="DF182" s="498">
        <v>0</v>
      </c>
      <c r="DG182" s="498">
        <v>0</v>
      </c>
      <c r="DH182" s="498">
        <v>0</v>
      </c>
      <c r="DI182" s="498">
        <v>0</v>
      </c>
      <c r="DJ182" s="498">
        <v>0</v>
      </c>
      <c r="DK182" s="498">
        <v>0</v>
      </c>
      <c r="DL182" s="498">
        <v>0</v>
      </c>
      <c r="DM182" s="498">
        <v>0</v>
      </c>
      <c r="DN182" s="498">
        <v>0</v>
      </c>
      <c r="DO182" s="498">
        <v>0</v>
      </c>
      <c r="DP182" s="498">
        <v>0</v>
      </c>
      <c r="DQ182" s="498">
        <v>0</v>
      </c>
      <c r="DR182" s="498">
        <v>0</v>
      </c>
      <c r="DS182" s="498">
        <v>0</v>
      </c>
      <c r="DT182" s="498">
        <v>0</v>
      </c>
      <c r="DU182" s="498">
        <v>0</v>
      </c>
      <c r="DV182" s="498">
        <v>0</v>
      </c>
      <c r="DW182" s="498">
        <v>0</v>
      </c>
      <c r="DX182" s="477"/>
      <c r="DY182" s="497" t="s">
        <v>720</v>
      </c>
      <c r="DZ182" s="497" t="s">
        <v>617</v>
      </c>
      <c r="EA182" s="497" t="s">
        <v>26</v>
      </c>
      <c r="EB182" s="498">
        <v>49</v>
      </c>
      <c r="EC182" s="494" t="str">
        <f t="shared" si="6"/>
        <v>AIJ100249</v>
      </c>
      <c r="ED182" s="498">
        <v>0</v>
      </c>
      <c r="EE182" s="498">
        <v>357</v>
      </c>
      <c r="EF182" s="498">
        <v>716</v>
      </c>
      <c r="EG182" s="498">
        <v>1081</v>
      </c>
      <c r="EH182" s="498">
        <v>1633</v>
      </c>
      <c r="EI182" s="498">
        <v>2159</v>
      </c>
      <c r="EJ182" s="498">
        <v>3009</v>
      </c>
      <c r="EK182" s="498">
        <v>4185</v>
      </c>
      <c r="EL182" s="498">
        <v>5827</v>
      </c>
      <c r="EM182" s="498">
        <v>0</v>
      </c>
      <c r="EN182" s="498">
        <v>0</v>
      </c>
      <c r="EO182" s="498">
        <v>0</v>
      </c>
      <c r="EP182" s="498">
        <v>0</v>
      </c>
      <c r="EQ182" s="498">
        <v>0</v>
      </c>
      <c r="ER182" s="498">
        <v>0</v>
      </c>
      <c r="ES182" s="498">
        <v>0</v>
      </c>
      <c r="ET182" s="498">
        <v>0</v>
      </c>
      <c r="EU182" s="498">
        <v>0</v>
      </c>
      <c r="EV182" s="498">
        <v>0</v>
      </c>
      <c r="EW182" s="498">
        <v>0</v>
      </c>
      <c r="EX182" s="498">
        <v>0</v>
      </c>
      <c r="EY182" s="498">
        <v>0</v>
      </c>
      <c r="EZ182" s="498">
        <v>0</v>
      </c>
      <c r="FA182" s="498">
        <v>0</v>
      </c>
      <c r="FB182" s="498">
        <v>0</v>
      </c>
      <c r="FC182" s="498">
        <v>0</v>
      </c>
      <c r="FD182" s="498">
        <v>0</v>
      </c>
      <c r="FE182" s="498">
        <v>0</v>
      </c>
      <c r="FF182" s="498">
        <v>0</v>
      </c>
      <c r="FG182" s="498">
        <v>0</v>
      </c>
      <c r="FH182" s="498">
        <v>0</v>
      </c>
      <c r="FI182" s="498">
        <v>0</v>
      </c>
      <c r="FJ182" s="498">
        <v>0</v>
      </c>
      <c r="FK182" s="498">
        <v>0</v>
      </c>
      <c r="FL182" s="498">
        <v>0</v>
      </c>
      <c r="FM182" s="498">
        <v>0</v>
      </c>
      <c r="FN182" s="498">
        <v>0</v>
      </c>
      <c r="FO182" s="498">
        <v>0</v>
      </c>
      <c r="FP182" s="498">
        <v>0</v>
      </c>
      <c r="FQ182" s="498">
        <v>0</v>
      </c>
      <c r="FR182" s="498">
        <v>0</v>
      </c>
      <c r="FS182" s="498">
        <v>0</v>
      </c>
      <c r="FT182" s="498">
        <v>0</v>
      </c>
      <c r="FU182" s="498">
        <v>0</v>
      </c>
      <c r="FV182" s="498">
        <v>0</v>
      </c>
      <c r="FW182" s="498">
        <v>0</v>
      </c>
      <c r="FX182" s="498">
        <v>0</v>
      </c>
      <c r="FY182" s="498">
        <v>0</v>
      </c>
      <c r="FZ182" s="498">
        <v>0</v>
      </c>
      <c r="GA182" s="498">
        <v>0</v>
      </c>
      <c r="GB182" s="498">
        <v>0</v>
      </c>
      <c r="GC182" s="498">
        <v>0</v>
      </c>
      <c r="GD182" s="498">
        <v>0</v>
      </c>
      <c r="GE182" s="498">
        <v>0</v>
      </c>
      <c r="GF182" s="498">
        <v>0</v>
      </c>
      <c r="GG182" s="498">
        <v>0</v>
      </c>
      <c r="GH182" s="498">
        <v>0</v>
      </c>
      <c r="GI182" s="498">
        <v>0</v>
      </c>
      <c r="GJ182" s="498">
        <v>0</v>
      </c>
      <c r="GK182" s="498">
        <v>0</v>
      </c>
      <c r="GL182" s="498">
        <v>0</v>
      </c>
      <c r="GM182" s="498">
        <v>0</v>
      </c>
      <c r="GN182" s="498">
        <v>0</v>
      </c>
      <c r="GO182" s="498">
        <v>0</v>
      </c>
      <c r="GP182" s="498">
        <v>0</v>
      </c>
      <c r="GQ182" s="498">
        <v>0</v>
      </c>
      <c r="GR182" s="498">
        <v>0</v>
      </c>
      <c r="GS182" s="498">
        <v>0</v>
      </c>
      <c r="GT182" s="498">
        <v>0</v>
      </c>
      <c r="GU182" s="498">
        <v>0</v>
      </c>
      <c r="GV182" s="498">
        <v>0</v>
      </c>
      <c r="GW182" s="498">
        <v>0</v>
      </c>
      <c r="GX182" s="498">
        <v>0</v>
      </c>
      <c r="GY182" s="498">
        <v>0</v>
      </c>
      <c r="GZ182" s="498">
        <v>0</v>
      </c>
      <c r="HA182" s="498">
        <v>0</v>
      </c>
      <c r="HB182" s="498">
        <v>0</v>
      </c>
      <c r="HC182" s="498">
        <v>0</v>
      </c>
      <c r="HD182" s="498">
        <v>0</v>
      </c>
      <c r="HE182" s="498">
        <v>0</v>
      </c>
      <c r="HF182" s="498">
        <v>0</v>
      </c>
      <c r="HG182" s="498">
        <v>0</v>
      </c>
      <c r="HH182" s="498">
        <v>0</v>
      </c>
      <c r="HI182" s="498">
        <v>0</v>
      </c>
      <c r="HJ182" s="498">
        <v>0</v>
      </c>
      <c r="HK182" s="498">
        <v>0</v>
      </c>
      <c r="HL182" s="498">
        <v>0</v>
      </c>
      <c r="HM182" s="498">
        <v>0</v>
      </c>
      <c r="HN182" s="498">
        <v>0</v>
      </c>
      <c r="HO182" s="498">
        <v>0</v>
      </c>
      <c r="HP182" s="498">
        <v>0</v>
      </c>
      <c r="HQ182" s="498">
        <v>0</v>
      </c>
      <c r="HR182" s="498">
        <v>0</v>
      </c>
      <c r="HS182" s="498">
        <v>0</v>
      </c>
      <c r="HT182" s="498">
        <v>0</v>
      </c>
      <c r="HU182" s="498">
        <v>0</v>
      </c>
      <c r="HV182" s="498">
        <v>0</v>
      </c>
      <c r="HW182" s="498">
        <v>0</v>
      </c>
      <c r="HX182" s="498">
        <v>0</v>
      </c>
      <c r="HY182" s="498">
        <v>0</v>
      </c>
      <c r="HZ182" s="498">
        <v>0</v>
      </c>
      <c r="IA182" s="498">
        <v>0</v>
      </c>
      <c r="IB182" s="498">
        <v>0</v>
      </c>
      <c r="IC182" s="498">
        <v>0</v>
      </c>
      <c r="ID182" s="498">
        <v>0</v>
      </c>
      <c r="IE182" s="498">
        <v>0</v>
      </c>
      <c r="IF182" s="498">
        <v>0</v>
      </c>
      <c r="IG182" s="498">
        <v>0</v>
      </c>
      <c r="IH182" s="498">
        <v>0</v>
      </c>
      <c r="II182" s="498">
        <v>0</v>
      </c>
      <c r="IJ182" s="498">
        <v>0</v>
      </c>
    </row>
    <row r="183" spans="12:244" hidden="1">
      <c r="L183" s="497" t="s">
        <v>720</v>
      </c>
      <c r="M183" s="497" t="s">
        <v>617</v>
      </c>
      <c r="N183" s="497" t="s">
        <v>26</v>
      </c>
      <c r="O183" s="498">
        <v>50</v>
      </c>
      <c r="P183" s="494" t="str">
        <f t="shared" si="5"/>
        <v>AIJ100250</v>
      </c>
      <c r="Q183" s="498">
        <v>20000</v>
      </c>
      <c r="R183" s="498">
        <v>20000</v>
      </c>
      <c r="S183" s="498">
        <v>20000</v>
      </c>
      <c r="T183" s="498">
        <v>20000</v>
      </c>
      <c r="U183" s="498">
        <v>20000</v>
      </c>
      <c r="V183" s="498">
        <v>20000</v>
      </c>
      <c r="W183" s="498">
        <v>20000</v>
      </c>
      <c r="X183" s="498">
        <v>20000</v>
      </c>
      <c r="Y183" s="498">
        <v>20000</v>
      </c>
      <c r="Z183" s="498">
        <v>20000</v>
      </c>
      <c r="AA183" s="498">
        <v>0</v>
      </c>
      <c r="AB183" s="498">
        <v>0</v>
      </c>
      <c r="AC183" s="498">
        <v>0</v>
      </c>
      <c r="AD183" s="498">
        <v>0</v>
      </c>
      <c r="AE183" s="498">
        <v>0</v>
      </c>
      <c r="AF183" s="498">
        <v>0</v>
      </c>
      <c r="AG183" s="498">
        <v>0</v>
      </c>
      <c r="AH183" s="498">
        <v>0</v>
      </c>
      <c r="AI183" s="498">
        <v>0</v>
      </c>
      <c r="AJ183" s="498">
        <v>0</v>
      </c>
      <c r="AK183" s="498">
        <v>0</v>
      </c>
      <c r="AL183" s="498">
        <v>0</v>
      </c>
      <c r="AM183" s="498">
        <v>0</v>
      </c>
      <c r="AN183" s="498">
        <v>0</v>
      </c>
      <c r="AO183" s="498">
        <v>0</v>
      </c>
      <c r="AP183" s="498">
        <v>0</v>
      </c>
      <c r="AQ183" s="498">
        <v>0</v>
      </c>
      <c r="AR183" s="498">
        <v>0</v>
      </c>
      <c r="AS183" s="498">
        <v>0</v>
      </c>
      <c r="AT183" s="498">
        <v>0</v>
      </c>
      <c r="AU183" s="498">
        <v>0</v>
      </c>
      <c r="AV183" s="498">
        <v>0</v>
      </c>
      <c r="AW183" s="498">
        <v>0</v>
      </c>
      <c r="AX183" s="498">
        <v>0</v>
      </c>
      <c r="AY183" s="498">
        <v>0</v>
      </c>
      <c r="AZ183" s="498">
        <v>0</v>
      </c>
      <c r="BA183" s="498">
        <v>0</v>
      </c>
      <c r="BB183" s="498">
        <v>0</v>
      </c>
      <c r="BC183" s="498">
        <v>0</v>
      </c>
      <c r="BD183" s="498">
        <v>0</v>
      </c>
      <c r="BE183" s="498">
        <v>0</v>
      </c>
      <c r="BF183" s="498">
        <v>0</v>
      </c>
      <c r="BG183" s="498">
        <v>0</v>
      </c>
      <c r="BH183" s="498">
        <v>0</v>
      </c>
      <c r="BI183" s="498">
        <v>0</v>
      </c>
      <c r="BJ183" s="498">
        <v>0</v>
      </c>
      <c r="BK183" s="498">
        <v>0</v>
      </c>
      <c r="BL183" s="498">
        <v>0</v>
      </c>
      <c r="BM183" s="498">
        <v>0</v>
      </c>
      <c r="BN183" s="498">
        <v>0</v>
      </c>
      <c r="BO183" s="498">
        <v>0</v>
      </c>
      <c r="BP183" s="498">
        <v>0</v>
      </c>
      <c r="BQ183" s="498">
        <v>0</v>
      </c>
      <c r="BR183" s="498">
        <v>0</v>
      </c>
      <c r="BS183" s="498">
        <v>0</v>
      </c>
      <c r="BT183" s="498">
        <v>0</v>
      </c>
      <c r="BU183" s="498">
        <v>0</v>
      </c>
      <c r="BV183" s="498">
        <v>0</v>
      </c>
      <c r="BW183" s="498">
        <v>0</v>
      </c>
      <c r="BX183" s="498">
        <v>0</v>
      </c>
      <c r="BY183" s="498">
        <v>0</v>
      </c>
      <c r="BZ183" s="498">
        <v>0</v>
      </c>
      <c r="CA183" s="498">
        <v>0</v>
      </c>
      <c r="CB183" s="498">
        <v>0</v>
      </c>
      <c r="CC183" s="498">
        <v>0</v>
      </c>
      <c r="CD183" s="498">
        <v>0</v>
      </c>
      <c r="CE183" s="498">
        <v>0</v>
      </c>
      <c r="CF183" s="498">
        <v>0</v>
      </c>
      <c r="CG183" s="498">
        <v>0</v>
      </c>
      <c r="CH183" s="498">
        <v>0</v>
      </c>
      <c r="CI183" s="498">
        <v>0</v>
      </c>
      <c r="CJ183" s="498">
        <v>0</v>
      </c>
      <c r="CK183" s="498">
        <v>0</v>
      </c>
      <c r="CL183" s="498">
        <v>0</v>
      </c>
      <c r="CM183" s="498">
        <v>0</v>
      </c>
      <c r="CN183" s="498">
        <v>0</v>
      </c>
      <c r="CO183" s="498">
        <v>0</v>
      </c>
      <c r="CP183" s="498">
        <v>0</v>
      </c>
      <c r="CQ183" s="498">
        <v>0</v>
      </c>
      <c r="CR183" s="498">
        <v>0</v>
      </c>
      <c r="CS183" s="498">
        <v>0</v>
      </c>
      <c r="CT183" s="498">
        <v>0</v>
      </c>
      <c r="CU183" s="498">
        <v>0</v>
      </c>
      <c r="CV183" s="498">
        <v>0</v>
      </c>
      <c r="CW183" s="498">
        <v>0</v>
      </c>
      <c r="CX183" s="498">
        <v>0</v>
      </c>
      <c r="CY183" s="498">
        <v>0</v>
      </c>
      <c r="CZ183" s="498">
        <v>0</v>
      </c>
      <c r="DA183" s="498">
        <v>0</v>
      </c>
      <c r="DB183" s="498">
        <v>0</v>
      </c>
      <c r="DC183" s="498">
        <v>0</v>
      </c>
      <c r="DD183" s="498">
        <v>0</v>
      </c>
      <c r="DE183" s="498">
        <v>0</v>
      </c>
      <c r="DF183" s="498">
        <v>0</v>
      </c>
      <c r="DG183" s="498">
        <v>0</v>
      </c>
      <c r="DH183" s="498">
        <v>0</v>
      </c>
      <c r="DI183" s="498">
        <v>0</v>
      </c>
      <c r="DJ183" s="498">
        <v>0</v>
      </c>
      <c r="DK183" s="498">
        <v>0</v>
      </c>
      <c r="DL183" s="498">
        <v>0</v>
      </c>
      <c r="DM183" s="498">
        <v>0</v>
      </c>
      <c r="DN183" s="498">
        <v>0</v>
      </c>
      <c r="DO183" s="498">
        <v>0</v>
      </c>
      <c r="DP183" s="498">
        <v>0</v>
      </c>
      <c r="DQ183" s="498">
        <v>0</v>
      </c>
      <c r="DR183" s="498">
        <v>0</v>
      </c>
      <c r="DS183" s="498">
        <v>0</v>
      </c>
      <c r="DT183" s="498">
        <v>0</v>
      </c>
      <c r="DU183" s="498">
        <v>0</v>
      </c>
      <c r="DV183" s="498">
        <v>0</v>
      </c>
      <c r="DW183" s="498">
        <v>0</v>
      </c>
      <c r="DX183" s="477"/>
      <c r="DY183" s="497" t="s">
        <v>720</v>
      </c>
      <c r="DZ183" s="497" t="s">
        <v>617</v>
      </c>
      <c r="EA183" s="497" t="s">
        <v>26</v>
      </c>
      <c r="EB183" s="498">
        <v>50</v>
      </c>
      <c r="EC183" s="494" t="str">
        <f t="shared" si="6"/>
        <v>AIJ100250</v>
      </c>
      <c r="ED183" s="498">
        <v>0</v>
      </c>
      <c r="EE183" s="498">
        <v>336</v>
      </c>
      <c r="EF183" s="498">
        <v>698</v>
      </c>
      <c r="EG183" s="498">
        <v>1102</v>
      </c>
      <c r="EH183" s="498">
        <v>1656</v>
      </c>
      <c r="EI183" s="498">
        <v>2191</v>
      </c>
      <c r="EJ183" s="498">
        <v>3058</v>
      </c>
      <c r="EK183" s="498">
        <v>4315</v>
      </c>
      <c r="EL183" s="498">
        <v>5772</v>
      </c>
      <c r="EM183" s="498">
        <v>0</v>
      </c>
      <c r="EN183" s="498">
        <v>0</v>
      </c>
      <c r="EO183" s="498">
        <v>0</v>
      </c>
      <c r="EP183" s="498">
        <v>0</v>
      </c>
      <c r="EQ183" s="498">
        <v>0</v>
      </c>
      <c r="ER183" s="498">
        <v>0</v>
      </c>
      <c r="ES183" s="498">
        <v>0</v>
      </c>
      <c r="ET183" s="498">
        <v>0</v>
      </c>
      <c r="EU183" s="498">
        <v>0</v>
      </c>
      <c r="EV183" s="498">
        <v>0</v>
      </c>
      <c r="EW183" s="498">
        <v>0</v>
      </c>
      <c r="EX183" s="498">
        <v>0</v>
      </c>
      <c r="EY183" s="498">
        <v>0</v>
      </c>
      <c r="EZ183" s="498">
        <v>0</v>
      </c>
      <c r="FA183" s="498">
        <v>0</v>
      </c>
      <c r="FB183" s="498">
        <v>0</v>
      </c>
      <c r="FC183" s="498">
        <v>0</v>
      </c>
      <c r="FD183" s="498">
        <v>0</v>
      </c>
      <c r="FE183" s="498">
        <v>0</v>
      </c>
      <c r="FF183" s="498">
        <v>0</v>
      </c>
      <c r="FG183" s="498">
        <v>0</v>
      </c>
      <c r="FH183" s="498">
        <v>0</v>
      </c>
      <c r="FI183" s="498">
        <v>0</v>
      </c>
      <c r="FJ183" s="498">
        <v>0</v>
      </c>
      <c r="FK183" s="498">
        <v>0</v>
      </c>
      <c r="FL183" s="498">
        <v>0</v>
      </c>
      <c r="FM183" s="498">
        <v>0</v>
      </c>
      <c r="FN183" s="498">
        <v>0</v>
      </c>
      <c r="FO183" s="498">
        <v>0</v>
      </c>
      <c r="FP183" s="498">
        <v>0</v>
      </c>
      <c r="FQ183" s="498">
        <v>0</v>
      </c>
      <c r="FR183" s="498">
        <v>0</v>
      </c>
      <c r="FS183" s="498">
        <v>0</v>
      </c>
      <c r="FT183" s="498">
        <v>0</v>
      </c>
      <c r="FU183" s="498">
        <v>0</v>
      </c>
      <c r="FV183" s="498">
        <v>0</v>
      </c>
      <c r="FW183" s="498">
        <v>0</v>
      </c>
      <c r="FX183" s="498">
        <v>0</v>
      </c>
      <c r="FY183" s="498">
        <v>0</v>
      </c>
      <c r="FZ183" s="498">
        <v>0</v>
      </c>
      <c r="GA183" s="498">
        <v>0</v>
      </c>
      <c r="GB183" s="498">
        <v>0</v>
      </c>
      <c r="GC183" s="498">
        <v>0</v>
      </c>
      <c r="GD183" s="498">
        <v>0</v>
      </c>
      <c r="GE183" s="498">
        <v>0</v>
      </c>
      <c r="GF183" s="498">
        <v>0</v>
      </c>
      <c r="GG183" s="498">
        <v>0</v>
      </c>
      <c r="GH183" s="498">
        <v>0</v>
      </c>
      <c r="GI183" s="498">
        <v>0</v>
      </c>
      <c r="GJ183" s="498">
        <v>0</v>
      </c>
      <c r="GK183" s="498">
        <v>0</v>
      </c>
      <c r="GL183" s="498">
        <v>0</v>
      </c>
      <c r="GM183" s="498">
        <v>0</v>
      </c>
      <c r="GN183" s="498">
        <v>0</v>
      </c>
      <c r="GO183" s="498">
        <v>0</v>
      </c>
      <c r="GP183" s="498">
        <v>0</v>
      </c>
      <c r="GQ183" s="498">
        <v>0</v>
      </c>
      <c r="GR183" s="498">
        <v>0</v>
      </c>
      <c r="GS183" s="498">
        <v>0</v>
      </c>
      <c r="GT183" s="498">
        <v>0</v>
      </c>
      <c r="GU183" s="498">
        <v>0</v>
      </c>
      <c r="GV183" s="498">
        <v>0</v>
      </c>
      <c r="GW183" s="498">
        <v>0</v>
      </c>
      <c r="GX183" s="498">
        <v>0</v>
      </c>
      <c r="GY183" s="498">
        <v>0</v>
      </c>
      <c r="GZ183" s="498">
        <v>0</v>
      </c>
      <c r="HA183" s="498">
        <v>0</v>
      </c>
      <c r="HB183" s="498">
        <v>0</v>
      </c>
      <c r="HC183" s="498">
        <v>0</v>
      </c>
      <c r="HD183" s="498">
        <v>0</v>
      </c>
      <c r="HE183" s="498">
        <v>0</v>
      </c>
      <c r="HF183" s="498">
        <v>0</v>
      </c>
      <c r="HG183" s="498">
        <v>0</v>
      </c>
      <c r="HH183" s="498">
        <v>0</v>
      </c>
      <c r="HI183" s="498">
        <v>0</v>
      </c>
      <c r="HJ183" s="498">
        <v>0</v>
      </c>
      <c r="HK183" s="498">
        <v>0</v>
      </c>
      <c r="HL183" s="498">
        <v>0</v>
      </c>
      <c r="HM183" s="498">
        <v>0</v>
      </c>
      <c r="HN183" s="498">
        <v>0</v>
      </c>
      <c r="HO183" s="498">
        <v>0</v>
      </c>
      <c r="HP183" s="498">
        <v>0</v>
      </c>
      <c r="HQ183" s="498">
        <v>0</v>
      </c>
      <c r="HR183" s="498">
        <v>0</v>
      </c>
      <c r="HS183" s="498">
        <v>0</v>
      </c>
      <c r="HT183" s="498">
        <v>0</v>
      </c>
      <c r="HU183" s="498">
        <v>0</v>
      </c>
      <c r="HV183" s="498">
        <v>0</v>
      </c>
      <c r="HW183" s="498">
        <v>0</v>
      </c>
      <c r="HX183" s="498">
        <v>0</v>
      </c>
      <c r="HY183" s="498">
        <v>0</v>
      </c>
      <c r="HZ183" s="498">
        <v>0</v>
      </c>
      <c r="IA183" s="498">
        <v>0</v>
      </c>
      <c r="IB183" s="498">
        <v>0</v>
      </c>
      <c r="IC183" s="498">
        <v>0</v>
      </c>
      <c r="ID183" s="498">
        <v>0</v>
      </c>
      <c r="IE183" s="498">
        <v>0</v>
      </c>
      <c r="IF183" s="498">
        <v>0</v>
      </c>
      <c r="IG183" s="498">
        <v>0</v>
      </c>
      <c r="IH183" s="498">
        <v>0</v>
      </c>
      <c r="II183" s="498">
        <v>0</v>
      </c>
      <c r="IJ183" s="498">
        <v>0</v>
      </c>
    </row>
    <row r="184" spans="12:244" hidden="1">
      <c r="L184" s="497" t="s">
        <v>720</v>
      </c>
      <c r="M184" s="497" t="s">
        <v>617</v>
      </c>
      <c r="N184" s="497" t="s">
        <v>26</v>
      </c>
      <c r="O184" s="498">
        <v>51</v>
      </c>
      <c r="P184" s="494" t="str">
        <f t="shared" si="5"/>
        <v>AIJ100251</v>
      </c>
      <c r="Q184" s="498">
        <v>20000</v>
      </c>
      <c r="R184" s="498">
        <v>20000</v>
      </c>
      <c r="S184" s="498">
        <v>20000</v>
      </c>
      <c r="T184" s="498">
        <v>20000</v>
      </c>
      <c r="U184" s="498">
        <v>20000</v>
      </c>
      <c r="V184" s="498">
        <v>20000</v>
      </c>
      <c r="W184" s="498">
        <v>20000</v>
      </c>
      <c r="X184" s="498">
        <v>20000</v>
      </c>
      <c r="Y184" s="498">
        <v>20000</v>
      </c>
      <c r="Z184" s="498">
        <v>20000</v>
      </c>
      <c r="AA184" s="498">
        <v>0</v>
      </c>
      <c r="AB184" s="498">
        <v>0</v>
      </c>
      <c r="AC184" s="498">
        <v>0</v>
      </c>
      <c r="AD184" s="498">
        <v>0</v>
      </c>
      <c r="AE184" s="498">
        <v>0</v>
      </c>
      <c r="AF184" s="498">
        <v>0</v>
      </c>
      <c r="AG184" s="498">
        <v>0</v>
      </c>
      <c r="AH184" s="498">
        <v>0</v>
      </c>
      <c r="AI184" s="498">
        <v>0</v>
      </c>
      <c r="AJ184" s="498">
        <v>0</v>
      </c>
      <c r="AK184" s="498">
        <v>0</v>
      </c>
      <c r="AL184" s="498">
        <v>0</v>
      </c>
      <c r="AM184" s="498">
        <v>0</v>
      </c>
      <c r="AN184" s="498">
        <v>0</v>
      </c>
      <c r="AO184" s="498">
        <v>0</v>
      </c>
      <c r="AP184" s="498">
        <v>0</v>
      </c>
      <c r="AQ184" s="498">
        <v>0</v>
      </c>
      <c r="AR184" s="498">
        <v>0</v>
      </c>
      <c r="AS184" s="498">
        <v>0</v>
      </c>
      <c r="AT184" s="498">
        <v>0</v>
      </c>
      <c r="AU184" s="498">
        <v>0</v>
      </c>
      <c r="AV184" s="498">
        <v>0</v>
      </c>
      <c r="AW184" s="498">
        <v>0</v>
      </c>
      <c r="AX184" s="498">
        <v>0</v>
      </c>
      <c r="AY184" s="498">
        <v>0</v>
      </c>
      <c r="AZ184" s="498">
        <v>0</v>
      </c>
      <c r="BA184" s="498">
        <v>0</v>
      </c>
      <c r="BB184" s="498">
        <v>0</v>
      </c>
      <c r="BC184" s="498">
        <v>0</v>
      </c>
      <c r="BD184" s="498">
        <v>0</v>
      </c>
      <c r="BE184" s="498">
        <v>0</v>
      </c>
      <c r="BF184" s="498">
        <v>0</v>
      </c>
      <c r="BG184" s="498">
        <v>0</v>
      </c>
      <c r="BH184" s="498">
        <v>0</v>
      </c>
      <c r="BI184" s="498">
        <v>0</v>
      </c>
      <c r="BJ184" s="498">
        <v>0</v>
      </c>
      <c r="BK184" s="498">
        <v>0</v>
      </c>
      <c r="BL184" s="498">
        <v>0</v>
      </c>
      <c r="BM184" s="498">
        <v>0</v>
      </c>
      <c r="BN184" s="498">
        <v>0</v>
      </c>
      <c r="BO184" s="498">
        <v>0</v>
      </c>
      <c r="BP184" s="498">
        <v>0</v>
      </c>
      <c r="BQ184" s="498">
        <v>0</v>
      </c>
      <c r="BR184" s="498">
        <v>0</v>
      </c>
      <c r="BS184" s="498">
        <v>0</v>
      </c>
      <c r="BT184" s="498">
        <v>0</v>
      </c>
      <c r="BU184" s="498">
        <v>0</v>
      </c>
      <c r="BV184" s="498">
        <v>0</v>
      </c>
      <c r="BW184" s="498">
        <v>0</v>
      </c>
      <c r="BX184" s="498">
        <v>0</v>
      </c>
      <c r="BY184" s="498">
        <v>0</v>
      </c>
      <c r="BZ184" s="498">
        <v>0</v>
      </c>
      <c r="CA184" s="498">
        <v>0</v>
      </c>
      <c r="CB184" s="498">
        <v>0</v>
      </c>
      <c r="CC184" s="498">
        <v>0</v>
      </c>
      <c r="CD184" s="498">
        <v>0</v>
      </c>
      <c r="CE184" s="498">
        <v>0</v>
      </c>
      <c r="CF184" s="498">
        <v>0</v>
      </c>
      <c r="CG184" s="498">
        <v>0</v>
      </c>
      <c r="CH184" s="498">
        <v>0</v>
      </c>
      <c r="CI184" s="498">
        <v>0</v>
      </c>
      <c r="CJ184" s="498">
        <v>0</v>
      </c>
      <c r="CK184" s="498">
        <v>0</v>
      </c>
      <c r="CL184" s="498">
        <v>0</v>
      </c>
      <c r="CM184" s="498">
        <v>0</v>
      </c>
      <c r="CN184" s="498">
        <v>0</v>
      </c>
      <c r="CO184" s="498">
        <v>0</v>
      </c>
      <c r="CP184" s="498">
        <v>0</v>
      </c>
      <c r="CQ184" s="498">
        <v>0</v>
      </c>
      <c r="CR184" s="498">
        <v>0</v>
      </c>
      <c r="CS184" s="498">
        <v>0</v>
      </c>
      <c r="CT184" s="498">
        <v>0</v>
      </c>
      <c r="CU184" s="498">
        <v>0</v>
      </c>
      <c r="CV184" s="498">
        <v>0</v>
      </c>
      <c r="CW184" s="498">
        <v>0</v>
      </c>
      <c r="CX184" s="498">
        <v>0</v>
      </c>
      <c r="CY184" s="498">
        <v>0</v>
      </c>
      <c r="CZ184" s="498">
        <v>0</v>
      </c>
      <c r="DA184" s="498">
        <v>0</v>
      </c>
      <c r="DB184" s="498">
        <v>0</v>
      </c>
      <c r="DC184" s="498">
        <v>0</v>
      </c>
      <c r="DD184" s="498">
        <v>0</v>
      </c>
      <c r="DE184" s="498">
        <v>0</v>
      </c>
      <c r="DF184" s="498">
        <v>0</v>
      </c>
      <c r="DG184" s="498">
        <v>0</v>
      </c>
      <c r="DH184" s="498">
        <v>0</v>
      </c>
      <c r="DI184" s="498">
        <v>0</v>
      </c>
      <c r="DJ184" s="498">
        <v>0</v>
      </c>
      <c r="DK184" s="498">
        <v>0</v>
      </c>
      <c r="DL184" s="498">
        <v>0</v>
      </c>
      <c r="DM184" s="498">
        <v>0</v>
      </c>
      <c r="DN184" s="498">
        <v>0</v>
      </c>
      <c r="DO184" s="498">
        <v>0</v>
      </c>
      <c r="DP184" s="498">
        <v>0</v>
      </c>
      <c r="DQ184" s="498">
        <v>0</v>
      </c>
      <c r="DR184" s="498">
        <v>0</v>
      </c>
      <c r="DS184" s="498">
        <v>0</v>
      </c>
      <c r="DT184" s="498">
        <v>0</v>
      </c>
      <c r="DU184" s="498">
        <v>0</v>
      </c>
      <c r="DV184" s="498">
        <v>0</v>
      </c>
      <c r="DW184" s="498">
        <v>0</v>
      </c>
      <c r="DX184" s="477"/>
      <c r="DY184" s="497" t="s">
        <v>720</v>
      </c>
      <c r="DZ184" s="497" t="s">
        <v>617</v>
      </c>
      <c r="EA184" s="497" t="s">
        <v>26</v>
      </c>
      <c r="EB184" s="498">
        <v>51</v>
      </c>
      <c r="EC184" s="494" t="str">
        <f t="shared" si="6"/>
        <v>AIJ100251</v>
      </c>
      <c r="ED184" s="498">
        <v>0</v>
      </c>
      <c r="EE184" s="498">
        <v>360</v>
      </c>
      <c r="EF184" s="498">
        <v>702</v>
      </c>
      <c r="EG184" s="498">
        <v>1135</v>
      </c>
      <c r="EH184" s="498">
        <v>1691</v>
      </c>
      <c r="EI184" s="498">
        <v>2237</v>
      </c>
      <c r="EJ184" s="498">
        <v>3115</v>
      </c>
      <c r="EK184" s="498">
        <v>4292</v>
      </c>
      <c r="EL184" s="498">
        <v>5849</v>
      </c>
      <c r="EM184" s="498">
        <v>0</v>
      </c>
      <c r="EN184" s="498">
        <v>0</v>
      </c>
      <c r="EO184" s="498">
        <v>0</v>
      </c>
      <c r="EP184" s="498">
        <v>0</v>
      </c>
      <c r="EQ184" s="498">
        <v>0</v>
      </c>
      <c r="ER184" s="498">
        <v>0</v>
      </c>
      <c r="ES184" s="498">
        <v>0</v>
      </c>
      <c r="ET184" s="498">
        <v>0</v>
      </c>
      <c r="EU184" s="498">
        <v>0</v>
      </c>
      <c r="EV184" s="498">
        <v>0</v>
      </c>
      <c r="EW184" s="498">
        <v>0</v>
      </c>
      <c r="EX184" s="498">
        <v>0</v>
      </c>
      <c r="EY184" s="498">
        <v>0</v>
      </c>
      <c r="EZ184" s="498">
        <v>0</v>
      </c>
      <c r="FA184" s="498">
        <v>0</v>
      </c>
      <c r="FB184" s="498">
        <v>0</v>
      </c>
      <c r="FC184" s="498">
        <v>0</v>
      </c>
      <c r="FD184" s="498">
        <v>0</v>
      </c>
      <c r="FE184" s="498">
        <v>0</v>
      </c>
      <c r="FF184" s="498">
        <v>0</v>
      </c>
      <c r="FG184" s="498">
        <v>0</v>
      </c>
      <c r="FH184" s="498">
        <v>0</v>
      </c>
      <c r="FI184" s="498">
        <v>0</v>
      </c>
      <c r="FJ184" s="498">
        <v>0</v>
      </c>
      <c r="FK184" s="498">
        <v>0</v>
      </c>
      <c r="FL184" s="498">
        <v>0</v>
      </c>
      <c r="FM184" s="498">
        <v>0</v>
      </c>
      <c r="FN184" s="498">
        <v>0</v>
      </c>
      <c r="FO184" s="498">
        <v>0</v>
      </c>
      <c r="FP184" s="498">
        <v>0</v>
      </c>
      <c r="FQ184" s="498">
        <v>0</v>
      </c>
      <c r="FR184" s="498">
        <v>0</v>
      </c>
      <c r="FS184" s="498">
        <v>0</v>
      </c>
      <c r="FT184" s="498">
        <v>0</v>
      </c>
      <c r="FU184" s="498">
        <v>0</v>
      </c>
      <c r="FV184" s="498">
        <v>0</v>
      </c>
      <c r="FW184" s="498">
        <v>0</v>
      </c>
      <c r="FX184" s="498">
        <v>0</v>
      </c>
      <c r="FY184" s="498">
        <v>0</v>
      </c>
      <c r="FZ184" s="498">
        <v>0</v>
      </c>
      <c r="GA184" s="498">
        <v>0</v>
      </c>
      <c r="GB184" s="498">
        <v>0</v>
      </c>
      <c r="GC184" s="498">
        <v>0</v>
      </c>
      <c r="GD184" s="498">
        <v>0</v>
      </c>
      <c r="GE184" s="498">
        <v>0</v>
      </c>
      <c r="GF184" s="498">
        <v>0</v>
      </c>
      <c r="GG184" s="498">
        <v>0</v>
      </c>
      <c r="GH184" s="498">
        <v>0</v>
      </c>
      <c r="GI184" s="498">
        <v>0</v>
      </c>
      <c r="GJ184" s="498">
        <v>0</v>
      </c>
      <c r="GK184" s="498">
        <v>0</v>
      </c>
      <c r="GL184" s="498">
        <v>0</v>
      </c>
      <c r="GM184" s="498">
        <v>0</v>
      </c>
      <c r="GN184" s="498">
        <v>0</v>
      </c>
      <c r="GO184" s="498">
        <v>0</v>
      </c>
      <c r="GP184" s="498">
        <v>0</v>
      </c>
      <c r="GQ184" s="498">
        <v>0</v>
      </c>
      <c r="GR184" s="498">
        <v>0</v>
      </c>
      <c r="GS184" s="498">
        <v>0</v>
      </c>
      <c r="GT184" s="498">
        <v>0</v>
      </c>
      <c r="GU184" s="498">
        <v>0</v>
      </c>
      <c r="GV184" s="498">
        <v>0</v>
      </c>
      <c r="GW184" s="498">
        <v>0</v>
      </c>
      <c r="GX184" s="498">
        <v>0</v>
      </c>
      <c r="GY184" s="498">
        <v>0</v>
      </c>
      <c r="GZ184" s="498">
        <v>0</v>
      </c>
      <c r="HA184" s="498">
        <v>0</v>
      </c>
      <c r="HB184" s="498">
        <v>0</v>
      </c>
      <c r="HC184" s="498">
        <v>0</v>
      </c>
      <c r="HD184" s="498">
        <v>0</v>
      </c>
      <c r="HE184" s="498">
        <v>0</v>
      </c>
      <c r="HF184" s="498">
        <v>0</v>
      </c>
      <c r="HG184" s="498">
        <v>0</v>
      </c>
      <c r="HH184" s="498">
        <v>0</v>
      </c>
      <c r="HI184" s="498">
        <v>0</v>
      </c>
      <c r="HJ184" s="498">
        <v>0</v>
      </c>
      <c r="HK184" s="498">
        <v>0</v>
      </c>
      <c r="HL184" s="498">
        <v>0</v>
      </c>
      <c r="HM184" s="498">
        <v>0</v>
      </c>
      <c r="HN184" s="498">
        <v>0</v>
      </c>
      <c r="HO184" s="498">
        <v>0</v>
      </c>
      <c r="HP184" s="498">
        <v>0</v>
      </c>
      <c r="HQ184" s="498">
        <v>0</v>
      </c>
      <c r="HR184" s="498">
        <v>0</v>
      </c>
      <c r="HS184" s="498">
        <v>0</v>
      </c>
      <c r="HT184" s="498">
        <v>0</v>
      </c>
      <c r="HU184" s="498">
        <v>0</v>
      </c>
      <c r="HV184" s="498">
        <v>0</v>
      </c>
      <c r="HW184" s="498">
        <v>0</v>
      </c>
      <c r="HX184" s="498">
        <v>0</v>
      </c>
      <c r="HY184" s="498">
        <v>0</v>
      </c>
      <c r="HZ184" s="498">
        <v>0</v>
      </c>
      <c r="IA184" s="498">
        <v>0</v>
      </c>
      <c r="IB184" s="498">
        <v>0</v>
      </c>
      <c r="IC184" s="498">
        <v>0</v>
      </c>
      <c r="ID184" s="498">
        <v>0</v>
      </c>
      <c r="IE184" s="498">
        <v>0</v>
      </c>
      <c r="IF184" s="498">
        <v>0</v>
      </c>
      <c r="IG184" s="498">
        <v>0</v>
      </c>
      <c r="IH184" s="498">
        <v>0</v>
      </c>
      <c r="II184" s="498">
        <v>0</v>
      </c>
      <c r="IJ184" s="498">
        <v>0</v>
      </c>
    </row>
    <row r="185" spans="12:244" hidden="1">
      <c r="L185" s="497" t="s">
        <v>720</v>
      </c>
      <c r="M185" s="497" t="s">
        <v>617</v>
      </c>
      <c r="N185" s="497" t="s">
        <v>26</v>
      </c>
      <c r="O185" s="498">
        <v>52</v>
      </c>
      <c r="P185" s="494" t="str">
        <f t="shared" si="5"/>
        <v>AIJ100252</v>
      </c>
      <c r="Q185" s="498">
        <v>20000</v>
      </c>
      <c r="R185" s="498">
        <v>20000</v>
      </c>
      <c r="S185" s="498">
        <v>20000</v>
      </c>
      <c r="T185" s="498">
        <v>20000</v>
      </c>
      <c r="U185" s="498">
        <v>20000</v>
      </c>
      <c r="V185" s="498">
        <v>20000</v>
      </c>
      <c r="W185" s="498">
        <v>20000</v>
      </c>
      <c r="X185" s="498">
        <v>20000</v>
      </c>
      <c r="Y185" s="498">
        <v>20000</v>
      </c>
      <c r="Z185" s="498">
        <v>20000</v>
      </c>
      <c r="AA185" s="498">
        <v>0</v>
      </c>
      <c r="AB185" s="498">
        <v>0</v>
      </c>
      <c r="AC185" s="498">
        <v>0</v>
      </c>
      <c r="AD185" s="498">
        <v>0</v>
      </c>
      <c r="AE185" s="498">
        <v>0</v>
      </c>
      <c r="AF185" s="498">
        <v>0</v>
      </c>
      <c r="AG185" s="498">
        <v>0</v>
      </c>
      <c r="AH185" s="498">
        <v>0</v>
      </c>
      <c r="AI185" s="498">
        <v>0</v>
      </c>
      <c r="AJ185" s="498">
        <v>0</v>
      </c>
      <c r="AK185" s="498">
        <v>0</v>
      </c>
      <c r="AL185" s="498">
        <v>0</v>
      </c>
      <c r="AM185" s="498">
        <v>0</v>
      </c>
      <c r="AN185" s="498">
        <v>0</v>
      </c>
      <c r="AO185" s="498">
        <v>0</v>
      </c>
      <c r="AP185" s="498">
        <v>0</v>
      </c>
      <c r="AQ185" s="498">
        <v>0</v>
      </c>
      <c r="AR185" s="498">
        <v>0</v>
      </c>
      <c r="AS185" s="498">
        <v>0</v>
      </c>
      <c r="AT185" s="498">
        <v>0</v>
      </c>
      <c r="AU185" s="498">
        <v>0</v>
      </c>
      <c r="AV185" s="498">
        <v>0</v>
      </c>
      <c r="AW185" s="498">
        <v>0</v>
      </c>
      <c r="AX185" s="498">
        <v>0</v>
      </c>
      <c r="AY185" s="498">
        <v>0</v>
      </c>
      <c r="AZ185" s="498">
        <v>0</v>
      </c>
      <c r="BA185" s="498">
        <v>0</v>
      </c>
      <c r="BB185" s="498">
        <v>0</v>
      </c>
      <c r="BC185" s="498">
        <v>0</v>
      </c>
      <c r="BD185" s="498">
        <v>0</v>
      </c>
      <c r="BE185" s="498">
        <v>0</v>
      </c>
      <c r="BF185" s="498">
        <v>0</v>
      </c>
      <c r="BG185" s="498">
        <v>0</v>
      </c>
      <c r="BH185" s="498">
        <v>0</v>
      </c>
      <c r="BI185" s="498">
        <v>0</v>
      </c>
      <c r="BJ185" s="498">
        <v>0</v>
      </c>
      <c r="BK185" s="498">
        <v>0</v>
      </c>
      <c r="BL185" s="498">
        <v>0</v>
      </c>
      <c r="BM185" s="498">
        <v>0</v>
      </c>
      <c r="BN185" s="498">
        <v>0</v>
      </c>
      <c r="BO185" s="498">
        <v>0</v>
      </c>
      <c r="BP185" s="498">
        <v>0</v>
      </c>
      <c r="BQ185" s="498">
        <v>0</v>
      </c>
      <c r="BR185" s="498">
        <v>0</v>
      </c>
      <c r="BS185" s="498">
        <v>0</v>
      </c>
      <c r="BT185" s="498">
        <v>0</v>
      </c>
      <c r="BU185" s="498">
        <v>0</v>
      </c>
      <c r="BV185" s="498">
        <v>0</v>
      </c>
      <c r="BW185" s="498">
        <v>0</v>
      </c>
      <c r="BX185" s="498">
        <v>0</v>
      </c>
      <c r="BY185" s="498">
        <v>0</v>
      </c>
      <c r="BZ185" s="498">
        <v>0</v>
      </c>
      <c r="CA185" s="498">
        <v>0</v>
      </c>
      <c r="CB185" s="498">
        <v>0</v>
      </c>
      <c r="CC185" s="498">
        <v>0</v>
      </c>
      <c r="CD185" s="498">
        <v>0</v>
      </c>
      <c r="CE185" s="498">
        <v>0</v>
      </c>
      <c r="CF185" s="498">
        <v>0</v>
      </c>
      <c r="CG185" s="498">
        <v>0</v>
      </c>
      <c r="CH185" s="498">
        <v>0</v>
      </c>
      <c r="CI185" s="498">
        <v>0</v>
      </c>
      <c r="CJ185" s="498">
        <v>0</v>
      </c>
      <c r="CK185" s="498">
        <v>0</v>
      </c>
      <c r="CL185" s="498">
        <v>0</v>
      </c>
      <c r="CM185" s="498">
        <v>0</v>
      </c>
      <c r="CN185" s="498">
        <v>0</v>
      </c>
      <c r="CO185" s="498">
        <v>0</v>
      </c>
      <c r="CP185" s="498">
        <v>0</v>
      </c>
      <c r="CQ185" s="498">
        <v>0</v>
      </c>
      <c r="CR185" s="498">
        <v>0</v>
      </c>
      <c r="CS185" s="498">
        <v>0</v>
      </c>
      <c r="CT185" s="498">
        <v>0</v>
      </c>
      <c r="CU185" s="498">
        <v>0</v>
      </c>
      <c r="CV185" s="498">
        <v>0</v>
      </c>
      <c r="CW185" s="498">
        <v>0</v>
      </c>
      <c r="CX185" s="498">
        <v>0</v>
      </c>
      <c r="CY185" s="498">
        <v>0</v>
      </c>
      <c r="CZ185" s="498">
        <v>0</v>
      </c>
      <c r="DA185" s="498">
        <v>0</v>
      </c>
      <c r="DB185" s="498">
        <v>0</v>
      </c>
      <c r="DC185" s="498">
        <v>0</v>
      </c>
      <c r="DD185" s="498">
        <v>0</v>
      </c>
      <c r="DE185" s="498">
        <v>0</v>
      </c>
      <c r="DF185" s="498">
        <v>0</v>
      </c>
      <c r="DG185" s="498">
        <v>0</v>
      </c>
      <c r="DH185" s="498">
        <v>0</v>
      </c>
      <c r="DI185" s="498">
        <v>0</v>
      </c>
      <c r="DJ185" s="498">
        <v>0</v>
      </c>
      <c r="DK185" s="498">
        <v>0</v>
      </c>
      <c r="DL185" s="498">
        <v>0</v>
      </c>
      <c r="DM185" s="498">
        <v>0</v>
      </c>
      <c r="DN185" s="498">
        <v>0</v>
      </c>
      <c r="DO185" s="498">
        <v>0</v>
      </c>
      <c r="DP185" s="498">
        <v>0</v>
      </c>
      <c r="DQ185" s="498">
        <v>0</v>
      </c>
      <c r="DR185" s="498">
        <v>0</v>
      </c>
      <c r="DS185" s="498">
        <v>0</v>
      </c>
      <c r="DT185" s="498">
        <v>0</v>
      </c>
      <c r="DU185" s="498">
        <v>0</v>
      </c>
      <c r="DV185" s="498">
        <v>0</v>
      </c>
      <c r="DW185" s="498">
        <v>0</v>
      </c>
      <c r="DX185" s="477"/>
      <c r="DY185" s="497" t="s">
        <v>720</v>
      </c>
      <c r="DZ185" s="497" t="s">
        <v>617</v>
      </c>
      <c r="EA185" s="497" t="s">
        <v>26</v>
      </c>
      <c r="EB185" s="498">
        <v>52</v>
      </c>
      <c r="EC185" s="494" t="str">
        <f t="shared" si="6"/>
        <v>AIJ100252</v>
      </c>
      <c r="ED185" s="498">
        <v>0</v>
      </c>
      <c r="EE185" s="498">
        <v>357</v>
      </c>
      <c r="EF185" s="498">
        <v>724</v>
      </c>
      <c r="EG185" s="498">
        <v>1158</v>
      </c>
      <c r="EH185" s="498">
        <v>1707</v>
      </c>
      <c r="EI185" s="498">
        <v>2270</v>
      </c>
      <c r="EJ185" s="498">
        <v>3154</v>
      </c>
      <c r="EK185" s="498">
        <v>4273</v>
      </c>
      <c r="EL185" s="498">
        <v>5799</v>
      </c>
      <c r="EM185" s="498">
        <v>0</v>
      </c>
      <c r="EN185" s="498">
        <v>0</v>
      </c>
      <c r="EO185" s="498">
        <v>0</v>
      </c>
      <c r="EP185" s="498">
        <v>0</v>
      </c>
      <c r="EQ185" s="498">
        <v>0</v>
      </c>
      <c r="ER185" s="498">
        <v>0</v>
      </c>
      <c r="ES185" s="498">
        <v>0</v>
      </c>
      <c r="ET185" s="498">
        <v>0</v>
      </c>
      <c r="EU185" s="498">
        <v>0</v>
      </c>
      <c r="EV185" s="498">
        <v>0</v>
      </c>
      <c r="EW185" s="498">
        <v>0</v>
      </c>
      <c r="EX185" s="498">
        <v>0</v>
      </c>
      <c r="EY185" s="498">
        <v>0</v>
      </c>
      <c r="EZ185" s="498">
        <v>0</v>
      </c>
      <c r="FA185" s="498">
        <v>0</v>
      </c>
      <c r="FB185" s="498">
        <v>0</v>
      </c>
      <c r="FC185" s="498">
        <v>0</v>
      </c>
      <c r="FD185" s="498">
        <v>0</v>
      </c>
      <c r="FE185" s="498">
        <v>0</v>
      </c>
      <c r="FF185" s="498">
        <v>0</v>
      </c>
      <c r="FG185" s="498">
        <v>0</v>
      </c>
      <c r="FH185" s="498">
        <v>0</v>
      </c>
      <c r="FI185" s="498">
        <v>0</v>
      </c>
      <c r="FJ185" s="498">
        <v>0</v>
      </c>
      <c r="FK185" s="498">
        <v>0</v>
      </c>
      <c r="FL185" s="498">
        <v>0</v>
      </c>
      <c r="FM185" s="498">
        <v>0</v>
      </c>
      <c r="FN185" s="498">
        <v>0</v>
      </c>
      <c r="FO185" s="498">
        <v>0</v>
      </c>
      <c r="FP185" s="498">
        <v>0</v>
      </c>
      <c r="FQ185" s="498">
        <v>0</v>
      </c>
      <c r="FR185" s="498">
        <v>0</v>
      </c>
      <c r="FS185" s="498">
        <v>0</v>
      </c>
      <c r="FT185" s="498">
        <v>0</v>
      </c>
      <c r="FU185" s="498">
        <v>0</v>
      </c>
      <c r="FV185" s="498">
        <v>0</v>
      </c>
      <c r="FW185" s="498">
        <v>0</v>
      </c>
      <c r="FX185" s="498">
        <v>0</v>
      </c>
      <c r="FY185" s="498">
        <v>0</v>
      </c>
      <c r="FZ185" s="498">
        <v>0</v>
      </c>
      <c r="GA185" s="498">
        <v>0</v>
      </c>
      <c r="GB185" s="498">
        <v>0</v>
      </c>
      <c r="GC185" s="498">
        <v>0</v>
      </c>
      <c r="GD185" s="498">
        <v>0</v>
      </c>
      <c r="GE185" s="498">
        <v>0</v>
      </c>
      <c r="GF185" s="498">
        <v>0</v>
      </c>
      <c r="GG185" s="498">
        <v>0</v>
      </c>
      <c r="GH185" s="498">
        <v>0</v>
      </c>
      <c r="GI185" s="498">
        <v>0</v>
      </c>
      <c r="GJ185" s="498">
        <v>0</v>
      </c>
      <c r="GK185" s="498">
        <v>0</v>
      </c>
      <c r="GL185" s="498">
        <v>0</v>
      </c>
      <c r="GM185" s="498">
        <v>0</v>
      </c>
      <c r="GN185" s="498">
        <v>0</v>
      </c>
      <c r="GO185" s="498">
        <v>0</v>
      </c>
      <c r="GP185" s="498">
        <v>0</v>
      </c>
      <c r="GQ185" s="498">
        <v>0</v>
      </c>
      <c r="GR185" s="498">
        <v>0</v>
      </c>
      <c r="GS185" s="498">
        <v>0</v>
      </c>
      <c r="GT185" s="498">
        <v>0</v>
      </c>
      <c r="GU185" s="498">
        <v>0</v>
      </c>
      <c r="GV185" s="498">
        <v>0</v>
      </c>
      <c r="GW185" s="498">
        <v>0</v>
      </c>
      <c r="GX185" s="498">
        <v>0</v>
      </c>
      <c r="GY185" s="498">
        <v>0</v>
      </c>
      <c r="GZ185" s="498">
        <v>0</v>
      </c>
      <c r="HA185" s="498">
        <v>0</v>
      </c>
      <c r="HB185" s="498">
        <v>0</v>
      </c>
      <c r="HC185" s="498">
        <v>0</v>
      </c>
      <c r="HD185" s="498">
        <v>0</v>
      </c>
      <c r="HE185" s="498">
        <v>0</v>
      </c>
      <c r="HF185" s="498">
        <v>0</v>
      </c>
      <c r="HG185" s="498">
        <v>0</v>
      </c>
      <c r="HH185" s="498">
        <v>0</v>
      </c>
      <c r="HI185" s="498">
        <v>0</v>
      </c>
      <c r="HJ185" s="498">
        <v>0</v>
      </c>
      <c r="HK185" s="498">
        <v>0</v>
      </c>
      <c r="HL185" s="498">
        <v>0</v>
      </c>
      <c r="HM185" s="498">
        <v>0</v>
      </c>
      <c r="HN185" s="498">
        <v>0</v>
      </c>
      <c r="HO185" s="498">
        <v>0</v>
      </c>
      <c r="HP185" s="498">
        <v>0</v>
      </c>
      <c r="HQ185" s="498">
        <v>0</v>
      </c>
      <c r="HR185" s="498">
        <v>0</v>
      </c>
      <c r="HS185" s="498">
        <v>0</v>
      </c>
      <c r="HT185" s="498">
        <v>0</v>
      </c>
      <c r="HU185" s="498">
        <v>0</v>
      </c>
      <c r="HV185" s="498">
        <v>0</v>
      </c>
      <c r="HW185" s="498">
        <v>0</v>
      </c>
      <c r="HX185" s="498">
        <v>0</v>
      </c>
      <c r="HY185" s="498">
        <v>0</v>
      </c>
      <c r="HZ185" s="498">
        <v>0</v>
      </c>
      <c r="IA185" s="498">
        <v>0</v>
      </c>
      <c r="IB185" s="498">
        <v>0</v>
      </c>
      <c r="IC185" s="498">
        <v>0</v>
      </c>
      <c r="ID185" s="498">
        <v>0</v>
      </c>
      <c r="IE185" s="498">
        <v>0</v>
      </c>
      <c r="IF185" s="498">
        <v>0</v>
      </c>
      <c r="IG185" s="498">
        <v>0</v>
      </c>
      <c r="IH185" s="498">
        <v>0</v>
      </c>
      <c r="II185" s="498">
        <v>0</v>
      </c>
      <c r="IJ185" s="498">
        <v>0</v>
      </c>
    </row>
    <row r="186" spans="12:244" hidden="1">
      <c r="L186" s="497" t="s">
        <v>720</v>
      </c>
      <c r="M186" s="497" t="s">
        <v>617</v>
      </c>
      <c r="N186" s="497" t="s">
        <v>26</v>
      </c>
      <c r="O186" s="498">
        <v>53</v>
      </c>
      <c r="P186" s="494" t="str">
        <f t="shared" si="5"/>
        <v>AIJ100253</v>
      </c>
      <c r="Q186" s="498">
        <v>20000</v>
      </c>
      <c r="R186" s="498">
        <v>20000</v>
      </c>
      <c r="S186" s="498">
        <v>20000</v>
      </c>
      <c r="T186" s="498">
        <v>20000</v>
      </c>
      <c r="U186" s="498">
        <v>20000</v>
      </c>
      <c r="V186" s="498">
        <v>20000</v>
      </c>
      <c r="W186" s="498">
        <v>20000</v>
      </c>
      <c r="X186" s="498">
        <v>20000</v>
      </c>
      <c r="Y186" s="498">
        <v>20000</v>
      </c>
      <c r="Z186" s="498">
        <v>20000</v>
      </c>
      <c r="AA186" s="498">
        <v>0</v>
      </c>
      <c r="AB186" s="498">
        <v>0</v>
      </c>
      <c r="AC186" s="498">
        <v>0</v>
      </c>
      <c r="AD186" s="498">
        <v>0</v>
      </c>
      <c r="AE186" s="498">
        <v>0</v>
      </c>
      <c r="AF186" s="498">
        <v>0</v>
      </c>
      <c r="AG186" s="498">
        <v>0</v>
      </c>
      <c r="AH186" s="498">
        <v>0</v>
      </c>
      <c r="AI186" s="498">
        <v>0</v>
      </c>
      <c r="AJ186" s="498">
        <v>0</v>
      </c>
      <c r="AK186" s="498">
        <v>0</v>
      </c>
      <c r="AL186" s="498">
        <v>0</v>
      </c>
      <c r="AM186" s="498">
        <v>0</v>
      </c>
      <c r="AN186" s="498">
        <v>0</v>
      </c>
      <c r="AO186" s="498">
        <v>0</v>
      </c>
      <c r="AP186" s="498">
        <v>0</v>
      </c>
      <c r="AQ186" s="498">
        <v>0</v>
      </c>
      <c r="AR186" s="498">
        <v>0</v>
      </c>
      <c r="AS186" s="498">
        <v>0</v>
      </c>
      <c r="AT186" s="498">
        <v>0</v>
      </c>
      <c r="AU186" s="498">
        <v>0</v>
      </c>
      <c r="AV186" s="498">
        <v>0</v>
      </c>
      <c r="AW186" s="498">
        <v>0</v>
      </c>
      <c r="AX186" s="498">
        <v>0</v>
      </c>
      <c r="AY186" s="498">
        <v>0</v>
      </c>
      <c r="AZ186" s="498">
        <v>0</v>
      </c>
      <c r="BA186" s="498">
        <v>0</v>
      </c>
      <c r="BB186" s="498">
        <v>0</v>
      </c>
      <c r="BC186" s="498">
        <v>0</v>
      </c>
      <c r="BD186" s="498">
        <v>0</v>
      </c>
      <c r="BE186" s="498">
        <v>0</v>
      </c>
      <c r="BF186" s="498">
        <v>0</v>
      </c>
      <c r="BG186" s="498">
        <v>0</v>
      </c>
      <c r="BH186" s="498">
        <v>0</v>
      </c>
      <c r="BI186" s="498">
        <v>0</v>
      </c>
      <c r="BJ186" s="498">
        <v>0</v>
      </c>
      <c r="BK186" s="498">
        <v>0</v>
      </c>
      <c r="BL186" s="498">
        <v>0</v>
      </c>
      <c r="BM186" s="498">
        <v>0</v>
      </c>
      <c r="BN186" s="498">
        <v>0</v>
      </c>
      <c r="BO186" s="498">
        <v>0</v>
      </c>
      <c r="BP186" s="498">
        <v>0</v>
      </c>
      <c r="BQ186" s="498">
        <v>0</v>
      </c>
      <c r="BR186" s="498">
        <v>0</v>
      </c>
      <c r="BS186" s="498">
        <v>0</v>
      </c>
      <c r="BT186" s="498">
        <v>0</v>
      </c>
      <c r="BU186" s="498">
        <v>0</v>
      </c>
      <c r="BV186" s="498">
        <v>0</v>
      </c>
      <c r="BW186" s="498">
        <v>0</v>
      </c>
      <c r="BX186" s="498">
        <v>0</v>
      </c>
      <c r="BY186" s="498">
        <v>0</v>
      </c>
      <c r="BZ186" s="498">
        <v>0</v>
      </c>
      <c r="CA186" s="498">
        <v>0</v>
      </c>
      <c r="CB186" s="498">
        <v>0</v>
      </c>
      <c r="CC186" s="498">
        <v>0</v>
      </c>
      <c r="CD186" s="498">
        <v>0</v>
      </c>
      <c r="CE186" s="498">
        <v>0</v>
      </c>
      <c r="CF186" s="498">
        <v>0</v>
      </c>
      <c r="CG186" s="498">
        <v>0</v>
      </c>
      <c r="CH186" s="498">
        <v>0</v>
      </c>
      <c r="CI186" s="498">
        <v>0</v>
      </c>
      <c r="CJ186" s="498">
        <v>0</v>
      </c>
      <c r="CK186" s="498">
        <v>0</v>
      </c>
      <c r="CL186" s="498">
        <v>0</v>
      </c>
      <c r="CM186" s="498">
        <v>0</v>
      </c>
      <c r="CN186" s="498">
        <v>0</v>
      </c>
      <c r="CO186" s="498">
        <v>0</v>
      </c>
      <c r="CP186" s="498">
        <v>0</v>
      </c>
      <c r="CQ186" s="498">
        <v>0</v>
      </c>
      <c r="CR186" s="498">
        <v>0</v>
      </c>
      <c r="CS186" s="498">
        <v>0</v>
      </c>
      <c r="CT186" s="498">
        <v>0</v>
      </c>
      <c r="CU186" s="498">
        <v>0</v>
      </c>
      <c r="CV186" s="498">
        <v>0</v>
      </c>
      <c r="CW186" s="498">
        <v>0</v>
      </c>
      <c r="CX186" s="498">
        <v>0</v>
      </c>
      <c r="CY186" s="498">
        <v>0</v>
      </c>
      <c r="CZ186" s="498">
        <v>0</v>
      </c>
      <c r="DA186" s="498">
        <v>0</v>
      </c>
      <c r="DB186" s="498">
        <v>0</v>
      </c>
      <c r="DC186" s="498">
        <v>0</v>
      </c>
      <c r="DD186" s="498">
        <v>0</v>
      </c>
      <c r="DE186" s="498">
        <v>0</v>
      </c>
      <c r="DF186" s="498">
        <v>0</v>
      </c>
      <c r="DG186" s="498">
        <v>0</v>
      </c>
      <c r="DH186" s="498">
        <v>0</v>
      </c>
      <c r="DI186" s="498">
        <v>0</v>
      </c>
      <c r="DJ186" s="498">
        <v>0</v>
      </c>
      <c r="DK186" s="498">
        <v>0</v>
      </c>
      <c r="DL186" s="498">
        <v>0</v>
      </c>
      <c r="DM186" s="498">
        <v>0</v>
      </c>
      <c r="DN186" s="498">
        <v>0</v>
      </c>
      <c r="DO186" s="498">
        <v>0</v>
      </c>
      <c r="DP186" s="498">
        <v>0</v>
      </c>
      <c r="DQ186" s="498">
        <v>0</v>
      </c>
      <c r="DR186" s="498">
        <v>0</v>
      </c>
      <c r="DS186" s="498">
        <v>0</v>
      </c>
      <c r="DT186" s="498">
        <v>0</v>
      </c>
      <c r="DU186" s="498">
        <v>0</v>
      </c>
      <c r="DV186" s="498">
        <v>0</v>
      </c>
      <c r="DW186" s="498">
        <v>0</v>
      </c>
      <c r="DX186" s="477"/>
      <c r="DY186" s="497" t="s">
        <v>720</v>
      </c>
      <c r="DZ186" s="497" t="s">
        <v>617</v>
      </c>
      <c r="EA186" s="497" t="s">
        <v>26</v>
      </c>
      <c r="EB186" s="498">
        <v>53</v>
      </c>
      <c r="EC186" s="494" t="str">
        <f t="shared" si="6"/>
        <v>AIJ100253</v>
      </c>
      <c r="ED186" s="498">
        <v>0</v>
      </c>
      <c r="EE186" s="498">
        <v>373</v>
      </c>
      <c r="EF186" s="498">
        <v>758</v>
      </c>
      <c r="EG186" s="498">
        <v>1190</v>
      </c>
      <c r="EH186" s="498">
        <v>1763</v>
      </c>
      <c r="EI186" s="498">
        <v>2308</v>
      </c>
      <c r="EJ186" s="498">
        <v>3144</v>
      </c>
      <c r="EK186" s="498">
        <v>4298</v>
      </c>
      <c r="EL186" s="498">
        <v>5778</v>
      </c>
      <c r="EM186" s="498">
        <v>0</v>
      </c>
      <c r="EN186" s="498">
        <v>0</v>
      </c>
      <c r="EO186" s="498">
        <v>0</v>
      </c>
      <c r="EP186" s="498">
        <v>0</v>
      </c>
      <c r="EQ186" s="498">
        <v>0</v>
      </c>
      <c r="ER186" s="498">
        <v>0</v>
      </c>
      <c r="ES186" s="498">
        <v>0</v>
      </c>
      <c r="ET186" s="498">
        <v>0</v>
      </c>
      <c r="EU186" s="498">
        <v>0</v>
      </c>
      <c r="EV186" s="498">
        <v>0</v>
      </c>
      <c r="EW186" s="498">
        <v>0</v>
      </c>
      <c r="EX186" s="498">
        <v>0</v>
      </c>
      <c r="EY186" s="498">
        <v>0</v>
      </c>
      <c r="EZ186" s="498">
        <v>0</v>
      </c>
      <c r="FA186" s="498">
        <v>0</v>
      </c>
      <c r="FB186" s="498">
        <v>0</v>
      </c>
      <c r="FC186" s="498">
        <v>0</v>
      </c>
      <c r="FD186" s="498">
        <v>0</v>
      </c>
      <c r="FE186" s="498">
        <v>0</v>
      </c>
      <c r="FF186" s="498">
        <v>0</v>
      </c>
      <c r="FG186" s="498">
        <v>0</v>
      </c>
      <c r="FH186" s="498">
        <v>0</v>
      </c>
      <c r="FI186" s="498">
        <v>0</v>
      </c>
      <c r="FJ186" s="498">
        <v>0</v>
      </c>
      <c r="FK186" s="498">
        <v>0</v>
      </c>
      <c r="FL186" s="498">
        <v>0</v>
      </c>
      <c r="FM186" s="498">
        <v>0</v>
      </c>
      <c r="FN186" s="498">
        <v>0</v>
      </c>
      <c r="FO186" s="498">
        <v>0</v>
      </c>
      <c r="FP186" s="498">
        <v>0</v>
      </c>
      <c r="FQ186" s="498">
        <v>0</v>
      </c>
      <c r="FR186" s="498">
        <v>0</v>
      </c>
      <c r="FS186" s="498">
        <v>0</v>
      </c>
      <c r="FT186" s="498">
        <v>0</v>
      </c>
      <c r="FU186" s="498">
        <v>0</v>
      </c>
      <c r="FV186" s="498">
        <v>0</v>
      </c>
      <c r="FW186" s="498">
        <v>0</v>
      </c>
      <c r="FX186" s="498">
        <v>0</v>
      </c>
      <c r="FY186" s="498">
        <v>0</v>
      </c>
      <c r="FZ186" s="498">
        <v>0</v>
      </c>
      <c r="GA186" s="498">
        <v>0</v>
      </c>
      <c r="GB186" s="498">
        <v>0</v>
      </c>
      <c r="GC186" s="498">
        <v>0</v>
      </c>
      <c r="GD186" s="498">
        <v>0</v>
      </c>
      <c r="GE186" s="498">
        <v>0</v>
      </c>
      <c r="GF186" s="498">
        <v>0</v>
      </c>
      <c r="GG186" s="498">
        <v>0</v>
      </c>
      <c r="GH186" s="498">
        <v>0</v>
      </c>
      <c r="GI186" s="498">
        <v>0</v>
      </c>
      <c r="GJ186" s="498">
        <v>0</v>
      </c>
      <c r="GK186" s="498">
        <v>0</v>
      </c>
      <c r="GL186" s="498">
        <v>0</v>
      </c>
      <c r="GM186" s="498">
        <v>0</v>
      </c>
      <c r="GN186" s="498">
        <v>0</v>
      </c>
      <c r="GO186" s="498">
        <v>0</v>
      </c>
      <c r="GP186" s="498">
        <v>0</v>
      </c>
      <c r="GQ186" s="498">
        <v>0</v>
      </c>
      <c r="GR186" s="498">
        <v>0</v>
      </c>
      <c r="GS186" s="498">
        <v>0</v>
      </c>
      <c r="GT186" s="498">
        <v>0</v>
      </c>
      <c r="GU186" s="498">
        <v>0</v>
      </c>
      <c r="GV186" s="498">
        <v>0</v>
      </c>
      <c r="GW186" s="498">
        <v>0</v>
      </c>
      <c r="GX186" s="498">
        <v>0</v>
      </c>
      <c r="GY186" s="498">
        <v>0</v>
      </c>
      <c r="GZ186" s="498">
        <v>0</v>
      </c>
      <c r="HA186" s="498">
        <v>0</v>
      </c>
      <c r="HB186" s="498">
        <v>0</v>
      </c>
      <c r="HC186" s="498">
        <v>0</v>
      </c>
      <c r="HD186" s="498">
        <v>0</v>
      </c>
      <c r="HE186" s="498">
        <v>0</v>
      </c>
      <c r="HF186" s="498">
        <v>0</v>
      </c>
      <c r="HG186" s="498">
        <v>0</v>
      </c>
      <c r="HH186" s="498">
        <v>0</v>
      </c>
      <c r="HI186" s="498">
        <v>0</v>
      </c>
      <c r="HJ186" s="498">
        <v>0</v>
      </c>
      <c r="HK186" s="498">
        <v>0</v>
      </c>
      <c r="HL186" s="498">
        <v>0</v>
      </c>
      <c r="HM186" s="498">
        <v>0</v>
      </c>
      <c r="HN186" s="498">
        <v>0</v>
      </c>
      <c r="HO186" s="498">
        <v>0</v>
      </c>
      <c r="HP186" s="498">
        <v>0</v>
      </c>
      <c r="HQ186" s="498">
        <v>0</v>
      </c>
      <c r="HR186" s="498">
        <v>0</v>
      </c>
      <c r="HS186" s="498">
        <v>0</v>
      </c>
      <c r="HT186" s="498">
        <v>0</v>
      </c>
      <c r="HU186" s="498">
        <v>0</v>
      </c>
      <c r="HV186" s="498">
        <v>0</v>
      </c>
      <c r="HW186" s="498">
        <v>0</v>
      </c>
      <c r="HX186" s="498">
        <v>0</v>
      </c>
      <c r="HY186" s="498">
        <v>0</v>
      </c>
      <c r="HZ186" s="498">
        <v>0</v>
      </c>
      <c r="IA186" s="498">
        <v>0</v>
      </c>
      <c r="IB186" s="498">
        <v>0</v>
      </c>
      <c r="IC186" s="498">
        <v>0</v>
      </c>
      <c r="ID186" s="498">
        <v>0</v>
      </c>
      <c r="IE186" s="498">
        <v>0</v>
      </c>
      <c r="IF186" s="498">
        <v>0</v>
      </c>
      <c r="IG186" s="498">
        <v>0</v>
      </c>
      <c r="IH186" s="498">
        <v>0</v>
      </c>
      <c r="II186" s="498">
        <v>0</v>
      </c>
      <c r="IJ186" s="498">
        <v>0</v>
      </c>
    </row>
    <row r="187" spans="12:244" hidden="1">
      <c r="L187" s="497" t="s">
        <v>720</v>
      </c>
      <c r="M187" s="497" t="s">
        <v>617</v>
      </c>
      <c r="N187" s="497" t="s">
        <v>26</v>
      </c>
      <c r="O187" s="498">
        <v>54</v>
      </c>
      <c r="P187" s="494" t="str">
        <f t="shared" si="5"/>
        <v>AIJ100254</v>
      </c>
      <c r="Q187" s="498">
        <v>20000</v>
      </c>
      <c r="R187" s="498">
        <v>20000</v>
      </c>
      <c r="S187" s="498">
        <v>20000</v>
      </c>
      <c r="T187" s="498">
        <v>20000</v>
      </c>
      <c r="U187" s="498">
        <v>20000</v>
      </c>
      <c r="V187" s="498">
        <v>20000</v>
      </c>
      <c r="W187" s="498">
        <v>20000</v>
      </c>
      <c r="X187" s="498">
        <v>20000</v>
      </c>
      <c r="Y187" s="498">
        <v>20000</v>
      </c>
      <c r="Z187" s="498">
        <v>20000</v>
      </c>
      <c r="AA187" s="498">
        <v>0</v>
      </c>
      <c r="AB187" s="498">
        <v>0</v>
      </c>
      <c r="AC187" s="498">
        <v>0</v>
      </c>
      <c r="AD187" s="498">
        <v>0</v>
      </c>
      <c r="AE187" s="498">
        <v>0</v>
      </c>
      <c r="AF187" s="498">
        <v>0</v>
      </c>
      <c r="AG187" s="498">
        <v>0</v>
      </c>
      <c r="AH187" s="498">
        <v>0</v>
      </c>
      <c r="AI187" s="498">
        <v>0</v>
      </c>
      <c r="AJ187" s="498">
        <v>0</v>
      </c>
      <c r="AK187" s="498">
        <v>0</v>
      </c>
      <c r="AL187" s="498">
        <v>0</v>
      </c>
      <c r="AM187" s="498">
        <v>0</v>
      </c>
      <c r="AN187" s="498">
        <v>0</v>
      </c>
      <c r="AO187" s="498">
        <v>0</v>
      </c>
      <c r="AP187" s="498">
        <v>0</v>
      </c>
      <c r="AQ187" s="498">
        <v>0</v>
      </c>
      <c r="AR187" s="498">
        <v>0</v>
      </c>
      <c r="AS187" s="498">
        <v>0</v>
      </c>
      <c r="AT187" s="498">
        <v>0</v>
      </c>
      <c r="AU187" s="498">
        <v>0</v>
      </c>
      <c r="AV187" s="498">
        <v>0</v>
      </c>
      <c r="AW187" s="498">
        <v>0</v>
      </c>
      <c r="AX187" s="498">
        <v>0</v>
      </c>
      <c r="AY187" s="498">
        <v>0</v>
      </c>
      <c r="AZ187" s="498">
        <v>0</v>
      </c>
      <c r="BA187" s="498">
        <v>0</v>
      </c>
      <c r="BB187" s="498">
        <v>0</v>
      </c>
      <c r="BC187" s="498">
        <v>0</v>
      </c>
      <c r="BD187" s="498">
        <v>0</v>
      </c>
      <c r="BE187" s="498">
        <v>0</v>
      </c>
      <c r="BF187" s="498">
        <v>0</v>
      </c>
      <c r="BG187" s="498">
        <v>0</v>
      </c>
      <c r="BH187" s="498">
        <v>0</v>
      </c>
      <c r="BI187" s="498">
        <v>0</v>
      </c>
      <c r="BJ187" s="498">
        <v>0</v>
      </c>
      <c r="BK187" s="498">
        <v>0</v>
      </c>
      <c r="BL187" s="498">
        <v>0</v>
      </c>
      <c r="BM187" s="498">
        <v>0</v>
      </c>
      <c r="BN187" s="498">
        <v>0</v>
      </c>
      <c r="BO187" s="498">
        <v>0</v>
      </c>
      <c r="BP187" s="498">
        <v>0</v>
      </c>
      <c r="BQ187" s="498">
        <v>0</v>
      </c>
      <c r="BR187" s="498">
        <v>0</v>
      </c>
      <c r="BS187" s="498">
        <v>0</v>
      </c>
      <c r="BT187" s="498">
        <v>0</v>
      </c>
      <c r="BU187" s="498">
        <v>0</v>
      </c>
      <c r="BV187" s="498">
        <v>0</v>
      </c>
      <c r="BW187" s="498">
        <v>0</v>
      </c>
      <c r="BX187" s="498">
        <v>0</v>
      </c>
      <c r="BY187" s="498">
        <v>0</v>
      </c>
      <c r="BZ187" s="498">
        <v>0</v>
      </c>
      <c r="CA187" s="498">
        <v>0</v>
      </c>
      <c r="CB187" s="498">
        <v>0</v>
      </c>
      <c r="CC187" s="498">
        <v>0</v>
      </c>
      <c r="CD187" s="498">
        <v>0</v>
      </c>
      <c r="CE187" s="498">
        <v>0</v>
      </c>
      <c r="CF187" s="498">
        <v>0</v>
      </c>
      <c r="CG187" s="498">
        <v>0</v>
      </c>
      <c r="CH187" s="498">
        <v>0</v>
      </c>
      <c r="CI187" s="498">
        <v>0</v>
      </c>
      <c r="CJ187" s="498">
        <v>0</v>
      </c>
      <c r="CK187" s="498">
        <v>0</v>
      </c>
      <c r="CL187" s="498">
        <v>0</v>
      </c>
      <c r="CM187" s="498">
        <v>0</v>
      </c>
      <c r="CN187" s="498">
        <v>0</v>
      </c>
      <c r="CO187" s="498">
        <v>0</v>
      </c>
      <c r="CP187" s="498">
        <v>0</v>
      </c>
      <c r="CQ187" s="498">
        <v>0</v>
      </c>
      <c r="CR187" s="498">
        <v>0</v>
      </c>
      <c r="CS187" s="498">
        <v>0</v>
      </c>
      <c r="CT187" s="498">
        <v>0</v>
      </c>
      <c r="CU187" s="498">
        <v>0</v>
      </c>
      <c r="CV187" s="498">
        <v>0</v>
      </c>
      <c r="CW187" s="498">
        <v>0</v>
      </c>
      <c r="CX187" s="498">
        <v>0</v>
      </c>
      <c r="CY187" s="498">
        <v>0</v>
      </c>
      <c r="CZ187" s="498">
        <v>0</v>
      </c>
      <c r="DA187" s="498">
        <v>0</v>
      </c>
      <c r="DB187" s="498">
        <v>0</v>
      </c>
      <c r="DC187" s="498">
        <v>0</v>
      </c>
      <c r="DD187" s="498">
        <v>0</v>
      </c>
      <c r="DE187" s="498">
        <v>0</v>
      </c>
      <c r="DF187" s="498">
        <v>0</v>
      </c>
      <c r="DG187" s="498">
        <v>0</v>
      </c>
      <c r="DH187" s="498">
        <v>0</v>
      </c>
      <c r="DI187" s="498">
        <v>0</v>
      </c>
      <c r="DJ187" s="498">
        <v>0</v>
      </c>
      <c r="DK187" s="498">
        <v>0</v>
      </c>
      <c r="DL187" s="498">
        <v>0</v>
      </c>
      <c r="DM187" s="498">
        <v>0</v>
      </c>
      <c r="DN187" s="498">
        <v>0</v>
      </c>
      <c r="DO187" s="498">
        <v>0</v>
      </c>
      <c r="DP187" s="498">
        <v>0</v>
      </c>
      <c r="DQ187" s="498">
        <v>0</v>
      </c>
      <c r="DR187" s="498">
        <v>0</v>
      </c>
      <c r="DS187" s="498">
        <v>0</v>
      </c>
      <c r="DT187" s="498">
        <v>0</v>
      </c>
      <c r="DU187" s="498">
        <v>0</v>
      </c>
      <c r="DV187" s="498">
        <v>0</v>
      </c>
      <c r="DW187" s="498">
        <v>0</v>
      </c>
      <c r="DX187" s="477"/>
      <c r="DY187" s="497" t="s">
        <v>720</v>
      </c>
      <c r="DZ187" s="497" t="s">
        <v>617</v>
      </c>
      <c r="EA187" s="497" t="s">
        <v>26</v>
      </c>
      <c r="EB187" s="498">
        <v>54</v>
      </c>
      <c r="EC187" s="494" t="str">
        <f t="shared" si="6"/>
        <v>AIJ100254</v>
      </c>
      <c r="ED187" s="498">
        <v>0</v>
      </c>
      <c r="EE187" s="498">
        <v>384</v>
      </c>
      <c r="EF187" s="498">
        <v>781</v>
      </c>
      <c r="EG187" s="498">
        <v>1210</v>
      </c>
      <c r="EH187" s="498">
        <v>1756</v>
      </c>
      <c r="EI187" s="498">
        <v>2302</v>
      </c>
      <c r="EJ187" s="498">
        <v>3146</v>
      </c>
      <c r="EK187" s="498">
        <v>4308</v>
      </c>
      <c r="EL187" s="498">
        <v>5751</v>
      </c>
      <c r="EM187" s="498">
        <v>0</v>
      </c>
      <c r="EN187" s="498">
        <v>0</v>
      </c>
      <c r="EO187" s="498">
        <v>0</v>
      </c>
      <c r="EP187" s="498">
        <v>0</v>
      </c>
      <c r="EQ187" s="498">
        <v>0</v>
      </c>
      <c r="ER187" s="498">
        <v>0</v>
      </c>
      <c r="ES187" s="498">
        <v>0</v>
      </c>
      <c r="ET187" s="498">
        <v>0</v>
      </c>
      <c r="EU187" s="498">
        <v>0</v>
      </c>
      <c r="EV187" s="498">
        <v>0</v>
      </c>
      <c r="EW187" s="498">
        <v>0</v>
      </c>
      <c r="EX187" s="498">
        <v>0</v>
      </c>
      <c r="EY187" s="498">
        <v>0</v>
      </c>
      <c r="EZ187" s="498">
        <v>0</v>
      </c>
      <c r="FA187" s="498">
        <v>0</v>
      </c>
      <c r="FB187" s="498">
        <v>0</v>
      </c>
      <c r="FC187" s="498">
        <v>0</v>
      </c>
      <c r="FD187" s="498">
        <v>0</v>
      </c>
      <c r="FE187" s="498">
        <v>0</v>
      </c>
      <c r="FF187" s="498">
        <v>0</v>
      </c>
      <c r="FG187" s="498">
        <v>0</v>
      </c>
      <c r="FH187" s="498">
        <v>0</v>
      </c>
      <c r="FI187" s="498">
        <v>0</v>
      </c>
      <c r="FJ187" s="498">
        <v>0</v>
      </c>
      <c r="FK187" s="498">
        <v>0</v>
      </c>
      <c r="FL187" s="498">
        <v>0</v>
      </c>
      <c r="FM187" s="498">
        <v>0</v>
      </c>
      <c r="FN187" s="498">
        <v>0</v>
      </c>
      <c r="FO187" s="498">
        <v>0</v>
      </c>
      <c r="FP187" s="498">
        <v>0</v>
      </c>
      <c r="FQ187" s="498">
        <v>0</v>
      </c>
      <c r="FR187" s="498">
        <v>0</v>
      </c>
      <c r="FS187" s="498">
        <v>0</v>
      </c>
      <c r="FT187" s="498">
        <v>0</v>
      </c>
      <c r="FU187" s="498">
        <v>0</v>
      </c>
      <c r="FV187" s="498">
        <v>0</v>
      </c>
      <c r="FW187" s="498">
        <v>0</v>
      </c>
      <c r="FX187" s="498">
        <v>0</v>
      </c>
      <c r="FY187" s="498">
        <v>0</v>
      </c>
      <c r="FZ187" s="498">
        <v>0</v>
      </c>
      <c r="GA187" s="498">
        <v>0</v>
      </c>
      <c r="GB187" s="498">
        <v>0</v>
      </c>
      <c r="GC187" s="498">
        <v>0</v>
      </c>
      <c r="GD187" s="498">
        <v>0</v>
      </c>
      <c r="GE187" s="498">
        <v>0</v>
      </c>
      <c r="GF187" s="498">
        <v>0</v>
      </c>
      <c r="GG187" s="498">
        <v>0</v>
      </c>
      <c r="GH187" s="498">
        <v>0</v>
      </c>
      <c r="GI187" s="498">
        <v>0</v>
      </c>
      <c r="GJ187" s="498">
        <v>0</v>
      </c>
      <c r="GK187" s="498">
        <v>0</v>
      </c>
      <c r="GL187" s="498">
        <v>0</v>
      </c>
      <c r="GM187" s="498">
        <v>0</v>
      </c>
      <c r="GN187" s="498">
        <v>0</v>
      </c>
      <c r="GO187" s="498">
        <v>0</v>
      </c>
      <c r="GP187" s="498">
        <v>0</v>
      </c>
      <c r="GQ187" s="498">
        <v>0</v>
      </c>
      <c r="GR187" s="498">
        <v>0</v>
      </c>
      <c r="GS187" s="498">
        <v>0</v>
      </c>
      <c r="GT187" s="498">
        <v>0</v>
      </c>
      <c r="GU187" s="498">
        <v>0</v>
      </c>
      <c r="GV187" s="498">
        <v>0</v>
      </c>
      <c r="GW187" s="498">
        <v>0</v>
      </c>
      <c r="GX187" s="498">
        <v>0</v>
      </c>
      <c r="GY187" s="498">
        <v>0</v>
      </c>
      <c r="GZ187" s="498">
        <v>0</v>
      </c>
      <c r="HA187" s="498">
        <v>0</v>
      </c>
      <c r="HB187" s="498">
        <v>0</v>
      </c>
      <c r="HC187" s="498">
        <v>0</v>
      </c>
      <c r="HD187" s="498">
        <v>0</v>
      </c>
      <c r="HE187" s="498">
        <v>0</v>
      </c>
      <c r="HF187" s="498">
        <v>0</v>
      </c>
      <c r="HG187" s="498">
        <v>0</v>
      </c>
      <c r="HH187" s="498">
        <v>0</v>
      </c>
      <c r="HI187" s="498">
        <v>0</v>
      </c>
      <c r="HJ187" s="498">
        <v>0</v>
      </c>
      <c r="HK187" s="498">
        <v>0</v>
      </c>
      <c r="HL187" s="498">
        <v>0</v>
      </c>
      <c r="HM187" s="498">
        <v>0</v>
      </c>
      <c r="HN187" s="498">
        <v>0</v>
      </c>
      <c r="HO187" s="498">
        <v>0</v>
      </c>
      <c r="HP187" s="498">
        <v>0</v>
      </c>
      <c r="HQ187" s="498">
        <v>0</v>
      </c>
      <c r="HR187" s="498">
        <v>0</v>
      </c>
      <c r="HS187" s="498">
        <v>0</v>
      </c>
      <c r="HT187" s="498">
        <v>0</v>
      </c>
      <c r="HU187" s="498">
        <v>0</v>
      </c>
      <c r="HV187" s="498">
        <v>0</v>
      </c>
      <c r="HW187" s="498">
        <v>0</v>
      </c>
      <c r="HX187" s="498">
        <v>0</v>
      </c>
      <c r="HY187" s="498">
        <v>0</v>
      </c>
      <c r="HZ187" s="498">
        <v>0</v>
      </c>
      <c r="IA187" s="498">
        <v>0</v>
      </c>
      <c r="IB187" s="498">
        <v>0</v>
      </c>
      <c r="IC187" s="498">
        <v>0</v>
      </c>
      <c r="ID187" s="498">
        <v>0</v>
      </c>
      <c r="IE187" s="498">
        <v>0</v>
      </c>
      <c r="IF187" s="498">
        <v>0</v>
      </c>
      <c r="IG187" s="498">
        <v>0</v>
      </c>
      <c r="IH187" s="498">
        <v>0</v>
      </c>
      <c r="II187" s="498">
        <v>0</v>
      </c>
      <c r="IJ187" s="498">
        <v>0</v>
      </c>
    </row>
    <row r="188" spans="12:244" hidden="1">
      <c r="L188" s="497" t="s">
        <v>720</v>
      </c>
      <c r="M188" s="497" t="s">
        <v>617</v>
      </c>
      <c r="N188" s="497" t="s">
        <v>26</v>
      </c>
      <c r="O188" s="498">
        <v>55</v>
      </c>
      <c r="P188" s="494" t="str">
        <f t="shared" si="5"/>
        <v>AIJ100255</v>
      </c>
      <c r="Q188" s="498">
        <v>20000</v>
      </c>
      <c r="R188" s="498">
        <v>20000</v>
      </c>
      <c r="S188" s="498">
        <v>20000</v>
      </c>
      <c r="T188" s="498">
        <v>20000</v>
      </c>
      <c r="U188" s="498">
        <v>20000</v>
      </c>
      <c r="V188" s="498">
        <v>20000</v>
      </c>
      <c r="W188" s="498">
        <v>20000</v>
      </c>
      <c r="X188" s="498">
        <v>20000</v>
      </c>
      <c r="Y188" s="498">
        <v>20000</v>
      </c>
      <c r="Z188" s="498">
        <v>20000</v>
      </c>
      <c r="AA188" s="498">
        <v>0</v>
      </c>
      <c r="AB188" s="498">
        <v>0</v>
      </c>
      <c r="AC188" s="498">
        <v>0</v>
      </c>
      <c r="AD188" s="498">
        <v>0</v>
      </c>
      <c r="AE188" s="498">
        <v>0</v>
      </c>
      <c r="AF188" s="498">
        <v>0</v>
      </c>
      <c r="AG188" s="498">
        <v>0</v>
      </c>
      <c r="AH188" s="498">
        <v>0</v>
      </c>
      <c r="AI188" s="498">
        <v>0</v>
      </c>
      <c r="AJ188" s="498">
        <v>0</v>
      </c>
      <c r="AK188" s="498">
        <v>0</v>
      </c>
      <c r="AL188" s="498">
        <v>0</v>
      </c>
      <c r="AM188" s="498">
        <v>0</v>
      </c>
      <c r="AN188" s="498">
        <v>0</v>
      </c>
      <c r="AO188" s="498">
        <v>0</v>
      </c>
      <c r="AP188" s="498">
        <v>0</v>
      </c>
      <c r="AQ188" s="498">
        <v>0</v>
      </c>
      <c r="AR188" s="498">
        <v>0</v>
      </c>
      <c r="AS188" s="498">
        <v>0</v>
      </c>
      <c r="AT188" s="498">
        <v>0</v>
      </c>
      <c r="AU188" s="498">
        <v>0</v>
      </c>
      <c r="AV188" s="498">
        <v>0</v>
      </c>
      <c r="AW188" s="498">
        <v>0</v>
      </c>
      <c r="AX188" s="498">
        <v>0</v>
      </c>
      <c r="AY188" s="498">
        <v>0</v>
      </c>
      <c r="AZ188" s="498">
        <v>0</v>
      </c>
      <c r="BA188" s="498">
        <v>0</v>
      </c>
      <c r="BB188" s="498">
        <v>0</v>
      </c>
      <c r="BC188" s="498">
        <v>0</v>
      </c>
      <c r="BD188" s="498">
        <v>0</v>
      </c>
      <c r="BE188" s="498">
        <v>0</v>
      </c>
      <c r="BF188" s="498">
        <v>0</v>
      </c>
      <c r="BG188" s="498">
        <v>0</v>
      </c>
      <c r="BH188" s="498">
        <v>0</v>
      </c>
      <c r="BI188" s="498">
        <v>0</v>
      </c>
      <c r="BJ188" s="498">
        <v>0</v>
      </c>
      <c r="BK188" s="498">
        <v>0</v>
      </c>
      <c r="BL188" s="498">
        <v>0</v>
      </c>
      <c r="BM188" s="498">
        <v>0</v>
      </c>
      <c r="BN188" s="498">
        <v>0</v>
      </c>
      <c r="BO188" s="498">
        <v>0</v>
      </c>
      <c r="BP188" s="498">
        <v>0</v>
      </c>
      <c r="BQ188" s="498">
        <v>0</v>
      </c>
      <c r="BR188" s="498">
        <v>0</v>
      </c>
      <c r="BS188" s="498">
        <v>0</v>
      </c>
      <c r="BT188" s="498">
        <v>0</v>
      </c>
      <c r="BU188" s="498">
        <v>0</v>
      </c>
      <c r="BV188" s="498">
        <v>0</v>
      </c>
      <c r="BW188" s="498">
        <v>0</v>
      </c>
      <c r="BX188" s="498">
        <v>0</v>
      </c>
      <c r="BY188" s="498">
        <v>0</v>
      </c>
      <c r="BZ188" s="498">
        <v>0</v>
      </c>
      <c r="CA188" s="498">
        <v>0</v>
      </c>
      <c r="CB188" s="498">
        <v>0</v>
      </c>
      <c r="CC188" s="498">
        <v>0</v>
      </c>
      <c r="CD188" s="498">
        <v>0</v>
      </c>
      <c r="CE188" s="498">
        <v>0</v>
      </c>
      <c r="CF188" s="498">
        <v>0</v>
      </c>
      <c r="CG188" s="498">
        <v>0</v>
      </c>
      <c r="CH188" s="498">
        <v>0</v>
      </c>
      <c r="CI188" s="498">
        <v>0</v>
      </c>
      <c r="CJ188" s="498">
        <v>0</v>
      </c>
      <c r="CK188" s="498">
        <v>0</v>
      </c>
      <c r="CL188" s="498">
        <v>0</v>
      </c>
      <c r="CM188" s="498">
        <v>0</v>
      </c>
      <c r="CN188" s="498">
        <v>0</v>
      </c>
      <c r="CO188" s="498">
        <v>0</v>
      </c>
      <c r="CP188" s="498">
        <v>0</v>
      </c>
      <c r="CQ188" s="498">
        <v>0</v>
      </c>
      <c r="CR188" s="498">
        <v>0</v>
      </c>
      <c r="CS188" s="498">
        <v>0</v>
      </c>
      <c r="CT188" s="498">
        <v>0</v>
      </c>
      <c r="CU188" s="498">
        <v>0</v>
      </c>
      <c r="CV188" s="498">
        <v>0</v>
      </c>
      <c r="CW188" s="498">
        <v>0</v>
      </c>
      <c r="CX188" s="498">
        <v>0</v>
      </c>
      <c r="CY188" s="498">
        <v>0</v>
      </c>
      <c r="CZ188" s="498">
        <v>0</v>
      </c>
      <c r="DA188" s="498">
        <v>0</v>
      </c>
      <c r="DB188" s="498">
        <v>0</v>
      </c>
      <c r="DC188" s="498">
        <v>0</v>
      </c>
      <c r="DD188" s="498">
        <v>0</v>
      </c>
      <c r="DE188" s="498">
        <v>0</v>
      </c>
      <c r="DF188" s="498">
        <v>0</v>
      </c>
      <c r="DG188" s="498">
        <v>0</v>
      </c>
      <c r="DH188" s="498">
        <v>0</v>
      </c>
      <c r="DI188" s="498">
        <v>0</v>
      </c>
      <c r="DJ188" s="498">
        <v>0</v>
      </c>
      <c r="DK188" s="498">
        <v>0</v>
      </c>
      <c r="DL188" s="498">
        <v>0</v>
      </c>
      <c r="DM188" s="498">
        <v>0</v>
      </c>
      <c r="DN188" s="498">
        <v>0</v>
      </c>
      <c r="DO188" s="498">
        <v>0</v>
      </c>
      <c r="DP188" s="498">
        <v>0</v>
      </c>
      <c r="DQ188" s="498">
        <v>0</v>
      </c>
      <c r="DR188" s="498">
        <v>0</v>
      </c>
      <c r="DS188" s="498">
        <v>0</v>
      </c>
      <c r="DT188" s="498">
        <v>0</v>
      </c>
      <c r="DU188" s="498">
        <v>0</v>
      </c>
      <c r="DV188" s="498">
        <v>0</v>
      </c>
      <c r="DW188" s="498">
        <v>0</v>
      </c>
      <c r="DX188" s="477"/>
      <c r="DY188" s="497" t="s">
        <v>720</v>
      </c>
      <c r="DZ188" s="497" t="s">
        <v>617</v>
      </c>
      <c r="EA188" s="497" t="s">
        <v>26</v>
      </c>
      <c r="EB188" s="498">
        <v>55</v>
      </c>
      <c r="EC188" s="494" t="str">
        <f t="shared" si="6"/>
        <v>AIJ100255</v>
      </c>
      <c r="ED188" s="498">
        <v>0</v>
      </c>
      <c r="EE188" s="498">
        <v>390</v>
      </c>
      <c r="EF188" s="498">
        <v>797</v>
      </c>
      <c r="EG188" s="498">
        <v>1218</v>
      </c>
      <c r="EH188" s="498">
        <v>1783</v>
      </c>
      <c r="EI188" s="498">
        <v>2310</v>
      </c>
      <c r="EJ188" s="498">
        <v>3150</v>
      </c>
      <c r="EK188" s="498">
        <v>4286</v>
      </c>
      <c r="EL188" s="498">
        <v>5797</v>
      </c>
      <c r="EM188" s="498">
        <v>0</v>
      </c>
      <c r="EN188" s="498">
        <v>0</v>
      </c>
      <c r="EO188" s="498">
        <v>0</v>
      </c>
      <c r="EP188" s="498">
        <v>0</v>
      </c>
      <c r="EQ188" s="498">
        <v>0</v>
      </c>
      <c r="ER188" s="498">
        <v>0</v>
      </c>
      <c r="ES188" s="498">
        <v>0</v>
      </c>
      <c r="ET188" s="498">
        <v>0</v>
      </c>
      <c r="EU188" s="498">
        <v>0</v>
      </c>
      <c r="EV188" s="498">
        <v>0</v>
      </c>
      <c r="EW188" s="498">
        <v>0</v>
      </c>
      <c r="EX188" s="498">
        <v>0</v>
      </c>
      <c r="EY188" s="498">
        <v>0</v>
      </c>
      <c r="EZ188" s="498">
        <v>0</v>
      </c>
      <c r="FA188" s="498">
        <v>0</v>
      </c>
      <c r="FB188" s="498">
        <v>0</v>
      </c>
      <c r="FC188" s="498">
        <v>0</v>
      </c>
      <c r="FD188" s="498">
        <v>0</v>
      </c>
      <c r="FE188" s="498">
        <v>0</v>
      </c>
      <c r="FF188" s="498">
        <v>0</v>
      </c>
      <c r="FG188" s="498">
        <v>0</v>
      </c>
      <c r="FH188" s="498">
        <v>0</v>
      </c>
      <c r="FI188" s="498">
        <v>0</v>
      </c>
      <c r="FJ188" s="498">
        <v>0</v>
      </c>
      <c r="FK188" s="498">
        <v>0</v>
      </c>
      <c r="FL188" s="498">
        <v>0</v>
      </c>
      <c r="FM188" s="498">
        <v>0</v>
      </c>
      <c r="FN188" s="498">
        <v>0</v>
      </c>
      <c r="FO188" s="498">
        <v>0</v>
      </c>
      <c r="FP188" s="498">
        <v>0</v>
      </c>
      <c r="FQ188" s="498">
        <v>0</v>
      </c>
      <c r="FR188" s="498">
        <v>0</v>
      </c>
      <c r="FS188" s="498">
        <v>0</v>
      </c>
      <c r="FT188" s="498">
        <v>0</v>
      </c>
      <c r="FU188" s="498">
        <v>0</v>
      </c>
      <c r="FV188" s="498">
        <v>0</v>
      </c>
      <c r="FW188" s="498">
        <v>0</v>
      </c>
      <c r="FX188" s="498">
        <v>0</v>
      </c>
      <c r="FY188" s="498">
        <v>0</v>
      </c>
      <c r="FZ188" s="498">
        <v>0</v>
      </c>
      <c r="GA188" s="498">
        <v>0</v>
      </c>
      <c r="GB188" s="498">
        <v>0</v>
      </c>
      <c r="GC188" s="498">
        <v>0</v>
      </c>
      <c r="GD188" s="498">
        <v>0</v>
      </c>
      <c r="GE188" s="498">
        <v>0</v>
      </c>
      <c r="GF188" s="498">
        <v>0</v>
      </c>
      <c r="GG188" s="498">
        <v>0</v>
      </c>
      <c r="GH188" s="498">
        <v>0</v>
      </c>
      <c r="GI188" s="498">
        <v>0</v>
      </c>
      <c r="GJ188" s="498">
        <v>0</v>
      </c>
      <c r="GK188" s="498">
        <v>0</v>
      </c>
      <c r="GL188" s="498">
        <v>0</v>
      </c>
      <c r="GM188" s="498">
        <v>0</v>
      </c>
      <c r="GN188" s="498">
        <v>0</v>
      </c>
      <c r="GO188" s="498">
        <v>0</v>
      </c>
      <c r="GP188" s="498">
        <v>0</v>
      </c>
      <c r="GQ188" s="498">
        <v>0</v>
      </c>
      <c r="GR188" s="498">
        <v>0</v>
      </c>
      <c r="GS188" s="498">
        <v>0</v>
      </c>
      <c r="GT188" s="498">
        <v>0</v>
      </c>
      <c r="GU188" s="498">
        <v>0</v>
      </c>
      <c r="GV188" s="498">
        <v>0</v>
      </c>
      <c r="GW188" s="498">
        <v>0</v>
      </c>
      <c r="GX188" s="498">
        <v>0</v>
      </c>
      <c r="GY188" s="498">
        <v>0</v>
      </c>
      <c r="GZ188" s="498">
        <v>0</v>
      </c>
      <c r="HA188" s="498">
        <v>0</v>
      </c>
      <c r="HB188" s="498">
        <v>0</v>
      </c>
      <c r="HC188" s="498">
        <v>0</v>
      </c>
      <c r="HD188" s="498">
        <v>0</v>
      </c>
      <c r="HE188" s="498">
        <v>0</v>
      </c>
      <c r="HF188" s="498">
        <v>0</v>
      </c>
      <c r="HG188" s="498">
        <v>0</v>
      </c>
      <c r="HH188" s="498">
        <v>0</v>
      </c>
      <c r="HI188" s="498">
        <v>0</v>
      </c>
      <c r="HJ188" s="498">
        <v>0</v>
      </c>
      <c r="HK188" s="498">
        <v>0</v>
      </c>
      <c r="HL188" s="498">
        <v>0</v>
      </c>
      <c r="HM188" s="498">
        <v>0</v>
      </c>
      <c r="HN188" s="498">
        <v>0</v>
      </c>
      <c r="HO188" s="498">
        <v>0</v>
      </c>
      <c r="HP188" s="498">
        <v>0</v>
      </c>
      <c r="HQ188" s="498">
        <v>0</v>
      </c>
      <c r="HR188" s="498">
        <v>0</v>
      </c>
      <c r="HS188" s="498">
        <v>0</v>
      </c>
      <c r="HT188" s="498">
        <v>0</v>
      </c>
      <c r="HU188" s="498">
        <v>0</v>
      </c>
      <c r="HV188" s="498">
        <v>0</v>
      </c>
      <c r="HW188" s="498">
        <v>0</v>
      </c>
      <c r="HX188" s="498">
        <v>0</v>
      </c>
      <c r="HY188" s="498">
        <v>0</v>
      </c>
      <c r="HZ188" s="498">
        <v>0</v>
      </c>
      <c r="IA188" s="498">
        <v>0</v>
      </c>
      <c r="IB188" s="498">
        <v>0</v>
      </c>
      <c r="IC188" s="498">
        <v>0</v>
      </c>
      <c r="ID188" s="498">
        <v>0</v>
      </c>
      <c r="IE188" s="498">
        <v>0</v>
      </c>
      <c r="IF188" s="498">
        <v>0</v>
      </c>
      <c r="IG188" s="498">
        <v>0</v>
      </c>
      <c r="IH188" s="498">
        <v>0</v>
      </c>
      <c r="II188" s="498">
        <v>0</v>
      </c>
      <c r="IJ188" s="498">
        <v>0</v>
      </c>
    </row>
    <row r="189" spans="12:244" hidden="1">
      <c r="L189" s="497" t="s">
        <v>720</v>
      </c>
      <c r="M189" s="497" t="s">
        <v>617</v>
      </c>
      <c r="N189" s="497" t="s">
        <v>26</v>
      </c>
      <c r="O189" s="498">
        <v>56</v>
      </c>
      <c r="P189" s="494" t="str">
        <f t="shared" si="5"/>
        <v>AIJ100256</v>
      </c>
      <c r="Q189" s="498">
        <v>20000</v>
      </c>
      <c r="R189" s="498">
        <v>20000</v>
      </c>
      <c r="S189" s="498">
        <v>20000</v>
      </c>
      <c r="T189" s="498">
        <v>20000</v>
      </c>
      <c r="U189" s="498">
        <v>20000</v>
      </c>
      <c r="V189" s="498">
        <v>20000</v>
      </c>
      <c r="W189" s="498">
        <v>20000</v>
      </c>
      <c r="X189" s="498">
        <v>20000</v>
      </c>
      <c r="Y189" s="498">
        <v>20000</v>
      </c>
      <c r="Z189" s="498">
        <v>20000</v>
      </c>
      <c r="AA189" s="498">
        <v>0</v>
      </c>
      <c r="AB189" s="498">
        <v>0</v>
      </c>
      <c r="AC189" s="498">
        <v>0</v>
      </c>
      <c r="AD189" s="498">
        <v>0</v>
      </c>
      <c r="AE189" s="498">
        <v>0</v>
      </c>
      <c r="AF189" s="498">
        <v>0</v>
      </c>
      <c r="AG189" s="498">
        <v>0</v>
      </c>
      <c r="AH189" s="498">
        <v>0</v>
      </c>
      <c r="AI189" s="498">
        <v>0</v>
      </c>
      <c r="AJ189" s="498">
        <v>0</v>
      </c>
      <c r="AK189" s="498">
        <v>0</v>
      </c>
      <c r="AL189" s="498">
        <v>0</v>
      </c>
      <c r="AM189" s="498">
        <v>0</v>
      </c>
      <c r="AN189" s="498">
        <v>0</v>
      </c>
      <c r="AO189" s="498">
        <v>0</v>
      </c>
      <c r="AP189" s="498">
        <v>0</v>
      </c>
      <c r="AQ189" s="498">
        <v>0</v>
      </c>
      <c r="AR189" s="498">
        <v>0</v>
      </c>
      <c r="AS189" s="498">
        <v>0</v>
      </c>
      <c r="AT189" s="498">
        <v>0</v>
      </c>
      <c r="AU189" s="498">
        <v>0</v>
      </c>
      <c r="AV189" s="498">
        <v>0</v>
      </c>
      <c r="AW189" s="498">
        <v>0</v>
      </c>
      <c r="AX189" s="498">
        <v>0</v>
      </c>
      <c r="AY189" s="498">
        <v>0</v>
      </c>
      <c r="AZ189" s="498">
        <v>0</v>
      </c>
      <c r="BA189" s="498">
        <v>0</v>
      </c>
      <c r="BB189" s="498">
        <v>0</v>
      </c>
      <c r="BC189" s="498">
        <v>0</v>
      </c>
      <c r="BD189" s="498">
        <v>0</v>
      </c>
      <c r="BE189" s="498">
        <v>0</v>
      </c>
      <c r="BF189" s="498">
        <v>0</v>
      </c>
      <c r="BG189" s="498">
        <v>0</v>
      </c>
      <c r="BH189" s="498">
        <v>0</v>
      </c>
      <c r="BI189" s="498">
        <v>0</v>
      </c>
      <c r="BJ189" s="498">
        <v>0</v>
      </c>
      <c r="BK189" s="498">
        <v>0</v>
      </c>
      <c r="BL189" s="498">
        <v>0</v>
      </c>
      <c r="BM189" s="498">
        <v>0</v>
      </c>
      <c r="BN189" s="498">
        <v>0</v>
      </c>
      <c r="BO189" s="498">
        <v>0</v>
      </c>
      <c r="BP189" s="498">
        <v>0</v>
      </c>
      <c r="BQ189" s="498">
        <v>0</v>
      </c>
      <c r="BR189" s="498">
        <v>0</v>
      </c>
      <c r="BS189" s="498">
        <v>0</v>
      </c>
      <c r="BT189" s="498">
        <v>0</v>
      </c>
      <c r="BU189" s="498">
        <v>0</v>
      </c>
      <c r="BV189" s="498">
        <v>0</v>
      </c>
      <c r="BW189" s="498">
        <v>0</v>
      </c>
      <c r="BX189" s="498">
        <v>0</v>
      </c>
      <c r="BY189" s="498">
        <v>0</v>
      </c>
      <c r="BZ189" s="498">
        <v>0</v>
      </c>
      <c r="CA189" s="498">
        <v>0</v>
      </c>
      <c r="CB189" s="498">
        <v>0</v>
      </c>
      <c r="CC189" s="498">
        <v>0</v>
      </c>
      <c r="CD189" s="498">
        <v>0</v>
      </c>
      <c r="CE189" s="498">
        <v>0</v>
      </c>
      <c r="CF189" s="498">
        <v>0</v>
      </c>
      <c r="CG189" s="498">
        <v>0</v>
      </c>
      <c r="CH189" s="498">
        <v>0</v>
      </c>
      <c r="CI189" s="498">
        <v>0</v>
      </c>
      <c r="CJ189" s="498">
        <v>0</v>
      </c>
      <c r="CK189" s="498">
        <v>0</v>
      </c>
      <c r="CL189" s="498">
        <v>0</v>
      </c>
      <c r="CM189" s="498">
        <v>0</v>
      </c>
      <c r="CN189" s="498">
        <v>0</v>
      </c>
      <c r="CO189" s="498">
        <v>0</v>
      </c>
      <c r="CP189" s="498">
        <v>0</v>
      </c>
      <c r="CQ189" s="498">
        <v>0</v>
      </c>
      <c r="CR189" s="498">
        <v>0</v>
      </c>
      <c r="CS189" s="498">
        <v>0</v>
      </c>
      <c r="CT189" s="498">
        <v>0</v>
      </c>
      <c r="CU189" s="498">
        <v>0</v>
      </c>
      <c r="CV189" s="498">
        <v>0</v>
      </c>
      <c r="CW189" s="498">
        <v>0</v>
      </c>
      <c r="CX189" s="498">
        <v>0</v>
      </c>
      <c r="CY189" s="498">
        <v>0</v>
      </c>
      <c r="CZ189" s="498">
        <v>0</v>
      </c>
      <c r="DA189" s="498">
        <v>0</v>
      </c>
      <c r="DB189" s="498">
        <v>0</v>
      </c>
      <c r="DC189" s="498">
        <v>0</v>
      </c>
      <c r="DD189" s="498">
        <v>0</v>
      </c>
      <c r="DE189" s="498">
        <v>0</v>
      </c>
      <c r="DF189" s="498">
        <v>0</v>
      </c>
      <c r="DG189" s="498">
        <v>0</v>
      </c>
      <c r="DH189" s="498">
        <v>0</v>
      </c>
      <c r="DI189" s="498">
        <v>0</v>
      </c>
      <c r="DJ189" s="498">
        <v>0</v>
      </c>
      <c r="DK189" s="498">
        <v>0</v>
      </c>
      <c r="DL189" s="498">
        <v>0</v>
      </c>
      <c r="DM189" s="498">
        <v>0</v>
      </c>
      <c r="DN189" s="498">
        <v>0</v>
      </c>
      <c r="DO189" s="498">
        <v>0</v>
      </c>
      <c r="DP189" s="498">
        <v>0</v>
      </c>
      <c r="DQ189" s="498">
        <v>0</v>
      </c>
      <c r="DR189" s="498">
        <v>0</v>
      </c>
      <c r="DS189" s="498">
        <v>0</v>
      </c>
      <c r="DT189" s="498">
        <v>0</v>
      </c>
      <c r="DU189" s="498">
        <v>0</v>
      </c>
      <c r="DV189" s="498">
        <v>0</v>
      </c>
      <c r="DW189" s="498">
        <v>0</v>
      </c>
      <c r="DX189" s="477"/>
      <c r="DY189" s="497" t="s">
        <v>720</v>
      </c>
      <c r="DZ189" s="497" t="s">
        <v>617</v>
      </c>
      <c r="EA189" s="497" t="s">
        <v>26</v>
      </c>
      <c r="EB189" s="498">
        <v>56</v>
      </c>
      <c r="EC189" s="494" t="str">
        <f t="shared" si="6"/>
        <v>AIJ100256</v>
      </c>
      <c r="ED189" s="498">
        <v>0</v>
      </c>
      <c r="EE189" s="498">
        <v>392</v>
      </c>
      <c r="EF189" s="498">
        <v>789</v>
      </c>
      <c r="EG189" s="498">
        <v>1220</v>
      </c>
      <c r="EH189" s="498">
        <v>1754</v>
      </c>
      <c r="EI189" s="498">
        <v>2311</v>
      </c>
      <c r="EJ189" s="498">
        <v>3110</v>
      </c>
      <c r="EK189" s="498">
        <v>4272</v>
      </c>
      <c r="EL189" s="498">
        <v>5785</v>
      </c>
      <c r="EM189" s="498">
        <v>0</v>
      </c>
      <c r="EN189" s="498">
        <v>0</v>
      </c>
      <c r="EO189" s="498">
        <v>0</v>
      </c>
      <c r="EP189" s="498">
        <v>0</v>
      </c>
      <c r="EQ189" s="498">
        <v>0</v>
      </c>
      <c r="ER189" s="498">
        <v>0</v>
      </c>
      <c r="ES189" s="498">
        <v>0</v>
      </c>
      <c r="ET189" s="498">
        <v>0</v>
      </c>
      <c r="EU189" s="498">
        <v>0</v>
      </c>
      <c r="EV189" s="498">
        <v>0</v>
      </c>
      <c r="EW189" s="498">
        <v>0</v>
      </c>
      <c r="EX189" s="498">
        <v>0</v>
      </c>
      <c r="EY189" s="498">
        <v>0</v>
      </c>
      <c r="EZ189" s="498">
        <v>0</v>
      </c>
      <c r="FA189" s="498">
        <v>0</v>
      </c>
      <c r="FB189" s="498">
        <v>0</v>
      </c>
      <c r="FC189" s="498">
        <v>0</v>
      </c>
      <c r="FD189" s="498">
        <v>0</v>
      </c>
      <c r="FE189" s="498">
        <v>0</v>
      </c>
      <c r="FF189" s="498">
        <v>0</v>
      </c>
      <c r="FG189" s="498">
        <v>0</v>
      </c>
      <c r="FH189" s="498">
        <v>0</v>
      </c>
      <c r="FI189" s="498">
        <v>0</v>
      </c>
      <c r="FJ189" s="498">
        <v>0</v>
      </c>
      <c r="FK189" s="498">
        <v>0</v>
      </c>
      <c r="FL189" s="498">
        <v>0</v>
      </c>
      <c r="FM189" s="498">
        <v>0</v>
      </c>
      <c r="FN189" s="498">
        <v>0</v>
      </c>
      <c r="FO189" s="498">
        <v>0</v>
      </c>
      <c r="FP189" s="498">
        <v>0</v>
      </c>
      <c r="FQ189" s="498">
        <v>0</v>
      </c>
      <c r="FR189" s="498">
        <v>0</v>
      </c>
      <c r="FS189" s="498">
        <v>0</v>
      </c>
      <c r="FT189" s="498">
        <v>0</v>
      </c>
      <c r="FU189" s="498">
        <v>0</v>
      </c>
      <c r="FV189" s="498">
        <v>0</v>
      </c>
      <c r="FW189" s="498">
        <v>0</v>
      </c>
      <c r="FX189" s="498">
        <v>0</v>
      </c>
      <c r="FY189" s="498">
        <v>0</v>
      </c>
      <c r="FZ189" s="498">
        <v>0</v>
      </c>
      <c r="GA189" s="498">
        <v>0</v>
      </c>
      <c r="GB189" s="498">
        <v>0</v>
      </c>
      <c r="GC189" s="498">
        <v>0</v>
      </c>
      <c r="GD189" s="498">
        <v>0</v>
      </c>
      <c r="GE189" s="498">
        <v>0</v>
      </c>
      <c r="GF189" s="498">
        <v>0</v>
      </c>
      <c r="GG189" s="498">
        <v>0</v>
      </c>
      <c r="GH189" s="498">
        <v>0</v>
      </c>
      <c r="GI189" s="498">
        <v>0</v>
      </c>
      <c r="GJ189" s="498">
        <v>0</v>
      </c>
      <c r="GK189" s="498">
        <v>0</v>
      </c>
      <c r="GL189" s="498">
        <v>0</v>
      </c>
      <c r="GM189" s="498">
        <v>0</v>
      </c>
      <c r="GN189" s="498">
        <v>0</v>
      </c>
      <c r="GO189" s="498">
        <v>0</v>
      </c>
      <c r="GP189" s="498">
        <v>0</v>
      </c>
      <c r="GQ189" s="498">
        <v>0</v>
      </c>
      <c r="GR189" s="498">
        <v>0</v>
      </c>
      <c r="GS189" s="498">
        <v>0</v>
      </c>
      <c r="GT189" s="498">
        <v>0</v>
      </c>
      <c r="GU189" s="498">
        <v>0</v>
      </c>
      <c r="GV189" s="498">
        <v>0</v>
      </c>
      <c r="GW189" s="498">
        <v>0</v>
      </c>
      <c r="GX189" s="498">
        <v>0</v>
      </c>
      <c r="GY189" s="498">
        <v>0</v>
      </c>
      <c r="GZ189" s="498">
        <v>0</v>
      </c>
      <c r="HA189" s="498">
        <v>0</v>
      </c>
      <c r="HB189" s="498">
        <v>0</v>
      </c>
      <c r="HC189" s="498">
        <v>0</v>
      </c>
      <c r="HD189" s="498">
        <v>0</v>
      </c>
      <c r="HE189" s="498">
        <v>0</v>
      </c>
      <c r="HF189" s="498">
        <v>0</v>
      </c>
      <c r="HG189" s="498">
        <v>0</v>
      </c>
      <c r="HH189" s="498">
        <v>0</v>
      </c>
      <c r="HI189" s="498">
        <v>0</v>
      </c>
      <c r="HJ189" s="498">
        <v>0</v>
      </c>
      <c r="HK189" s="498">
        <v>0</v>
      </c>
      <c r="HL189" s="498">
        <v>0</v>
      </c>
      <c r="HM189" s="498">
        <v>0</v>
      </c>
      <c r="HN189" s="498">
        <v>0</v>
      </c>
      <c r="HO189" s="498">
        <v>0</v>
      </c>
      <c r="HP189" s="498">
        <v>0</v>
      </c>
      <c r="HQ189" s="498">
        <v>0</v>
      </c>
      <c r="HR189" s="498">
        <v>0</v>
      </c>
      <c r="HS189" s="498">
        <v>0</v>
      </c>
      <c r="HT189" s="498">
        <v>0</v>
      </c>
      <c r="HU189" s="498">
        <v>0</v>
      </c>
      <c r="HV189" s="498">
        <v>0</v>
      </c>
      <c r="HW189" s="498">
        <v>0</v>
      </c>
      <c r="HX189" s="498">
        <v>0</v>
      </c>
      <c r="HY189" s="498">
        <v>0</v>
      </c>
      <c r="HZ189" s="498">
        <v>0</v>
      </c>
      <c r="IA189" s="498">
        <v>0</v>
      </c>
      <c r="IB189" s="498">
        <v>0</v>
      </c>
      <c r="IC189" s="498">
        <v>0</v>
      </c>
      <c r="ID189" s="498">
        <v>0</v>
      </c>
      <c r="IE189" s="498">
        <v>0</v>
      </c>
      <c r="IF189" s="498">
        <v>0</v>
      </c>
      <c r="IG189" s="498">
        <v>0</v>
      </c>
      <c r="IH189" s="498">
        <v>0</v>
      </c>
      <c r="II189" s="498">
        <v>0</v>
      </c>
      <c r="IJ189" s="498">
        <v>0</v>
      </c>
    </row>
    <row r="190" spans="12:244" hidden="1">
      <c r="L190" s="497" t="s">
        <v>720</v>
      </c>
      <c r="M190" s="497" t="s">
        <v>617</v>
      </c>
      <c r="N190" s="497" t="s">
        <v>26</v>
      </c>
      <c r="O190" s="498">
        <v>57</v>
      </c>
      <c r="P190" s="494" t="str">
        <f t="shared" si="5"/>
        <v>AIJ100257</v>
      </c>
      <c r="Q190" s="498">
        <v>20000</v>
      </c>
      <c r="R190" s="498">
        <v>20000</v>
      </c>
      <c r="S190" s="498">
        <v>20000</v>
      </c>
      <c r="T190" s="498">
        <v>20000</v>
      </c>
      <c r="U190" s="498">
        <v>20000</v>
      </c>
      <c r="V190" s="498">
        <v>20000</v>
      </c>
      <c r="W190" s="498">
        <v>20000</v>
      </c>
      <c r="X190" s="498">
        <v>20000</v>
      </c>
      <c r="Y190" s="498">
        <v>20000</v>
      </c>
      <c r="Z190" s="498">
        <v>20000</v>
      </c>
      <c r="AA190" s="498">
        <v>0</v>
      </c>
      <c r="AB190" s="498">
        <v>0</v>
      </c>
      <c r="AC190" s="498">
        <v>0</v>
      </c>
      <c r="AD190" s="498">
        <v>0</v>
      </c>
      <c r="AE190" s="498">
        <v>0</v>
      </c>
      <c r="AF190" s="498">
        <v>0</v>
      </c>
      <c r="AG190" s="498">
        <v>0</v>
      </c>
      <c r="AH190" s="498">
        <v>0</v>
      </c>
      <c r="AI190" s="498">
        <v>0</v>
      </c>
      <c r="AJ190" s="498">
        <v>0</v>
      </c>
      <c r="AK190" s="498">
        <v>0</v>
      </c>
      <c r="AL190" s="498">
        <v>0</v>
      </c>
      <c r="AM190" s="498">
        <v>0</v>
      </c>
      <c r="AN190" s="498">
        <v>0</v>
      </c>
      <c r="AO190" s="498">
        <v>0</v>
      </c>
      <c r="AP190" s="498">
        <v>0</v>
      </c>
      <c r="AQ190" s="498">
        <v>0</v>
      </c>
      <c r="AR190" s="498">
        <v>0</v>
      </c>
      <c r="AS190" s="498">
        <v>0</v>
      </c>
      <c r="AT190" s="498">
        <v>0</v>
      </c>
      <c r="AU190" s="498">
        <v>0</v>
      </c>
      <c r="AV190" s="498">
        <v>0</v>
      </c>
      <c r="AW190" s="498">
        <v>0</v>
      </c>
      <c r="AX190" s="498">
        <v>0</v>
      </c>
      <c r="AY190" s="498">
        <v>0</v>
      </c>
      <c r="AZ190" s="498">
        <v>0</v>
      </c>
      <c r="BA190" s="498">
        <v>0</v>
      </c>
      <c r="BB190" s="498">
        <v>0</v>
      </c>
      <c r="BC190" s="498">
        <v>0</v>
      </c>
      <c r="BD190" s="498">
        <v>0</v>
      </c>
      <c r="BE190" s="498">
        <v>0</v>
      </c>
      <c r="BF190" s="498">
        <v>0</v>
      </c>
      <c r="BG190" s="498">
        <v>0</v>
      </c>
      <c r="BH190" s="498">
        <v>0</v>
      </c>
      <c r="BI190" s="498">
        <v>0</v>
      </c>
      <c r="BJ190" s="498">
        <v>0</v>
      </c>
      <c r="BK190" s="498">
        <v>0</v>
      </c>
      <c r="BL190" s="498">
        <v>0</v>
      </c>
      <c r="BM190" s="498">
        <v>0</v>
      </c>
      <c r="BN190" s="498">
        <v>0</v>
      </c>
      <c r="BO190" s="498">
        <v>0</v>
      </c>
      <c r="BP190" s="498">
        <v>0</v>
      </c>
      <c r="BQ190" s="498">
        <v>0</v>
      </c>
      <c r="BR190" s="498">
        <v>0</v>
      </c>
      <c r="BS190" s="498">
        <v>0</v>
      </c>
      <c r="BT190" s="498">
        <v>0</v>
      </c>
      <c r="BU190" s="498">
        <v>0</v>
      </c>
      <c r="BV190" s="498">
        <v>0</v>
      </c>
      <c r="BW190" s="498">
        <v>0</v>
      </c>
      <c r="BX190" s="498">
        <v>0</v>
      </c>
      <c r="BY190" s="498">
        <v>0</v>
      </c>
      <c r="BZ190" s="498">
        <v>0</v>
      </c>
      <c r="CA190" s="498">
        <v>0</v>
      </c>
      <c r="CB190" s="498">
        <v>0</v>
      </c>
      <c r="CC190" s="498">
        <v>0</v>
      </c>
      <c r="CD190" s="498">
        <v>0</v>
      </c>
      <c r="CE190" s="498">
        <v>0</v>
      </c>
      <c r="CF190" s="498">
        <v>0</v>
      </c>
      <c r="CG190" s="498">
        <v>0</v>
      </c>
      <c r="CH190" s="498">
        <v>0</v>
      </c>
      <c r="CI190" s="498">
        <v>0</v>
      </c>
      <c r="CJ190" s="498">
        <v>0</v>
      </c>
      <c r="CK190" s="498">
        <v>0</v>
      </c>
      <c r="CL190" s="498">
        <v>0</v>
      </c>
      <c r="CM190" s="498">
        <v>0</v>
      </c>
      <c r="CN190" s="498">
        <v>0</v>
      </c>
      <c r="CO190" s="498">
        <v>0</v>
      </c>
      <c r="CP190" s="498">
        <v>0</v>
      </c>
      <c r="CQ190" s="498">
        <v>0</v>
      </c>
      <c r="CR190" s="498">
        <v>0</v>
      </c>
      <c r="CS190" s="498">
        <v>0</v>
      </c>
      <c r="CT190" s="498">
        <v>0</v>
      </c>
      <c r="CU190" s="498">
        <v>0</v>
      </c>
      <c r="CV190" s="498">
        <v>0</v>
      </c>
      <c r="CW190" s="498">
        <v>0</v>
      </c>
      <c r="CX190" s="498">
        <v>0</v>
      </c>
      <c r="CY190" s="498">
        <v>0</v>
      </c>
      <c r="CZ190" s="498">
        <v>0</v>
      </c>
      <c r="DA190" s="498">
        <v>0</v>
      </c>
      <c r="DB190" s="498">
        <v>0</v>
      </c>
      <c r="DC190" s="498">
        <v>0</v>
      </c>
      <c r="DD190" s="498">
        <v>0</v>
      </c>
      <c r="DE190" s="498">
        <v>0</v>
      </c>
      <c r="DF190" s="498">
        <v>0</v>
      </c>
      <c r="DG190" s="498">
        <v>0</v>
      </c>
      <c r="DH190" s="498">
        <v>0</v>
      </c>
      <c r="DI190" s="498">
        <v>0</v>
      </c>
      <c r="DJ190" s="498">
        <v>0</v>
      </c>
      <c r="DK190" s="498">
        <v>0</v>
      </c>
      <c r="DL190" s="498">
        <v>0</v>
      </c>
      <c r="DM190" s="498">
        <v>0</v>
      </c>
      <c r="DN190" s="498">
        <v>0</v>
      </c>
      <c r="DO190" s="498">
        <v>0</v>
      </c>
      <c r="DP190" s="498">
        <v>0</v>
      </c>
      <c r="DQ190" s="498">
        <v>0</v>
      </c>
      <c r="DR190" s="498">
        <v>0</v>
      </c>
      <c r="DS190" s="498">
        <v>0</v>
      </c>
      <c r="DT190" s="498">
        <v>0</v>
      </c>
      <c r="DU190" s="498">
        <v>0</v>
      </c>
      <c r="DV190" s="498">
        <v>0</v>
      </c>
      <c r="DW190" s="498">
        <v>0</v>
      </c>
      <c r="DX190" s="477"/>
      <c r="DY190" s="497" t="s">
        <v>720</v>
      </c>
      <c r="DZ190" s="497" t="s">
        <v>617</v>
      </c>
      <c r="EA190" s="497" t="s">
        <v>26</v>
      </c>
      <c r="EB190" s="498">
        <v>57</v>
      </c>
      <c r="EC190" s="494" t="str">
        <f t="shared" si="6"/>
        <v>AIJ100257</v>
      </c>
      <c r="ED190" s="498">
        <v>0</v>
      </c>
      <c r="EE190" s="498">
        <v>391</v>
      </c>
      <c r="EF190" s="498">
        <v>791</v>
      </c>
      <c r="EG190" s="498">
        <v>1197</v>
      </c>
      <c r="EH190" s="498">
        <v>1750</v>
      </c>
      <c r="EI190" s="498">
        <v>2321</v>
      </c>
      <c r="EJ190" s="498">
        <v>3136</v>
      </c>
      <c r="EK190" s="498">
        <v>4268</v>
      </c>
      <c r="EL190" s="498">
        <v>5785</v>
      </c>
      <c r="EM190" s="498">
        <v>0</v>
      </c>
      <c r="EN190" s="498">
        <v>0</v>
      </c>
      <c r="EO190" s="498">
        <v>0</v>
      </c>
      <c r="EP190" s="498">
        <v>0</v>
      </c>
      <c r="EQ190" s="498">
        <v>0</v>
      </c>
      <c r="ER190" s="498">
        <v>0</v>
      </c>
      <c r="ES190" s="498">
        <v>0</v>
      </c>
      <c r="ET190" s="498">
        <v>0</v>
      </c>
      <c r="EU190" s="498">
        <v>0</v>
      </c>
      <c r="EV190" s="498">
        <v>0</v>
      </c>
      <c r="EW190" s="498">
        <v>0</v>
      </c>
      <c r="EX190" s="498">
        <v>0</v>
      </c>
      <c r="EY190" s="498">
        <v>0</v>
      </c>
      <c r="EZ190" s="498">
        <v>0</v>
      </c>
      <c r="FA190" s="498">
        <v>0</v>
      </c>
      <c r="FB190" s="498">
        <v>0</v>
      </c>
      <c r="FC190" s="498">
        <v>0</v>
      </c>
      <c r="FD190" s="498">
        <v>0</v>
      </c>
      <c r="FE190" s="498">
        <v>0</v>
      </c>
      <c r="FF190" s="498">
        <v>0</v>
      </c>
      <c r="FG190" s="498">
        <v>0</v>
      </c>
      <c r="FH190" s="498">
        <v>0</v>
      </c>
      <c r="FI190" s="498">
        <v>0</v>
      </c>
      <c r="FJ190" s="498">
        <v>0</v>
      </c>
      <c r="FK190" s="498">
        <v>0</v>
      </c>
      <c r="FL190" s="498">
        <v>0</v>
      </c>
      <c r="FM190" s="498">
        <v>0</v>
      </c>
      <c r="FN190" s="498">
        <v>0</v>
      </c>
      <c r="FO190" s="498">
        <v>0</v>
      </c>
      <c r="FP190" s="498">
        <v>0</v>
      </c>
      <c r="FQ190" s="498">
        <v>0</v>
      </c>
      <c r="FR190" s="498">
        <v>0</v>
      </c>
      <c r="FS190" s="498">
        <v>0</v>
      </c>
      <c r="FT190" s="498">
        <v>0</v>
      </c>
      <c r="FU190" s="498">
        <v>0</v>
      </c>
      <c r="FV190" s="498">
        <v>0</v>
      </c>
      <c r="FW190" s="498">
        <v>0</v>
      </c>
      <c r="FX190" s="498">
        <v>0</v>
      </c>
      <c r="FY190" s="498">
        <v>0</v>
      </c>
      <c r="FZ190" s="498">
        <v>0</v>
      </c>
      <c r="GA190" s="498">
        <v>0</v>
      </c>
      <c r="GB190" s="498">
        <v>0</v>
      </c>
      <c r="GC190" s="498">
        <v>0</v>
      </c>
      <c r="GD190" s="498">
        <v>0</v>
      </c>
      <c r="GE190" s="498">
        <v>0</v>
      </c>
      <c r="GF190" s="498">
        <v>0</v>
      </c>
      <c r="GG190" s="498">
        <v>0</v>
      </c>
      <c r="GH190" s="498">
        <v>0</v>
      </c>
      <c r="GI190" s="498">
        <v>0</v>
      </c>
      <c r="GJ190" s="498">
        <v>0</v>
      </c>
      <c r="GK190" s="498">
        <v>0</v>
      </c>
      <c r="GL190" s="498">
        <v>0</v>
      </c>
      <c r="GM190" s="498">
        <v>0</v>
      </c>
      <c r="GN190" s="498">
        <v>0</v>
      </c>
      <c r="GO190" s="498">
        <v>0</v>
      </c>
      <c r="GP190" s="498">
        <v>0</v>
      </c>
      <c r="GQ190" s="498">
        <v>0</v>
      </c>
      <c r="GR190" s="498">
        <v>0</v>
      </c>
      <c r="GS190" s="498">
        <v>0</v>
      </c>
      <c r="GT190" s="498">
        <v>0</v>
      </c>
      <c r="GU190" s="498">
        <v>0</v>
      </c>
      <c r="GV190" s="498">
        <v>0</v>
      </c>
      <c r="GW190" s="498">
        <v>0</v>
      </c>
      <c r="GX190" s="498">
        <v>0</v>
      </c>
      <c r="GY190" s="498">
        <v>0</v>
      </c>
      <c r="GZ190" s="498">
        <v>0</v>
      </c>
      <c r="HA190" s="498">
        <v>0</v>
      </c>
      <c r="HB190" s="498">
        <v>0</v>
      </c>
      <c r="HC190" s="498">
        <v>0</v>
      </c>
      <c r="HD190" s="498">
        <v>0</v>
      </c>
      <c r="HE190" s="498">
        <v>0</v>
      </c>
      <c r="HF190" s="498">
        <v>0</v>
      </c>
      <c r="HG190" s="498">
        <v>0</v>
      </c>
      <c r="HH190" s="498">
        <v>0</v>
      </c>
      <c r="HI190" s="498">
        <v>0</v>
      </c>
      <c r="HJ190" s="498">
        <v>0</v>
      </c>
      <c r="HK190" s="498">
        <v>0</v>
      </c>
      <c r="HL190" s="498">
        <v>0</v>
      </c>
      <c r="HM190" s="498">
        <v>0</v>
      </c>
      <c r="HN190" s="498">
        <v>0</v>
      </c>
      <c r="HO190" s="498">
        <v>0</v>
      </c>
      <c r="HP190" s="498">
        <v>0</v>
      </c>
      <c r="HQ190" s="498">
        <v>0</v>
      </c>
      <c r="HR190" s="498">
        <v>0</v>
      </c>
      <c r="HS190" s="498">
        <v>0</v>
      </c>
      <c r="HT190" s="498">
        <v>0</v>
      </c>
      <c r="HU190" s="498">
        <v>0</v>
      </c>
      <c r="HV190" s="498">
        <v>0</v>
      </c>
      <c r="HW190" s="498">
        <v>0</v>
      </c>
      <c r="HX190" s="498">
        <v>0</v>
      </c>
      <c r="HY190" s="498">
        <v>0</v>
      </c>
      <c r="HZ190" s="498">
        <v>0</v>
      </c>
      <c r="IA190" s="498">
        <v>0</v>
      </c>
      <c r="IB190" s="498">
        <v>0</v>
      </c>
      <c r="IC190" s="498">
        <v>0</v>
      </c>
      <c r="ID190" s="498">
        <v>0</v>
      </c>
      <c r="IE190" s="498">
        <v>0</v>
      </c>
      <c r="IF190" s="498">
        <v>0</v>
      </c>
      <c r="IG190" s="498">
        <v>0</v>
      </c>
      <c r="IH190" s="498">
        <v>0</v>
      </c>
      <c r="II190" s="498">
        <v>0</v>
      </c>
      <c r="IJ190" s="498">
        <v>0</v>
      </c>
    </row>
    <row r="191" spans="12:244" hidden="1">
      <c r="L191" s="497" t="s">
        <v>720</v>
      </c>
      <c r="M191" s="497" t="s">
        <v>617</v>
      </c>
      <c r="N191" s="497" t="s">
        <v>26</v>
      </c>
      <c r="O191" s="498">
        <v>58</v>
      </c>
      <c r="P191" s="494" t="str">
        <f t="shared" si="5"/>
        <v>AIJ100258</v>
      </c>
      <c r="Q191" s="498">
        <v>20000</v>
      </c>
      <c r="R191" s="498">
        <v>20000</v>
      </c>
      <c r="S191" s="498">
        <v>20000</v>
      </c>
      <c r="T191" s="498">
        <v>20000</v>
      </c>
      <c r="U191" s="498">
        <v>20000</v>
      </c>
      <c r="V191" s="498">
        <v>20000</v>
      </c>
      <c r="W191" s="498">
        <v>20000</v>
      </c>
      <c r="X191" s="498">
        <v>20000</v>
      </c>
      <c r="Y191" s="498">
        <v>20000</v>
      </c>
      <c r="Z191" s="498">
        <v>20000</v>
      </c>
      <c r="AA191" s="498">
        <v>0</v>
      </c>
      <c r="AB191" s="498">
        <v>0</v>
      </c>
      <c r="AC191" s="498">
        <v>0</v>
      </c>
      <c r="AD191" s="498">
        <v>0</v>
      </c>
      <c r="AE191" s="498">
        <v>0</v>
      </c>
      <c r="AF191" s="498">
        <v>0</v>
      </c>
      <c r="AG191" s="498">
        <v>0</v>
      </c>
      <c r="AH191" s="498">
        <v>0</v>
      </c>
      <c r="AI191" s="498">
        <v>0</v>
      </c>
      <c r="AJ191" s="498">
        <v>0</v>
      </c>
      <c r="AK191" s="498">
        <v>0</v>
      </c>
      <c r="AL191" s="498">
        <v>0</v>
      </c>
      <c r="AM191" s="498">
        <v>0</v>
      </c>
      <c r="AN191" s="498">
        <v>0</v>
      </c>
      <c r="AO191" s="498">
        <v>0</v>
      </c>
      <c r="AP191" s="498">
        <v>0</v>
      </c>
      <c r="AQ191" s="498">
        <v>0</v>
      </c>
      <c r="AR191" s="498">
        <v>0</v>
      </c>
      <c r="AS191" s="498">
        <v>0</v>
      </c>
      <c r="AT191" s="498">
        <v>0</v>
      </c>
      <c r="AU191" s="498">
        <v>0</v>
      </c>
      <c r="AV191" s="498">
        <v>0</v>
      </c>
      <c r="AW191" s="498">
        <v>0</v>
      </c>
      <c r="AX191" s="498">
        <v>0</v>
      </c>
      <c r="AY191" s="498">
        <v>0</v>
      </c>
      <c r="AZ191" s="498">
        <v>0</v>
      </c>
      <c r="BA191" s="498">
        <v>0</v>
      </c>
      <c r="BB191" s="498">
        <v>0</v>
      </c>
      <c r="BC191" s="498">
        <v>0</v>
      </c>
      <c r="BD191" s="498">
        <v>0</v>
      </c>
      <c r="BE191" s="498">
        <v>0</v>
      </c>
      <c r="BF191" s="498">
        <v>0</v>
      </c>
      <c r="BG191" s="498">
        <v>0</v>
      </c>
      <c r="BH191" s="498">
        <v>0</v>
      </c>
      <c r="BI191" s="498">
        <v>0</v>
      </c>
      <c r="BJ191" s="498">
        <v>0</v>
      </c>
      <c r="BK191" s="498">
        <v>0</v>
      </c>
      <c r="BL191" s="498">
        <v>0</v>
      </c>
      <c r="BM191" s="498">
        <v>0</v>
      </c>
      <c r="BN191" s="498">
        <v>0</v>
      </c>
      <c r="BO191" s="498">
        <v>0</v>
      </c>
      <c r="BP191" s="498">
        <v>0</v>
      </c>
      <c r="BQ191" s="498">
        <v>0</v>
      </c>
      <c r="BR191" s="498">
        <v>0</v>
      </c>
      <c r="BS191" s="498">
        <v>0</v>
      </c>
      <c r="BT191" s="498">
        <v>0</v>
      </c>
      <c r="BU191" s="498">
        <v>0</v>
      </c>
      <c r="BV191" s="498">
        <v>0</v>
      </c>
      <c r="BW191" s="498">
        <v>0</v>
      </c>
      <c r="BX191" s="498">
        <v>0</v>
      </c>
      <c r="BY191" s="498">
        <v>0</v>
      </c>
      <c r="BZ191" s="498">
        <v>0</v>
      </c>
      <c r="CA191" s="498">
        <v>0</v>
      </c>
      <c r="CB191" s="498">
        <v>0</v>
      </c>
      <c r="CC191" s="498">
        <v>0</v>
      </c>
      <c r="CD191" s="498">
        <v>0</v>
      </c>
      <c r="CE191" s="498">
        <v>0</v>
      </c>
      <c r="CF191" s="498">
        <v>0</v>
      </c>
      <c r="CG191" s="498">
        <v>0</v>
      </c>
      <c r="CH191" s="498">
        <v>0</v>
      </c>
      <c r="CI191" s="498">
        <v>0</v>
      </c>
      <c r="CJ191" s="498">
        <v>0</v>
      </c>
      <c r="CK191" s="498">
        <v>0</v>
      </c>
      <c r="CL191" s="498">
        <v>0</v>
      </c>
      <c r="CM191" s="498">
        <v>0</v>
      </c>
      <c r="CN191" s="498">
        <v>0</v>
      </c>
      <c r="CO191" s="498">
        <v>0</v>
      </c>
      <c r="CP191" s="498">
        <v>0</v>
      </c>
      <c r="CQ191" s="498">
        <v>0</v>
      </c>
      <c r="CR191" s="498">
        <v>0</v>
      </c>
      <c r="CS191" s="498">
        <v>0</v>
      </c>
      <c r="CT191" s="498">
        <v>0</v>
      </c>
      <c r="CU191" s="498">
        <v>0</v>
      </c>
      <c r="CV191" s="498">
        <v>0</v>
      </c>
      <c r="CW191" s="498">
        <v>0</v>
      </c>
      <c r="CX191" s="498">
        <v>0</v>
      </c>
      <c r="CY191" s="498">
        <v>0</v>
      </c>
      <c r="CZ191" s="498">
        <v>0</v>
      </c>
      <c r="DA191" s="498">
        <v>0</v>
      </c>
      <c r="DB191" s="498">
        <v>0</v>
      </c>
      <c r="DC191" s="498">
        <v>0</v>
      </c>
      <c r="DD191" s="498">
        <v>0</v>
      </c>
      <c r="DE191" s="498">
        <v>0</v>
      </c>
      <c r="DF191" s="498">
        <v>0</v>
      </c>
      <c r="DG191" s="498">
        <v>0</v>
      </c>
      <c r="DH191" s="498">
        <v>0</v>
      </c>
      <c r="DI191" s="498">
        <v>0</v>
      </c>
      <c r="DJ191" s="498">
        <v>0</v>
      </c>
      <c r="DK191" s="498">
        <v>0</v>
      </c>
      <c r="DL191" s="498">
        <v>0</v>
      </c>
      <c r="DM191" s="498">
        <v>0</v>
      </c>
      <c r="DN191" s="498">
        <v>0</v>
      </c>
      <c r="DO191" s="498">
        <v>0</v>
      </c>
      <c r="DP191" s="498">
        <v>0</v>
      </c>
      <c r="DQ191" s="498">
        <v>0</v>
      </c>
      <c r="DR191" s="498">
        <v>0</v>
      </c>
      <c r="DS191" s="498">
        <v>0</v>
      </c>
      <c r="DT191" s="498">
        <v>0</v>
      </c>
      <c r="DU191" s="498">
        <v>0</v>
      </c>
      <c r="DV191" s="498">
        <v>0</v>
      </c>
      <c r="DW191" s="498">
        <v>0</v>
      </c>
      <c r="DX191" s="477"/>
      <c r="DY191" s="497" t="s">
        <v>720</v>
      </c>
      <c r="DZ191" s="497" t="s">
        <v>617</v>
      </c>
      <c r="EA191" s="497" t="s">
        <v>26</v>
      </c>
      <c r="EB191" s="498">
        <v>58</v>
      </c>
      <c r="EC191" s="494" t="str">
        <f t="shared" si="6"/>
        <v>AIJ100258</v>
      </c>
      <c r="ED191" s="498">
        <v>0</v>
      </c>
      <c r="EE191" s="498">
        <v>388</v>
      </c>
      <c r="EF191" s="498">
        <v>789</v>
      </c>
      <c r="EG191" s="498">
        <v>1198</v>
      </c>
      <c r="EH191" s="498">
        <v>1770</v>
      </c>
      <c r="EI191" s="498">
        <v>2311</v>
      </c>
      <c r="EJ191" s="498">
        <v>3159</v>
      </c>
      <c r="EK191" s="498">
        <v>4298</v>
      </c>
      <c r="EL191" s="498">
        <v>5763</v>
      </c>
      <c r="EM191" s="498">
        <v>0</v>
      </c>
      <c r="EN191" s="498">
        <v>0</v>
      </c>
      <c r="EO191" s="498">
        <v>0</v>
      </c>
      <c r="EP191" s="498">
        <v>0</v>
      </c>
      <c r="EQ191" s="498">
        <v>0</v>
      </c>
      <c r="ER191" s="498">
        <v>0</v>
      </c>
      <c r="ES191" s="498">
        <v>0</v>
      </c>
      <c r="ET191" s="498">
        <v>0</v>
      </c>
      <c r="EU191" s="498">
        <v>0</v>
      </c>
      <c r="EV191" s="498">
        <v>0</v>
      </c>
      <c r="EW191" s="498">
        <v>0</v>
      </c>
      <c r="EX191" s="498">
        <v>0</v>
      </c>
      <c r="EY191" s="498">
        <v>0</v>
      </c>
      <c r="EZ191" s="498">
        <v>0</v>
      </c>
      <c r="FA191" s="498">
        <v>0</v>
      </c>
      <c r="FB191" s="498">
        <v>0</v>
      </c>
      <c r="FC191" s="498">
        <v>0</v>
      </c>
      <c r="FD191" s="498">
        <v>0</v>
      </c>
      <c r="FE191" s="498">
        <v>0</v>
      </c>
      <c r="FF191" s="498">
        <v>0</v>
      </c>
      <c r="FG191" s="498">
        <v>0</v>
      </c>
      <c r="FH191" s="498">
        <v>0</v>
      </c>
      <c r="FI191" s="498">
        <v>0</v>
      </c>
      <c r="FJ191" s="498">
        <v>0</v>
      </c>
      <c r="FK191" s="498">
        <v>0</v>
      </c>
      <c r="FL191" s="498">
        <v>0</v>
      </c>
      <c r="FM191" s="498">
        <v>0</v>
      </c>
      <c r="FN191" s="498">
        <v>0</v>
      </c>
      <c r="FO191" s="498">
        <v>0</v>
      </c>
      <c r="FP191" s="498">
        <v>0</v>
      </c>
      <c r="FQ191" s="498">
        <v>0</v>
      </c>
      <c r="FR191" s="498">
        <v>0</v>
      </c>
      <c r="FS191" s="498">
        <v>0</v>
      </c>
      <c r="FT191" s="498">
        <v>0</v>
      </c>
      <c r="FU191" s="498">
        <v>0</v>
      </c>
      <c r="FV191" s="498">
        <v>0</v>
      </c>
      <c r="FW191" s="498">
        <v>0</v>
      </c>
      <c r="FX191" s="498">
        <v>0</v>
      </c>
      <c r="FY191" s="498">
        <v>0</v>
      </c>
      <c r="FZ191" s="498">
        <v>0</v>
      </c>
      <c r="GA191" s="498">
        <v>0</v>
      </c>
      <c r="GB191" s="498">
        <v>0</v>
      </c>
      <c r="GC191" s="498">
        <v>0</v>
      </c>
      <c r="GD191" s="498">
        <v>0</v>
      </c>
      <c r="GE191" s="498">
        <v>0</v>
      </c>
      <c r="GF191" s="498">
        <v>0</v>
      </c>
      <c r="GG191" s="498">
        <v>0</v>
      </c>
      <c r="GH191" s="498">
        <v>0</v>
      </c>
      <c r="GI191" s="498">
        <v>0</v>
      </c>
      <c r="GJ191" s="498">
        <v>0</v>
      </c>
      <c r="GK191" s="498">
        <v>0</v>
      </c>
      <c r="GL191" s="498">
        <v>0</v>
      </c>
      <c r="GM191" s="498">
        <v>0</v>
      </c>
      <c r="GN191" s="498">
        <v>0</v>
      </c>
      <c r="GO191" s="498">
        <v>0</v>
      </c>
      <c r="GP191" s="498">
        <v>0</v>
      </c>
      <c r="GQ191" s="498">
        <v>0</v>
      </c>
      <c r="GR191" s="498">
        <v>0</v>
      </c>
      <c r="GS191" s="498">
        <v>0</v>
      </c>
      <c r="GT191" s="498">
        <v>0</v>
      </c>
      <c r="GU191" s="498">
        <v>0</v>
      </c>
      <c r="GV191" s="498">
        <v>0</v>
      </c>
      <c r="GW191" s="498">
        <v>0</v>
      </c>
      <c r="GX191" s="498">
        <v>0</v>
      </c>
      <c r="GY191" s="498">
        <v>0</v>
      </c>
      <c r="GZ191" s="498">
        <v>0</v>
      </c>
      <c r="HA191" s="498">
        <v>0</v>
      </c>
      <c r="HB191" s="498">
        <v>0</v>
      </c>
      <c r="HC191" s="498">
        <v>0</v>
      </c>
      <c r="HD191" s="498">
        <v>0</v>
      </c>
      <c r="HE191" s="498">
        <v>0</v>
      </c>
      <c r="HF191" s="498">
        <v>0</v>
      </c>
      <c r="HG191" s="498">
        <v>0</v>
      </c>
      <c r="HH191" s="498">
        <v>0</v>
      </c>
      <c r="HI191" s="498">
        <v>0</v>
      </c>
      <c r="HJ191" s="498">
        <v>0</v>
      </c>
      <c r="HK191" s="498">
        <v>0</v>
      </c>
      <c r="HL191" s="498">
        <v>0</v>
      </c>
      <c r="HM191" s="498">
        <v>0</v>
      </c>
      <c r="HN191" s="498">
        <v>0</v>
      </c>
      <c r="HO191" s="498">
        <v>0</v>
      </c>
      <c r="HP191" s="498">
        <v>0</v>
      </c>
      <c r="HQ191" s="498">
        <v>0</v>
      </c>
      <c r="HR191" s="498">
        <v>0</v>
      </c>
      <c r="HS191" s="498">
        <v>0</v>
      </c>
      <c r="HT191" s="498">
        <v>0</v>
      </c>
      <c r="HU191" s="498">
        <v>0</v>
      </c>
      <c r="HV191" s="498">
        <v>0</v>
      </c>
      <c r="HW191" s="498">
        <v>0</v>
      </c>
      <c r="HX191" s="498">
        <v>0</v>
      </c>
      <c r="HY191" s="498">
        <v>0</v>
      </c>
      <c r="HZ191" s="498">
        <v>0</v>
      </c>
      <c r="IA191" s="498">
        <v>0</v>
      </c>
      <c r="IB191" s="498">
        <v>0</v>
      </c>
      <c r="IC191" s="498">
        <v>0</v>
      </c>
      <c r="ID191" s="498">
        <v>0</v>
      </c>
      <c r="IE191" s="498">
        <v>0</v>
      </c>
      <c r="IF191" s="498">
        <v>0</v>
      </c>
      <c r="IG191" s="498">
        <v>0</v>
      </c>
      <c r="IH191" s="498">
        <v>0</v>
      </c>
      <c r="II191" s="498">
        <v>0</v>
      </c>
      <c r="IJ191" s="498">
        <v>0</v>
      </c>
    </row>
    <row r="192" spans="12:244" hidden="1">
      <c r="L192" s="497" t="s">
        <v>720</v>
      </c>
      <c r="M192" s="497" t="s">
        <v>617</v>
      </c>
      <c r="N192" s="497" t="s">
        <v>26</v>
      </c>
      <c r="O192" s="498">
        <v>59</v>
      </c>
      <c r="P192" s="494" t="str">
        <f t="shared" si="5"/>
        <v>AIJ100259</v>
      </c>
      <c r="Q192" s="498">
        <v>20000</v>
      </c>
      <c r="R192" s="498">
        <v>20000</v>
      </c>
      <c r="S192" s="498">
        <v>20000</v>
      </c>
      <c r="T192" s="498">
        <v>20000</v>
      </c>
      <c r="U192" s="498">
        <v>20000</v>
      </c>
      <c r="V192" s="498">
        <v>20000</v>
      </c>
      <c r="W192" s="498">
        <v>20000</v>
      </c>
      <c r="X192" s="498">
        <v>20000</v>
      </c>
      <c r="Y192" s="498">
        <v>20000</v>
      </c>
      <c r="Z192" s="498">
        <v>20000</v>
      </c>
      <c r="AA192" s="498">
        <v>0</v>
      </c>
      <c r="AB192" s="498">
        <v>0</v>
      </c>
      <c r="AC192" s="498">
        <v>0</v>
      </c>
      <c r="AD192" s="498">
        <v>0</v>
      </c>
      <c r="AE192" s="498">
        <v>0</v>
      </c>
      <c r="AF192" s="498">
        <v>0</v>
      </c>
      <c r="AG192" s="498">
        <v>0</v>
      </c>
      <c r="AH192" s="498">
        <v>0</v>
      </c>
      <c r="AI192" s="498">
        <v>0</v>
      </c>
      <c r="AJ192" s="498">
        <v>0</v>
      </c>
      <c r="AK192" s="498">
        <v>0</v>
      </c>
      <c r="AL192" s="498">
        <v>0</v>
      </c>
      <c r="AM192" s="498">
        <v>0</v>
      </c>
      <c r="AN192" s="498">
        <v>0</v>
      </c>
      <c r="AO192" s="498">
        <v>0</v>
      </c>
      <c r="AP192" s="498">
        <v>0</v>
      </c>
      <c r="AQ192" s="498">
        <v>0</v>
      </c>
      <c r="AR192" s="498">
        <v>0</v>
      </c>
      <c r="AS192" s="498">
        <v>0</v>
      </c>
      <c r="AT192" s="498">
        <v>0</v>
      </c>
      <c r="AU192" s="498">
        <v>0</v>
      </c>
      <c r="AV192" s="498">
        <v>0</v>
      </c>
      <c r="AW192" s="498">
        <v>0</v>
      </c>
      <c r="AX192" s="498">
        <v>0</v>
      </c>
      <c r="AY192" s="498">
        <v>0</v>
      </c>
      <c r="AZ192" s="498">
        <v>0</v>
      </c>
      <c r="BA192" s="498">
        <v>0</v>
      </c>
      <c r="BB192" s="498">
        <v>0</v>
      </c>
      <c r="BC192" s="498">
        <v>0</v>
      </c>
      <c r="BD192" s="498">
        <v>0</v>
      </c>
      <c r="BE192" s="498">
        <v>0</v>
      </c>
      <c r="BF192" s="498">
        <v>0</v>
      </c>
      <c r="BG192" s="498">
        <v>0</v>
      </c>
      <c r="BH192" s="498">
        <v>0</v>
      </c>
      <c r="BI192" s="498">
        <v>0</v>
      </c>
      <c r="BJ192" s="498">
        <v>0</v>
      </c>
      <c r="BK192" s="498">
        <v>0</v>
      </c>
      <c r="BL192" s="498">
        <v>0</v>
      </c>
      <c r="BM192" s="498">
        <v>0</v>
      </c>
      <c r="BN192" s="498">
        <v>0</v>
      </c>
      <c r="BO192" s="498">
        <v>0</v>
      </c>
      <c r="BP192" s="498">
        <v>0</v>
      </c>
      <c r="BQ192" s="498">
        <v>0</v>
      </c>
      <c r="BR192" s="498">
        <v>0</v>
      </c>
      <c r="BS192" s="498">
        <v>0</v>
      </c>
      <c r="BT192" s="498">
        <v>0</v>
      </c>
      <c r="BU192" s="498">
        <v>0</v>
      </c>
      <c r="BV192" s="498">
        <v>0</v>
      </c>
      <c r="BW192" s="498">
        <v>0</v>
      </c>
      <c r="BX192" s="498">
        <v>0</v>
      </c>
      <c r="BY192" s="498">
        <v>0</v>
      </c>
      <c r="BZ192" s="498">
        <v>0</v>
      </c>
      <c r="CA192" s="498">
        <v>0</v>
      </c>
      <c r="CB192" s="498">
        <v>0</v>
      </c>
      <c r="CC192" s="498">
        <v>0</v>
      </c>
      <c r="CD192" s="498">
        <v>0</v>
      </c>
      <c r="CE192" s="498">
        <v>0</v>
      </c>
      <c r="CF192" s="498">
        <v>0</v>
      </c>
      <c r="CG192" s="498">
        <v>0</v>
      </c>
      <c r="CH192" s="498">
        <v>0</v>
      </c>
      <c r="CI192" s="498">
        <v>0</v>
      </c>
      <c r="CJ192" s="498">
        <v>0</v>
      </c>
      <c r="CK192" s="498">
        <v>0</v>
      </c>
      <c r="CL192" s="498">
        <v>0</v>
      </c>
      <c r="CM192" s="498">
        <v>0</v>
      </c>
      <c r="CN192" s="498">
        <v>0</v>
      </c>
      <c r="CO192" s="498">
        <v>0</v>
      </c>
      <c r="CP192" s="498">
        <v>0</v>
      </c>
      <c r="CQ192" s="498">
        <v>0</v>
      </c>
      <c r="CR192" s="498">
        <v>0</v>
      </c>
      <c r="CS192" s="498">
        <v>0</v>
      </c>
      <c r="CT192" s="498">
        <v>0</v>
      </c>
      <c r="CU192" s="498">
        <v>0</v>
      </c>
      <c r="CV192" s="498">
        <v>0</v>
      </c>
      <c r="CW192" s="498">
        <v>0</v>
      </c>
      <c r="CX192" s="498">
        <v>0</v>
      </c>
      <c r="CY192" s="498">
        <v>0</v>
      </c>
      <c r="CZ192" s="498">
        <v>0</v>
      </c>
      <c r="DA192" s="498">
        <v>0</v>
      </c>
      <c r="DB192" s="498">
        <v>0</v>
      </c>
      <c r="DC192" s="498">
        <v>0</v>
      </c>
      <c r="DD192" s="498">
        <v>0</v>
      </c>
      <c r="DE192" s="498">
        <v>0</v>
      </c>
      <c r="DF192" s="498">
        <v>0</v>
      </c>
      <c r="DG192" s="498">
        <v>0</v>
      </c>
      <c r="DH192" s="498">
        <v>0</v>
      </c>
      <c r="DI192" s="498">
        <v>0</v>
      </c>
      <c r="DJ192" s="498">
        <v>0</v>
      </c>
      <c r="DK192" s="498">
        <v>0</v>
      </c>
      <c r="DL192" s="498">
        <v>0</v>
      </c>
      <c r="DM192" s="498">
        <v>0</v>
      </c>
      <c r="DN192" s="498">
        <v>0</v>
      </c>
      <c r="DO192" s="498">
        <v>0</v>
      </c>
      <c r="DP192" s="498">
        <v>0</v>
      </c>
      <c r="DQ192" s="498">
        <v>0</v>
      </c>
      <c r="DR192" s="498">
        <v>0</v>
      </c>
      <c r="DS192" s="498">
        <v>0</v>
      </c>
      <c r="DT192" s="498">
        <v>0</v>
      </c>
      <c r="DU192" s="498">
        <v>0</v>
      </c>
      <c r="DV192" s="498">
        <v>0</v>
      </c>
      <c r="DW192" s="498">
        <v>0</v>
      </c>
      <c r="DX192" s="477"/>
      <c r="DY192" s="497" t="s">
        <v>720</v>
      </c>
      <c r="DZ192" s="497" t="s">
        <v>617</v>
      </c>
      <c r="EA192" s="497" t="s">
        <v>26</v>
      </c>
      <c r="EB192" s="498">
        <v>59</v>
      </c>
      <c r="EC192" s="494" t="str">
        <f t="shared" si="6"/>
        <v>AIJ100259</v>
      </c>
      <c r="ED192" s="498">
        <v>0</v>
      </c>
      <c r="EE192" s="498">
        <v>395</v>
      </c>
      <c r="EF192" s="498">
        <v>792</v>
      </c>
      <c r="EG192" s="498">
        <v>1229</v>
      </c>
      <c r="EH192" s="498">
        <v>1795</v>
      </c>
      <c r="EI192" s="498">
        <v>2331</v>
      </c>
      <c r="EJ192" s="498">
        <v>3188</v>
      </c>
      <c r="EK192" s="498">
        <v>4293</v>
      </c>
      <c r="EL192" s="498">
        <v>5754</v>
      </c>
      <c r="EM192" s="498">
        <v>0</v>
      </c>
      <c r="EN192" s="498">
        <v>0</v>
      </c>
      <c r="EO192" s="498">
        <v>0</v>
      </c>
      <c r="EP192" s="498">
        <v>0</v>
      </c>
      <c r="EQ192" s="498">
        <v>0</v>
      </c>
      <c r="ER192" s="498">
        <v>0</v>
      </c>
      <c r="ES192" s="498">
        <v>0</v>
      </c>
      <c r="ET192" s="498">
        <v>0</v>
      </c>
      <c r="EU192" s="498">
        <v>0</v>
      </c>
      <c r="EV192" s="498">
        <v>0</v>
      </c>
      <c r="EW192" s="498">
        <v>0</v>
      </c>
      <c r="EX192" s="498">
        <v>0</v>
      </c>
      <c r="EY192" s="498">
        <v>0</v>
      </c>
      <c r="EZ192" s="498">
        <v>0</v>
      </c>
      <c r="FA192" s="498">
        <v>0</v>
      </c>
      <c r="FB192" s="498">
        <v>0</v>
      </c>
      <c r="FC192" s="498">
        <v>0</v>
      </c>
      <c r="FD192" s="498">
        <v>0</v>
      </c>
      <c r="FE192" s="498">
        <v>0</v>
      </c>
      <c r="FF192" s="498">
        <v>0</v>
      </c>
      <c r="FG192" s="498">
        <v>0</v>
      </c>
      <c r="FH192" s="498">
        <v>0</v>
      </c>
      <c r="FI192" s="498">
        <v>0</v>
      </c>
      <c r="FJ192" s="498">
        <v>0</v>
      </c>
      <c r="FK192" s="498">
        <v>0</v>
      </c>
      <c r="FL192" s="498">
        <v>0</v>
      </c>
      <c r="FM192" s="498">
        <v>0</v>
      </c>
      <c r="FN192" s="498">
        <v>0</v>
      </c>
      <c r="FO192" s="498">
        <v>0</v>
      </c>
      <c r="FP192" s="498">
        <v>0</v>
      </c>
      <c r="FQ192" s="498">
        <v>0</v>
      </c>
      <c r="FR192" s="498">
        <v>0</v>
      </c>
      <c r="FS192" s="498">
        <v>0</v>
      </c>
      <c r="FT192" s="498">
        <v>0</v>
      </c>
      <c r="FU192" s="498">
        <v>0</v>
      </c>
      <c r="FV192" s="498">
        <v>0</v>
      </c>
      <c r="FW192" s="498">
        <v>0</v>
      </c>
      <c r="FX192" s="498">
        <v>0</v>
      </c>
      <c r="FY192" s="498">
        <v>0</v>
      </c>
      <c r="FZ192" s="498">
        <v>0</v>
      </c>
      <c r="GA192" s="498">
        <v>0</v>
      </c>
      <c r="GB192" s="498">
        <v>0</v>
      </c>
      <c r="GC192" s="498">
        <v>0</v>
      </c>
      <c r="GD192" s="498">
        <v>0</v>
      </c>
      <c r="GE192" s="498">
        <v>0</v>
      </c>
      <c r="GF192" s="498">
        <v>0</v>
      </c>
      <c r="GG192" s="498">
        <v>0</v>
      </c>
      <c r="GH192" s="498">
        <v>0</v>
      </c>
      <c r="GI192" s="498">
        <v>0</v>
      </c>
      <c r="GJ192" s="498">
        <v>0</v>
      </c>
      <c r="GK192" s="498">
        <v>0</v>
      </c>
      <c r="GL192" s="498">
        <v>0</v>
      </c>
      <c r="GM192" s="498">
        <v>0</v>
      </c>
      <c r="GN192" s="498">
        <v>0</v>
      </c>
      <c r="GO192" s="498">
        <v>0</v>
      </c>
      <c r="GP192" s="498">
        <v>0</v>
      </c>
      <c r="GQ192" s="498">
        <v>0</v>
      </c>
      <c r="GR192" s="498">
        <v>0</v>
      </c>
      <c r="GS192" s="498">
        <v>0</v>
      </c>
      <c r="GT192" s="498">
        <v>0</v>
      </c>
      <c r="GU192" s="498">
        <v>0</v>
      </c>
      <c r="GV192" s="498">
        <v>0</v>
      </c>
      <c r="GW192" s="498">
        <v>0</v>
      </c>
      <c r="GX192" s="498">
        <v>0</v>
      </c>
      <c r="GY192" s="498">
        <v>0</v>
      </c>
      <c r="GZ192" s="498">
        <v>0</v>
      </c>
      <c r="HA192" s="498">
        <v>0</v>
      </c>
      <c r="HB192" s="498">
        <v>0</v>
      </c>
      <c r="HC192" s="498">
        <v>0</v>
      </c>
      <c r="HD192" s="498">
        <v>0</v>
      </c>
      <c r="HE192" s="498">
        <v>0</v>
      </c>
      <c r="HF192" s="498">
        <v>0</v>
      </c>
      <c r="HG192" s="498">
        <v>0</v>
      </c>
      <c r="HH192" s="498">
        <v>0</v>
      </c>
      <c r="HI192" s="498">
        <v>0</v>
      </c>
      <c r="HJ192" s="498">
        <v>0</v>
      </c>
      <c r="HK192" s="498">
        <v>0</v>
      </c>
      <c r="HL192" s="498">
        <v>0</v>
      </c>
      <c r="HM192" s="498">
        <v>0</v>
      </c>
      <c r="HN192" s="498">
        <v>0</v>
      </c>
      <c r="HO192" s="498">
        <v>0</v>
      </c>
      <c r="HP192" s="498">
        <v>0</v>
      </c>
      <c r="HQ192" s="498">
        <v>0</v>
      </c>
      <c r="HR192" s="498">
        <v>0</v>
      </c>
      <c r="HS192" s="498">
        <v>0</v>
      </c>
      <c r="HT192" s="498">
        <v>0</v>
      </c>
      <c r="HU192" s="498">
        <v>0</v>
      </c>
      <c r="HV192" s="498">
        <v>0</v>
      </c>
      <c r="HW192" s="498">
        <v>0</v>
      </c>
      <c r="HX192" s="498">
        <v>0</v>
      </c>
      <c r="HY192" s="498">
        <v>0</v>
      </c>
      <c r="HZ192" s="498">
        <v>0</v>
      </c>
      <c r="IA192" s="498">
        <v>0</v>
      </c>
      <c r="IB192" s="498">
        <v>0</v>
      </c>
      <c r="IC192" s="498">
        <v>0</v>
      </c>
      <c r="ID192" s="498">
        <v>0</v>
      </c>
      <c r="IE192" s="498">
        <v>0</v>
      </c>
      <c r="IF192" s="498">
        <v>0</v>
      </c>
      <c r="IG192" s="498">
        <v>0</v>
      </c>
      <c r="IH192" s="498">
        <v>0</v>
      </c>
      <c r="II192" s="498">
        <v>0</v>
      </c>
      <c r="IJ192" s="498">
        <v>0</v>
      </c>
    </row>
    <row r="193" spans="12:244" hidden="1">
      <c r="L193" s="497" t="s">
        <v>720</v>
      </c>
      <c r="M193" s="497" t="s">
        <v>617</v>
      </c>
      <c r="N193" s="497" t="s">
        <v>26</v>
      </c>
      <c r="O193" s="498">
        <v>60</v>
      </c>
      <c r="P193" s="494" t="str">
        <f t="shared" si="5"/>
        <v>AIJ100260</v>
      </c>
      <c r="Q193" s="498">
        <v>20000</v>
      </c>
      <c r="R193" s="498">
        <v>20000</v>
      </c>
      <c r="S193" s="498">
        <v>20000</v>
      </c>
      <c r="T193" s="498">
        <v>20000</v>
      </c>
      <c r="U193" s="498">
        <v>20000</v>
      </c>
      <c r="V193" s="498">
        <v>20000</v>
      </c>
      <c r="W193" s="498">
        <v>20000</v>
      </c>
      <c r="X193" s="498">
        <v>20000</v>
      </c>
      <c r="Y193" s="498">
        <v>20000</v>
      </c>
      <c r="Z193" s="498">
        <v>20000</v>
      </c>
      <c r="AA193" s="498">
        <v>0</v>
      </c>
      <c r="AB193" s="498">
        <v>0</v>
      </c>
      <c r="AC193" s="498">
        <v>0</v>
      </c>
      <c r="AD193" s="498">
        <v>0</v>
      </c>
      <c r="AE193" s="498">
        <v>0</v>
      </c>
      <c r="AF193" s="498">
        <v>0</v>
      </c>
      <c r="AG193" s="498">
        <v>0</v>
      </c>
      <c r="AH193" s="498">
        <v>0</v>
      </c>
      <c r="AI193" s="498">
        <v>0</v>
      </c>
      <c r="AJ193" s="498">
        <v>0</v>
      </c>
      <c r="AK193" s="498">
        <v>0</v>
      </c>
      <c r="AL193" s="498">
        <v>0</v>
      </c>
      <c r="AM193" s="498">
        <v>0</v>
      </c>
      <c r="AN193" s="498">
        <v>0</v>
      </c>
      <c r="AO193" s="498">
        <v>0</v>
      </c>
      <c r="AP193" s="498">
        <v>0</v>
      </c>
      <c r="AQ193" s="498">
        <v>0</v>
      </c>
      <c r="AR193" s="498">
        <v>0</v>
      </c>
      <c r="AS193" s="498">
        <v>0</v>
      </c>
      <c r="AT193" s="498">
        <v>0</v>
      </c>
      <c r="AU193" s="498">
        <v>0</v>
      </c>
      <c r="AV193" s="498">
        <v>0</v>
      </c>
      <c r="AW193" s="498">
        <v>0</v>
      </c>
      <c r="AX193" s="498">
        <v>0</v>
      </c>
      <c r="AY193" s="498">
        <v>0</v>
      </c>
      <c r="AZ193" s="498">
        <v>0</v>
      </c>
      <c r="BA193" s="498">
        <v>0</v>
      </c>
      <c r="BB193" s="498">
        <v>0</v>
      </c>
      <c r="BC193" s="498">
        <v>0</v>
      </c>
      <c r="BD193" s="498">
        <v>0</v>
      </c>
      <c r="BE193" s="498">
        <v>0</v>
      </c>
      <c r="BF193" s="498">
        <v>0</v>
      </c>
      <c r="BG193" s="498">
        <v>0</v>
      </c>
      <c r="BH193" s="498">
        <v>0</v>
      </c>
      <c r="BI193" s="498">
        <v>0</v>
      </c>
      <c r="BJ193" s="498">
        <v>0</v>
      </c>
      <c r="BK193" s="498">
        <v>0</v>
      </c>
      <c r="BL193" s="498">
        <v>0</v>
      </c>
      <c r="BM193" s="498">
        <v>0</v>
      </c>
      <c r="BN193" s="498">
        <v>0</v>
      </c>
      <c r="BO193" s="498">
        <v>0</v>
      </c>
      <c r="BP193" s="498">
        <v>0</v>
      </c>
      <c r="BQ193" s="498">
        <v>0</v>
      </c>
      <c r="BR193" s="498">
        <v>0</v>
      </c>
      <c r="BS193" s="498">
        <v>0</v>
      </c>
      <c r="BT193" s="498">
        <v>0</v>
      </c>
      <c r="BU193" s="498">
        <v>0</v>
      </c>
      <c r="BV193" s="498">
        <v>0</v>
      </c>
      <c r="BW193" s="498">
        <v>0</v>
      </c>
      <c r="BX193" s="498">
        <v>0</v>
      </c>
      <c r="BY193" s="498">
        <v>0</v>
      </c>
      <c r="BZ193" s="498">
        <v>0</v>
      </c>
      <c r="CA193" s="498">
        <v>0</v>
      </c>
      <c r="CB193" s="498">
        <v>0</v>
      </c>
      <c r="CC193" s="498">
        <v>0</v>
      </c>
      <c r="CD193" s="498">
        <v>0</v>
      </c>
      <c r="CE193" s="498">
        <v>0</v>
      </c>
      <c r="CF193" s="498">
        <v>0</v>
      </c>
      <c r="CG193" s="498">
        <v>0</v>
      </c>
      <c r="CH193" s="498">
        <v>0</v>
      </c>
      <c r="CI193" s="498">
        <v>0</v>
      </c>
      <c r="CJ193" s="498">
        <v>0</v>
      </c>
      <c r="CK193" s="498">
        <v>0</v>
      </c>
      <c r="CL193" s="498">
        <v>0</v>
      </c>
      <c r="CM193" s="498">
        <v>0</v>
      </c>
      <c r="CN193" s="498">
        <v>0</v>
      </c>
      <c r="CO193" s="498">
        <v>0</v>
      </c>
      <c r="CP193" s="498">
        <v>0</v>
      </c>
      <c r="CQ193" s="498">
        <v>0</v>
      </c>
      <c r="CR193" s="498">
        <v>0</v>
      </c>
      <c r="CS193" s="498">
        <v>0</v>
      </c>
      <c r="CT193" s="498">
        <v>0</v>
      </c>
      <c r="CU193" s="498">
        <v>0</v>
      </c>
      <c r="CV193" s="498">
        <v>0</v>
      </c>
      <c r="CW193" s="498">
        <v>0</v>
      </c>
      <c r="CX193" s="498">
        <v>0</v>
      </c>
      <c r="CY193" s="498">
        <v>0</v>
      </c>
      <c r="CZ193" s="498">
        <v>0</v>
      </c>
      <c r="DA193" s="498">
        <v>0</v>
      </c>
      <c r="DB193" s="498">
        <v>0</v>
      </c>
      <c r="DC193" s="498">
        <v>0</v>
      </c>
      <c r="DD193" s="498">
        <v>0</v>
      </c>
      <c r="DE193" s="498">
        <v>0</v>
      </c>
      <c r="DF193" s="498">
        <v>0</v>
      </c>
      <c r="DG193" s="498">
        <v>0</v>
      </c>
      <c r="DH193" s="498">
        <v>0</v>
      </c>
      <c r="DI193" s="498">
        <v>0</v>
      </c>
      <c r="DJ193" s="498">
        <v>0</v>
      </c>
      <c r="DK193" s="498">
        <v>0</v>
      </c>
      <c r="DL193" s="498">
        <v>0</v>
      </c>
      <c r="DM193" s="498">
        <v>0</v>
      </c>
      <c r="DN193" s="498">
        <v>0</v>
      </c>
      <c r="DO193" s="498">
        <v>0</v>
      </c>
      <c r="DP193" s="498">
        <v>0</v>
      </c>
      <c r="DQ193" s="498">
        <v>0</v>
      </c>
      <c r="DR193" s="498">
        <v>0</v>
      </c>
      <c r="DS193" s="498">
        <v>0</v>
      </c>
      <c r="DT193" s="498">
        <v>0</v>
      </c>
      <c r="DU193" s="498">
        <v>0</v>
      </c>
      <c r="DV193" s="498">
        <v>0</v>
      </c>
      <c r="DW193" s="498">
        <v>0</v>
      </c>
      <c r="DX193" s="477"/>
      <c r="DY193" s="497" t="s">
        <v>720</v>
      </c>
      <c r="DZ193" s="497" t="s">
        <v>617</v>
      </c>
      <c r="EA193" s="497" t="s">
        <v>26</v>
      </c>
      <c r="EB193" s="498">
        <v>60</v>
      </c>
      <c r="EC193" s="494" t="str">
        <f t="shared" si="6"/>
        <v>AIJ100260</v>
      </c>
      <c r="ED193" s="498">
        <v>0</v>
      </c>
      <c r="EE193" s="498">
        <v>397</v>
      </c>
      <c r="EF193" s="498">
        <v>811</v>
      </c>
      <c r="EG193" s="498">
        <v>1243</v>
      </c>
      <c r="EH193" s="498">
        <v>1816</v>
      </c>
      <c r="EI193" s="498">
        <v>2374</v>
      </c>
      <c r="EJ193" s="498">
        <v>3194</v>
      </c>
      <c r="EK193" s="498">
        <v>4329</v>
      </c>
      <c r="EL193" s="498">
        <v>5742</v>
      </c>
      <c r="EM193" s="498">
        <v>0</v>
      </c>
      <c r="EN193" s="498">
        <v>0</v>
      </c>
      <c r="EO193" s="498">
        <v>0</v>
      </c>
      <c r="EP193" s="498">
        <v>0</v>
      </c>
      <c r="EQ193" s="498">
        <v>0</v>
      </c>
      <c r="ER193" s="498">
        <v>0</v>
      </c>
      <c r="ES193" s="498">
        <v>0</v>
      </c>
      <c r="ET193" s="498">
        <v>0</v>
      </c>
      <c r="EU193" s="498">
        <v>0</v>
      </c>
      <c r="EV193" s="498">
        <v>0</v>
      </c>
      <c r="EW193" s="498">
        <v>0</v>
      </c>
      <c r="EX193" s="498">
        <v>0</v>
      </c>
      <c r="EY193" s="498">
        <v>0</v>
      </c>
      <c r="EZ193" s="498">
        <v>0</v>
      </c>
      <c r="FA193" s="498">
        <v>0</v>
      </c>
      <c r="FB193" s="498">
        <v>0</v>
      </c>
      <c r="FC193" s="498">
        <v>0</v>
      </c>
      <c r="FD193" s="498">
        <v>0</v>
      </c>
      <c r="FE193" s="498">
        <v>0</v>
      </c>
      <c r="FF193" s="498">
        <v>0</v>
      </c>
      <c r="FG193" s="498">
        <v>0</v>
      </c>
      <c r="FH193" s="498">
        <v>0</v>
      </c>
      <c r="FI193" s="498">
        <v>0</v>
      </c>
      <c r="FJ193" s="498">
        <v>0</v>
      </c>
      <c r="FK193" s="498">
        <v>0</v>
      </c>
      <c r="FL193" s="498">
        <v>0</v>
      </c>
      <c r="FM193" s="498">
        <v>0</v>
      </c>
      <c r="FN193" s="498">
        <v>0</v>
      </c>
      <c r="FO193" s="498">
        <v>0</v>
      </c>
      <c r="FP193" s="498">
        <v>0</v>
      </c>
      <c r="FQ193" s="498">
        <v>0</v>
      </c>
      <c r="FR193" s="498">
        <v>0</v>
      </c>
      <c r="FS193" s="498">
        <v>0</v>
      </c>
      <c r="FT193" s="498">
        <v>0</v>
      </c>
      <c r="FU193" s="498">
        <v>0</v>
      </c>
      <c r="FV193" s="498">
        <v>0</v>
      </c>
      <c r="FW193" s="498">
        <v>0</v>
      </c>
      <c r="FX193" s="498">
        <v>0</v>
      </c>
      <c r="FY193" s="498">
        <v>0</v>
      </c>
      <c r="FZ193" s="498">
        <v>0</v>
      </c>
      <c r="GA193" s="498">
        <v>0</v>
      </c>
      <c r="GB193" s="498">
        <v>0</v>
      </c>
      <c r="GC193" s="498">
        <v>0</v>
      </c>
      <c r="GD193" s="498">
        <v>0</v>
      </c>
      <c r="GE193" s="498">
        <v>0</v>
      </c>
      <c r="GF193" s="498">
        <v>0</v>
      </c>
      <c r="GG193" s="498">
        <v>0</v>
      </c>
      <c r="GH193" s="498">
        <v>0</v>
      </c>
      <c r="GI193" s="498">
        <v>0</v>
      </c>
      <c r="GJ193" s="498">
        <v>0</v>
      </c>
      <c r="GK193" s="498">
        <v>0</v>
      </c>
      <c r="GL193" s="498">
        <v>0</v>
      </c>
      <c r="GM193" s="498">
        <v>0</v>
      </c>
      <c r="GN193" s="498">
        <v>0</v>
      </c>
      <c r="GO193" s="498">
        <v>0</v>
      </c>
      <c r="GP193" s="498">
        <v>0</v>
      </c>
      <c r="GQ193" s="498">
        <v>0</v>
      </c>
      <c r="GR193" s="498">
        <v>0</v>
      </c>
      <c r="GS193" s="498">
        <v>0</v>
      </c>
      <c r="GT193" s="498">
        <v>0</v>
      </c>
      <c r="GU193" s="498">
        <v>0</v>
      </c>
      <c r="GV193" s="498">
        <v>0</v>
      </c>
      <c r="GW193" s="498">
        <v>0</v>
      </c>
      <c r="GX193" s="498">
        <v>0</v>
      </c>
      <c r="GY193" s="498">
        <v>0</v>
      </c>
      <c r="GZ193" s="498">
        <v>0</v>
      </c>
      <c r="HA193" s="498">
        <v>0</v>
      </c>
      <c r="HB193" s="498">
        <v>0</v>
      </c>
      <c r="HC193" s="498">
        <v>0</v>
      </c>
      <c r="HD193" s="498">
        <v>0</v>
      </c>
      <c r="HE193" s="498">
        <v>0</v>
      </c>
      <c r="HF193" s="498">
        <v>0</v>
      </c>
      <c r="HG193" s="498">
        <v>0</v>
      </c>
      <c r="HH193" s="498">
        <v>0</v>
      </c>
      <c r="HI193" s="498">
        <v>0</v>
      </c>
      <c r="HJ193" s="498">
        <v>0</v>
      </c>
      <c r="HK193" s="498">
        <v>0</v>
      </c>
      <c r="HL193" s="498">
        <v>0</v>
      </c>
      <c r="HM193" s="498">
        <v>0</v>
      </c>
      <c r="HN193" s="498">
        <v>0</v>
      </c>
      <c r="HO193" s="498">
        <v>0</v>
      </c>
      <c r="HP193" s="498">
        <v>0</v>
      </c>
      <c r="HQ193" s="498">
        <v>0</v>
      </c>
      <c r="HR193" s="498">
        <v>0</v>
      </c>
      <c r="HS193" s="498">
        <v>0</v>
      </c>
      <c r="HT193" s="498">
        <v>0</v>
      </c>
      <c r="HU193" s="498">
        <v>0</v>
      </c>
      <c r="HV193" s="498">
        <v>0</v>
      </c>
      <c r="HW193" s="498">
        <v>0</v>
      </c>
      <c r="HX193" s="498">
        <v>0</v>
      </c>
      <c r="HY193" s="498">
        <v>0</v>
      </c>
      <c r="HZ193" s="498">
        <v>0</v>
      </c>
      <c r="IA193" s="498">
        <v>0</v>
      </c>
      <c r="IB193" s="498">
        <v>0</v>
      </c>
      <c r="IC193" s="498">
        <v>0</v>
      </c>
      <c r="ID193" s="498">
        <v>0</v>
      </c>
      <c r="IE193" s="498">
        <v>0</v>
      </c>
      <c r="IF193" s="498">
        <v>0</v>
      </c>
      <c r="IG193" s="498">
        <v>0</v>
      </c>
      <c r="IH193" s="498">
        <v>0</v>
      </c>
      <c r="II193" s="498">
        <v>0</v>
      </c>
      <c r="IJ193" s="498">
        <v>0</v>
      </c>
    </row>
    <row r="194" spans="12:244" hidden="1">
      <c r="L194" s="497" t="s">
        <v>720</v>
      </c>
      <c r="M194" s="497" t="s">
        <v>617</v>
      </c>
      <c r="N194" s="497" t="s">
        <v>26</v>
      </c>
      <c r="O194" s="498">
        <v>61</v>
      </c>
      <c r="P194" s="494" t="str">
        <f t="shared" si="5"/>
        <v>AIJ100261</v>
      </c>
      <c r="Q194" s="498">
        <v>20000</v>
      </c>
      <c r="R194" s="498">
        <v>20000</v>
      </c>
      <c r="S194" s="498">
        <v>20000</v>
      </c>
      <c r="T194" s="498">
        <v>20000</v>
      </c>
      <c r="U194" s="498">
        <v>20000</v>
      </c>
      <c r="V194" s="498">
        <v>20000</v>
      </c>
      <c r="W194" s="498">
        <v>20000</v>
      </c>
      <c r="X194" s="498">
        <v>20000</v>
      </c>
      <c r="Y194" s="498">
        <v>20000</v>
      </c>
      <c r="Z194" s="498">
        <v>20000</v>
      </c>
      <c r="AA194" s="498">
        <v>0</v>
      </c>
      <c r="AB194" s="498">
        <v>0</v>
      </c>
      <c r="AC194" s="498">
        <v>0</v>
      </c>
      <c r="AD194" s="498">
        <v>0</v>
      </c>
      <c r="AE194" s="498">
        <v>0</v>
      </c>
      <c r="AF194" s="498">
        <v>0</v>
      </c>
      <c r="AG194" s="498">
        <v>0</v>
      </c>
      <c r="AH194" s="498">
        <v>0</v>
      </c>
      <c r="AI194" s="498">
        <v>0</v>
      </c>
      <c r="AJ194" s="498">
        <v>0</v>
      </c>
      <c r="AK194" s="498">
        <v>0</v>
      </c>
      <c r="AL194" s="498">
        <v>0</v>
      </c>
      <c r="AM194" s="498">
        <v>0</v>
      </c>
      <c r="AN194" s="498">
        <v>0</v>
      </c>
      <c r="AO194" s="498">
        <v>0</v>
      </c>
      <c r="AP194" s="498">
        <v>0</v>
      </c>
      <c r="AQ194" s="498">
        <v>0</v>
      </c>
      <c r="AR194" s="498">
        <v>0</v>
      </c>
      <c r="AS194" s="498">
        <v>0</v>
      </c>
      <c r="AT194" s="498">
        <v>0</v>
      </c>
      <c r="AU194" s="498">
        <v>0</v>
      </c>
      <c r="AV194" s="498">
        <v>0</v>
      </c>
      <c r="AW194" s="498">
        <v>0</v>
      </c>
      <c r="AX194" s="498">
        <v>0</v>
      </c>
      <c r="AY194" s="498">
        <v>0</v>
      </c>
      <c r="AZ194" s="498">
        <v>0</v>
      </c>
      <c r="BA194" s="498">
        <v>0</v>
      </c>
      <c r="BB194" s="498">
        <v>0</v>
      </c>
      <c r="BC194" s="498">
        <v>0</v>
      </c>
      <c r="BD194" s="498">
        <v>0</v>
      </c>
      <c r="BE194" s="498">
        <v>0</v>
      </c>
      <c r="BF194" s="498">
        <v>0</v>
      </c>
      <c r="BG194" s="498">
        <v>0</v>
      </c>
      <c r="BH194" s="498">
        <v>0</v>
      </c>
      <c r="BI194" s="498">
        <v>0</v>
      </c>
      <c r="BJ194" s="498">
        <v>0</v>
      </c>
      <c r="BK194" s="498">
        <v>0</v>
      </c>
      <c r="BL194" s="498">
        <v>0</v>
      </c>
      <c r="BM194" s="498">
        <v>0</v>
      </c>
      <c r="BN194" s="498">
        <v>0</v>
      </c>
      <c r="BO194" s="498">
        <v>0</v>
      </c>
      <c r="BP194" s="498">
        <v>0</v>
      </c>
      <c r="BQ194" s="498">
        <v>0</v>
      </c>
      <c r="BR194" s="498">
        <v>0</v>
      </c>
      <c r="BS194" s="498">
        <v>0</v>
      </c>
      <c r="BT194" s="498">
        <v>0</v>
      </c>
      <c r="BU194" s="498">
        <v>0</v>
      </c>
      <c r="BV194" s="498">
        <v>0</v>
      </c>
      <c r="BW194" s="498">
        <v>0</v>
      </c>
      <c r="BX194" s="498">
        <v>0</v>
      </c>
      <c r="BY194" s="498">
        <v>0</v>
      </c>
      <c r="BZ194" s="498">
        <v>0</v>
      </c>
      <c r="CA194" s="498">
        <v>0</v>
      </c>
      <c r="CB194" s="498">
        <v>0</v>
      </c>
      <c r="CC194" s="498">
        <v>0</v>
      </c>
      <c r="CD194" s="498">
        <v>0</v>
      </c>
      <c r="CE194" s="498">
        <v>0</v>
      </c>
      <c r="CF194" s="498">
        <v>0</v>
      </c>
      <c r="CG194" s="498">
        <v>0</v>
      </c>
      <c r="CH194" s="498">
        <v>0</v>
      </c>
      <c r="CI194" s="498">
        <v>0</v>
      </c>
      <c r="CJ194" s="498">
        <v>0</v>
      </c>
      <c r="CK194" s="498">
        <v>0</v>
      </c>
      <c r="CL194" s="498">
        <v>0</v>
      </c>
      <c r="CM194" s="498">
        <v>0</v>
      </c>
      <c r="CN194" s="498">
        <v>0</v>
      </c>
      <c r="CO194" s="498">
        <v>0</v>
      </c>
      <c r="CP194" s="498">
        <v>0</v>
      </c>
      <c r="CQ194" s="498">
        <v>0</v>
      </c>
      <c r="CR194" s="498">
        <v>0</v>
      </c>
      <c r="CS194" s="498">
        <v>0</v>
      </c>
      <c r="CT194" s="498">
        <v>0</v>
      </c>
      <c r="CU194" s="498">
        <v>0</v>
      </c>
      <c r="CV194" s="498">
        <v>0</v>
      </c>
      <c r="CW194" s="498">
        <v>0</v>
      </c>
      <c r="CX194" s="498">
        <v>0</v>
      </c>
      <c r="CY194" s="498">
        <v>0</v>
      </c>
      <c r="CZ194" s="498">
        <v>0</v>
      </c>
      <c r="DA194" s="498">
        <v>0</v>
      </c>
      <c r="DB194" s="498">
        <v>0</v>
      </c>
      <c r="DC194" s="498">
        <v>0</v>
      </c>
      <c r="DD194" s="498">
        <v>0</v>
      </c>
      <c r="DE194" s="498">
        <v>0</v>
      </c>
      <c r="DF194" s="498">
        <v>0</v>
      </c>
      <c r="DG194" s="498">
        <v>0</v>
      </c>
      <c r="DH194" s="498">
        <v>0</v>
      </c>
      <c r="DI194" s="498">
        <v>0</v>
      </c>
      <c r="DJ194" s="498">
        <v>0</v>
      </c>
      <c r="DK194" s="498">
        <v>0</v>
      </c>
      <c r="DL194" s="498">
        <v>0</v>
      </c>
      <c r="DM194" s="498">
        <v>0</v>
      </c>
      <c r="DN194" s="498">
        <v>0</v>
      </c>
      <c r="DO194" s="498">
        <v>0</v>
      </c>
      <c r="DP194" s="498">
        <v>0</v>
      </c>
      <c r="DQ194" s="498">
        <v>0</v>
      </c>
      <c r="DR194" s="498">
        <v>0</v>
      </c>
      <c r="DS194" s="498">
        <v>0</v>
      </c>
      <c r="DT194" s="498">
        <v>0</v>
      </c>
      <c r="DU194" s="498">
        <v>0</v>
      </c>
      <c r="DV194" s="498">
        <v>0</v>
      </c>
      <c r="DW194" s="498">
        <v>0</v>
      </c>
      <c r="DX194" s="477"/>
      <c r="DY194" s="497" t="s">
        <v>720</v>
      </c>
      <c r="DZ194" s="497" t="s">
        <v>617</v>
      </c>
      <c r="EA194" s="497" t="s">
        <v>26</v>
      </c>
      <c r="EB194" s="498">
        <v>61</v>
      </c>
      <c r="EC194" s="494" t="str">
        <f t="shared" si="6"/>
        <v>AIJ100261</v>
      </c>
      <c r="ED194" s="498">
        <v>0</v>
      </c>
      <c r="EE194" s="498">
        <v>405</v>
      </c>
      <c r="EF194" s="498">
        <v>830</v>
      </c>
      <c r="EG194" s="498">
        <v>1268</v>
      </c>
      <c r="EH194" s="498">
        <v>1853</v>
      </c>
      <c r="EI194" s="498">
        <v>2400</v>
      </c>
      <c r="EJ194" s="498">
        <v>3224</v>
      </c>
      <c r="EK194" s="498">
        <v>4335</v>
      </c>
      <c r="EL194" s="498">
        <v>5740</v>
      </c>
      <c r="EM194" s="498">
        <v>0</v>
      </c>
      <c r="EN194" s="498">
        <v>0</v>
      </c>
      <c r="EO194" s="498">
        <v>0</v>
      </c>
      <c r="EP194" s="498">
        <v>0</v>
      </c>
      <c r="EQ194" s="498">
        <v>0</v>
      </c>
      <c r="ER194" s="498">
        <v>0</v>
      </c>
      <c r="ES194" s="498">
        <v>0</v>
      </c>
      <c r="ET194" s="498">
        <v>0</v>
      </c>
      <c r="EU194" s="498">
        <v>0</v>
      </c>
      <c r="EV194" s="498">
        <v>0</v>
      </c>
      <c r="EW194" s="498">
        <v>0</v>
      </c>
      <c r="EX194" s="498">
        <v>0</v>
      </c>
      <c r="EY194" s="498">
        <v>0</v>
      </c>
      <c r="EZ194" s="498">
        <v>0</v>
      </c>
      <c r="FA194" s="498">
        <v>0</v>
      </c>
      <c r="FB194" s="498">
        <v>0</v>
      </c>
      <c r="FC194" s="498">
        <v>0</v>
      </c>
      <c r="FD194" s="498">
        <v>0</v>
      </c>
      <c r="FE194" s="498">
        <v>0</v>
      </c>
      <c r="FF194" s="498">
        <v>0</v>
      </c>
      <c r="FG194" s="498">
        <v>0</v>
      </c>
      <c r="FH194" s="498">
        <v>0</v>
      </c>
      <c r="FI194" s="498">
        <v>0</v>
      </c>
      <c r="FJ194" s="498">
        <v>0</v>
      </c>
      <c r="FK194" s="498">
        <v>0</v>
      </c>
      <c r="FL194" s="498">
        <v>0</v>
      </c>
      <c r="FM194" s="498">
        <v>0</v>
      </c>
      <c r="FN194" s="498">
        <v>0</v>
      </c>
      <c r="FO194" s="498">
        <v>0</v>
      </c>
      <c r="FP194" s="498">
        <v>0</v>
      </c>
      <c r="FQ194" s="498">
        <v>0</v>
      </c>
      <c r="FR194" s="498">
        <v>0</v>
      </c>
      <c r="FS194" s="498">
        <v>0</v>
      </c>
      <c r="FT194" s="498">
        <v>0</v>
      </c>
      <c r="FU194" s="498">
        <v>0</v>
      </c>
      <c r="FV194" s="498">
        <v>0</v>
      </c>
      <c r="FW194" s="498">
        <v>0</v>
      </c>
      <c r="FX194" s="498">
        <v>0</v>
      </c>
      <c r="FY194" s="498">
        <v>0</v>
      </c>
      <c r="FZ194" s="498">
        <v>0</v>
      </c>
      <c r="GA194" s="498">
        <v>0</v>
      </c>
      <c r="GB194" s="498">
        <v>0</v>
      </c>
      <c r="GC194" s="498">
        <v>0</v>
      </c>
      <c r="GD194" s="498">
        <v>0</v>
      </c>
      <c r="GE194" s="498">
        <v>0</v>
      </c>
      <c r="GF194" s="498">
        <v>0</v>
      </c>
      <c r="GG194" s="498">
        <v>0</v>
      </c>
      <c r="GH194" s="498">
        <v>0</v>
      </c>
      <c r="GI194" s="498">
        <v>0</v>
      </c>
      <c r="GJ194" s="498">
        <v>0</v>
      </c>
      <c r="GK194" s="498">
        <v>0</v>
      </c>
      <c r="GL194" s="498">
        <v>0</v>
      </c>
      <c r="GM194" s="498">
        <v>0</v>
      </c>
      <c r="GN194" s="498">
        <v>0</v>
      </c>
      <c r="GO194" s="498">
        <v>0</v>
      </c>
      <c r="GP194" s="498">
        <v>0</v>
      </c>
      <c r="GQ194" s="498">
        <v>0</v>
      </c>
      <c r="GR194" s="498">
        <v>0</v>
      </c>
      <c r="GS194" s="498">
        <v>0</v>
      </c>
      <c r="GT194" s="498">
        <v>0</v>
      </c>
      <c r="GU194" s="498">
        <v>0</v>
      </c>
      <c r="GV194" s="498">
        <v>0</v>
      </c>
      <c r="GW194" s="498">
        <v>0</v>
      </c>
      <c r="GX194" s="498">
        <v>0</v>
      </c>
      <c r="GY194" s="498">
        <v>0</v>
      </c>
      <c r="GZ194" s="498">
        <v>0</v>
      </c>
      <c r="HA194" s="498">
        <v>0</v>
      </c>
      <c r="HB194" s="498">
        <v>0</v>
      </c>
      <c r="HC194" s="498">
        <v>0</v>
      </c>
      <c r="HD194" s="498">
        <v>0</v>
      </c>
      <c r="HE194" s="498">
        <v>0</v>
      </c>
      <c r="HF194" s="498">
        <v>0</v>
      </c>
      <c r="HG194" s="498">
        <v>0</v>
      </c>
      <c r="HH194" s="498">
        <v>0</v>
      </c>
      <c r="HI194" s="498">
        <v>0</v>
      </c>
      <c r="HJ194" s="498">
        <v>0</v>
      </c>
      <c r="HK194" s="498">
        <v>0</v>
      </c>
      <c r="HL194" s="498">
        <v>0</v>
      </c>
      <c r="HM194" s="498">
        <v>0</v>
      </c>
      <c r="HN194" s="498">
        <v>0</v>
      </c>
      <c r="HO194" s="498">
        <v>0</v>
      </c>
      <c r="HP194" s="498">
        <v>0</v>
      </c>
      <c r="HQ194" s="498">
        <v>0</v>
      </c>
      <c r="HR194" s="498">
        <v>0</v>
      </c>
      <c r="HS194" s="498">
        <v>0</v>
      </c>
      <c r="HT194" s="498">
        <v>0</v>
      </c>
      <c r="HU194" s="498">
        <v>0</v>
      </c>
      <c r="HV194" s="498">
        <v>0</v>
      </c>
      <c r="HW194" s="498">
        <v>0</v>
      </c>
      <c r="HX194" s="498">
        <v>0</v>
      </c>
      <c r="HY194" s="498">
        <v>0</v>
      </c>
      <c r="HZ194" s="498">
        <v>0</v>
      </c>
      <c r="IA194" s="498">
        <v>0</v>
      </c>
      <c r="IB194" s="498">
        <v>0</v>
      </c>
      <c r="IC194" s="498">
        <v>0</v>
      </c>
      <c r="ID194" s="498">
        <v>0</v>
      </c>
      <c r="IE194" s="498">
        <v>0</v>
      </c>
      <c r="IF194" s="498">
        <v>0</v>
      </c>
      <c r="IG194" s="498">
        <v>0</v>
      </c>
      <c r="IH194" s="498">
        <v>0</v>
      </c>
      <c r="II194" s="498">
        <v>0</v>
      </c>
      <c r="IJ194" s="498">
        <v>0</v>
      </c>
    </row>
    <row r="195" spans="12:244" hidden="1">
      <c r="L195" s="481" t="s">
        <v>720</v>
      </c>
      <c r="M195" s="481" t="s">
        <v>839</v>
      </c>
      <c r="N195" s="481" t="s">
        <v>26</v>
      </c>
      <c r="O195" s="482">
        <v>45</v>
      </c>
      <c r="P195" s="494" t="str">
        <f t="shared" si="5"/>
        <v>末0245</v>
      </c>
      <c r="Q195" s="482">
        <v>0</v>
      </c>
      <c r="R195" s="482">
        <v>0</v>
      </c>
      <c r="S195" s="482">
        <v>0</v>
      </c>
      <c r="T195" s="482">
        <v>0</v>
      </c>
      <c r="U195" s="482">
        <v>0</v>
      </c>
      <c r="V195" s="482">
        <v>0</v>
      </c>
      <c r="W195" s="482">
        <v>0</v>
      </c>
      <c r="X195" s="482">
        <v>0</v>
      </c>
      <c r="Y195" s="482">
        <v>0</v>
      </c>
      <c r="Z195" s="482">
        <v>0</v>
      </c>
      <c r="AA195" s="482">
        <v>0</v>
      </c>
      <c r="AB195" s="482">
        <v>0</v>
      </c>
      <c r="AC195" s="482">
        <v>0</v>
      </c>
      <c r="AD195" s="482">
        <v>0</v>
      </c>
      <c r="AE195" s="482">
        <v>0</v>
      </c>
      <c r="AF195" s="482">
        <v>0</v>
      </c>
      <c r="AG195" s="482">
        <v>0</v>
      </c>
      <c r="AH195" s="482">
        <v>0</v>
      </c>
      <c r="AI195" s="482">
        <v>0</v>
      </c>
      <c r="AJ195" s="482">
        <v>0</v>
      </c>
      <c r="AK195" s="482">
        <v>0</v>
      </c>
      <c r="AL195" s="482">
        <v>0</v>
      </c>
      <c r="AM195" s="482">
        <v>0</v>
      </c>
      <c r="AN195" s="482">
        <v>0</v>
      </c>
      <c r="AO195" s="482">
        <v>0</v>
      </c>
      <c r="AP195" s="482">
        <v>0</v>
      </c>
      <c r="AQ195" s="482">
        <v>0</v>
      </c>
      <c r="AR195" s="482">
        <v>0</v>
      </c>
      <c r="AS195" s="482">
        <v>0</v>
      </c>
      <c r="AT195" s="482">
        <v>0</v>
      </c>
      <c r="AU195" s="482">
        <v>0</v>
      </c>
      <c r="AV195" s="482">
        <v>0</v>
      </c>
      <c r="AW195" s="482">
        <v>0</v>
      </c>
      <c r="AX195" s="482">
        <v>0</v>
      </c>
      <c r="AY195" s="482">
        <v>0</v>
      </c>
      <c r="AZ195" s="482">
        <v>0</v>
      </c>
      <c r="BA195" s="482">
        <v>0</v>
      </c>
      <c r="BB195" s="482">
        <v>0</v>
      </c>
      <c r="BC195" s="482">
        <v>0</v>
      </c>
      <c r="BD195" s="482">
        <v>0</v>
      </c>
      <c r="BE195" s="482">
        <v>0</v>
      </c>
      <c r="BF195" s="482">
        <v>0</v>
      </c>
      <c r="BG195" s="482">
        <v>0</v>
      </c>
      <c r="BH195" s="482">
        <v>0</v>
      </c>
      <c r="BI195" s="482">
        <v>0</v>
      </c>
      <c r="BJ195" s="482">
        <v>0</v>
      </c>
      <c r="BK195" s="482">
        <v>0</v>
      </c>
      <c r="BL195" s="482">
        <v>0</v>
      </c>
      <c r="BM195" s="482">
        <v>0</v>
      </c>
      <c r="BN195" s="482">
        <v>0</v>
      </c>
      <c r="BO195" s="482">
        <v>0</v>
      </c>
      <c r="BP195" s="482">
        <v>0</v>
      </c>
      <c r="BQ195" s="482">
        <v>0</v>
      </c>
      <c r="BR195" s="482">
        <v>0</v>
      </c>
      <c r="BS195" s="482">
        <v>0</v>
      </c>
      <c r="BT195" s="482">
        <v>0</v>
      </c>
      <c r="BU195" s="482">
        <v>0</v>
      </c>
      <c r="BV195" s="482">
        <v>0</v>
      </c>
      <c r="BW195" s="482">
        <v>0</v>
      </c>
      <c r="BX195" s="482">
        <v>0</v>
      </c>
      <c r="BY195" s="482">
        <v>0</v>
      </c>
      <c r="BZ195" s="482">
        <v>0</v>
      </c>
      <c r="CA195" s="482">
        <v>0</v>
      </c>
      <c r="CB195" s="482">
        <v>0</v>
      </c>
      <c r="CC195" s="482">
        <v>0</v>
      </c>
      <c r="CD195" s="482">
        <v>0</v>
      </c>
      <c r="CE195" s="482">
        <v>0</v>
      </c>
      <c r="CF195" s="482">
        <v>0</v>
      </c>
      <c r="CG195" s="482">
        <v>0</v>
      </c>
      <c r="CH195" s="482">
        <v>0</v>
      </c>
      <c r="CI195" s="482">
        <v>0</v>
      </c>
      <c r="CJ195" s="482">
        <v>0</v>
      </c>
      <c r="CK195" s="482">
        <v>0</v>
      </c>
      <c r="CL195" s="482">
        <v>0</v>
      </c>
      <c r="CM195" s="482">
        <v>0</v>
      </c>
      <c r="CN195" s="482">
        <v>0</v>
      </c>
      <c r="CO195" s="482">
        <v>0</v>
      </c>
      <c r="CP195" s="482">
        <v>0</v>
      </c>
      <c r="CQ195" s="482">
        <v>0</v>
      </c>
      <c r="CR195" s="482">
        <v>0</v>
      </c>
      <c r="CS195" s="482">
        <v>0</v>
      </c>
      <c r="CT195" s="482">
        <v>0</v>
      </c>
      <c r="CU195" s="482">
        <v>0</v>
      </c>
      <c r="CV195" s="482">
        <v>0</v>
      </c>
      <c r="CW195" s="482">
        <v>0</v>
      </c>
      <c r="CX195" s="482">
        <v>0</v>
      </c>
      <c r="CY195" s="482">
        <v>0</v>
      </c>
      <c r="CZ195" s="482">
        <v>0</v>
      </c>
      <c r="DA195" s="482">
        <v>0</v>
      </c>
      <c r="DB195" s="482">
        <v>0</v>
      </c>
      <c r="DC195" s="482">
        <v>0</v>
      </c>
      <c r="DD195" s="482">
        <v>0</v>
      </c>
      <c r="DE195" s="482">
        <v>0</v>
      </c>
      <c r="DF195" s="482">
        <v>0</v>
      </c>
      <c r="DG195" s="482">
        <v>0</v>
      </c>
      <c r="DH195" s="482">
        <v>0</v>
      </c>
      <c r="DI195" s="482">
        <v>0</v>
      </c>
      <c r="DJ195" s="482">
        <v>0</v>
      </c>
      <c r="DK195" s="482">
        <v>0</v>
      </c>
      <c r="DL195" s="482">
        <v>0</v>
      </c>
      <c r="DM195" s="482">
        <v>0</v>
      </c>
      <c r="DN195" s="482">
        <v>0</v>
      </c>
      <c r="DO195" s="482">
        <v>0</v>
      </c>
      <c r="DP195" s="482">
        <v>0</v>
      </c>
      <c r="DQ195" s="482">
        <v>0</v>
      </c>
      <c r="DR195" s="482">
        <v>0</v>
      </c>
      <c r="DS195" s="482">
        <v>0</v>
      </c>
      <c r="DT195" s="482">
        <v>0</v>
      </c>
      <c r="DU195" s="482">
        <v>0</v>
      </c>
      <c r="DV195" s="482">
        <v>0</v>
      </c>
      <c r="DW195" s="482">
        <v>0</v>
      </c>
      <c r="DX195" s="477"/>
      <c r="DY195" s="481" t="s">
        <v>720</v>
      </c>
      <c r="DZ195" s="481" t="s">
        <v>839</v>
      </c>
      <c r="EA195" s="481" t="s">
        <v>26</v>
      </c>
      <c r="EB195" s="482">
        <v>45</v>
      </c>
      <c r="EC195" s="494" t="str">
        <f t="shared" si="6"/>
        <v>末0245</v>
      </c>
      <c r="ED195" s="482">
        <v>0</v>
      </c>
      <c r="EE195" s="482">
        <v>0</v>
      </c>
      <c r="EF195" s="482">
        <v>0</v>
      </c>
      <c r="EG195" s="482">
        <v>0</v>
      </c>
      <c r="EH195" s="482">
        <v>0</v>
      </c>
      <c r="EI195" s="482">
        <v>0</v>
      </c>
      <c r="EJ195" s="482">
        <v>0</v>
      </c>
      <c r="EK195" s="482">
        <v>0</v>
      </c>
      <c r="EL195" s="482">
        <v>0</v>
      </c>
      <c r="EM195" s="482">
        <v>0</v>
      </c>
      <c r="EN195" s="482">
        <v>0</v>
      </c>
      <c r="EO195" s="482">
        <v>0</v>
      </c>
      <c r="EP195" s="482">
        <v>0</v>
      </c>
      <c r="EQ195" s="482">
        <v>0</v>
      </c>
      <c r="ER195" s="482">
        <v>0</v>
      </c>
      <c r="ES195" s="482">
        <v>0</v>
      </c>
      <c r="ET195" s="482">
        <v>0</v>
      </c>
      <c r="EU195" s="482">
        <v>0</v>
      </c>
      <c r="EV195" s="482">
        <v>0</v>
      </c>
      <c r="EW195" s="482">
        <v>0</v>
      </c>
      <c r="EX195" s="482">
        <v>0</v>
      </c>
      <c r="EY195" s="482">
        <v>0</v>
      </c>
      <c r="EZ195" s="482">
        <v>0</v>
      </c>
      <c r="FA195" s="482">
        <v>0</v>
      </c>
      <c r="FB195" s="482">
        <v>0</v>
      </c>
      <c r="FC195" s="482">
        <v>0</v>
      </c>
      <c r="FD195" s="482">
        <v>0</v>
      </c>
      <c r="FE195" s="482">
        <v>0</v>
      </c>
      <c r="FF195" s="482">
        <v>0</v>
      </c>
      <c r="FG195" s="482">
        <v>0</v>
      </c>
      <c r="FH195" s="482">
        <v>0</v>
      </c>
      <c r="FI195" s="482">
        <v>0</v>
      </c>
      <c r="FJ195" s="482">
        <v>0</v>
      </c>
      <c r="FK195" s="482">
        <v>0</v>
      </c>
      <c r="FL195" s="482">
        <v>0</v>
      </c>
      <c r="FM195" s="482">
        <v>0</v>
      </c>
      <c r="FN195" s="482">
        <v>0</v>
      </c>
      <c r="FO195" s="482">
        <v>0</v>
      </c>
      <c r="FP195" s="482">
        <v>0</v>
      </c>
      <c r="FQ195" s="482">
        <v>0</v>
      </c>
      <c r="FR195" s="482">
        <v>0</v>
      </c>
      <c r="FS195" s="482">
        <v>0</v>
      </c>
      <c r="FT195" s="482">
        <v>0</v>
      </c>
      <c r="FU195" s="482">
        <v>0</v>
      </c>
      <c r="FV195" s="482">
        <v>0</v>
      </c>
      <c r="FW195" s="482">
        <v>0</v>
      </c>
      <c r="FX195" s="482">
        <v>0</v>
      </c>
      <c r="FY195" s="482">
        <v>0</v>
      </c>
      <c r="FZ195" s="482">
        <v>0</v>
      </c>
      <c r="GA195" s="482">
        <v>0</v>
      </c>
      <c r="GB195" s="482">
        <v>0</v>
      </c>
      <c r="GC195" s="482">
        <v>0</v>
      </c>
      <c r="GD195" s="482">
        <v>0</v>
      </c>
      <c r="GE195" s="482">
        <v>0</v>
      </c>
      <c r="GF195" s="482">
        <v>0</v>
      </c>
      <c r="GG195" s="482">
        <v>0</v>
      </c>
      <c r="GH195" s="482">
        <v>0</v>
      </c>
      <c r="GI195" s="482">
        <v>0</v>
      </c>
      <c r="GJ195" s="482">
        <v>0</v>
      </c>
      <c r="GK195" s="482">
        <v>0</v>
      </c>
      <c r="GL195" s="482">
        <v>0</v>
      </c>
      <c r="GM195" s="482">
        <v>0</v>
      </c>
      <c r="GN195" s="482">
        <v>0</v>
      </c>
      <c r="GO195" s="482">
        <v>0</v>
      </c>
      <c r="GP195" s="482">
        <v>0</v>
      </c>
      <c r="GQ195" s="482">
        <v>0</v>
      </c>
      <c r="GR195" s="482">
        <v>0</v>
      </c>
      <c r="GS195" s="482">
        <v>0</v>
      </c>
      <c r="GT195" s="482">
        <v>0</v>
      </c>
      <c r="GU195" s="482">
        <v>0</v>
      </c>
      <c r="GV195" s="482">
        <v>0</v>
      </c>
      <c r="GW195" s="482">
        <v>0</v>
      </c>
      <c r="GX195" s="482">
        <v>0</v>
      </c>
      <c r="GY195" s="482">
        <v>0</v>
      </c>
      <c r="GZ195" s="482">
        <v>0</v>
      </c>
      <c r="HA195" s="482">
        <v>0</v>
      </c>
      <c r="HB195" s="482">
        <v>0</v>
      </c>
      <c r="HC195" s="482">
        <v>0</v>
      </c>
      <c r="HD195" s="482">
        <v>0</v>
      </c>
      <c r="HE195" s="482">
        <v>0</v>
      </c>
      <c r="HF195" s="482">
        <v>0</v>
      </c>
      <c r="HG195" s="482">
        <v>0</v>
      </c>
      <c r="HH195" s="482">
        <v>0</v>
      </c>
      <c r="HI195" s="482">
        <v>0</v>
      </c>
      <c r="HJ195" s="482">
        <v>0</v>
      </c>
      <c r="HK195" s="482">
        <v>0</v>
      </c>
      <c r="HL195" s="482">
        <v>0</v>
      </c>
      <c r="HM195" s="482">
        <v>0</v>
      </c>
      <c r="HN195" s="482">
        <v>0</v>
      </c>
      <c r="HO195" s="482">
        <v>0</v>
      </c>
      <c r="HP195" s="482">
        <v>0</v>
      </c>
      <c r="HQ195" s="482">
        <v>0</v>
      </c>
      <c r="HR195" s="482">
        <v>0</v>
      </c>
      <c r="HS195" s="482">
        <v>0</v>
      </c>
      <c r="HT195" s="482">
        <v>0</v>
      </c>
      <c r="HU195" s="482">
        <v>0</v>
      </c>
      <c r="HV195" s="482">
        <v>0</v>
      </c>
      <c r="HW195" s="482">
        <v>0</v>
      </c>
      <c r="HX195" s="482">
        <v>0</v>
      </c>
      <c r="HY195" s="482">
        <v>0</v>
      </c>
      <c r="HZ195" s="482">
        <v>0</v>
      </c>
      <c r="IA195" s="482">
        <v>0</v>
      </c>
      <c r="IB195" s="482">
        <v>0</v>
      </c>
      <c r="IC195" s="482">
        <v>0</v>
      </c>
      <c r="ID195" s="482">
        <v>0</v>
      </c>
      <c r="IE195" s="482">
        <v>0</v>
      </c>
      <c r="IF195" s="482">
        <v>0</v>
      </c>
      <c r="IG195" s="482">
        <v>0</v>
      </c>
      <c r="IH195" s="482">
        <v>0</v>
      </c>
      <c r="II195" s="482">
        <v>0</v>
      </c>
      <c r="IJ195" s="482">
        <v>0</v>
      </c>
    </row>
  </sheetData>
  <sheetProtection algorithmName="SHA-512" hashValue="ZM9OmvSZy7u9OT1TdC1+9/cdi2ji4UtaNI+AnePVHcBlPbib1DuMK6bCZVEvu6RXaLBJpkcqhwLbA5xOGWmEdw==" saltValue="hdvDSxXIONRbNy8Qr8y1yg==" spinCount="100000" sheet="1" objects="1" scenarios="1"/>
  <phoneticPr fontId="7"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IU102"/>
  <sheetViews>
    <sheetView topLeftCell="XFD1048576" workbookViewId="0"/>
  </sheetViews>
  <sheetFormatPr defaultColWidth="0" defaultRowHeight="16.5" zeroHeight="1"/>
  <cols>
    <col min="1" max="3" width="9.33203125" style="271" hidden="1"/>
    <col min="4" max="4" width="13.5" style="271" hidden="1"/>
    <col min="5" max="9" width="9.33203125" style="271" hidden="1"/>
    <col min="10" max="10" width="2.1640625" style="271" hidden="1"/>
    <col min="11" max="11" width="18.5" style="271" hidden="1"/>
    <col min="12" max="12" width="24.6640625" style="271" hidden="1"/>
    <col min="13" max="13" width="9.33203125" style="271" hidden="1"/>
    <col min="14" max="14" width="13.1640625" style="271" hidden="1"/>
    <col min="15" max="255" width="9.33203125" style="271" hidden="1"/>
    <col min="256" max="16384" width="16.6640625" style="271" hidden="1"/>
  </cols>
  <sheetData>
    <row r="1" spans="1:23" hidden="1">
      <c r="A1" s="266"/>
      <c r="B1" s="267" t="str">
        <f>ROP!$C$36&amp;ROP!$C$23</f>
        <v>10AOR</v>
      </c>
      <c r="C1" s="268" t="s">
        <v>253</v>
      </c>
      <c r="D1" s="267" t="str">
        <f>IF(OP!$E$16=1,"足歲",IF(OP!$E$16=2,"保險年齡","錯誤"))</f>
        <v>足歲</v>
      </c>
      <c r="E1" s="268" t="s">
        <v>253</v>
      </c>
      <c r="F1" s="269"/>
      <c r="G1" s="269"/>
      <c r="H1" s="269"/>
      <c r="I1" s="269"/>
      <c r="J1" s="270"/>
      <c r="K1" s="270"/>
      <c r="Q1" s="271">
        <v>6</v>
      </c>
      <c r="R1" s="271">
        <v>7</v>
      </c>
      <c r="S1" s="271">
        <v>8</v>
      </c>
      <c r="T1" s="271">
        <v>9</v>
      </c>
      <c r="U1" s="271">
        <v>10</v>
      </c>
      <c r="V1" s="271">
        <v>11</v>
      </c>
      <c r="W1" s="271">
        <v>12</v>
      </c>
    </row>
    <row r="2" spans="1:23" hidden="1">
      <c r="A2" s="266"/>
      <c r="B2" s="266"/>
      <c r="C2" s="272"/>
      <c r="D2" s="266"/>
      <c r="E2" s="272"/>
      <c r="F2" s="269"/>
      <c r="G2" s="269"/>
      <c r="H2" s="269"/>
      <c r="I2" s="269"/>
      <c r="J2" s="270"/>
      <c r="K2" s="270"/>
      <c r="L2" s="633" t="s">
        <v>254</v>
      </c>
      <c r="M2" s="633"/>
      <c r="N2" s="633"/>
      <c r="O2" s="271" t="s">
        <v>255</v>
      </c>
    </row>
    <row r="3" spans="1:23" hidden="1">
      <c r="A3" s="266"/>
      <c r="B3" s="269"/>
      <c r="C3" s="273" t="s">
        <v>256</v>
      </c>
      <c r="D3" s="274">
        <v>1</v>
      </c>
      <c r="E3" s="274">
        <v>2</v>
      </c>
      <c r="F3" s="274">
        <v>3</v>
      </c>
      <c r="G3" s="274">
        <v>1</v>
      </c>
      <c r="H3" s="274">
        <v>2</v>
      </c>
      <c r="I3" s="274">
        <v>3</v>
      </c>
      <c r="J3" s="269"/>
      <c r="K3" s="275" t="s">
        <v>257</v>
      </c>
      <c r="L3" s="276" t="s">
        <v>32</v>
      </c>
      <c r="M3" s="275" t="s">
        <v>258</v>
      </c>
      <c r="N3" s="275" t="s">
        <v>14</v>
      </c>
      <c r="O3" s="503" t="s">
        <v>22</v>
      </c>
      <c r="P3" s="503" t="s">
        <v>23</v>
      </c>
      <c r="Q3" s="503" t="s">
        <v>24</v>
      </c>
      <c r="R3" s="503" t="s">
        <v>21</v>
      </c>
      <c r="S3" s="503" t="s">
        <v>259</v>
      </c>
      <c r="T3" s="503" t="s">
        <v>260</v>
      </c>
      <c r="U3" s="503" t="s">
        <v>261</v>
      </c>
      <c r="V3" s="503" t="s">
        <v>0</v>
      </c>
      <c r="W3" s="503" t="s">
        <v>262</v>
      </c>
    </row>
    <row r="4" spans="1:23" hidden="1">
      <c r="A4" s="266"/>
      <c r="B4" s="270"/>
      <c r="C4" s="277" t="s">
        <v>263</v>
      </c>
      <c r="D4" s="278">
        <v>1</v>
      </c>
      <c r="E4" s="278">
        <v>1</v>
      </c>
      <c r="F4" s="278">
        <v>1</v>
      </c>
      <c r="G4" s="278">
        <v>2</v>
      </c>
      <c r="H4" s="278">
        <v>2</v>
      </c>
      <c r="I4" s="278">
        <v>2</v>
      </c>
      <c r="J4" s="269"/>
      <c r="K4" s="279" t="str">
        <f>IF($D$1="足歲","15足","")</f>
        <v>15足</v>
      </c>
      <c r="L4" s="280" t="str">
        <f t="shared" ref="L4:L67" si="0">IF(P4&lt;&gt;$B$1,"",P4&amp;Q4&amp;R4&amp;V4)</f>
        <v>10AOR115足5</v>
      </c>
      <c r="M4" s="280">
        <f>IF(L4="","-",IF(ISERROR($R4*1),LEFT($R4,2)*1,$R4*1))</f>
        <v>15</v>
      </c>
      <c r="N4" s="281">
        <f>IF(L4="","",V4*1)</f>
        <v>5</v>
      </c>
      <c r="O4" s="504" t="s">
        <v>733</v>
      </c>
      <c r="P4" s="504" t="s">
        <v>736</v>
      </c>
      <c r="Q4" s="504" t="s">
        <v>25</v>
      </c>
      <c r="R4" s="504" t="s">
        <v>1064</v>
      </c>
      <c r="S4" s="505">
        <v>0</v>
      </c>
      <c r="T4" s="505">
        <v>0</v>
      </c>
      <c r="U4" s="505">
        <v>0</v>
      </c>
      <c r="V4" s="505">
        <v>5</v>
      </c>
      <c r="W4" s="504" t="s">
        <v>1075</v>
      </c>
    </row>
    <row r="5" spans="1:23" hidden="1">
      <c r="A5" s="266"/>
      <c r="B5" s="284" t="s">
        <v>265</v>
      </c>
      <c r="C5" s="285">
        <v>12</v>
      </c>
      <c r="D5" s="286" t="str">
        <f t="shared" ref="D5:I5" si="1">IF(SMALL($M:$M,D$3)=15,$K$4,SMALL($M:$M,D$3))</f>
        <v>15足</v>
      </c>
      <c r="E5" s="286">
        <f t="shared" si="1"/>
        <v>35</v>
      </c>
      <c r="F5" s="286">
        <f t="shared" si="1"/>
        <v>61</v>
      </c>
      <c r="G5" s="286" t="str">
        <f t="shared" si="1"/>
        <v>15足</v>
      </c>
      <c r="H5" s="286">
        <f t="shared" si="1"/>
        <v>35</v>
      </c>
      <c r="I5" s="286">
        <f t="shared" si="1"/>
        <v>61</v>
      </c>
      <c r="J5" s="269"/>
      <c r="K5" s="286"/>
      <c r="L5" s="278" t="str">
        <f t="shared" si="0"/>
        <v>10AOR115足10</v>
      </c>
      <c r="M5" s="278" t="str">
        <f>IF(OR(L5="",COUNTIF($M$4:M4,IF(ISERROR($R5*1),LEFT($R5,2)*1,$R5*1))&gt;=1),"-",IF(ISERROR($R5*1),LEFT($R5,2)*1,$R5*1))</f>
        <v>-</v>
      </c>
      <c r="N5" s="278">
        <f>IF(OR(L5="",COUNTIF($N$4:N4,V5*1)&gt;=1),"-",V5*1)</f>
        <v>10</v>
      </c>
      <c r="O5" s="504" t="s">
        <v>733</v>
      </c>
      <c r="P5" s="504" t="s">
        <v>736</v>
      </c>
      <c r="Q5" s="504" t="s">
        <v>25</v>
      </c>
      <c r="R5" s="504" t="s">
        <v>1064</v>
      </c>
      <c r="S5" s="505">
        <v>0</v>
      </c>
      <c r="T5" s="505">
        <v>0</v>
      </c>
      <c r="U5" s="505">
        <v>0</v>
      </c>
      <c r="V5" s="505">
        <v>10</v>
      </c>
      <c r="W5" s="504" t="s">
        <v>1078</v>
      </c>
    </row>
    <row r="6" spans="1:23" hidden="1">
      <c r="A6" s="266"/>
      <c r="B6" s="287" t="s">
        <v>266</v>
      </c>
      <c r="C6" s="288" t="s">
        <v>267</v>
      </c>
      <c r="D6" s="289" t="str">
        <f>IF(OR(ISERROR($D5)),"",IF((D$5)=0,D$5&amp;IF(D$4=1,"男性",IF(D$4=2,"女性","")),D$5&amp;"歲"&amp;IF(D$4=1,"男性",IF(D$4=2,"女性",""))))</f>
        <v>15足歲男性</v>
      </c>
      <c r="E6" s="289" t="str">
        <f t="shared" ref="E6:I6" si="2">IF(OR(ISERROR($D5)),"",IF((E$5)=0,E$5&amp;IF(E$4=1,"男性",IF(E$4=2,"女性","")),E$5&amp;"歲"&amp;IF(E$4=1,"男性",IF(E$4=2,"女性",""))))</f>
        <v>35歲男性</v>
      </c>
      <c r="F6" s="289" t="str">
        <f t="shared" si="2"/>
        <v>61歲男性</v>
      </c>
      <c r="G6" s="289" t="str">
        <f t="shared" si="2"/>
        <v>15足歲女性</v>
      </c>
      <c r="H6" s="289" t="str">
        <f t="shared" si="2"/>
        <v>35歲女性</v>
      </c>
      <c r="I6" s="289" t="str">
        <f t="shared" si="2"/>
        <v>61歲女性</v>
      </c>
      <c r="J6" s="269"/>
      <c r="K6" s="286"/>
      <c r="L6" s="278" t="str">
        <f t="shared" si="0"/>
        <v>10AOR1355</v>
      </c>
      <c r="M6" s="278">
        <f>IF(OR(L6="",COUNTIF($M$4:M5,IF(ISERROR($R6*1),LEFT($R6,2)*1,$R6*1))&gt;=1),"-",IF(ISERROR($R6*1),LEFT($R6,2)*1,$R6*1))</f>
        <v>35</v>
      </c>
      <c r="N6" s="278" t="str">
        <f>IF(OR(L6="",COUNTIF($N$4:N5,V6*1)&gt;=1),"-",V6*1)</f>
        <v>-</v>
      </c>
      <c r="O6" s="504" t="s">
        <v>733</v>
      </c>
      <c r="P6" s="504" t="s">
        <v>736</v>
      </c>
      <c r="Q6" s="504" t="s">
        <v>25</v>
      </c>
      <c r="R6" s="504" t="s">
        <v>264</v>
      </c>
      <c r="S6" s="505">
        <v>0</v>
      </c>
      <c r="T6" s="505">
        <v>0</v>
      </c>
      <c r="U6" s="505">
        <v>0</v>
      </c>
      <c r="V6" s="505">
        <v>5</v>
      </c>
      <c r="W6" s="504" t="s">
        <v>1075</v>
      </c>
    </row>
    <row r="7" spans="1:23" hidden="1">
      <c r="A7" s="266"/>
      <c r="B7" s="278">
        <v>1</v>
      </c>
      <c r="C7" s="289">
        <f t="shared" ref="C7:C14" si="3">IF(ISERROR(SMALL($N:$N,$B7)),"",SMALL($N:$N,$B7))</f>
        <v>5</v>
      </c>
      <c r="D7" s="290" t="str">
        <f t="shared" ref="D7:I14" si="4">IF(ISERROR(VLOOKUP($B$1&amp;D$4&amp;D$5&amp;$C7,$L:$W,$C$5,0)),"",VLOOKUP($B$1&amp;D$4&amp;D$5&amp;$C7,$L:$W,$C$5,0))</f>
        <v>6.51%</v>
      </c>
      <c r="E7" s="290" t="str">
        <f t="shared" si="4"/>
        <v>6.51%</v>
      </c>
      <c r="F7" s="290" t="str">
        <f t="shared" si="4"/>
        <v>13.01%</v>
      </c>
      <c r="G7" s="290" t="str">
        <f t="shared" si="4"/>
        <v>6.51%</v>
      </c>
      <c r="H7" s="290" t="str">
        <f t="shared" si="4"/>
        <v>6.51%</v>
      </c>
      <c r="I7" s="290" t="str">
        <f t="shared" si="4"/>
        <v>13.01%</v>
      </c>
      <c r="J7" s="269"/>
      <c r="K7" s="269"/>
      <c r="L7" s="278" t="str">
        <f t="shared" si="0"/>
        <v>10AOR13510</v>
      </c>
      <c r="M7" s="278" t="str">
        <f>IF(OR(L7="",COUNTIF($M$4:M6,IF(ISERROR($R7*1),LEFT($R7,2)*1,$R7*1))&gt;=1),"-",IF(ISERROR($R7*1),LEFT($R7,2)*1,$R7*1))</f>
        <v>-</v>
      </c>
      <c r="N7" s="278" t="str">
        <f>IF(OR(L7="",COUNTIF($N$4:N6,V7*1)&gt;=1),"-",V7*1)</f>
        <v>-</v>
      </c>
      <c r="O7" s="504" t="s">
        <v>733</v>
      </c>
      <c r="P7" s="504" t="s">
        <v>736</v>
      </c>
      <c r="Q7" s="504" t="s">
        <v>25</v>
      </c>
      <c r="R7" s="504" t="s">
        <v>264</v>
      </c>
      <c r="S7" s="505">
        <v>0</v>
      </c>
      <c r="T7" s="505">
        <v>0</v>
      </c>
      <c r="U7" s="505">
        <v>0</v>
      </c>
      <c r="V7" s="505">
        <v>10</v>
      </c>
      <c r="W7" s="504" t="s">
        <v>1078</v>
      </c>
    </row>
    <row r="8" spans="1:23" hidden="1">
      <c r="A8" s="266"/>
      <c r="B8" s="278">
        <v>2</v>
      </c>
      <c r="C8" s="289">
        <f t="shared" si="3"/>
        <v>10</v>
      </c>
      <c r="D8" s="290" t="str">
        <f t="shared" si="4"/>
        <v>9.56%</v>
      </c>
      <c r="E8" s="290" t="str">
        <f t="shared" si="4"/>
        <v>9.56%</v>
      </c>
      <c r="F8" s="290" t="str">
        <f t="shared" si="4"/>
        <v>9.56%</v>
      </c>
      <c r="G8" s="290" t="str">
        <f t="shared" si="4"/>
        <v>9.56%</v>
      </c>
      <c r="H8" s="290" t="str">
        <f t="shared" si="4"/>
        <v>9.56%</v>
      </c>
      <c r="I8" s="290" t="str">
        <f t="shared" si="4"/>
        <v>9.56%</v>
      </c>
      <c r="J8" s="269"/>
      <c r="K8" s="269"/>
      <c r="L8" s="278" t="str">
        <f t="shared" si="0"/>
        <v>10AOR1615</v>
      </c>
      <c r="M8" s="278">
        <f>IF(OR(L8="",COUNTIF($M$4:M7,IF(ISERROR($R8*1),LEFT($R8,2)*1,$R8*1))&gt;=1),"-",IF(ISERROR($R8*1),LEFT($R8,2)*1,$R8*1))</f>
        <v>61</v>
      </c>
      <c r="N8" s="278" t="str">
        <f>IF(OR(L8="",COUNTIF($N$4:N7,V8*1)&gt;=1),"-",V8*1)</f>
        <v>-</v>
      </c>
      <c r="O8" s="504" t="s">
        <v>733</v>
      </c>
      <c r="P8" s="504" t="s">
        <v>736</v>
      </c>
      <c r="Q8" s="504" t="s">
        <v>25</v>
      </c>
      <c r="R8" s="504" t="s">
        <v>840</v>
      </c>
      <c r="S8" s="505">
        <v>0</v>
      </c>
      <c r="T8" s="505">
        <v>0</v>
      </c>
      <c r="U8" s="505">
        <v>0</v>
      </c>
      <c r="V8" s="505">
        <v>5</v>
      </c>
      <c r="W8" s="504" t="s">
        <v>1079</v>
      </c>
    </row>
    <row r="9" spans="1:23" hidden="1">
      <c r="A9" s="266"/>
      <c r="B9" s="278">
        <v>3</v>
      </c>
      <c r="C9" s="289" t="str">
        <f t="shared" si="3"/>
        <v/>
      </c>
      <c r="D9" s="290" t="str">
        <f t="shared" si="4"/>
        <v/>
      </c>
      <c r="E9" s="290" t="str">
        <f t="shared" si="4"/>
        <v/>
      </c>
      <c r="F9" s="290" t="str">
        <f t="shared" si="4"/>
        <v/>
      </c>
      <c r="G9" s="290" t="str">
        <f t="shared" si="4"/>
        <v/>
      </c>
      <c r="H9" s="290" t="str">
        <f t="shared" si="4"/>
        <v/>
      </c>
      <c r="I9" s="290" t="str">
        <f t="shared" si="4"/>
        <v/>
      </c>
      <c r="J9" s="269"/>
      <c r="K9" s="269"/>
      <c r="L9" s="278" t="str">
        <f t="shared" si="0"/>
        <v>10AOR16110</v>
      </c>
      <c r="M9" s="278" t="str">
        <f>IF(OR(L9="",COUNTIF($M$4:M8,IF(ISERROR($R9*1),LEFT($R9,2)*1,$R9*1))&gt;=1),"-",IF(ISERROR($R9*1),LEFT($R9,2)*1,$R9*1))</f>
        <v>-</v>
      </c>
      <c r="N9" s="278" t="str">
        <f>IF(OR(L9="",COUNTIF($N$4:N8,V9*1)&gt;=1),"-",V9*1)</f>
        <v>-</v>
      </c>
      <c r="O9" s="504" t="s">
        <v>733</v>
      </c>
      <c r="P9" s="504" t="s">
        <v>736</v>
      </c>
      <c r="Q9" s="504" t="s">
        <v>25</v>
      </c>
      <c r="R9" s="504" t="s">
        <v>840</v>
      </c>
      <c r="S9" s="505">
        <v>0</v>
      </c>
      <c r="T9" s="505">
        <v>0</v>
      </c>
      <c r="U9" s="505">
        <v>0</v>
      </c>
      <c r="V9" s="505">
        <v>10</v>
      </c>
      <c r="W9" s="504" t="s">
        <v>1078</v>
      </c>
    </row>
    <row r="10" spans="1:23" hidden="1">
      <c r="A10" s="291"/>
      <c r="B10" s="278">
        <v>4</v>
      </c>
      <c r="C10" s="289" t="str">
        <f t="shared" si="3"/>
        <v/>
      </c>
      <c r="D10" s="290" t="str">
        <f t="shared" si="4"/>
        <v/>
      </c>
      <c r="E10" s="290" t="str">
        <f t="shared" si="4"/>
        <v/>
      </c>
      <c r="F10" s="290" t="str">
        <f t="shared" si="4"/>
        <v/>
      </c>
      <c r="G10" s="290" t="str">
        <f t="shared" si="4"/>
        <v/>
      </c>
      <c r="H10" s="290" t="str">
        <f t="shared" si="4"/>
        <v/>
      </c>
      <c r="I10" s="290" t="str">
        <f t="shared" si="4"/>
        <v/>
      </c>
      <c r="J10" s="269"/>
      <c r="K10" s="269"/>
      <c r="L10" s="278" t="str">
        <f t="shared" si="0"/>
        <v>10AOR215足5</v>
      </c>
      <c r="M10" s="278" t="str">
        <f>IF(OR(L10="",COUNTIF($M$4:M9,IF(ISERROR($R10*1),LEFT($R10,2)*1,$R10*1))&gt;=1),"-",IF(ISERROR($R10*1),LEFT($R10,2)*1,$R10*1))</f>
        <v>-</v>
      </c>
      <c r="N10" s="278" t="str">
        <f>IF(OR(L10="",COUNTIF($N$4:N9,V10*1)&gt;=1),"-",V10*1)</f>
        <v>-</v>
      </c>
      <c r="O10" s="504" t="s">
        <v>733</v>
      </c>
      <c r="P10" s="504" t="s">
        <v>736</v>
      </c>
      <c r="Q10" s="504" t="s">
        <v>26</v>
      </c>
      <c r="R10" s="504" t="s">
        <v>1064</v>
      </c>
      <c r="S10" s="505">
        <v>0</v>
      </c>
      <c r="T10" s="505">
        <v>0</v>
      </c>
      <c r="U10" s="505">
        <v>0</v>
      </c>
      <c r="V10" s="505">
        <v>5</v>
      </c>
      <c r="W10" s="504" t="s">
        <v>1075</v>
      </c>
    </row>
    <row r="11" spans="1:23" hidden="1">
      <c r="A11" s="291"/>
      <c r="B11" s="278">
        <v>5</v>
      </c>
      <c r="C11" s="289" t="str">
        <f t="shared" si="3"/>
        <v/>
      </c>
      <c r="D11" s="290" t="str">
        <f t="shared" si="4"/>
        <v/>
      </c>
      <c r="E11" s="290" t="str">
        <f t="shared" si="4"/>
        <v/>
      </c>
      <c r="F11" s="290" t="str">
        <f t="shared" si="4"/>
        <v/>
      </c>
      <c r="G11" s="290" t="str">
        <f t="shared" si="4"/>
        <v/>
      </c>
      <c r="H11" s="290" t="str">
        <f t="shared" si="4"/>
        <v/>
      </c>
      <c r="I11" s="290" t="str">
        <f t="shared" si="4"/>
        <v/>
      </c>
      <c r="J11" s="269"/>
      <c r="K11" s="269"/>
      <c r="L11" s="278" t="str">
        <f t="shared" si="0"/>
        <v>10AOR215足10</v>
      </c>
      <c r="M11" s="278" t="str">
        <f>IF(OR(L11="",COUNTIF($M$4:M10,IF(ISERROR($R11*1),LEFT($R11,2)*1,$R11*1))&gt;=1),"-",IF(ISERROR($R11*1),LEFT($R11,2)*1,$R11*1))</f>
        <v>-</v>
      </c>
      <c r="N11" s="278" t="str">
        <f>IF(OR(L11="",COUNTIF($N$4:N10,V11*1)&gt;=1),"-",V11*1)</f>
        <v>-</v>
      </c>
      <c r="O11" s="504" t="s">
        <v>733</v>
      </c>
      <c r="P11" s="504" t="s">
        <v>736</v>
      </c>
      <c r="Q11" s="504" t="s">
        <v>26</v>
      </c>
      <c r="R11" s="504" t="s">
        <v>1064</v>
      </c>
      <c r="S11" s="505">
        <v>0</v>
      </c>
      <c r="T11" s="505">
        <v>0</v>
      </c>
      <c r="U11" s="505">
        <v>0</v>
      </c>
      <c r="V11" s="505">
        <v>10</v>
      </c>
      <c r="W11" s="504" t="s">
        <v>1078</v>
      </c>
    </row>
    <row r="12" spans="1:23" hidden="1">
      <c r="A12" s="291"/>
      <c r="B12" s="278">
        <v>6</v>
      </c>
      <c r="C12" s="289" t="str">
        <f t="shared" si="3"/>
        <v/>
      </c>
      <c r="D12" s="290" t="str">
        <f t="shared" si="4"/>
        <v/>
      </c>
      <c r="E12" s="290" t="str">
        <f t="shared" si="4"/>
        <v/>
      </c>
      <c r="F12" s="290" t="str">
        <f t="shared" si="4"/>
        <v/>
      </c>
      <c r="G12" s="290" t="str">
        <f t="shared" si="4"/>
        <v/>
      </c>
      <c r="H12" s="290" t="str">
        <f t="shared" si="4"/>
        <v/>
      </c>
      <c r="I12" s="290" t="str">
        <f t="shared" si="4"/>
        <v/>
      </c>
      <c r="J12" s="269"/>
      <c r="K12" s="269"/>
      <c r="L12" s="278" t="str">
        <f t="shared" si="0"/>
        <v>10AOR2355</v>
      </c>
      <c r="M12" s="278" t="str">
        <f>IF(OR(L12="",COUNTIF($M$4:M11,IF(ISERROR($R12*1),LEFT($R12,2)*1,$R12*1))&gt;=1),"-",IF(ISERROR($R12*1),LEFT($R12,2)*1,$R12*1))</f>
        <v>-</v>
      </c>
      <c r="N12" s="278" t="str">
        <f>IF(OR(L12="",COUNTIF($N$4:N11,V12*1)&gt;=1),"-",V12*1)</f>
        <v>-</v>
      </c>
      <c r="O12" s="504" t="s">
        <v>733</v>
      </c>
      <c r="P12" s="504" t="s">
        <v>736</v>
      </c>
      <c r="Q12" s="504" t="s">
        <v>26</v>
      </c>
      <c r="R12" s="504" t="s">
        <v>264</v>
      </c>
      <c r="S12" s="505">
        <v>0</v>
      </c>
      <c r="T12" s="505">
        <v>0</v>
      </c>
      <c r="U12" s="505">
        <v>0</v>
      </c>
      <c r="V12" s="505">
        <v>5</v>
      </c>
      <c r="W12" s="504" t="s">
        <v>1075</v>
      </c>
    </row>
    <row r="13" spans="1:23" hidden="1">
      <c r="A13" s="291"/>
      <c r="B13" s="278">
        <v>7</v>
      </c>
      <c r="C13" s="289" t="str">
        <f t="shared" si="3"/>
        <v/>
      </c>
      <c r="D13" s="290" t="str">
        <f t="shared" si="4"/>
        <v/>
      </c>
      <c r="E13" s="290" t="str">
        <f t="shared" si="4"/>
        <v/>
      </c>
      <c r="F13" s="290" t="str">
        <f t="shared" si="4"/>
        <v/>
      </c>
      <c r="G13" s="290" t="str">
        <f t="shared" si="4"/>
        <v/>
      </c>
      <c r="H13" s="290" t="str">
        <f t="shared" si="4"/>
        <v/>
      </c>
      <c r="I13" s="290" t="str">
        <f t="shared" si="4"/>
        <v/>
      </c>
      <c r="J13" s="269"/>
      <c r="K13" s="269"/>
      <c r="L13" s="278" t="str">
        <f t="shared" si="0"/>
        <v>10AOR23510</v>
      </c>
      <c r="M13" s="278" t="str">
        <f>IF(OR(L13="",COUNTIF($M$4:M12,IF(ISERROR($R13*1),LEFT($R13,2)*1,$R13*1))&gt;=1),"-",IF(ISERROR($R13*1),LEFT($R13,2)*1,$R13*1))</f>
        <v>-</v>
      </c>
      <c r="N13" s="278" t="str">
        <f>IF(OR(L13="",COUNTIF($N$4:N12,V13*1)&gt;=1),"-",V13*1)</f>
        <v>-</v>
      </c>
      <c r="O13" s="504" t="s">
        <v>733</v>
      </c>
      <c r="P13" s="504" t="s">
        <v>736</v>
      </c>
      <c r="Q13" s="504" t="s">
        <v>26</v>
      </c>
      <c r="R13" s="504" t="s">
        <v>264</v>
      </c>
      <c r="S13" s="505">
        <v>0</v>
      </c>
      <c r="T13" s="505">
        <v>0</v>
      </c>
      <c r="U13" s="505">
        <v>0</v>
      </c>
      <c r="V13" s="505">
        <v>10</v>
      </c>
      <c r="W13" s="504" t="s">
        <v>1078</v>
      </c>
    </row>
    <row r="14" spans="1:23" hidden="1">
      <c r="A14" s="292"/>
      <c r="B14" s="278">
        <v>8</v>
      </c>
      <c r="C14" s="289" t="str">
        <f t="shared" si="3"/>
        <v/>
      </c>
      <c r="D14" s="290" t="str">
        <f t="shared" si="4"/>
        <v/>
      </c>
      <c r="E14" s="290" t="str">
        <f t="shared" si="4"/>
        <v/>
      </c>
      <c r="F14" s="290" t="str">
        <f t="shared" si="4"/>
        <v/>
      </c>
      <c r="G14" s="290" t="str">
        <f t="shared" si="4"/>
        <v/>
      </c>
      <c r="H14" s="290" t="str">
        <f t="shared" si="4"/>
        <v/>
      </c>
      <c r="I14" s="290" t="str">
        <f t="shared" si="4"/>
        <v/>
      </c>
      <c r="J14" s="269"/>
      <c r="K14" s="269"/>
      <c r="L14" s="278" t="str">
        <f t="shared" si="0"/>
        <v>10AOR2615</v>
      </c>
      <c r="M14" s="278" t="str">
        <f>IF(OR(L14="",COUNTIF($M$4:M13,IF(ISERROR($R14*1),LEFT($R14,2)*1,$R14*1))&gt;=1),"-",IF(ISERROR($R14*1),LEFT($R14,2)*1,$R14*1))</f>
        <v>-</v>
      </c>
      <c r="N14" s="278" t="str">
        <f>IF(OR(L14="",COUNTIF($N$4:N13,V14*1)&gt;=1),"-",V14*1)</f>
        <v>-</v>
      </c>
      <c r="O14" s="504" t="s">
        <v>733</v>
      </c>
      <c r="P14" s="504" t="s">
        <v>736</v>
      </c>
      <c r="Q14" s="504" t="s">
        <v>26</v>
      </c>
      <c r="R14" s="504" t="s">
        <v>840</v>
      </c>
      <c r="S14" s="505">
        <v>0</v>
      </c>
      <c r="T14" s="505">
        <v>0</v>
      </c>
      <c r="U14" s="505">
        <v>0</v>
      </c>
      <c r="V14" s="505">
        <v>5</v>
      </c>
      <c r="W14" s="504" t="s">
        <v>1079</v>
      </c>
    </row>
    <row r="15" spans="1:23" hidden="1">
      <c r="A15" s="293"/>
      <c r="B15" s="266"/>
      <c r="C15" s="294" t="s">
        <v>268</v>
      </c>
      <c r="D15" s="266"/>
      <c r="E15" s="266"/>
      <c r="F15" s="266"/>
      <c r="G15" s="291"/>
      <c r="H15" s="295"/>
      <c r="I15" s="295"/>
      <c r="J15" s="295"/>
      <c r="K15" s="295"/>
      <c r="L15" s="278" t="str">
        <f t="shared" si="0"/>
        <v>10AOR26110</v>
      </c>
      <c r="M15" s="278" t="str">
        <f>IF(OR(L15="",COUNTIF($M$4:M14,IF(ISERROR($R15*1),LEFT($R15,2)*1,$R15*1))&gt;=1),"-",IF(ISERROR($R15*1),LEFT($R15,2)*1,$R15*1))</f>
        <v>-</v>
      </c>
      <c r="N15" s="278" t="str">
        <f>IF(OR(L15="",COUNTIF($N$4:N14,V15*1)&gt;=1),"-",V15*1)</f>
        <v>-</v>
      </c>
      <c r="O15" s="504" t="s">
        <v>733</v>
      </c>
      <c r="P15" s="504" t="s">
        <v>736</v>
      </c>
      <c r="Q15" s="504" t="s">
        <v>26</v>
      </c>
      <c r="R15" s="504" t="s">
        <v>840</v>
      </c>
      <c r="S15" s="505">
        <v>0</v>
      </c>
      <c r="T15" s="505">
        <v>0</v>
      </c>
      <c r="U15" s="505">
        <v>0</v>
      </c>
      <c r="V15" s="505">
        <v>10</v>
      </c>
      <c r="W15" s="504" t="s">
        <v>1078</v>
      </c>
    </row>
    <row r="16" spans="1:23" hidden="1">
      <c r="A16" s="293"/>
      <c r="B16" s="266"/>
      <c r="C16" s="266"/>
      <c r="D16" s="266"/>
      <c r="E16" s="266"/>
      <c r="F16" s="266"/>
      <c r="G16" s="291"/>
      <c r="H16" s="295"/>
      <c r="I16" s="295"/>
      <c r="J16" s="295"/>
      <c r="K16" s="295"/>
      <c r="L16" s="278" t="str">
        <f t="shared" si="0"/>
        <v/>
      </c>
      <c r="M16" s="278" t="str">
        <f>IF(OR(L16="",COUNTIF($M$4:M15,IF(ISERROR($R16*1),LEFT($R16,2)*1,$R16*1))&gt;=1),"-",IF(ISERROR($R16*1),LEFT($R16,2)*1,$R16*1))</f>
        <v>-</v>
      </c>
      <c r="N16" s="278" t="str">
        <f>IF(OR(L16="",COUNTIF($N$4:N15,V16*1)&gt;=1),"-",V16*1)</f>
        <v>-</v>
      </c>
      <c r="O16" s="282"/>
      <c r="P16" s="282"/>
      <c r="Q16" s="282"/>
      <c r="R16" s="282"/>
      <c r="S16" s="283"/>
      <c r="T16" s="283"/>
      <c r="U16" s="283"/>
      <c r="V16" s="283"/>
      <c r="W16" s="282"/>
    </row>
    <row r="17" spans="1:23" hidden="1">
      <c r="A17" s="293"/>
      <c r="B17" s="266"/>
      <c r="L17" s="278" t="str">
        <f t="shared" si="0"/>
        <v/>
      </c>
      <c r="M17" s="278" t="str">
        <f>IF(OR(L17="",COUNTIF($M$4:M16,IF(ISERROR($R17*1),LEFT($R17,2)*1,$R17*1))&gt;=1),"-",IF(ISERROR($R17*1),LEFT($R17,2)*1,$R17*1))</f>
        <v>-</v>
      </c>
      <c r="N17" s="278" t="str">
        <f>IF(OR(L17="",COUNTIF($N$4:N16,V17*1)&gt;=1),"-",V17*1)</f>
        <v>-</v>
      </c>
      <c r="O17" s="282"/>
      <c r="P17" s="282"/>
      <c r="Q17" s="282"/>
      <c r="R17" s="282"/>
      <c r="S17" s="283"/>
      <c r="T17" s="283"/>
      <c r="U17" s="283"/>
      <c r="V17" s="283"/>
      <c r="W17" s="282"/>
    </row>
    <row r="18" spans="1:23" hidden="1">
      <c r="A18" s="293"/>
      <c r="B18" s="266"/>
      <c r="L18" s="278" t="str">
        <f t="shared" si="0"/>
        <v/>
      </c>
      <c r="M18" s="278" t="str">
        <f>IF(OR(L18="",COUNTIF($M$4:M17,IF(ISERROR($R18*1),LEFT($R18,2)*1,$R18*1))&gt;=1),"-",IF(ISERROR($R18*1),LEFT($R18,2)*1,$R18*1))</f>
        <v>-</v>
      </c>
      <c r="N18" s="278" t="str">
        <f>IF(OR(L18="",COUNTIF($N$4:N17,V18*1)&gt;=1),"-",V18*1)</f>
        <v>-</v>
      </c>
      <c r="O18" s="282"/>
      <c r="P18" s="282"/>
      <c r="Q18" s="282"/>
      <c r="R18" s="282"/>
      <c r="S18" s="283"/>
      <c r="T18" s="283"/>
      <c r="U18" s="283"/>
      <c r="V18" s="283"/>
      <c r="W18" s="282"/>
    </row>
    <row r="19" spans="1:23" hidden="1">
      <c r="A19" s="293"/>
      <c r="B19" s="266"/>
      <c r="L19" s="278" t="str">
        <f t="shared" si="0"/>
        <v/>
      </c>
      <c r="M19" s="278" t="str">
        <f>IF(OR(L19="",COUNTIF($M$4:M18,IF(ISERROR($R19*1),LEFT($R19,2)*1,$R19*1))&gt;=1),"-",IF(ISERROR($R19*1),LEFT($R19,2)*1,$R19*1))</f>
        <v>-</v>
      </c>
      <c r="N19" s="278" t="str">
        <f>IF(OR(L19="",COUNTIF($N$4:N18,V19*1)&gt;=1),"-",V19*1)</f>
        <v>-</v>
      </c>
      <c r="O19" s="282"/>
      <c r="P19" s="282"/>
      <c r="Q19" s="282"/>
      <c r="R19" s="282"/>
      <c r="S19" s="283"/>
      <c r="T19" s="283"/>
      <c r="U19" s="283"/>
      <c r="V19" s="283"/>
      <c r="W19" s="282"/>
    </row>
    <row r="20" spans="1:23" hidden="1">
      <c r="A20" s="293"/>
      <c r="B20" s="266"/>
      <c r="L20" s="278" t="str">
        <f t="shared" si="0"/>
        <v/>
      </c>
      <c r="M20" s="278" t="str">
        <f>IF(OR(L20="",COUNTIF($M$4:M19,IF(ISERROR($R20*1),LEFT($R20,2)*1,$R20*1))&gt;=1),"-",IF(ISERROR($R20*1),LEFT($R20,2)*1,$R20*1))</f>
        <v>-</v>
      </c>
      <c r="N20" s="278" t="str">
        <f>IF(OR(L20="",COUNTIF($N$4:N19,V20*1)&gt;=1),"-",V20*1)</f>
        <v>-</v>
      </c>
      <c r="O20" s="282"/>
      <c r="P20" s="282"/>
      <c r="Q20" s="282"/>
      <c r="R20" s="282"/>
      <c r="S20" s="283"/>
      <c r="T20" s="283"/>
      <c r="U20" s="283"/>
      <c r="V20" s="283"/>
      <c r="W20" s="282"/>
    </row>
    <row r="21" spans="1:23" hidden="1">
      <c r="A21" s="266"/>
      <c r="B21" s="266"/>
      <c r="L21" s="278" t="str">
        <f t="shared" si="0"/>
        <v/>
      </c>
      <c r="M21" s="278" t="str">
        <f>IF(OR(L21="",COUNTIF($M$4:M20,IF(ISERROR($R21*1),LEFT($R21,2)*1,$R21*1))&gt;=1),"-",IF(ISERROR($R21*1),LEFT($R21,2)*1,$R21*1))</f>
        <v>-</v>
      </c>
      <c r="N21" s="278" t="str">
        <f>IF(OR(L21="",COUNTIF($N$4:N20,V21*1)&gt;=1),"-",V21*1)</f>
        <v>-</v>
      </c>
      <c r="O21" s="282"/>
      <c r="P21" s="282"/>
      <c r="Q21" s="282"/>
      <c r="R21" s="282"/>
      <c r="S21" s="283"/>
      <c r="T21" s="283"/>
      <c r="U21" s="283"/>
      <c r="V21" s="283"/>
      <c r="W21" s="282"/>
    </row>
    <row r="22" spans="1:23" hidden="1">
      <c r="A22" s="266"/>
      <c r="B22" s="266"/>
      <c r="L22" s="278" t="str">
        <f t="shared" si="0"/>
        <v/>
      </c>
      <c r="M22" s="278" t="str">
        <f>IF(OR(L22="",COUNTIF($M$4:M21,IF(ISERROR($R22*1),LEFT($R22,2)*1,$R22*1))&gt;=1),"-",IF(ISERROR($R22*1),LEFT($R22,2)*1,$R22*1))</f>
        <v>-</v>
      </c>
      <c r="N22" s="278" t="str">
        <f>IF(OR(L22="",COUNTIF($N$4:N21,V22*1)&gt;=1),"-",V22*1)</f>
        <v>-</v>
      </c>
      <c r="O22" s="282"/>
      <c r="P22" s="282"/>
      <c r="Q22" s="282"/>
      <c r="R22" s="282"/>
      <c r="S22" s="283"/>
      <c r="T22" s="283"/>
      <c r="U22" s="283"/>
      <c r="V22" s="283"/>
      <c r="W22" s="282"/>
    </row>
    <row r="23" spans="1:23" hidden="1">
      <c r="A23" s="266"/>
      <c r="B23" s="266"/>
      <c r="L23" s="278" t="str">
        <f t="shared" si="0"/>
        <v/>
      </c>
      <c r="M23" s="278" t="str">
        <f>IF(OR(L23="",COUNTIF($M$4:M22,IF(ISERROR($R23*1),LEFT($R23,2)*1,$R23*1))&gt;=1),"-",IF(ISERROR($R23*1),LEFT($R23,2)*1,$R23*1))</f>
        <v>-</v>
      </c>
      <c r="N23" s="278" t="str">
        <f>IF(OR(L23="",COUNTIF($N$4:N22,V23*1)&gt;=1),"-",V23*1)</f>
        <v>-</v>
      </c>
      <c r="O23" s="282"/>
      <c r="P23" s="282"/>
      <c r="Q23" s="282"/>
      <c r="R23" s="282"/>
      <c r="S23" s="283"/>
      <c r="T23" s="283"/>
      <c r="U23" s="283"/>
      <c r="V23" s="283"/>
      <c r="W23" s="282"/>
    </row>
    <row r="24" spans="1:23" hidden="1">
      <c r="A24" s="266"/>
      <c r="B24" s="266"/>
      <c r="L24" s="278" t="str">
        <f t="shared" si="0"/>
        <v/>
      </c>
      <c r="M24" s="278" t="str">
        <f>IF(OR(L24="",COUNTIF($M$4:M23,IF(ISERROR($R24*1),LEFT($R24,2)*1,$R24*1))&gt;=1),"-",IF(ISERROR($R24*1),LEFT($R24,2)*1,$R24*1))</f>
        <v>-</v>
      </c>
      <c r="N24" s="278" t="str">
        <f>IF(OR(L24="",COUNTIF($N$4:N23,V24*1)&gt;=1),"-",V24*1)</f>
        <v>-</v>
      </c>
      <c r="O24" s="282"/>
      <c r="P24" s="282"/>
      <c r="Q24" s="282"/>
      <c r="R24" s="282"/>
      <c r="S24" s="283"/>
      <c r="T24" s="283"/>
      <c r="U24" s="283"/>
      <c r="V24" s="283"/>
      <c r="W24" s="282"/>
    </row>
    <row r="25" spans="1:23" hidden="1">
      <c r="A25" s="266"/>
      <c r="B25" s="266"/>
      <c r="L25" s="278" t="str">
        <f t="shared" si="0"/>
        <v/>
      </c>
      <c r="M25" s="278" t="str">
        <f>IF(OR(L25="",COUNTIF($M$4:M24,IF(ISERROR($R25*1),LEFT($R25,2)*1,$R25*1))&gt;=1),"-",IF(ISERROR($R25*1),LEFT($R25,2)*1,$R25*1))</f>
        <v>-</v>
      </c>
      <c r="N25" s="278" t="str">
        <f>IF(OR(L25="",COUNTIF($N$4:N24,V25*1)&gt;=1),"-",V25*1)</f>
        <v>-</v>
      </c>
      <c r="O25" s="282"/>
      <c r="P25" s="282"/>
      <c r="Q25" s="282"/>
      <c r="R25" s="282"/>
      <c r="S25" s="283"/>
      <c r="T25" s="283"/>
      <c r="U25" s="283"/>
      <c r="V25" s="283"/>
      <c r="W25" s="282"/>
    </row>
    <row r="26" spans="1:23" hidden="1">
      <c r="A26" s="266"/>
      <c r="B26" s="266"/>
      <c r="L26" s="278" t="str">
        <f t="shared" si="0"/>
        <v/>
      </c>
      <c r="M26" s="278" t="str">
        <f>IF(OR(L26="",COUNTIF($M$4:M25,IF(ISERROR($R26*1),LEFT($R26,2)*1,$R26*1))&gt;=1),"-",IF(ISERROR($R26*1),LEFT($R26,2)*1,$R26*1))</f>
        <v>-</v>
      </c>
      <c r="N26" s="278" t="str">
        <f>IF(OR(L26="",COUNTIF($N$4:N25,V26*1)&gt;=1),"-",V26*1)</f>
        <v>-</v>
      </c>
      <c r="O26" s="282"/>
      <c r="P26" s="282"/>
      <c r="Q26" s="282"/>
      <c r="R26" s="282"/>
      <c r="S26" s="283"/>
      <c r="T26" s="283"/>
      <c r="U26" s="283"/>
      <c r="V26" s="283"/>
      <c r="W26" s="282"/>
    </row>
    <row r="27" spans="1:23" hidden="1">
      <c r="A27" s="266"/>
      <c r="B27" s="266"/>
      <c r="L27" s="278" t="str">
        <f t="shared" si="0"/>
        <v/>
      </c>
      <c r="M27" s="278" t="str">
        <f>IF(OR(L27="",COUNTIF($M$4:M26,IF(ISERROR($R27*1),LEFT($R27,2)*1,$R27*1))&gt;=1),"-",IF(ISERROR($R27*1),LEFT($R27,2)*1,$R27*1))</f>
        <v>-</v>
      </c>
      <c r="N27" s="278" t="str">
        <f>IF(OR(L27="",COUNTIF($N$4:N26,V27*1)&gt;=1),"-",V27*1)</f>
        <v>-</v>
      </c>
      <c r="O27" s="282"/>
      <c r="P27" s="282"/>
      <c r="Q27" s="282"/>
      <c r="R27" s="282"/>
      <c r="S27" s="283"/>
      <c r="T27" s="283"/>
      <c r="U27" s="283"/>
      <c r="V27" s="283"/>
      <c r="W27" s="282"/>
    </row>
    <row r="28" spans="1:23" hidden="1">
      <c r="A28" s="266"/>
      <c r="B28" s="266"/>
      <c r="L28" s="278" t="str">
        <f t="shared" si="0"/>
        <v/>
      </c>
      <c r="M28" s="278" t="str">
        <f>IF(OR(L28="",COUNTIF($M$4:M27,IF(ISERROR($R28*1),LEFT($R28,2)*1,$R28*1))&gt;=1),"-",IF(ISERROR($R28*1),LEFT($R28,2)*1,$R28*1))</f>
        <v>-</v>
      </c>
      <c r="N28" s="278" t="str">
        <f>IF(OR(L28="",COUNTIF($N$4:N27,V28*1)&gt;=1),"-",V28*1)</f>
        <v>-</v>
      </c>
      <c r="O28" s="282"/>
      <c r="P28" s="282"/>
      <c r="Q28" s="282"/>
      <c r="R28" s="282"/>
      <c r="S28" s="283"/>
      <c r="T28" s="283"/>
      <c r="U28" s="283"/>
      <c r="V28" s="283"/>
      <c r="W28" s="282"/>
    </row>
    <row r="29" spans="1:23" hidden="1">
      <c r="A29" s="266"/>
      <c r="B29" s="266"/>
      <c r="L29" s="278" t="str">
        <f t="shared" si="0"/>
        <v/>
      </c>
      <c r="M29" s="278" t="str">
        <f>IF(OR(L29="",COUNTIF($M$4:M28,IF(ISERROR($R29*1),LEFT($R29,2)*1,$R29*1))&gt;=1),"-",IF(ISERROR($R29*1),LEFT($R29,2)*1,$R29*1))</f>
        <v>-</v>
      </c>
      <c r="N29" s="278" t="str">
        <f>IF(OR(L29="",COUNTIF($N$4:N28,V29*1)&gt;=1),"-",V29*1)</f>
        <v>-</v>
      </c>
      <c r="O29" s="282"/>
      <c r="P29" s="282"/>
      <c r="Q29" s="282"/>
      <c r="R29" s="282"/>
      <c r="S29" s="283"/>
      <c r="T29" s="283"/>
      <c r="U29" s="283"/>
      <c r="V29" s="283"/>
      <c r="W29" s="282"/>
    </row>
    <row r="30" spans="1:23" hidden="1">
      <c r="A30" s="266"/>
      <c r="B30" s="266"/>
      <c r="L30" s="278" t="str">
        <f t="shared" si="0"/>
        <v/>
      </c>
      <c r="M30" s="278" t="str">
        <f>IF(OR(L30="",COUNTIF($M$4:M29,IF(ISERROR($R30*1),LEFT($R30,2)*1,$R30*1))&gt;=1),"-",IF(ISERROR($R30*1),LEFT($R30,2)*1,$R30*1))</f>
        <v>-</v>
      </c>
      <c r="N30" s="278" t="str">
        <f>IF(OR(L30="",COUNTIF($N$4:N29,V30*1)&gt;=1),"-",V30*1)</f>
        <v>-</v>
      </c>
      <c r="O30" s="282"/>
      <c r="P30" s="282"/>
      <c r="Q30" s="282"/>
      <c r="R30" s="282"/>
      <c r="S30" s="283"/>
      <c r="T30" s="283"/>
      <c r="U30" s="283"/>
      <c r="V30" s="283"/>
      <c r="W30" s="282"/>
    </row>
    <row r="31" spans="1:23" hidden="1">
      <c r="A31" s="266"/>
      <c r="B31" s="266"/>
      <c r="L31" s="278" t="str">
        <f t="shared" si="0"/>
        <v/>
      </c>
      <c r="M31" s="278" t="str">
        <f>IF(OR(L31="",COUNTIF($M$4:M30,IF(ISERROR($R31*1),LEFT($R31,2)*1,$R31*1))&gt;=1),"-",IF(ISERROR($R31*1),LEFT($R31,2)*1,$R31*1))</f>
        <v>-</v>
      </c>
      <c r="N31" s="278" t="str">
        <f>IF(OR(L31="",COUNTIF($N$4:N30,V31*1)&gt;=1),"-",V31*1)</f>
        <v>-</v>
      </c>
      <c r="O31" s="282"/>
      <c r="P31" s="282"/>
      <c r="Q31" s="282"/>
      <c r="R31" s="282"/>
      <c r="S31" s="283"/>
      <c r="T31" s="283"/>
      <c r="U31" s="283"/>
      <c r="V31" s="283"/>
      <c r="W31" s="282"/>
    </row>
    <row r="32" spans="1:23" hidden="1">
      <c r="A32" s="266"/>
      <c r="B32" s="266"/>
      <c r="L32" s="278" t="str">
        <f t="shared" si="0"/>
        <v/>
      </c>
      <c r="M32" s="278" t="str">
        <f>IF(OR(L32="",COUNTIF($M$4:M31,IF(ISERROR($R32*1),LEFT($R32,2)*1,$R32*1))&gt;=1),"-",IF(ISERROR($R32*1),LEFT($R32,2)*1,$R32*1))</f>
        <v>-</v>
      </c>
      <c r="N32" s="278" t="str">
        <f>IF(OR(L32="",COUNTIF($N$4:N31,V32*1)&gt;=1),"-",V32*1)</f>
        <v>-</v>
      </c>
      <c r="O32" s="282"/>
      <c r="P32" s="282"/>
      <c r="Q32" s="282"/>
      <c r="R32" s="282"/>
      <c r="S32" s="283"/>
      <c r="T32" s="283"/>
      <c r="U32" s="283"/>
      <c r="V32" s="283"/>
      <c r="W32" s="282"/>
    </row>
    <row r="33" spans="1:23" hidden="1">
      <c r="A33" s="266"/>
      <c r="B33" s="266"/>
      <c r="L33" s="278" t="str">
        <f t="shared" si="0"/>
        <v/>
      </c>
      <c r="M33" s="278" t="str">
        <f>IF(OR(L33="",COUNTIF($M$4:M32,IF(ISERROR($R33*1),LEFT($R33,2)*1,$R33*1))&gt;=1),"-",IF(ISERROR($R33*1),LEFT($R33,2)*1,$R33*1))</f>
        <v>-</v>
      </c>
      <c r="N33" s="278" t="str">
        <f>IF(OR(L33="",COUNTIF($N$4:N32,V33*1)&gt;=1),"-",V33*1)</f>
        <v>-</v>
      </c>
      <c r="O33" s="282"/>
      <c r="P33" s="282"/>
      <c r="Q33" s="282"/>
      <c r="R33" s="282"/>
      <c r="S33" s="283"/>
      <c r="T33" s="283"/>
      <c r="U33" s="283"/>
      <c r="V33" s="283"/>
      <c r="W33" s="282"/>
    </row>
    <row r="34" spans="1:23" hidden="1">
      <c r="A34" s="266"/>
      <c r="B34" s="266"/>
      <c r="L34" s="278" t="str">
        <f t="shared" si="0"/>
        <v/>
      </c>
      <c r="M34" s="278" t="str">
        <f>IF(OR(L34="",COUNTIF($M$4:M33,IF(ISERROR($R34*1),LEFT($R34,2)*1,$R34*1))&gt;=1),"-",IF(ISERROR($R34*1),LEFT($R34,2)*1,$R34*1))</f>
        <v>-</v>
      </c>
      <c r="N34" s="278" t="str">
        <f>IF(OR(L34="",COUNTIF($N$4:N33,V34*1)&gt;=1),"-",V34*1)</f>
        <v>-</v>
      </c>
      <c r="O34" s="282"/>
      <c r="P34" s="282"/>
      <c r="Q34" s="282"/>
      <c r="R34" s="282"/>
      <c r="S34" s="283"/>
      <c r="T34" s="283"/>
      <c r="U34" s="283"/>
      <c r="V34" s="283"/>
      <c r="W34" s="282"/>
    </row>
    <row r="35" spans="1:23" hidden="1">
      <c r="A35" s="266"/>
      <c r="B35" s="266"/>
      <c r="L35" s="278" t="str">
        <f t="shared" si="0"/>
        <v/>
      </c>
      <c r="M35" s="278" t="str">
        <f>IF(OR(L35="",COUNTIF($M$4:M34,IF(ISERROR($R35*1),LEFT($R35,2)*1,$R35*1))&gt;=1),"-",IF(ISERROR($R35*1),LEFT($R35,2)*1,$R35*1))</f>
        <v>-</v>
      </c>
      <c r="N35" s="278" t="str">
        <f>IF(OR(L35="",COUNTIF($N$4:N34,V35*1)&gt;=1),"-",V35*1)</f>
        <v>-</v>
      </c>
      <c r="O35" s="282"/>
      <c r="P35" s="282"/>
      <c r="Q35" s="282"/>
      <c r="R35" s="282"/>
      <c r="S35" s="283"/>
      <c r="T35" s="283"/>
      <c r="U35" s="283"/>
      <c r="V35" s="283"/>
      <c r="W35" s="282"/>
    </row>
    <row r="36" spans="1:23" hidden="1">
      <c r="A36" s="266"/>
      <c r="B36" s="266"/>
      <c r="L36" s="278" t="str">
        <f t="shared" si="0"/>
        <v/>
      </c>
      <c r="M36" s="278" t="str">
        <f>IF(OR(L36="",COUNTIF($M$4:M35,IF(ISERROR($R36*1),LEFT($R36,2)*1,$R36*1))&gt;=1),"-",IF(ISERROR($R36*1),LEFT($R36,2)*1,$R36*1))</f>
        <v>-</v>
      </c>
      <c r="N36" s="278" t="str">
        <f>IF(OR(L36="",COUNTIF($N$4:N35,V36*1)&gt;=1),"-",V36*1)</f>
        <v>-</v>
      </c>
      <c r="O36" s="282"/>
      <c r="P36" s="282"/>
      <c r="Q36" s="282"/>
      <c r="R36" s="282"/>
      <c r="S36" s="283"/>
      <c r="T36" s="283"/>
      <c r="U36" s="283"/>
      <c r="V36" s="283"/>
      <c r="W36" s="282"/>
    </row>
    <row r="37" spans="1:23" hidden="1">
      <c r="A37" s="266"/>
      <c r="B37" s="266"/>
      <c r="L37" s="278" t="str">
        <f t="shared" si="0"/>
        <v/>
      </c>
      <c r="M37" s="278" t="str">
        <f>IF(OR(L37="",COUNTIF($M$4:M36,IF(ISERROR($R37*1),LEFT($R37,2)*1,$R37*1))&gt;=1),"-",IF(ISERROR($R37*1),LEFT($R37,2)*1,$R37*1))</f>
        <v>-</v>
      </c>
      <c r="N37" s="278" t="str">
        <f>IF(OR(L37="",COUNTIF($N$4:N36,V37*1)&gt;=1),"-",V37*1)</f>
        <v>-</v>
      </c>
      <c r="O37" s="282"/>
      <c r="P37" s="282"/>
      <c r="Q37" s="282"/>
      <c r="R37" s="282"/>
      <c r="S37" s="283"/>
      <c r="T37" s="283"/>
      <c r="U37" s="283"/>
      <c r="V37" s="283"/>
      <c r="W37" s="282"/>
    </row>
    <row r="38" spans="1:23" hidden="1">
      <c r="A38" s="266"/>
      <c r="B38" s="266"/>
      <c r="L38" s="278" t="str">
        <f t="shared" si="0"/>
        <v/>
      </c>
      <c r="M38" s="278" t="str">
        <f>IF(OR(L38="",COUNTIF($M$4:M37,IF(ISERROR($R38*1),LEFT($R38,2)*1,$R38*1))&gt;=1),"-",IF(ISERROR($R38*1),LEFT($R38,2)*1,$R38*1))</f>
        <v>-</v>
      </c>
      <c r="N38" s="278" t="str">
        <f>IF(OR(L38="",COUNTIF($N$4:N37,V38*1)&gt;=1),"-",V38*1)</f>
        <v>-</v>
      </c>
      <c r="O38" s="282"/>
      <c r="P38" s="282"/>
      <c r="Q38" s="282"/>
      <c r="R38" s="282"/>
      <c r="S38" s="283"/>
      <c r="T38" s="283"/>
      <c r="U38" s="283"/>
      <c r="V38" s="283"/>
      <c r="W38" s="282"/>
    </row>
    <row r="39" spans="1:23" hidden="1">
      <c r="A39" s="266"/>
      <c r="B39" s="266"/>
      <c r="L39" s="278" t="str">
        <f t="shared" si="0"/>
        <v/>
      </c>
      <c r="M39" s="278" t="str">
        <f>IF(OR(L39="",COUNTIF($M$4:M38,IF(ISERROR($R39*1),LEFT($R39,2)*1,$R39*1))&gt;=1),"-",IF(ISERROR($R39*1),LEFT($R39,2)*1,$R39*1))</f>
        <v>-</v>
      </c>
      <c r="N39" s="278" t="str">
        <f>IF(OR(L39="",COUNTIF($N$4:N38,V39*1)&gt;=1),"-",V39*1)</f>
        <v>-</v>
      </c>
      <c r="O39" s="282"/>
      <c r="P39" s="282"/>
      <c r="Q39" s="282"/>
      <c r="R39" s="282"/>
      <c r="S39" s="283"/>
      <c r="T39" s="283"/>
      <c r="U39" s="283"/>
      <c r="V39" s="283"/>
      <c r="W39" s="282"/>
    </row>
    <row r="40" spans="1:23" hidden="1">
      <c r="A40" s="266"/>
      <c r="B40" s="266"/>
      <c r="L40" s="278" t="str">
        <f t="shared" si="0"/>
        <v/>
      </c>
      <c r="M40" s="278" t="str">
        <f>IF(OR(L40="",COUNTIF($M$4:M39,IF(ISERROR($R40*1),LEFT($R40,2)*1,$R40*1))&gt;=1),"-",IF(ISERROR($R40*1),LEFT($R40,2)*1,$R40*1))</f>
        <v>-</v>
      </c>
      <c r="N40" s="278" t="str">
        <f>IF(OR(L40="",COUNTIF($N$4:N39,V40*1)&gt;=1),"-",V40*1)</f>
        <v>-</v>
      </c>
      <c r="O40" s="282"/>
      <c r="P40" s="282"/>
      <c r="Q40" s="282"/>
      <c r="R40" s="282"/>
      <c r="S40" s="283"/>
      <c r="T40" s="283"/>
      <c r="U40" s="283"/>
      <c r="V40" s="283"/>
      <c r="W40" s="282"/>
    </row>
    <row r="41" spans="1:23" hidden="1">
      <c r="A41" s="266"/>
      <c r="B41" s="266"/>
      <c r="L41" s="278" t="str">
        <f t="shared" si="0"/>
        <v/>
      </c>
      <c r="M41" s="278" t="str">
        <f>IF(OR(L41="",COUNTIF($M$4:M40,IF(ISERROR($R41*1),LEFT($R41,2)*1,$R41*1))&gt;=1),"-",IF(ISERROR($R41*1),LEFT($R41,2)*1,$R41*1))</f>
        <v>-</v>
      </c>
      <c r="N41" s="278" t="str">
        <f>IF(OR(L41="",COUNTIF($N$4:N40,V41*1)&gt;=1),"-",V41*1)</f>
        <v>-</v>
      </c>
      <c r="O41" s="282"/>
      <c r="P41" s="282"/>
      <c r="Q41" s="282"/>
      <c r="R41" s="282"/>
      <c r="S41" s="283"/>
      <c r="T41" s="283"/>
      <c r="U41" s="283"/>
      <c r="V41" s="283"/>
      <c r="W41" s="282"/>
    </row>
    <row r="42" spans="1:23" hidden="1">
      <c r="A42" s="266"/>
      <c r="B42" s="266"/>
      <c r="L42" s="278" t="str">
        <f t="shared" si="0"/>
        <v/>
      </c>
      <c r="M42" s="278" t="str">
        <f>IF(OR(L42="",COUNTIF($M$4:M41,IF(ISERROR($R42*1),LEFT($R42,2)*1,$R42*1))&gt;=1),"-",IF(ISERROR($R42*1),LEFT($R42,2)*1,$R42*1))</f>
        <v>-</v>
      </c>
      <c r="N42" s="278" t="str">
        <f>IF(OR(L42="",COUNTIF($N$4:N41,V42*1)&gt;=1),"-",V42*1)</f>
        <v>-</v>
      </c>
      <c r="O42" s="282"/>
      <c r="P42" s="282"/>
      <c r="Q42" s="282"/>
      <c r="R42" s="282"/>
      <c r="S42" s="283"/>
      <c r="T42" s="283"/>
      <c r="U42" s="283"/>
      <c r="V42" s="283"/>
      <c r="W42" s="282"/>
    </row>
    <row r="43" spans="1:23" hidden="1">
      <c r="L43" s="278" t="str">
        <f t="shared" si="0"/>
        <v/>
      </c>
      <c r="M43" s="278" t="str">
        <f>IF(OR(L43="",COUNTIF($M$4:M42,IF(ISERROR($R43*1),LEFT($R43,2)*1,$R43*1))&gt;=1),"-",IF(ISERROR($R43*1),LEFT($R43,2)*1,$R43*1))</f>
        <v>-</v>
      </c>
      <c r="N43" s="278" t="str">
        <f>IF(OR(L43="",COUNTIF($N$4:N42,V43*1)&gt;=1),"-",V43*1)</f>
        <v>-</v>
      </c>
      <c r="O43" s="282"/>
      <c r="P43" s="282"/>
      <c r="Q43" s="282"/>
      <c r="R43" s="282"/>
      <c r="S43" s="283"/>
      <c r="T43" s="283"/>
      <c r="U43" s="283"/>
      <c r="V43" s="283"/>
      <c r="W43" s="282"/>
    </row>
    <row r="44" spans="1:23" hidden="1">
      <c r="L44" s="278" t="str">
        <f t="shared" si="0"/>
        <v/>
      </c>
      <c r="M44" s="278" t="str">
        <f>IF(OR(L44="",COUNTIF($M$4:M43,IF(ISERROR($R44*1),LEFT($R44,2)*1,$R44*1))&gt;=1),"-",IF(ISERROR($R44*1),LEFT($R44,2)*1,$R44*1))</f>
        <v>-</v>
      </c>
      <c r="N44" s="278" t="str">
        <f>IF(OR(L44="",COUNTIF($N$4:N43,V44*1)&gt;=1),"-",V44*1)</f>
        <v>-</v>
      </c>
      <c r="O44" s="282"/>
      <c r="P44" s="282"/>
      <c r="Q44" s="282"/>
      <c r="R44" s="282"/>
      <c r="S44" s="283"/>
      <c r="T44" s="283"/>
      <c r="U44" s="283"/>
      <c r="V44" s="283"/>
      <c r="W44" s="282"/>
    </row>
    <row r="45" spans="1:23" hidden="1">
      <c r="L45" s="278" t="str">
        <f t="shared" si="0"/>
        <v/>
      </c>
      <c r="M45" s="278" t="str">
        <f>IF(OR(L45="",COUNTIF($M$4:M44,IF(ISERROR($R45*1),LEFT($R45,2)*1,$R45*1))&gt;=1),"-",IF(ISERROR($R45*1),LEFT($R45,2)*1,$R45*1))</f>
        <v>-</v>
      </c>
      <c r="N45" s="278" t="str">
        <f>IF(OR(L45="",COUNTIF($N$4:N44,V45*1)&gt;=1),"-",V45*1)</f>
        <v>-</v>
      </c>
      <c r="O45" s="282"/>
      <c r="P45" s="282"/>
      <c r="Q45" s="282"/>
      <c r="R45" s="282"/>
      <c r="S45" s="283"/>
      <c r="T45" s="283"/>
      <c r="U45" s="283"/>
      <c r="V45" s="283"/>
      <c r="W45" s="282"/>
    </row>
    <row r="46" spans="1:23" hidden="1">
      <c r="L46" s="278" t="str">
        <f t="shared" si="0"/>
        <v/>
      </c>
      <c r="M46" s="278" t="str">
        <f>IF(OR(L46="",COUNTIF($M$4:M45,IF(ISERROR($R46*1),LEFT($R46,2)*1,$R46*1))&gt;=1),"-",IF(ISERROR($R46*1),LEFT($R46,2)*1,$R46*1))</f>
        <v>-</v>
      </c>
      <c r="N46" s="278" t="str">
        <f>IF(OR(L46="",COUNTIF($N$4:N45,V46*1)&gt;=1),"-",V46*1)</f>
        <v>-</v>
      </c>
      <c r="O46" s="282"/>
      <c r="P46" s="282"/>
      <c r="Q46" s="282"/>
      <c r="R46" s="282"/>
      <c r="S46" s="283"/>
      <c r="T46" s="283"/>
      <c r="U46" s="283"/>
      <c r="V46" s="283"/>
      <c r="W46" s="282"/>
    </row>
    <row r="47" spans="1:23" hidden="1">
      <c r="L47" s="278" t="str">
        <f t="shared" si="0"/>
        <v/>
      </c>
      <c r="M47" s="278" t="str">
        <f>IF(OR(L47="",COUNTIF($M$4:M46,IF(ISERROR($R47*1),LEFT($R47,2)*1,$R47*1))&gt;=1),"-",IF(ISERROR($R47*1),LEFT($R47,2)*1,$R47*1))</f>
        <v>-</v>
      </c>
      <c r="N47" s="278" t="str">
        <f>IF(OR(L47="",COUNTIF($N$4:N46,V47*1)&gt;=1),"-",V47*1)</f>
        <v>-</v>
      </c>
      <c r="O47" s="282"/>
      <c r="P47" s="282"/>
      <c r="Q47" s="282"/>
      <c r="R47" s="282"/>
      <c r="S47" s="283"/>
      <c r="T47" s="283"/>
      <c r="U47" s="283"/>
      <c r="V47" s="283"/>
      <c r="W47" s="282"/>
    </row>
    <row r="48" spans="1:23" hidden="1">
      <c r="L48" s="278" t="str">
        <f t="shared" si="0"/>
        <v/>
      </c>
      <c r="M48" s="278" t="str">
        <f>IF(OR(L48="",COUNTIF($M$4:M47,IF(ISERROR($R48*1),LEFT($R48,2)*1,$R48*1))&gt;=1),"-",IF(ISERROR($R48*1),LEFT($R48,2)*1,$R48*1))</f>
        <v>-</v>
      </c>
      <c r="N48" s="278" t="str">
        <f>IF(OR(L48="",COUNTIF($N$4:N47,V48*1)&gt;=1),"-",V48*1)</f>
        <v>-</v>
      </c>
      <c r="O48" s="282"/>
      <c r="P48" s="282"/>
      <c r="Q48" s="282"/>
      <c r="R48" s="282"/>
      <c r="S48" s="283"/>
      <c r="T48" s="283"/>
      <c r="U48" s="283"/>
      <c r="V48" s="283"/>
      <c r="W48" s="282"/>
    </row>
    <row r="49" spans="12:23" hidden="1">
      <c r="L49" s="278" t="str">
        <f t="shared" si="0"/>
        <v/>
      </c>
      <c r="M49" s="278" t="str">
        <f>IF(OR(L49="",COUNTIF($M$4:M48,IF(ISERROR($R49*1),LEFT($R49,2)*1,$R49*1))&gt;=1),"-",IF(ISERROR($R49*1),LEFT($R49,2)*1,$R49*1))</f>
        <v>-</v>
      </c>
      <c r="N49" s="278" t="str">
        <f>IF(OR(L49="",COUNTIF($N$4:N48,V49*1)&gt;=1),"-",V49*1)</f>
        <v>-</v>
      </c>
      <c r="O49" s="282"/>
      <c r="P49" s="282"/>
      <c r="Q49" s="282"/>
      <c r="R49" s="282"/>
      <c r="S49" s="283"/>
      <c r="T49" s="283"/>
      <c r="U49" s="283"/>
      <c r="V49" s="283"/>
      <c r="W49" s="282"/>
    </row>
    <row r="50" spans="12:23" hidden="1">
      <c r="L50" s="278" t="str">
        <f t="shared" si="0"/>
        <v/>
      </c>
      <c r="M50" s="278" t="str">
        <f>IF(OR(L50="",COUNTIF($M$4:M49,IF(ISERROR($R50*1),LEFT($R50,2)*1,$R50*1))&gt;=1),"-",IF(ISERROR($R50*1),LEFT($R50,2)*1,$R50*1))</f>
        <v>-</v>
      </c>
      <c r="N50" s="278" t="str">
        <f>IF(OR(L50="",COUNTIF($N$4:N49,V50*1)&gt;=1),"-",V50*1)</f>
        <v>-</v>
      </c>
      <c r="O50" s="282"/>
      <c r="P50" s="282"/>
      <c r="Q50" s="282"/>
      <c r="R50" s="282"/>
      <c r="S50" s="283"/>
      <c r="T50" s="283"/>
      <c r="U50" s="283"/>
      <c r="V50" s="283"/>
      <c r="W50" s="282"/>
    </row>
    <row r="51" spans="12:23" hidden="1">
      <c r="L51" s="278" t="str">
        <f t="shared" si="0"/>
        <v/>
      </c>
      <c r="M51" s="278" t="str">
        <f>IF(OR(L51="",COUNTIF($M$4:M50,IF(ISERROR($R51*1),LEFT($R51,2)*1,$R51*1))&gt;=1),"-",IF(ISERROR($R51*1),LEFT($R51,2)*1,$R51*1))</f>
        <v>-</v>
      </c>
      <c r="N51" s="278" t="str">
        <f>IF(OR(L51="",COUNTIF($N$4:N50,V51*1)&gt;=1),"-",V51*1)</f>
        <v>-</v>
      </c>
      <c r="O51" s="282"/>
      <c r="P51" s="282"/>
      <c r="Q51" s="282"/>
      <c r="R51" s="282"/>
      <c r="S51" s="283"/>
      <c r="T51" s="283"/>
      <c r="U51" s="283"/>
      <c r="V51" s="283"/>
      <c r="W51" s="282"/>
    </row>
    <row r="52" spans="12:23" hidden="1">
      <c r="L52" s="278" t="str">
        <f t="shared" si="0"/>
        <v/>
      </c>
      <c r="M52" s="278" t="str">
        <f>IF(OR(L52="",COUNTIF($M$4:M51,IF(ISERROR($R52*1),LEFT($R52,2)*1,$R52*1))&gt;=1),"-",IF(ISERROR($R52*1),LEFT($R52,2)*1,$R52*1))</f>
        <v>-</v>
      </c>
      <c r="N52" s="278" t="str">
        <f>IF(OR(L52="",COUNTIF($N$4:N51,V52*1)&gt;=1),"-",V52*1)</f>
        <v>-</v>
      </c>
      <c r="O52" s="282"/>
      <c r="P52" s="282"/>
      <c r="Q52" s="282"/>
      <c r="R52" s="282"/>
      <c r="S52" s="283"/>
      <c r="T52" s="283"/>
      <c r="U52" s="283"/>
      <c r="V52" s="283"/>
      <c r="W52" s="282"/>
    </row>
    <row r="53" spans="12:23" hidden="1">
      <c r="L53" s="278" t="str">
        <f t="shared" si="0"/>
        <v/>
      </c>
      <c r="M53" s="278" t="str">
        <f>IF(OR(L53="",COUNTIF($M$4:M52,IF(ISERROR($R53*1),LEFT($R53,2)*1,$R53*1))&gt;=1),"-",IF(ISERROR($R53*1),LEFT($R53,2)*1,$R53*1))</f>
        <v>-</v>
      </c>
      <c r="N53" s="278" t="str">
        <f>IF(OR(L53="",COUNTIF($N$4:N52,V53*1)&gt;=1),"-",V53*1)</f>
        <v>-</v>
      </c>
      <c r="O53" s="282"/>
      <c r="P53" s="282"/>
      <c r="Q53" s="282"/>
      <c r="R53" s="282"/>
      <c r="S53" s="283"/>
      <c r="T53" s="283"/>
      <c r="U53" s="283"/>
      <c r="V53" s="283"/>
      <c r="W53" s="282"/>
    </row>
    <row r="54" spans="12:23" hidden="1">
      <c r="L54" s="278" t="str">
        <f t="shared" si="0"/>
        <v/>
      </c>
      <c r="M54" s="278" t="str">
        <f>IF(OR(L54="",COUNTIF($M$4:M53,IF(ISERROR($R54*1),LEFT($R54,2)*1,$R54*1))&gt;=1),"-",IF(ISERROR($R54*1),LEFT($R54,2)*1,$R54*1))</f>
        <v>-</v>
      </c>
      <c r="N54" s="278" t="str">
        <f>IF(OR(L54="",COUNTIF($N$4:N53,V54*1)&gt;=1),"-",V54*1)</f>
        <v>-</v>
      </c>
      <c r="O54" s="282"/>
      <c r="P54" s="282"/>
      <c r="Q54" s="282"/>
      <c r="R54" s="282"/>
      <c r="S54" s="283"/>
      <c r="T54" s="283"/>
      <c r="U54" s="283"/>
      <c r="V54" s="283"/>
      <c r="W54" s="282"/>
    </row>
    <row r="55" spans="12:23" hidden="1">
      <c r="L55" s="278" t="str">
        <f t="shared" si="0"/>
        <v/>
      </c>
      <c r="M55" s="278" t="str">
        <f>IF(OR(L55="",COUNTIF($M$4:M54,IF(ISERROR($R55*1),LEFT($R55,2)*1,$R55*1))&gt;=1),"-",IF(ISERROR($R55*1),LEFT($R55,2)*1,$R55*1))</f>
        <v>-</v>
      </c>
      <c r="N55" s="278" t="str">
        <f>IF(OR(L55="",COUNTIF($N$4:N54,V55*1)&gt;=1),"-",V55*1)</f>
        <v>-</v>
      </c>
      <c r="O55" s="282"/>
      <c r="P55" s="282"/>
      <c r="Q55" s="282"/>
      <c r="R55" s="282"/>
      <c r="S55" s="283"/>
      <c r="T55" s="283"/>
      <c r="U55" s="283"/>
      <c r="V55" s="283"/>
      <c r="W55" s="282"/>
    </row>
    <row r="56" spans="12:23" hidden="1">
      <c r="L56" s="278" t="str">
        <f t="shared" si="0"/>
        <v/>
      </c>
      <c r="M56" s="278" t="str">
        <f>IF(OR(L56="",COUNTIF($M$4:M55,IF(ISERROR($R56*1),LEFT($R56,2)*1,$R56*1))&gt;=1),"-",IF(ISERROR($R56*1),LEFT($R56,2)*1,$R56*1))</f>
        <v>-</v>
      </c>
      <c r="N56" s="278" t="str">
        <f>IF(OR(L56="",COUNTIF($N$4:N55,V56*1)&gt;=1),"-",V56*1)</f>
        <v>-</v>
      </c>
      <c r="O56" s="282"/>
      <c r="P56" s="282"/>
      <c r="Q56" s="282"/>
      <c r="R56" s="282"/>
      <c r="S56" s="283"/>
      <c r="T56" s="283"/>
      <c r="U56" s="283"/>
      <c r="V56" s="283"/>
      <c r="W56" s="282"/>
    </row>
    <row r="57" spans="12:23" hidden="1">
      <c r="L57" s="278" t="str">
        <f t="shared" si="0"/>
        <v/>
      </c>
      <c r="M57" s="278" t="str">
        <f>IF(OR(L57="",COUNTIF($M$4:M56,IF(ISERROR($R57*1),LEFT($R57,2)*1,$R57*1))&gt;=1),"-",IF(ISERROR($R57*1),LEFT($R57,2)*1,$R57*1))</f>
        <v>-</v>
      </c>
      <c r="N57" s="278" t="str">
        <f>IF(OR(L57="",COUNTIF($N$4:N56,V57*1)&gt;=1),"-",V57*1)</f>
        <v>-</v>
      </c>
      <c r="O57" s="282"/>
      <c r="P57" s="282"/>
      <c r="Q57" s="282"/>
      <c r="R57" s="282"/>
      <c r="S57" s="283"/>
      <c r="T57" s="283"/>
      <c r="U57" s="283"/>
      <c r="V57" s="283"/>
      <c r="W57" s="282"/>
    </row>
    <row r="58" spans="12:23" hidden="1">
      <c r="L58" s="278" t="str">
        <f t="shared" si="0"/>
        <v/>
      </c>
      <c r="M58" s="278" t="str">
        <f>IF(OR(L58="",COUNTIF($M$4:M57,IF(ISERROR($R58*1),LEFT($R58,2)*1,$R58*1))&gt;=1),"-",IF(ISERROR($R58*1),LEFT($R58,2)*1,$R58*1))</f>
        <v>-</v>
      </c>
      <c r="N58" s="278" t="str">
        <f>IF(OR(L58="",COUNTIF($N$4:N57,V58*1)&gt;=1),"-",V58*1)</f>
        <v>-</v>
      </c>
      <c r="O58" s="282"/>
      <c r="P58" s="282"/>
      <c r="Q58" s="282"/>
      <c r="R58" s="282"/>
      <c r="S58" s="283"/>
      <c r="T58" s="283"/>
      <c r="U58" s="283"/>
      <c r="V58" s="283"/>
      <c r="W58" s="282"/>
    </row>
    <row r="59" spans="12:23" hidden="1">
      <c r="L59" s="278" t="str">
        <f t="shared" si="0"/>
        <v/>
      </c>
      <c r="M59" s="278" t="str">
        <f>IF(OR(L59="",COUNTIF($M$4:M58,IF(ISERROR($R59*1),LEFT($R59,2)*1,$R59*1))&gt;=1),"-",IF(ISERROR($R59*1),LEFT($R59,2)*1,$R59*1))</f>
        <v>-</v>
      </c>
      <c r="N59" s="278" t="str">
        <f>IF(OR(L59="",COUNTIF($N$4:N58,V59*1)&gt;=1),"-",V59*1)</f>
        <v>-</v>
      </c>
      <c r="O59" s="282"/>
      <c r="P59" s="282"/>
      <c r="Q59" s="282"/>
      <c r="R59" s="282"/>
      <c r="S59" s="283"/>
      <c r="T59" s="283"/>
      <c r="U59" s="283"/>
      <c r="V59" s="283"/>
      <c r="W59" s="282"/>
    </row>
    <row r="60" spans="12:23" hidden="1">
      <c r="L60" s="278" t="str">
        <f t="shared" si="0"/>
        <v/>
      </c>
      <c r="M60" s="278" t="str">
        <f>IF(OR(L60="",COUNTIF($M$4:M59,IF(ISERROR($R60*1),LEFT($R60,2)*1,$R60*1))&gt;=1),"-",IF(ISERROR($R60*1),LEFT($R60,2)*1,$R60*1))</f>
        <v>-</v>
      </c>
      <c r="N60" s="278" t="str">
        <f>IF(OR(L60="",COUNTIF($N$4:N59,V60*1)&gt;=1),"-",V60*1)</f>
        <v>-</v>
      </c>
      <c r="O60" s="282"/>
      <c r="P60" s="282"/>
      <c r="Q60" s="282"/>
      <c r="R60" s="282"/>
      <c r="S60" s="283"/>
      <c r="T60" s="283"/>
      <c r="U60" s="283"/>
      <c r="V60" s="283"/>
      <c r="W60" s="282"/>
    </row>
    <row r="61" spans="12:23" hidden="1">
      <c r="L61" s="278" t="str">
        <f t="shared" si="0"/>
        <v/>
      </c>
      <c r="M61" s="278" t="str">
        <f>IF(OR(L61="",COUNTIF($M$4:M60,IF(ISERROR($R61*1),LEFT($R61,2)*1,$R61*1))&gt;=1),"-",IF(ISERROR($R61*1),LEFT($R61,2)*1,$R61*1))</f>
        <v>-</v>
      </c>
      <c r="N61" s="278" t="str">
        <f>IF(OR(L61="",COUNTIF($N$4:N60,V61*1)&gt;=1),"-",V61*1)</f>
        <v>-</v>
      </c>
      <c r="O61" s="282"/>
      <c r="P61" s="282"/>
      <c r="Q61" s="282"/>
      <c r="R61" s="282"/>
      <c r="S61" s="283"/>
      <c r="T61" s="283"/>
      <c r="U61" s="283"/>
      <c r="V61" s="283"/>
      <c r="W61" s="282"/>
    </row>
    <row r="62" spans="12:23" hidden="1">
      <c r="L62" s="278" t="str">
        <f t="shared" si="0"/>
        <v/>
      </c>
      <c r="M62" s="278" t="str">
        <f>IF(OR(L62="",COUNTIF($M$4:M61,IF(ISERROR($R62*1),LEFT($R62,2)*1,$R62*1))&gt;=1),"-",IF(ISERROR($R62*1),LEFT($R62,2)*1,$R62*1))</f>
        <v>-</v>
      </c>
      <c r="N62" s="278" t="str">
        <f>IF(OR(L62="",COUNTIF($N$4:N61,V62*1)&gt;=1),"-",V62*1)</f>
        <v>-</v>
      </c>
      <c r="O62" s="282"/>
      <c r="P62" s="282"/>
      <c r="Q62" s="282"/>
      <c r="R62" s="282"/>
      <c r="S62" s="283"/>
      <c r="T62" s="283"/>
      <c r="U62" s="283"/>
      <c r="V62" s="283"/>
      <c r="W62" s="282"/>
    </row>
    <row r="63" spans="12:23" hidden="1">
      <c r="L63" s="278" t="str">
        <f t="shared" si="0"/>
        <v/>
      </c>
      <c r="M63" s="278" t="str">
        <f>IF(OR(L63="",COUNTIF($M$4:M62,IF(ISERROR($R63*1),LEFT($R63,2)*1,$R63*1))&gt;=1),"-",IF(ISERROR($R63*1),LEFT($R63,2)*1,$R63*1))</f>
        <v>-</v>
      </c>
      <c r="N63" s="278" t="str">
        <f>IF(OR(L63="",COUNTIF($N$4:N62,V63*1)&gt;=1),"-",V63*1)</f>
        <v>-</v>
      </c>
      <c r="O63" s="282"/>
      <c r="P63" s="282"/>
      <c r="Q63" s="282"/>
      <c r="R63" s="282"/>
      <c r="S63" s="283"/>
      <c r="T63" s="283"/>
      <c r="U63" s="283"/>
      <c r="V63" s="283"/>
      <c r="W63" s="282"/>
    </row>
    <row r="64" spans="12:23" hidden="1">
      <c r="L64" s="278" t="str">
        <f t="shared" si="0"/>
        <v/>
      </c>
      <c r="M64" s="278" t="str">
        <f>IF(OR(L64="",COUNTIF($M$4:M63,IF(ISERROR($R64*1),LEFT($R64,2)*1,$R64*1))&gt;=1),"-",IF(ISERROR($R64*1),LEFT($R64,2)*1,$R64*1))</f>
        <v>-</v>
      </c>
      <c r="N64" s="278" t="str">
        <f>IF(OR(L64="",COUNTIF($N$4:N63,V64*1)&gt;=1),"-",V64*1)</f>
        <v>-</v>
      </c>
      <c r="O64" s="282"/>
      <c r="P64" s="282"/>
      <c r="Q64" s="282"/>
      <c r="R64" s="282"/>
      <c r="S64" s="283"/>
      <c r="T64" s="283"/>
      <c r="U64" s="283"/>
      <c r="V64" s="283"/>
      <c r="W64" s="282"/>
    </row>
    <row r="65" spans="12:23" hidden="1">
      <c r="L65" s="278" t="str">
        <f t="shared" si="0"/>
        <v/>
      </c>
      <c r="M65" s="278" t="str">
        <f>IF(OR(L65="",COUNTIF($M$4:M64,IF(ISERROR($R65*1),LEFT($R65,2)*1,$R65*1))&gt;=1),"-",IF(ISERROR($R65*1),LEFT($R65,2)*1,$R65*1))</f>
        <v>-</v>
      </c>
      <c r="N65" s="278" t="str">
        <f>IF(OR(L65="",COUNTIF($N$4:N64,V65*1)&gt;=1),"-",V65*1)</f>
        <v>-</v>
      </c>
      <c r="O65" s="282"/>
      <c r="P65" s="282"/>
      <c r="Q65" s="282"/>
      <c r="R65" s="282"/>
      <c r="S65" s="283"/>
      <c r="T65" s="283"/>
      <c r="U65" s="283"/>
      <c r="V65" s="283"/>
      <c r="W65" s="282"/>
    </row>
    <row r="66" spans="12:23" hidden="1">
      <c r="L66" s="278" t="str">
        <f t="shared" si="0"/>
        <v/>
      </c>
      <c r="M66" s="278" t="str">
        <f>IF(OR(L66="",COUNTIF($M$4:M65,IF(ISERROR($R66*1),LEFT($R66,2)*1,$R66*1))&gt;=1),"-",IF(ISERROR($R66*1),LEFT($R66,2)*1,$R66*1))</f>
        <v>-</v>
      </c>
      <c r="N66" s="278" t="str">
        <f>IF(OR(L66="",COUNTIF($N$4:N65,V66*1)&gt;=1),"-",V66*1)</f>
        <v>-</v>
      </c>
      <c r="O66" s="282"/>
      <c r="P66" s="282"/>
      <c r="Q66" s="282"/>
      <c r="R66" s="282"/>
      <c r="S66" s="283"/>
      <c r="T66" s="283"/>
      <c r="U66" s="283"/>
      <c r="V66" s="283"/>
      <c r="W66" s="282"/>
    </row>
    <row r="67" spans="12:23" hidden="1">
      <c r="L67" s="278" t="str">
        <f t="shared" si="0"/>
        <v/>
      </c>
      <c r="M67" s="278" t="str">
        <f>IF(OR(L67="",COUNTIF($M$4:M66,IF(ISERROR($R67*1),LEFT($R67,2)*1,$R67*1))&gt;=1),"-",IF(ISERROR($R67*1),LEFT($R67,2)*1,$R67*1))</f>
        <v>-</v>
      </c>
      <c r="N67" s="278" t="str">
        <f>IF(OR(L67="",COUNTIF($N$4:N66,V67*1)&gt;=1),"-",V67*1)</f>
        <v>-</v>
      </c>
      <c r="O67" s="282"/>
      <c r="P67" s="282"/>
      <c r="Q67" s="282"/>
      <c r="R67" s="282"/>
      <c r="S67" s="283"/>
      <c r="T67" s="283"/>
      <c r="U67" s="283"/>
      <c r="V67" s="283"/>
      <c r="W67" s="282"/>
    </row>
    <row r="68" spans="12:23" hidden="1">
      <c r="L68" s="278" t="str">
        <f t="shared" ref="L68:L102" si="5">IF(P68&lt;&gt;$B$1,"",P68&amp;Q68&amp;R68&amp;V68)</f>
        <v/>
      </c>
      <c r="M68" s="278" t="str">
        <f>IF(OR(L68="",COUNTIF($M$4:M67,IF(ISERROR($R68*1),LEFT($R68,2)*1,$R68*1))&gt;=1),"-",IF(ISERROR($R68*1),LEFT($R68,2)*1,$R68*1))</f>
        <v>-</v>
      </c>
      <c r="N68" s="278" t="str">
        <f>IF(OR(L68="",COUNTIF($N$4:N67,V68*1)&gt;=1),"-",V68*1)</f>
        <v>-</v>
      </c>
      <c r="O68" s="282"/>
      <c r="P68" s="282"/>
      <c r="Q68" s="282"/>
      <c r="R68" s="282"/>
      <c r="S68" s="283"/>
      <c r="T68" s="283"/>
      <c r="U68" s="283"/>
      <c r="V68" s="283"/>
      <c r="W68" s="282"/>
    </row>
    <row r="69" spans="12:23" hidden="1">
      <c r="L69" s="278" t="str">
        <f t="shared" si="5"/>
        <v/>
      </c>
      <c r="M69" s="278" t="str">
        <f>IF(OR(L69="",COUNTIF($M$4:M68,IF(ISERROR($R69*1),LEFT($R69,2)*1,$R69*1))&gt;=1),"-",IF(ISERROR($R69*1),LEFT($R69,2)*1,$R69*1))</f>
        <v>-</v>
      </c>
      <c r="N69" s="278" t="str">
        <f>IF(OR(L69="",COUNTIF($N$4:N68,V69*1)&gt;=1),"-",V69*1)</f>
        <v>-</v>
      </c>
      <c r="O69" s="282"/>
      <c r="P69" s="282"/>
      <c r="Q69" s="282"/>
      <c r="R69" s="282"/>
      <c r="S69" s="283"/>
      <c r="T69" s="283"/>
      <c r="U69" s="283"/>
      <c r="V69" s="283"/>
      <c r="W69" s="282"/>
    </row>
    <row r="70" spans="12:23" hidden="1">
      <c r="L70" s="278" t="str">
        <f t="shared" si="5"/>
        <v/>
      </c>
      <c r="M70" s="278" t="str">
        <f>IF(OR(L70="",COUNTIF($M$4:M69,IF(ISERROR($R70*1),LEFT($R70,2)*1,$R70*1))&gt;=1),"-",IF(ISERROR($R70*1),LEFT($R70,2)*1,$R70*1))</f>
        <v>-</v>
      </c>
      <c r="N70" s="278" t="str">
        <f>IF(OR(L70="",COUNTIF($N$4:N69,V70*1)&gt;=1),"-",V70*1)</f>
        <v>-</v>
      </c>
      <c r="O70" s="282"/>
      <c r="P70" s="282"/>
      <c r="Q70" s="282"/>
      <c r="R70" s="282"/>
      <c r="S70" s="283"/>
      <c r="T70" s="283"/>
      <c r="U70" s="283"/>
      <c r="V70" s="283"/>
      <c r="W70" s="282"/>
    </row>
    <row r="71" spans="12:23" hidden="1">
      <c r="L71" s="278" t="str">
        <f t="shared" si="5"/>
        <v/>
      </c>
      <c r="M71" s="278" t="str">
        <f>IF(OR(L71="",COUNTIF($M$4:M70,IF(ISERROR($R71*1),LEFT($R71,2)*1,$R71*1))&gt;=1),"-",IF(ISERROR($R71*1),LEFT($R71,2)*1,$R71*1))</f>
        <v>-</v>
      </c>
      <c r="N71" s="278" t="str">
        <f>IF(OR(L71="",COUNTIF($N$4:N70,V71*1)&gt;=1),"-",V71*1)</f>
        <v>-</v>
      </c>
      <c r="O71" s="282"/>
      <c r="P71" s="282"/>
      <c r="Q71" s="282"/>
      <c r="R71" s="282"/>
      <c r="S71" s="283"/>
      <c r="T71" s="283"/>
      <c r="U71" s="283"/>
      <c r="V71" s="283"/>
      <c r="W71" s="282"/>
    </row>
    <row r="72" spans="12:23" hidden="1">
      <c r="L72" s="278" t="str">
        <f t="shared" si="5"/>
        <v/>
      </c>
      <c r="M72" s="278" t="str">
        <f>IF(OR(L72="",COUNTIF($M$4:M71,IF(ISERROR($R72*1),LEFT($R72,2)*1,$R72*1))&gt;=1),"-",IF(ISERROR($R72*1),LEFT($R72,2)*1,$R72*1))</f>
        <v>-</v>
      </c>
      <c r="N72" s="278" t="str">
        <f>IF(OR(L72="",COUNTIF($N$4:N71,V72*1)&gt;=1),"-",V72*1)</f>
        <v>-</v>
      </c>
      <c r="O72" s="282"/>
      <c r="P72" s="282"/>
      <c r="Q72" s="282"/>
      <c r="R72" s="282"/>
      <c r="S72" s="283"/>
      <c r="T72" s="283"/>
      <c r="U72" s="283"/>
      <c r="V72" s="283"/>
      <c r="W72" s="282"/>
    </row>
    <row r="73" spans="12:23" hidden="1">
      <c r="L73" s="278" t="str">
        <f t="shared" si="5"/>
        <v/>
      </c>
      <c r="M73" s="278" t="str">
        <f>IF(OR(L73="",COUNTIF($M$4:M72,IF(ISERROR($R73*1),LEFT($R73,2)*1,$R73*1))&gt;=1),"-",IF(ISERROR($R73*1),LEFT($R73,2)*1,$R73*1))</f>
        <v>-</v>
      </c>
      <c r="N73" s="278" t="str">
        <f>IF(OR(L73="",COUNTIF($N$4:N72,V73*1)&gt;=1),"-",V73*1)</f>
        <v>-</v>
      </c>
      <c r="O73" s="282"/>
      <c r="P73" s="282"/>
      <c r="Q73" s="282"/>
      <c r="R73" s="282"/>
      <c r="S73" s="283"/>
      <c r="T73" s="283"/>
      <c r="U73" s="283"/>
      <c r="V73" s="283"/>
      <c r="W73" s="282"/>
    </row>
    <row r="74" spans="12:23" hidden="1">
      <c r="L74" s="278" t="str">
        <f t="shared" si="5"/>
        <v/>
      </c>
      <c r="M74" s="278" t="str">
        <f>IF(OR(L74="",COUNTIF($M$4:M73,IF(ISERROR($R74*1),LEFT($R74,2)*1,$R74*1))&gt;=1),"-",IF(ISERROR($R74*1),LEFT($R74,2)*1,$R74*1))</f>
        <v>-</v>
      </c>
      <c r="N74" s="278" t="str">
        <f>IF(OR(L74="",COUNTIF($N$4:N73,V74*1)&gt;=1),"-",V74*1)</f>
        <v>-</v>
      </c>
      <c r="O74" s="282"/>
      <c r="P74" s="282"/>
      <c r="Q74" s="282"/>
      <c r="R74" s="282"/>
      <c r="S74" s="283"/>
      <c r="T74" s="283"/>
      <c r="U74" s="283"/>
      <c r="V74" s="283"/>
      <c r="W74" s="282"/>
    </row>
    <row r="75" spans="12:23" hidden="1">
      <c r="L75" s="278" t="str">
        <f t="shared" si="5"/>
        <v/>
      </c>
      <c r="M75" s="278" t="str">
        <f>IF(OR(L75="",COUNTIF($M$4:M74,IF(ISERROR($R75*1),LEFT($R75,2)*1,$R75*1))&gt;=1),"-",IF(ISERROR($R75*1),LEFT($R75,2)*1,$R75*1))</f>
        <v>-</v>
      </c>
      <c r="N75" s="278" t="str">
        <f>IF(OR(L75="",COUNTIF($N$4:N74,V75*1)&gt;=1),"-",V75*1)</f>
        <v>-</v>
      </c>
      <c r="O75" s="282"/>
      <c r="P75" s="282"/>
      <c r="Q75" s="282"/>
      <c r="R75" s="282"/>
      <c r="S75" s="283"/>
      <c r="T75" s="283"/>
      <c r="U75" s="283"/>
      <c r="V75" s="283"/>
      <c r="W75" s="282"/>
    </row>
    <row r="76" spans="12:23" hidden="1">
      <c r="L76" s="278" t="str">
        <f t="shared" si="5"/>
        <v/>
      </c>
      <c r="M76" s="278" t="str">
        <f>IF(OR(L76="",COUNTIF($M$4:M75,IF(ISERROR($R76*1),LEFT($R76,2)*1,$R76*1))&gt;=1),"-",IF(ISERROR($R76*1),LEFT($R76,2)*1,$R76*1))</f>
        <v>-</v>
      </c>
      <c r="N76" s="278" t="str">
        <f>IF(OR(L76="",COUNTIF($N$4:N75,V76*1)&gt;=1),"-",V76*1)</f>
        <v>-</v>
      </c>
      <c r="O76" s="282"/>
      <c r="P76" s="282"/>
      <c r="Q76" s="282"/>
      <c r="R76" s="282"/>
      <c r="S76" s="283"/>
      <c r="T76" s="283"/>
      <c r="U76" s="283"/>
      <c r="V76" s="283"/>
      <c r="W76" s="282"/>
    </row>
    <row r="77" spans="12:23" hidden="1">
      <c r="L77" s="278" t="str">
        <f t="shared" si="5"/>
        <v/>
      </c>
      <c r="M77" s="278" t="str">
        <f>IF(OR(L77="",COUNTIF($M$4:M76,IF(ISERROR($R77*1),LEFT($R77,2)*1,$R77*1))&gt;=1),"-",IF(ISERROR($R77*1),LEFT($R77,2)*1,$R77*1))</f>
        <v>-</v>
      </c>
      <c r="N77" s="278" t="str">
        <f>IF(OR(L77="",COUNTIF($N$4:N76,V77*1)&gt;=1),"-",V77*1)</f>
        <v>-</v>
      </c>
      <c r="O77" s="282"/>
      <c r="P77" s="282"/>
      <c r="Q77" s="282"/>
      <c r="R77" s="282"/>
      <c r="S77" s="283"/>
      <c r="T77" s="283"/>
      <c r="U77" s="283"/>
      <c r="V77" s="283"/>
      <c r="W77" s="282"/>
    </row>
    <row r="78" spans="12:23" hidden="1">
      <c r="L78" s="278" t="str">
        <f t="shared" si="5"/>
        <v/>
      </c>
      <c r="M78" s="278" t="str">
        <f>IF(OR(L78="",COUNTIF($M$4:M77,IF(ISERROR($R78*1),LEFT($R78,2)*1,$R78*1))&gt;=1),"-",IF(ISERROR($R78*1),LEFT($R78,2)*1,$R78*1))</f>
        <v>-</v>
      </c>
      <c r="N78" s="278" t="str">
        <f>IF(OR(L78="",COUNTIF($N$4:N77,V78*1)&gt;=1),"-",V78*1)</f>
        <v>-</v>
      </c>
      <c r="O78" s="282"/>
      <c r="P78" s="282"/>
      <c r="Q78" s="282"/>
      <c r="R78" s="282"/>
      <c r="S78" s="283"/>
      <c r="T78" s="283"/>
      <c r="U78" s="283"/>
      <c r="V78" s="283"/>
      <c r="W78" s="282"/>
    </row>
    <row r="79" spans="12:23" hidden="1">
      <c r="L79" s="278" t="str">
        <f t="shared" si="5"/>
        <v/>
      </c>
      <c r="M79" s="278" t="str">
        <f>IF(OR(L79="",COUNTIF($M$4:M78,IF(ISERROR($R79*1),LEFT($R79,2)*1,$R79*1))&gt;=1),"-",IF(ISERROR($R79*1),LEFT($R79,2)*1,$R79*1))</f>
        <v>-</v>
      </c>
      <c r="N79" s="278" t="str">
        <f>IF(OR(L79="",COUNTIF($N$4:N78,V79*1)&gt;=1),"-",V79*1)</f>
        <v>-</v>
      </c>
      <c r="O79" s="282"/>
      <c r="P79" s="282"/>
      <c r="Q79" s="282"/>
      <c r="R79" s="282"/>
      <c r="S79" s="283"/>
      <c r="T79" s="283"/>
      <c r="U79" s="283"/>
      <c r="V79" s="283"/>
      <c r="W79" s="282"/>
    </row>
    <row r="80" spans="12:23" hidden="1">
      <c r="L80" s="278" t="str">
        <f t="shared" si="5"/>
        <v/>
      </c>
      <c r="M80" s="278" t="str">
        <f>IF(OR(L80="",COUNTIF($M$4:M79,IF(ISERROR($R80*1),LEFT($R80,2)*1,$R80*1))&gt;=1),"-",IF(ISERROR($R80*1),LEFT($R80,2)*1,$R80*1))</f>
        <v>-</v>
      </c>
      <c r="N80" s="278" t="str">
        <f>IF(OR(L80="",COUNTIF($N$4:N79,V80*1)&gt;=1),"-",V80*1)</f>
        <v>-</v>
      </c>
      <c r="O80" s="282"/>
      <c r="P80" s="282"/>
      <c r="Q80" s="282"/>
      <c r="R80" s="282"/>
      <c r="S80" s="283"/>
      <c r="T80" s="283"/>
      <c r="U80" s="283"/>
      <c r="V80" s="283"/>
      <c r="W80" s="282"/>
    </row>
    <row r="81" spans="12:23" hidden="1">
      <c r="L81" s="278" t="str">
        <f t="shared" si="5"/>
        <v/>
      </c>
      <c r="M81" s="278" t="str">
        <f>IF(OR(L81="",COUNTIF($M$4:M80,IF(ISERROR($R81*1),LEFT($R81,2)*1,$R81*1))&gt;=1),"-",IF(ISERROR($R81*1),LEFT($R81,2)*1,$R81*1))</f>
        <v>-</v>
      </c>
      <c r="N81" s="278" t="str">
        <f>IF(OR(L81="",COUNTIF($N$4:N80,V81*1)&gt;=1),"-",V81*1)</f>
        <v>-</v>
      </c>
      <c r="O81" s="282"/>
      <c r="P81" s="282"/>
      <c r="Q81" s="282"/>
      <c r="R81" s="282"/>
      <c r="S81" s="283"/>
      <c r="T81" s="283"/>
      <c r="U81" s="283"/>
      <c r="V81" s="283"/>
      <c r="W81" s="282"/>
    </row>
    <row r="82" spans="12:23" hidden="1">
      <c r="L82" s="278" t="str">
        <f t="shared" si="5"/>
        <v/>
      </c>
      <c r="M82" s="278" t="str">
        <f>IF(OR(L82="",COUNTIF($M$4:M81,IF(ISERROR($R82*1),LEFT($R82,2)*1,$R82*1))&gt;=1),"-",IF(ISERROR($R82*1),LEFT($R82,2)*1,$R82*1))</f>
        <v>-</v>
      </c>
      <c r="N82" s="278" t="str">
        <f>IF(OR(L82="",COUNTIF($N$4:N81,V82*1)&gt;=1),"-",V82*1)</f>
        <v>-</v>
      </c>
      <c r="O82" s="282"/>
      <c r="P82" s="282"/>
      <c r="Q82" s="282"/>
      <c r="R82" s="282"/>
      <c r="S82" s="283"/>
      <c r="T82" s="283"/>
      <c r="U82" s="283"/>
      <c r="V82" s="283"/>
      <c r="W82" s="282"/>
    </row>
    <row r="83" spans="12:23" hidden="1">
      <c r="L83" s="278" t="str">
        <f t="shared" si="5"/>
        <v/>
      </c>
      <c r="M83" s="278" t="str">
        <f>IF(OR(L83="",COUNTIF($M$4:M82,IF(ISERROR($R83*1),LEFT($R83,2)*1,$R83*1))&gt;=1),"-",IF(ISERROR($R83*1),LEFT($R83,2)*1,$R83*1))</f>
        <v>-</v>
      </c>
      <c r="N83" s="278" t="str">
        <f>IF(OR(L83="",COUNTIF($N$4:N82,V83*1)&gt;=1),"-",V83*1)</f>
        <v>-</v>
      </c>
      <c r="O83" s="282"/>
      <c r="P83" s="282"/>
      <c r="Q83" s="282"/>
      <c r="R83" s="282"/>
      <c r="S83" s="283"/>
      <c r="T83" s="283"/>
      <c r="U83" s="283"/>
      <c r="V83" s="283"/>
      <c r="W83" s="282"/>
    </row>
    <row r="84" spans="12:23" hidden="1">
      <c r="L84" s="278" t="str">
        <f t="shared" si="5"/>
        <v/>
      </c>
      <c r="M84" s="278" t="str">
        <f>IF(OR(L84="",COUNTIF($M$4:M83,IF(ISERROR($R84*1),LEFT($R84,2)*1,$R84*1))&gt;=1),"-",IF(ISERROR($R84*1),LEFT($R84,2)*1,$R84*1))</f>
        <v>-</v>
      </c>
      <c r="N84" s="278" t="str">
        <f>IF(OR(L84="",COUNTIF($N$4:N83,V84*1)&gt;=1),"-",V84*1)</f>
        <v>-</v>
      </c>
      <c r="O84" s="282"/>
      <c r="P84" s="282"/>
      <c r="Q84" s="282"/>
      <c r="R84" s="282"/>
      <c r="S84" s="283"/>
      <c r="T84" s="283"/>
      <c r="U84" s="283"/>
      <c r="V84" s="283"/>
      <c r="W84" s="282"/>
    </row>
    <row r="85" spans="12:23" hidden="1">
      <c r="L85" s="278" t="str">
        <f t="shared" si="5"/>
        <v/>
      </c>
      <c r="M85" s="278" t="str">
        <f>IF(OR(L85="",COUNTIF($M$4:M84,IF(ISERROR($R85*1),LEFT($R85,2)*1,$R85*1))&gt;=1),"-",IF(ISERROR($R85*1),LEFT($R85,2)*1,$R85*1))</f>
        <v>-</v>
      </c>
      <c r="N85" s="278" t="str">
        <f>IF(OR(L85="",COUNTIF($N$4:N84,V85*1)&gt;=1),"-",V85*1)</f>
        <v>-</v>
      </c>
      <c r="O85" s="282"/>
      <c r="P85" s="282"/>
      <c r="Q85" s="282"/>
      <c r="R85" s="282"/>
      <c r="S85" s="283"/>
      <c r="T85" s="283"/>
      <c r="U85" s="283"/>
      <c r="V85" s="283"/>
      <c r="W85" s="282"/>
    </row>
    <row r="86" spans="12:23" hidden="1">
      <c r="L86" s="278" t="str">
        <f t="shared" si="5"/>
        <v/>
      </c>
      <c r="M86" s="278" t="str">
        <f>IF(OR(L86="",COUNTIF($M$4:M85,IF(ISERROR($R86*1),LEFT($R86,2)*1,$R86*1))&gt;=1),"-",IF(ISERROR($R86*1),LEFT($R86,2)*1,$R86*1))</f>
        <v>-</v>
      </c>
      <c r="N86" s="278" t="str">
        <f>IF(OR(L86="",COUNTIF($N$4:N85,V86*1)&gt;=1),"-",V86*1)</f>
        <v>-</v>
      </c>
      <c r="O86" s="282"/>
      <c r="P86" s="282"/>
      <c r="Q86" s="282"/>
      <c r="R86" s="282"/>
      <c r="S86" s="283"/>
      <c r="T86" s="283"/>
      <c r="U86" s="283"/>
      <c r="V86" s="283"/>
      <c r="W86" s="282"/>
    </row>
    <row r="87" spans="12:23" hidden="1">
      <c r="L87" s="278" t="str">
        <f t="shared" si="5"/>
        <v/>
      </c>
      <c r="M87" s="278" t="str">
        <f>IF(OR(L87="",COUNTIF($M$4:M86,IF(ISERROR($R87*1),LEFT($R87,2)*1,$R87*1))&gt;=1),"-",IF(ISERROR($R87*1),LEFT($R87,2)*1,$R87*1))</f>
        <v>-</v>
      </c>
      <c r="N87" s="278" t="str">
        <f>IF(OR(L87="",COUNTIF($N$4:N86,V87*1)&gt;=1),"-",V87*1)</f>
        <v>-</v>
      </c>
      <c r="O87" s="282"/>
      <c r="P87" s="282"/>
      <c r="Q87" s="282"/>
      <c r="R87" s="282"/>
      <c r="S87" s="283"/>
      <c r="T87" s="283"/>
      <c r="U87" s="283"/>
      <c r="V87" s="283"/>
      <c r="W87" s="282"/>
    </row>
    <row r="88" spans="12:23" hidden="1">
      <c r="L88" s="278" t="str">
        <f t="shared" si="5"/>
        <v/>
      </c>
      <c r="M88" s="278" t="str">
        <f>IF(OR(L88="",COUNTIF($M$4:M87,IF(ISERROR($R88*1),LEFT($R88,2)*1,$R88*1))&gt;=1),"-",IF(ISERROR($R88*1),LEFT($R88,2)*1,$R88*1))</f>
        <v>-</v>
      </c>
      <c r="N88" s="278" t="str">
        <f>IF(OR(L88="",COUNTIF($N$4:N87,V88*1)&gt;=1),"-",V88*1)</f>
        <v>-</v>
      </c>
      <c r="O88" s="282"/>
      <c r="P88" s="282"/>
      <c r="Q88" s="282"/>
      <c r="R88" s="282"/>
      <c r="S88" s="283"/>
      <c r="T88" s="283"/>
      <c r="U88" s="283"/>
      <c r="V88" s="283"/>
      <c r="W88" s="282"/>
    </row>
    <row r="89" spans="12:23" hidden="1">
      <c r="L89" s="278" t="str">
        <f t="shared" si="5"/>
        <v/>
      </c>
      <c r="M89" s="278" t="str">
        <f>IF(OR(L89="",COUNTIF($M$4:M88,IF(ISERROR($R89*1),LEFT($R89,2)*1,$R89*1))&gt;=1),"-",IF(ISERROR($R89*1),LEFT($R89,2)*1,$R89*1))</f>
        <v>-</v>
      </c>
      <c r="N89" s="278" t="str">
        <f>IF(OR(L89="",COUNTIF($N$4:N88,V89*1)&gt;=1),"-",V89*1)</f>
        <v>-</v>
      </c>
      <c r="O89" s="282"/>
      <c r="P89" s="282"/>
      <c r="Q89" s="282"/>
      <c r="R89" s="282"/>
      <c r="S89" s="283"/>
      <c r="T89" s="283"/>
      <c r="U89" s="283"/>
      <c r="V89" s="283"/>
      <c r="W89" s="282"/>
    </row>
    <row r="90" spans="12:23" hidden="1">
      <c r="L90" s="278" t="str">
        <f t="shared" si="5"/>
        <v/>
      </c>
      <c r="M90" s="278" t="str">
        <f>IF(OR(L90="",COUNTIF($M$4:M89,IF(ISERROR($R90*1),LEFT($R90,2)*1,$R90*1))&gt;=1),"-",IF(ISERROR($R90*1),LEFT($R90,2)*1,$R90*1))</f>
        <v>-</v>
      </c>
      <c r="N90" s="278" t="str">
        <f>IF(OR(L90="",COUNTIF($N$4:N89,V90*1)&gt;=1),"-",V90*1)</f>
        <v>-</v>
      </c>
      <c r="O90" s="282"/>
      <c r="P90" s="282"/>
      <c r="Q90" s="282"/>
      <c r="R90" s="282"/>
      <c r="S90" s="283"/>
      <c r="T90" s="283"/>
      <c r="U90" s="283"/>
      <c r="V90" s="283"/>
      <c r="W90" s="282"/>
    </row>
    <row r="91" spans="12:23" hidden="1">
      <c r="L91" s="278" t="str">
        <f t="shared" si="5"/>
        <v/>
      </c>
      <c r="M91" s="278" t="str">
        <f>IF(OR(L91="",COUNTIF($M$4:M90,IF(ISERROR($R91*1),LEFT($R91,2)*1,$R91*1))&gt;=1),"-",IF(ISERROR($R91*1),LEFT($R91,2)*1,$R91*1))</f>
        <v>-</v>
      </c>
      <c r="N91" s="278" t="str">
        <f>IF(OR(L91="",COUNTIF($N$4:N90,V91*1)&gt;=1),"-",V91*1)</f>
        <v>-</v>
      </c>
      <c r="O91" s="282"/>
      <c r="P91" s="282"/>
      <c r="Q91" s="282"/>
      <c r="R91" s="282"/>
      <c r="S91" s="283"/>
      <c r="T91" s="283"/>
      <c r="U91" s="283"/>
      <c r="V91" s="283"/>
      <c r="W91" s="282"/>
    </row>
    <row r="92" spans="12:23" hidden="1">
      <c r="L92" s="278" t="str">
        <f t="shared" si="5"/>
        <v/>
      </c>
      <c r="M92" s="278" t="str">
        <f>IF(OR(L92="",COUNTIF($M$4:M91,IF(ISERROR($R92*1),LEFT($R92,2)*1,$R92*1))&gt;=1),"-",IF(ISERROR($R92*1),LEFT($R92,2)*1,$R92*1))</f>
        <v>-</v>
      </c>
      <c r="N92" s="278" t="str">
        <f>IF(OR(L92="",COUNTIF($N$4:N91,V92*1)&gt;=1),"-",V92*1)</f>
        <v>-</v>
      </c>
      <c r="O92" s="282"/>
      <c r="P92" s="282"/>
      <c r="Q92" s="282"/>
      <c r="R92" s="282"/>
      <c r="S92" s="283"/>
      <c r="T92" s="283"/>
      <c r="U92" s="283"/>
      <c r="V92" s="283"/>
      <c r="W92" s="282"/>
    </row>
    <row r="93" spans="12:23" hidden="1">
      <c r="L93" s="278" t="str">
        <f t="shared" si="5"/>
        <v/>
      </c>
      <c r="M93" s="278" t="str">
        <f>IF(OR(L93="",COUNTIF($M$4:M92,IF(ISERROR($R93*1),LEFT($R93,2)*1,$R93*1))&gt;=1),"-",IF(ISERROR($R93*1),LEFT($R93,2)*1,$R93*1))</f>
        <v>-</v>
      </c>
      <c r="N93" s="278" t="str">
        <f>IF(OR(L93="",COUNTIF($N$4:N92,V93*1)&gt;=1),"-",V93*1)</f>
        <v>-</v>
      </c>
      <c r="O93" s="282"/>
      <c r="P93" s="282"/>
      <c r="Q93" s="282"/>
      <c r="R93" s="282"/>
      <c r="S93" s="283"/>
      <c r="T93" s="283"/>
      <c r="U93" s="283"/>
      <c r="V93" s="283"/>
      <c r="W93" s="282"/>
    </row>
    <row r="94" spans="12:23" hidden="1">
      <c r="L94" s="278" t="str">
        <f t="shared" si="5"/>
        <v/>
      </c>
      <c r="M94" s="278" t="str">
        <f>IF(OR(L94="",COUNTIF($M$4:M93,IF(ISERROR($R94*1),LEFT($R94,2)*1,$R94*1))&gt;=1),"-",IF(ISERROR($R94*1),LEFT($R94,2)*1,$R94*1))</f>
        <v>-</v>
      </c>
      <c r="N94" s="278" t="str">
        <f>IF(OR(L94="",COUNTIF($N$4:N93,V94*1)&gt;=1),"-",V94*1)</f>
        <v>-</v>
      </c>
      <c r="O94" s="282"/>
      <c r="P94" s="282"/>
      <c r="Q94" s="282"/>
      <c r="R94" s="282"/>
      <c r="S94" s="283"/>
      <c r="T94" s="283"/>
      <c r="U94" s="283"/>
      <c r="V94" s="283"/>
      <c r="W94" s="282"/>
    </row>
    <row r="95" spans="12:23" hidden="1">
      <c r="L95" s="278" t="str">
        <f t="shared" si="5"/>
        <v/>
      </c>
      <c r="M95" s="278" t="str">
        <f>IF(OR(L95="",COUNTIF($M$4:M94,IF(ISERROR($R95*1),LEFT($R95,2)*1,$R95*1))&gt;=1),"-",IF(ISERROR($R95*1),LEFT($R95,2)*1,$R95*1))</f>
        <v>-</v>
      </c>
      <c r="N95" s="278" t="str">
        <f>IF(OR(L95="",COUNTIF($N$4:N94,V95*1)&gt;=1),"-",V95*1)</f>
        <v>-</v>
      </c>
      <c r="O95" s="282"/>
      <c r="P95" s="282"/>
      <c r="Q95" s="282"/>
      <c r="R95" s="282"/>
      <c r="S95" s="283"/>
      <c r="T95" s="283"/>
      <c r="U95" s="283"/>
      <c r="V95" s="283"/>
      <c r="W95" s="282"/>
    </row>
    <row r="96" spans="12:23" hidden="1">
      <c r="L96" s="278" t="str">
        <f t="shared" si="5"/>
        <v/>
      </c>
      <c r="M96" s="278" t="str">
        <f>IF(OR(L96="",COUNTIF($M$4:M95,IF(ISERROR($R96*1),LEFT($R96,2)*1,$R96*1))&gt;=1),"-",IF(ISERROR($R96*1),LEFT($R96,2)*1,$R96*1))</f>
        <v>-</v>
      </c>
      <c r="N96" s="278" t="str">
        <f>IF(OR(L96="",COUNTIF($N$4:N95,V96*1)&gt;=1),"-",V96*1)</f>
        <v>-</v>
      </c>
      <c r="O96" s="282"/>
      <c r="P96" s="282"/>
      <c r="Q96" s="282"/>
      <c r="R96" s="282"/>
      <c r="S96" s="283"/>
      <c r="T96" s="283"/>
      <c r="U96" s="283"/>
      <c r="V96" s="283"/>
      <c r="W96" s="282"/>
    </row>
    <row r="97" spans="12:23" hidden="1">
      <c r="L97" s="278" t="str">
        <f t="shared" si="5"/>
        <v/>
      </c>
      <c r="M97" s="278" t="str">
        <f>IF(OR(L97="",COUNTIF($M$4:M96,IF(ISERROR($R97*1),LEFT($R97,2)*1,$R97*1))&gt;=1),"-",IF(ISERROR($R97*1),LEFT($R97,2)*1,$R97*1))</f>
        <v>-</v>
      </c>
      <c r="N97" s="278" t="str">
        <f>IF(OR(L97="",COUNTIF($N$4:N96,V97*1)&gt;=1),"-",V97*1)</f>
        <v>-</v>
      </c>
      <c r="O97" s="282"/>
      <c r="P97" s="282"/>
      <c r="Q97" s="282"/>
      <c r="R97" s="282"/>
      <c r="S97" s="283"/>
      <c r="T97" s="283"/>
      <c r="U97" s="283"/>
      <c r="V97" s="283"/>
      <c r="W97" s="282"/>
    </row>
    <row r="98" spans="12:23" hidden="1">
      <c r="L98" s="278" t="str">
        <f t="shared" si="5"/>
        <v/>
      </c>
      <c r="M98" s="278" t="str">
        <f>IF(OR(L98="",COUNTIF($M$4:M97,IF(ISERROR($R98*1),LEFT($R98,2)*1,$R98*1))&gt;=1),"-",IF(ISERROR($R98*1),LEFT($R98,2)*1,$R98*1))</f>
        <v>-</v>
      </c>
      <c r="N98" s="278" t="str">
        <f>IF(OR(L98="",COUNTIF($N$4:N97,V98*1)&gt;=1),"-",V98*1)</f>
        <v>-</v>
      </c>
      <c r="O98" s="282"/>
      <c r="P98" s="282"/>
      <c r="Q98" s="282"/>
      <c r="R98" s="282"/>
      <c r="S98" s="283"/>
      <c r="T98" s="283"/>
      <c r="U98" s="283"/>
      <c r="V98" s="283"/>
      <c r="W98" s="282"/>
    </row>
    <row r="99" spans="12:23" hidden="1">
      <c r="L99" s="278" t="str">
        <f t="shared" si="5"/>
        <v/>
      </c>
      <c r="M99" s="278" t="str">
        <f>IF(OR(L99="",COUNTIF($M$4:M98,IF(ISERROR($R99*1),LEFT($R99,2)*1,$R99*1))&gt;=1),"-",IF(ISERROR($R99*1),LEFT($R99,2)*1,$R99*1))</f>
        <v>-</v>
      </c>
      <c r="N99" s="278" t="str">
        <f>IF(OR(L99="",COUNTIF($N$4:N98,V99*1)&gt;=1),"-",V99*1)</f>
        <v>-</v>
      </c>
      <c r="O99" s="282"/>
      <c r="P99" s="282"/>
      <c r="Q99" s="282"/>
      <c r="R99" s="282"/>
      <c r="S99" s="283"/>
      <c r="T99" s="283"/>
      <c r="U99" s="283"/>
      <c r="V99" s="283"/>
      <c r="W99" s="282"/>
    </row>
    <row r="100" spans="12:23" hidden="1">
      <c r="L100" s="278" t="str">
        <f t="shared" si="5"/>
        <v/>
      </c>
      <c r="M100" s="278" t="str">
        <f>IF(OR(L100="",COUNTIF($M$4:M99,IF(ISERROR($R100*1),LEFT($R100,2)*1,$R100*1))&gt;=1),"-",IF(ISERROR($R100*1),LEFT($R100,2)*1,$R100*1))</f>
        <v>-</v>
      </c>
      <c r="N100" s="278" t="str">
        <f>IF(OR(L100="",COUNTIF($N$4:N99,V100*1)&gt;=1),"-",V100*1)</f>
        <v>-</v>
      </c>
      <c r="O100" s="282"/>
      <c r="P100" s="282"/>
      <c r="Q100" s="282"/>
      <c r="R100" s="282"/>
      <c r="S100" s="283"/>
      <c r="T100" s="296"/>
      <c r="U100" s="283"/>
      <c r="V100" s="283"/>
      <c r="W100" s="282"/>
    </row>
    <row r="101" spans="12:23" hidden="1">
      <c r="L101" s="278" t="str">
        <f t="shared" si="5"/>
        <v/>
      </c>
      <c r="M101" s="278" t="str">
        <f>IF(OR(L101="",COUNTIF($M$4:M100,IF(ISERROR($R101*1),LEFT($R101,2)*1,$R101*1))&gt;=1),"-",IF(ISERROR($R101*1),LEFT($R101,2)*1,$R101*1))</f>
        <v>-</v>
      </c>
      <c r="N101" s="278" t="str">
        <f>IF(OR(L101="",COUNTIF($N$4:N100,V101*1)&gt;=1),"-",V101*1)</f>
        <v>-</v>
      </c>
      <c r="O101" s="282"/>
      <c r="P101" s="282"/>
      <c r="Q101" s="282"/>
      <c r="R101" s="282"/>
      <c r="S101" s="283"/>
      <c r="T101" s="296"/>
      <c r="U101" s="283"/>
      <c r="V101" s="283"/>
      <c r="W101" s="282"/>
    </row>
    <row r="102" spans="12:23" hidden="1">
      <c r="L102" s="278" t="str">
        <f t="shared" si="5"/>
        <v/>
      </c>
      <c r="M102" s="278" t="str">
        <f>IF(OR(L102="",COUNTIF($M$4:M101,IF(ISERROR($R102*1),LEFT($R102,2)*1,$R102*1))&gt;=1),"-",IF(ISERROR($R102*1),LEFT($R102,2)*1,$R102*1))</f>
        <v>-</v>
      </c>
      <c r="N102" s="278" t="str">
        <f>IF(OR(L102="",COUNTIF($N$4:N101,V102*1)&gt;=1),"-",V102*1)</f>
        <v>-</v>
      </c>
      <c r="O102" s="282"/>
      <c r="P102" s="282"/>
      <c r="Q102" s="282"/>
      <c r="R102" s="282"/>
      <c r="S102" s="283"/>
      <c r="T102" s="296"/>
      <c r="U102" s="283"/>
      <c r="V102" s="283"/>
      <c r="W102" s="282"/>
    </row>
  </sheetData>
  <sheetProtection algorithmName="SHA-512" hashValue="GWQW+NBv3qdcRxP6f+tsLb0BpVBqCf91qkw8H06/uFd1mZY3I9m8X/F5SRGbnlhmQErpc+/IBYgCUY2ql0Lehg==" saltValue="4gEVElo/8ml0Hfcl7+MCNA==" spinCount="100000" sheet="1" objects="1" scenarios="1"/>
  <mergeCells count="1">
    <mergeCell ref="L2:N2"/>
  </mergeCells>
  <phoneticPr fontId="7"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IU102"/>
  <sheetViews>
    <sheetView topLeftCell="XFD1048576" workbookViewId="0"/>
  </sheetViews>
  <sheetFormatPr defaultColWidth="0" defaultRowHeight="16.5" zeroHeight="1"/>
  <cols>
    <col min="1" max="3" width="9.33203125" style="271" hidden="1"/>
    <col min="4" max="4" width="13.5" style="271" hidden="1"/>
    <col min="5" max="9" width="9.33203125" style="271" hidden="1"/>
    <col min="10" max="10" width="2.1640625" style="271" hidden="1"/>
    <col min="11" max="11" width="18.5" style="271" hidden="1"/>
    <col min="12" max="12" width="24.6640625" style="271" hidden="1"/>
    <col min="13" max="13" width="9.33203125" style="271" hidden="1"/>
    <col min="14" max="14" width="13.1640625" style="271" hidden="1"/>
    <col min="15" max="255" width="9.33203125" style="271" hidden="1"/>
    <col min="256" max="16384" width="16.6640625" style="271" hidden="1"/>
  </cols>
  <sheetData>
    <row r="1" spans="1:23" hidden="1">
      <c r="A1" s="266"/>
      <c r="B1" s="267" t="str">
        <f>'OP1'!$C$56</f>
        <v>10SWUC</v>
      </c>
      <c r="C1" s="268" t="s">
        <v>253</v>
      </c>
      <c r="D1" s="267" t="str">
        <f>IF('OP1'!$E$16=1,"足歲",IF('OP1'!$E$16=2,"保險年齡","錯誤"))</f>
        <v>足歲</v>
      </c>
      <c r="E1" s="268" t="s">
        <v>253</v>
      </c>
      <c r="F1" s="269"/>
      <c r="G1" s="269"/>
      <c r="H1" s="269"/>
      <c r="I1" s="269"/>
      <c r="J1" s="270"/>
      <c r="K1" s="270"/>
      <c r="Q1" s="271">
        <v>6</v>
      </c>
      <c r="R1" s="271">
        <v>7</v>
      </c>
      <c r="S1" s="271">
        <v>8</v>
      </c>
      <c r="T1" s="271">
        <v>9</v>
      </c>
      <c r="U1" s="271">
        <v>10</v>
      </c>
      <c r="V1" s="271">
        <v>11</v>
      </c>
      <c r="W1" s="271">
        <v>12</v>
      </c>
    </row>
    <row r="2" spans="1:23" hidden="1">
      <c r="A2" s="266"/>
      <c r="B2" s="266"/>
      <c r="C2" s="272"/>
      <c r="D2" s="266"/>
      <c r="E2" s="272"/>
      <c r="F2" s="269"/>
      <c r="G2" s="269"/>
      <c r="H2" s="269"/>
      <c r="I2" s="269"/>
      <c r="J2" s="270"/>
      <c r="K2" s="270"/>
      <c r="L2" s="633" t="s">
        <v>254</v>
      </c>
      <c r="M2" s="633"/>
      <c r="N2" s="633"/>
      <c r="O2" s="271" t="s">
        <v>255</v>
      </c>
    </row>
    <row r="3" spans="1:23" hidden="1">
      <c r="A3" s="266"/>
      <c r="B3" s="269"/>
      <c r="C3" s="273" t="s">
        <v>256</v>
      </c>
      <c r="D3" s="274">
        <v>1</v>
      </c>
      <c r="E3" s="274">
        <v>2</v>
      </c>
      <c r="F3" s="274">
        <v>3</v>
      </c>
      <c r="G3" s="274">
        <v>1</v>
      </c>
      <c r="H3" s="274">
        <v>2</v>
      </c>
      <c r="I3" s="274">
        <v>3</v>
      </c>
      <c r="J3" s="269"/>
      <c r="K3" s="275" t="s">
        <v>257</v>
      </c>
      <c r="L3" s="276" t="s">
        <v>32</v>
      </c>
      <c r="M3" s="275" t="s">
        <v>258</v>
      </c>
      <c r="N3" s="275" t="s">
        <v>14</v>
      </c>
      <c r="O3" s="500" t="s">
        <v>22</v>
      </c>
      <c r="P3" s="500" t="s">
        <v>23</v>
      </c>
      <c r="Q3" s="500" t="s">
        <v>24</v>
      </c>
      <c r="R3" s="500" t="s">
        <v>21</v>
      </c>
      <c r="S3" s="500" t="s">
        <v>259</v>
      </c>
      <c r="T3" s="500" t="s">
        <v>260</v>
      </c>
      <c r="U3" s="500" t="s">
        <v>261</v>
      </c>
      <c r="V3" s="500" t="s">
        <v>0</v>
      </c>
      <c r="W3" s="500" t="s">
        <v>262</v>
      </c>
    </row>
    <row r="4" spans="1:23" hidden="1">
      <c r="A4" s="266"/>
      <c r="B4" s="270"/>
      <c r="C4" s="277" t="s">
        <v>263</v>
      </c>
      <c r="D4" s="278">
        <v>1</v>
      </c>
      <c r="E4" s="278">
        <v>1</v>
      </c>
      <c r="F4" s="278">
        <v>1</v>
      </c>
      <c r="G4" s="278">
        <v>2</v>
      </c>
      <c r="H4" s="278">
        <v>2</v>
      </c>
      <c r="I4" s="278">
        <v>2</v>
      </c>
      <c r="J4" s="269"/>
      <c r="K4" s="279" t="str">
        <f>IF($D$1="足歲","15足","")</f>
        <v>15足</v>
      </c>
      <c r="L4" s="280" t="str">
        <f t="shared" ref="L4:L67" si="0">IF(P4&lt;&gt;$B$1,"",P4&amp;Q4&amp;R4&amp;V4)</f>
        <v>10SWUC115足5</v>
      </c>
      <c r="M4" s="280">
        <f>IF(L4="","-",IF(ISERROR($R4*1),LEFT($R4,2)*1,$R4*1))</f>
        <v>15</v>
      </c>
      <c r="N4" s="281">
        <f>IF(L4="","",V4*1)</f>
        <v>5</v>
      </c>
      <c r="O4" s="501" t="s">
        <v>1102</v>
      </c>
      <c r="P4" s="501" t="s">
        <v>1103</v>
      </c>
      <c r="Q4" s="501" t="s">
        <v>25</v>
      </c>
      <c r="R4" s="501" t="s">
        <v>1064</v>
      </c>
      <c r="S4" s="502">
        <v>0</v>
      </c>
      <c r="T4" s="557" t="s">
        <v>730</v>
      </c>
      <c r="U4" s="502">
        <v>0</v>
      </c>
      <c r="V4" s="502">
        <v>5</v>
      </c>
      <c r="W4" s="501" t="s">
        <v>1075</v>
      </c>
    </row>
    <row r="5" spans="1:23" hidden="1">
      <c r="A5" s="266"/>
      <c r="B5" s="284" t="s">
        <v>265</v>
      </c>
      <c r="C5" s="285">
        <v>12</v>
      </c>
      <c r="D5" s="286" t="str">
        <f t="shared" ref="D5:I5" si="1">IF(SMALL($M:$M,D$3)=15,$K$4,SMALL($M:$M,D$3))</f>
        <v>15足</v>
      </c>
      <c r="E5" s="286">
        <f t="shared" si="1"/>
        <v>35</v>
      </c>
      <c r="F5" s="286">
        <f t="shared" si="1"/>
        <v>61</v>
      </c>
      <c r="G5" s="286" t="str">
        <f t="shared" si="1"/>
        <v>15足</v>
      </c>
      <c r="H5" s="286">
        <f t="shared" si="1"/>
        <v>35</v>
      </c>
      <c r="I5" s="286">
        <f t="shared" si="1"/>
        <v>61</v>
      </c>
      <c r="J5" s="269"/>
      <c r="K5" s="286"/>
      <c r="L5" s="278" t="str">
        <f t="shared" si="0"/>
        <v>10SWUC115足10</v>
      </c>
      <c r="M5" s="278" t="str">
        <f>IF(OR(L5="",COUNTIF($M$4:M4,IF(ISERROR($R5*1),LEFT($R5,2)*1,$R5*1))&gt;=1),"-",IF(ISERROR($R5*1),LEFT($R5,2)*1,$R5*1))</f>
        <v>-</v>
      </c>
      <c r="N5" s="278">
        <f>IF(OR(L5="",COUNTIF($N$4:N4,V5*1)&gt;=1),"-",V5*1)</f>
        <v>10</v>
      </c>
      <c r="O5" s="501" t="s">
        <v>1102</v>
      </c>
      <c r="P5" s="501" t="s">
        <v>1103</v>
      </c>
      <c r="Q5" s="501" t="s">
        <v>25</v>
      </c>
      <c r="R5" s="501" t="s">
        <v>1064</v>
      </c>
      <c r="S5" s="502">
        <v>0</v>
      </c>
      <c r="T5" s="557" t="s">
        <v>730</v>
      </c>
      <c r="U5" s="502">
        <v>0</v>
      </c>
      <c r="V5" s="502">
        <v>10</v>
      </c>
      <c r="W5" s="501" t="s">
        <v>1078</v>
      </c>
    </row>
    <row r="6" spans="1:23" hidden="1">
      <c r="A6" s="266"/>
      <c r="B6" s="287" t="s">
        <v>266</v>
      </c>
      <c r="C6" s="288" t="s">
        <v>267</v>
      </c>
      <c r="D6" s="289" t="str">
        <f>IF(OR(ISERROR($D5)),"",IF((D$5)=0,D$5&amp;IF(D$4=1,"男性",IF(D$4=2,"女性","")),D$5&amp;"歲"&amp;IF(D$4=1,"男性",IF(D$4=2,"女性",""))))</f>
        <v>15足歲男性</v>
      </c>
      <c r="E6" s="289" t="str">
        <f t="shared" ref="E6:I6" si="2">IF(OR(ISERROR($D5)),"",IF((E$5)=0,E$5&amp;IF(E$4=1,"男性",IF(E$4=2,"女性","")),E$5&amp;"歲"&amp;IF(E$4=1,"男性",IF(E$4=2,"女性",""))))</f>
        <v>35歲男性</v>
      </c>
      <c r="F6" s="289" t="str">
        <f t="shared" si="2"/>
        <v>61歲男性</v>
      </c>
      <c r="G6" s="289" t="str">
        <f t="shared" si="2"/>
        <v>15足歲女性</v>
      </c>
      <c r="H6" s="289" t="str">
        <f t="shared" si="2"/>
        <v>35歲女性</v>
      </c>
      <c r="I6" s="289" t="str">
        <f t="shared" si="2"/>
        <v>61歲女性</v>
      </c>
      <c r="J6" s="269"/>
      <c r="K6" s="286"/>
      <c r="L6" s="278" t="str">
        <f t="shared" si="0"/>
        <v>10SWUC1355</v>
      </c>
      <c r="M6" s="278">
        <f>IF(OR(L6="",COUNTIF($M$4:M5,IF(ISERROR($R6*1),LEFT($R6,2)*1,$R6*1))&gt;=1),"-",IF(ISERROR($R6*1),LEFT($R6,2)*1,$R6*1))</f>
        <v>35</v>
      </c>
      <c r="N6" s="278" t="str">
        <f>IF(OR(L6="",COUNTIF($N$4:N5,V6*1)&gt;=1),"-",V6*1)</f>
        <v>-</v>
      </c>
      <c r="O6" s="501" t="s">
        <v>1102</v>
      </c>
      <c r="P6" s="501" t="s">
        <v>1103</v>
      </c>
      <c r="Q6" s="501" t="s">
        <v>25</v>
      </c>
      <c r="R6" s="501" t="s">
        <v>264</v>
      </c>
      <c r="S6" s="502">
        <v>0</v>
      </c>
      <c r="T6" s="557" t="s">
        <v>730</v>
      </c>
      <c r="U6" s="502">
        <v>0</v>
      </c>
      <c r="V6" s="502">
        <v>5</v>
      </c>
      <c r="W6" s="501" t="s">
        <v>1076</v>
      </c>
    </row>
    <row r="7" spans="1:23" hidden="1">
      <c r="A7" s="266"/>
      <c r="B7" s="278">
        <v>1</v>
      </c>
      <c r="C7" s="289">
        <f t="shared" ref="C7:C14" si="3">IF(ISERROR(SMALL($N:$N,$B7)),"",SMALL($N:$N,$B7))</f>
        <v>5</v>
      </c>
      <c r="D7" s="290" t="str">
        <f t="shared" ref="D7:I14" si="4">IF(ISERROR(VLOOKUP($B$1&amp;D$4&amp;D$5&amp;$C7,$L:$W,$C$5,0)),"",VLOOKUP($B$1&amp;D$4&amp;D$5&amp;$C7,$L:$W,$C$5,0))</f>
        <v>6.51%</v>
      </c>
      <c r="E7" s="290" t="str">
        <f t="shared" si="4"/>
        <v>6.61%</v>
      </c>
      <c r="F7" s="290" t="str">
        <f t="shared" si="4"/>
        <v>6.40%</v>
      </c>
      <c r="G7" s="290" t="str">
        <f t="shared" si="4"/>
        <v>6.51%</v>
      </c>
      <c r="H7" s="290" t="str">
        <f t="shared" si="4"/>
        <v>6.35%</v>
      </c>
      <c r="I7" s="290" t="str">
        <f t="shared" si="4"/>
        <v>6.59%</v>
      </c>
      <c r="J7" s="269"/>
      <c r="K7" s="269"/>
      <c r="L7" s="278" t="str">
        <f t="shared" si="0"/>
        <v>10SWUC13510</v>
      </c>
      <c r="M7" s="278" t="str">
        <f>IF(OR(L7="",COUNTIF($M$4:M6,IF(ISERROR($R7*1),LEFT($R7,2)*1,$R7*1))&gt;=1),"-",IF(ISERROR($R7*1),LEFT($R7,2)*1,$R7*1))</f>
        <v>-</v>
      </c>
      <c r="N7" s="278" t="str">
        <f>IF(OR(L7="",COUNTIF($N$4:N6,V7*1)&gt;=1),"-",V7*1)</f>
        <v>-</v>
      </c>
      <c r="O7" s="501" t="s">
        <v>1102</v>
      </c>
      <c r="P7" s="501" t="s">
        <v>1103</v>
      </c>
      <c r="Q7" s="501" t="s">
        <v>25</v>
      </c>
      <c r="R7" s="501" t="s">
        <v>264</v>
      </c>
      <c r="S7" s="502">
        <v>0</v>
      </c>
      <c r="T7" s="557" t="s">
        <v>730</v>
      </c>
      <c r="U7" s="502">
        <v>0</v>
      </c>
      <c r="V7" s="502">
        <v>10</v>
      </c>
      <c r="W7" s="501" t="s">
        <v>1110</v>
      </c>
    </row>
    <row r="8" spans="1:23" hidden="1">
      <c r="A8" s="266"/>
      <c r="B8" s="278">
        <v>2</v>
      </c>
      <c r="C8" s="289">
        <f t="shared" si="3"/>
        <v>10</v>
      </c>
      <c r="D8" s="290" t="str">
        <f t="shared" si="4"/>
        <v>9.56%</v>
      </c>
      <c r="E8" s="290" t="str">
        <f t="shared" si="4"/>
        <v>9.49%</v>
      </c>
      <c r="F8" s="290" t="str">
        <f t="shared" si="4"/>
        <v>9.47%</v>
      </c>
      <c r="G8" s="290" t="str">
        <f t="shared" si="4"/>
        <v>9.56%</v>
      </c>
      <c r="H8" s="290" t="str">
        <f t="shared" si="4"/>
        <v>9.49%</v>
      </c>
      <c r="I8" s="290" t="str">
        <f t="shared" si="4"/>
        <v>9.48%</v>
      </c>
      <c r="J8" s="269"/>
      <c r="K8" s="269"/>
      <c r="L8" s="278" t="str">
        <f t="shared" si="0"/>
        <v>10SWUC1615</v>
      </c>
      <c r="M8" s="278">
        <f>IF(OR(L8="",COUNTIF($M$4:M7,IF(ISERROR($R8*1),LEFT($R8,2)*1,$R8*1))&gt;=1),"-",IF(ISERROR($R8*1),LEFT($R8,2)*1,$R8*1))</f>
        <v>61</v>
      </c>
      <c r="N8" s="278" t="str">
        <f>IF(OR(L8="",COUNTIF($N$4:N7,V8*1)&gt;=1),"-",V8*1)</f>
        <v>-</v>
      </c>
      <c r="O8" s="501" t="s">
        <v>1102</v>
      </c>
      <c r="P8" s="501" t="s">
        <v>1103</v>
      </c>
      <c r="Q8" s="501" t="s">
        <v>25</v>
      </c>
      <c r="R8" s="501" t="s">
        <v>840</v>
      </c>
      <c r="S8" s="502">
        <v>0</v>
      </c>
      <c r="T8" s="557" t="s">
        <v>730</v>
      </c>
      <c r="U8" s="502">
        <v>0</v>
      </c>
      <c r="V8" s="502">
        <v>5</v>
      </c>
      <c r="W8" s="501" t="s">
        <v>1111</v>
      </c>
    </row>
    <row r="9" spans="1:23" hidden="1">
      <c r="A9" s="266"/>
      <c r="B9" s="278">
        <v>3</v>
      </c>
      <c r="C9" s="289" t="str">
        <f t="shared" si="3"/>
        <v/>
      </c>
      <c r="D9" s="290" t="str">
        <f t="shared" si="4"/>
        <v/>
      </c>
      <c r="E9" s="290" t="str">
        <f t="shared" si="4"/>
        <v/>
      </c>
      <c r="F9" s="290" t="str">
        <f t="shared" si="4"/>
        <v/>
      </c>
      <c r="G9" s="290" t="str">
        <f t="shared" si="4"/>
        <v/>
      </c>
      <c r="H9" s="290" t="str">
        <f t="shared" si="4"/>
        <v/>
      </c>
      <c r="I9" s="290" t="str">
        <f t="shared" si="4"/>
        <v/>
      </c>
      <c r="J9" s="269"/>
      <c r="K9" s="269"/>
      <c r="L9" s="278" t="str">
        <f t="shared" si="0"/>
        <v>10SWUC16110</v>
      </c>
      <c r="M9" s="278" t="str">
        <f>IF(OR(L9="",COUNTIF($M$4:M8,IF(ISERROR($R9*1),LEFT($R9,2)*1,$R9*1))&gt;=1),"-",IF(ISERROR($R9*1),LEFT($R9,2)*1,$R9*1))</f>
        <v>-</v>
      </c>
      <c r="N9" s="278" t="str">
        <f>IF(OR(L9="",COUNTIF($N$4:N8,V9*1)&gt;=1),"-",V9*1)</f>
        <v>-</v>
      </c>
      <c r="O9" s="501" t="s">
        <v>1102</v>
      </c>
      <c r="P9" s="501" t="s">
        <v>1103</v>
      </c>
      <c r="Q9" s="501" t="s">
        <v>25</v>
      </c>
      <c r="R9" s="501" t="s">
        <v>840</v>
      </c>
      <c r="S9" s="502">
        <v>0</v>
      </c>
      <c r="T9" s="557" t="s">
        <v>730</v>
      </c>
      <c r="U9" s="502">
        <v>0</v>
      </c>
      <c r="V9" s="502">
        <v>10</v>
      </c>
      <c r="W9" s="501" t="s">
        <v>1112</v>
      </c>
    </row>
    <row r="10" spans="1:23" hidden="1">
      <c r="A10" s="291"/>
      <c r="B10" s="278">
        <v>4</v>
      </c>
      <c r="C10" s="289" t="str">
        <f t="shared" si="3"/>
        <v/>
      </c>
      <c r="D10" s="290" t="str">
        <f t="shared" si="4"/>
        <v/>
      </c>
      <c r="E10" s="290" t="str">
        <f t="shared" si="4"/>
        <v/>
      </c>
      <c r="F10" s="290" t="str">
        <f t="shared" si="4"/>
        <v/>
      </c>
      <c r="G10" s="290" t="str">
        <f t="shared" si="4"/>
        <v/>
      </c>
      <c r="H10" s="290" t="str">
        <f t="shared" si="4"/>
        <v/>
      </c>
      <c r="I10" s="290" t="str">
        <f t="shared" si="4"/>
        <v/>
      </c>
      <c r="J10" s="269"/>
      <c r="K10" s="269"/>
      <c r="L10" s="278" t="str">
        <f t="shared" si="0"/>
        <v>10SWUC215足5</v>
      </c>
      <c r="M10" s="278" t="str">
        <f>IF(OR(L10="",COUNTIF($M$4:M9,IF(ISERROR($R10*1),LEFT($R10,2)*1,$R10*1))&gt;=1),"-",IF(ISERROR($R10*1),LEFT($R10,2)*1,$R10*1))</f>
        <v>-</v>
      </c>
      <c r="N10" s="278" t="str">
        <f>IF(OR(L10="",COUNTIF($N$4:N9,V10*1)&gt;=1),"-",V10*1)</f>
        <v>-</v>
      </c>
      <c r="O10" s="501" t="s">
        <v>1102</v>
      </c>
      <c r="P10" s="501" t="s">
        <v>1103</v>
      </c>
      <c r="Q10" s="501" t="s">
        <v>26</v>
      </c>
      <c r="R10" s="501" t="s">
        <v>1064</v>
      </c>
      <c r="S10" s="502">
        <v>0</v>
      </c>
      <c r="T10" s="557" t="s">
        <v>730</v>
      </c>
      <c r="U10" s="502">
        <v>0</v>
      </c>
      <c r="V10" s="502">
        <v>5</v>
      </c>
      <c r="W10" s="501" t="s">
        <v>1075</v>
      </c>
    </row>
    <row r="11" spans="1:23" hidden="1">
      <c r="A11" s="291"/>
      <c r="B11" s="278">
        <v>5</v>
      </c>
      <c r="C11" s="289" t="str">
        <f t="shared" si="3"/>
        <v/>
      </c>
      <c r="D11" s="290" t="str">
        <f t="shared" si="4"/>
        <v/>
      </c>
      <c r="E11" s="290" t="str">
        <f t="shared" si="4"/>
        <v/>
      </c>
      <c r="F11" s="290" t="str">
        <f t="shared" si="4"/>
        <v/>
      </c>
      <c r="G11" s="290" t="str">
        <f t="shared" si="4"/>
        <v/>
      </c>
      <c r="H11" s="290" t="str">
        <f t="shared" si="4"/>
        <v/>
      </c>
      <c r="I11" s="290" t="str">
        <f t="shared" si="4"/>
        <v/>
      </c>
      <c r="J11" s="269"/>
      <c r="K11" s="269"/>
      <c r="L11" s="278" t="str">
        <f t="shared" si="0"/>
        <v>10SWUC215足10</v>
      </c>
      <c r="M11" s="278" t="str">
        <f>IF(OR(L11="",COUNTIF($M$4:M10,IF(ISERROR($R11*1),LEFT($R11,2)*1,$R11*1))&gt;=1),"-",IF(ISERROR($R11*1),LEFT($R11,2)*1,$R11*1))</f>
        <v>-</v>
      </c>
      <c r="N11" s="278" t="str">
        <f>IF(OR(L11="",COUNTIF($N$4:N10,V11*1)&gt;=1),"-",V11*1)</f>
        <v>-</v>
      </c>
      <c r="O11" s="501" t="s">
        <v>1102</v>
      </c>
      <c r="P11" s="501" t="s">
        <v>1103</v>
      </c>
      <c r="Q11" s="501" t="s">
        <v>26</v>
      </c>
      <c r="R11" s="501" t="s">
        <v>1064</v>
      </c>
      <c r="S11" s="502">
        <v>0</v>
      </c>
      <c r="T11" s="557" t="s">
        <v>730</v>
      </c>
      <c r="U11" s="502">
        <v>0</v>
      </c>
      <c r="V11" s="502">
        <v>10</v>
      </c>
      <c r="W11" s="501" t="s">
        <v>1078</v>
      </c>
    </row>
    <row r="12" spans="1:23" hidden="1">
      <c r="A12" s="291"/>
      <c r="B12" s="278">
        <v>6</v>
      </c>
      <c r="C12" s="289" t="str">
        <f t="shared" si="3"/>
        <v/>
      </c>
      <c r="D12" s="290" t="str">
        <f t="shared" si="4"/>
        <v/>
      </c>
      <c r="E12" s="290" t="str">
        <f t="shared" si="4"/>
        <v/>
      </c>
      <c r="F12" s="290" t="str">
        <f t="shared" si="4"/>
        <v/>
      </c>
      <c r="G12" s="290" t="str">
        <f t="shared" si="4"/>
        <v/>
      </c>
      <c r="H12" s="290" t="str">
        <f t="shared" si="4"/>
        <v/>
      </c>
      <c r="I12" s="290" t="str">
        <f t="shared" si="4"/>
        <v/>
      </c>
      <c r="J12" s="269"/>
      <c r="K12" s="269"/>
      <c r="L12" s="278" t="str">
        <f t="shared" si="0"/>
        <v>10SWUC2355</v>
      </c>
      <c r="M12" s="278" t="str">
        <f>IF(OR(L12="",COUNTIF($M$4:M11,IF(ISERROR($R12*1),LEFT($R12,2)*1,$R12*1))&gt;=1),"-",IF(ISERROR($R12*1),LEFT($R12,2)*1,$R12*1))</f>
        <v>-</v>
      </c>
      <c r="N12" s="278" t="str">
        <f>IF(OR(L12="",COUNTIF($N$4:N11,V12*1)&gt;=1),"-",V12*1)</f>
        <v>-</v>
      </c>
      <c r="O12" s="501" t="s">
        <v>1102</v>
      </c>
      <c r="P12" s="501" t="s">
        <v>1103</v>
      </c>
      <c r="Q12" s="501" t="s">
        <v>26</v>
      </c>
      <c r="R12" s="501" t="s">
        <v>264</v>
      </c>
      <c r="S12" s="502">
        <v>0</v>
      </c>
      <c r="T12" s="557" t="s">
        <v>730</v>
      </c>
      <c r="U12" s="502">
        <v>0</v>
      </c>
      <c r="V12" s="502">
        <v>5</v>
      </c>
      <c r="W12" s="501" t="s">
        <v>1077</v>
      </c>
    </row>
    <row r="13" spans="1:23" hidden="1">
      <c r="A13" s="291"/>
      <c r="B13" s="278">
        <v>7</v>
      </c>
      <c r="C13" s="289" t="str">
        <f t="shared" si="3"/>
        <v/>
      </c>
      <c r="D13" s="290" t="str">
        <f t="shared" si="4"/>
        <v/>
      </c>
      <c r="E13" s="290" t="str">
        <f t="shared" si="4"/>
        <v/>
      </c>
      <c r="F13" s="290" t="str">
        <f t="shared" si="4"/>
        <v/>
      </c>
      <c r="G13" s="290" t="str">
        <f t="shared" si="4"/>
        <v/>
      </c>
      <c r="H13" s="290" t="str">
        <f t="shared" si="4"/>
        <v/>
      </c>
      <c r="I13" s="290" t="str">
        <f t="shared" si="4"/>
        <v/>
      </c>
      <c r="J13" s="269"/>
      <c r="K13" s="269"/>
      <c r="L13" s="278" t="str">
        <f t="shared" si="0"/>
        <v>10SWUC23510</v>
      </c>
      <c r="M13" s="278" t="str">
        <f>IF(OR(L13="",COUNTIF($M$4:M12,IF(ISERROR($R13*1),LEFT($R13,2)*1,$R13*1))&gt;=1),"-",IF(ISERROR($R13*1),LEFT($R13,2)*1,$R13*1))</f>
        <v>-</v>
      </c>
      <c r="N13" s="278" t="str">
        <f>IF(OR(L13="",COUNTIF($N$4:N12,V13*1)&gt;=1),"-",V13*1)</f>
        <v>-</v>
      </c>
      <c r="O13" s="501" t="s">
        <v>1102</v>
      </c>
      <c r="P13" s="501" t="s">
        <v>1103</v>
      </c>
      <c r="Q13" s="501" t="s">
        <v>26</v>
      </c>
      <c r="R13" s="501" t="s">
        <v>264</v>
      </c>
      <c r="S13" s="502">
        <v>0</v>
      </c>
      <c r="T13" s="557" t="s">
        <v>730</v>
      </c>
      <c r="U13" s="502">
        <v>0</v>
      </c>
      <c r="V13" s="502">
        <v>10</v>
      </c>
      <c r="W13" s="501" t="s">
        <v>1110</v>
      </c>
    </row>
    <row r="14" spans="1:23" hidden="1">
      <c r="A14" s="292"/>
      <c r="B14" s="278">
        <v>8</v>
      </c>
      <c r="C14" s="289" t="str">
        <f t="shared" si="3"/>
        <v/>
      </c>
      <c r="D14" s="290" t="str">
        <f t="shared" si="4"/>
        <v/>
      </c>
      <c r="E14" s="290" t="str">
        <f t="shared" si="4"/>
        <v/>
      </c>
      <c r="F14" s="290" t="str">
        <f t="shared" si="4"/>
        <v/>
      </c>
      <c r="G14" s="290" t="str">
        <f t="shared" si="4"/>
        <v/>
      </c>
      <c r="H14" s="290" t="str">
        <f t="shared" si="4"/>
        <v/>
      </c>
      <c r="I14" s="290" t="str">
        <f t="shared" si="4"/>
        <v/>
      </c>
      <c r="J14" s="269"/>
      <c r="K14" s="269"/>
      <c r="L14" s="278" t="str">
        <f t="shared" si="0"/>
        <v>10SWUC2615</v>
      </c>
      <c r="M14" s="278" t="str">
        <f>IF(OR(L14="",COUNTIF($M$4:M13,IF(ISERROR($R14*1),LEFT($R14,2)*1,$R14*1))&gt;=1),"-",IF(ISERROR($R14*1),LEFT($R14,2)*1,$R14*1))</f>
        <v>-</v>
      </c>
      <c r="N14" s="278" t="str">
        <f>IF(OR(L14="",COUNTIF($N$4:N13,V14*1)&gt;=1),"-",V14*1)</f>
        <v>-</v>
      </c>
      <c r="O14" s="501" t="s">
        <v>1102</v>
      </c>
      <c r="P14" s="501" t="s">
        <v>1103</v>
      </c>
      <c r="Q14" s="501" t="s">
        <v>26</v>
      </c>
      <c r="R14" s="501" t="s">
        <v>840</v>
      </c>
      <c r="S14" s="502">
        <v>0</v>
      </c>
      <c r="T14" s="557" t="s">
        <v>730</v>
      </c>
      <c r="U14" s="502">
        <v>0</v>
      </c>
      <c r="V14" s="502">
        <v>5</v>
      </c>
      <c r="W14" s="501" t="s">
        <v>1113</v>
      </c>
    </row>
    <row r="15" spans="1:23" hidden="1">
      <c r="A15" s="293"/>
      <c r="B15" s="266"/>
      <c r="C15" s="294" t="s">
        <v>268</v>
      </c>
      <c r="D15" s="266"/>
      <c r="E15" s="266"/>
      <c r="F15" s="266"/>
      <c r="G15" s="291"/>
      <c r="H15" s="295"/>
      <c r="I15" s="295"/>
      <c r="J15" s="295"/>
      <c r="K15" s="295"/>
      <c r="L15" s="278" t="str">
        <f t="shared" si="0"/>
        <v>10SWUC26110</v>
      </c>
      <c r="M15" s="278" t="str">
        <f>IF(OR(L15="",COUNTIF($M$4:M14,IF(ISERROR($R15*1),LEFT($R15,2)*1,$R15*1))&gt;=1),"-",IF(ISERROR($R15*1),LEFT($R15,2)*1,$R15*1))</f>
        <v>-</v>
      </c>
      <c r="N15" s="278" t="str">
        <f>IF(OR(L15="",COUNTIF($N$4:N14,V15*1)&gt;=1),"-",V15*1)</f>
        <v>-</v>
      </c>
      <c r="O15" s="501" t="s">
        <v>1102</v>
      </c>
      <c r="P15" s="501" t="s">
        <v>1103</v>
      </c>
      <c r="Q15" s="501" t="s">
        <v>26</v>
      </c>
      <c r="R15" s="501" t="s">
        <v>840</v>
      </c>
      <c r="S15" s="502">
        <v>0</v>
      </c>
      <c r="T15" s="557" t="s">
        <v>730</v>
      </c>
      <c r="U15" s="502">
        <v>0</v>
      </c>
      <c r="V15" s="502">
        <v>10</v>
      </c>
      <c r="W15" s="501" t="s">
        <v>1114</v>
      </c>
    </row>
    <row r="16" spans="1:23" hidden="1">
      <c r="A16" s="293"/>
      <c r="B16" s="266"/>
      <c r="C16" s="266"/>
      <c r="D16" s="266"/>
      <c r="E16" s="266"/>
      <c r="F16" s="266"/>
      <c r="G16" s="291"/>
      <c r="H16" s="295"/>
      <c r="I16" s="295"/>
      <c r="J16" s="295"/>
      <c r="K16" s="295"/>
      <c r="L16" s="278" t="str">
        <f t="shared" si="0"/>
        <v/>
      </c>
      <c r="M16" s="278" t="str">
        <f>IF(OR(L16="",COUNTIF($M$4:M15,IF(ISERROR($R16*1),LEFT($R16,2)*1,$R16*1))&gt;=1),"-",IF(ISERROR($R16*1),LEFT($R16,2)*1,$R16*1))</f>
        <v>-</v>
      </c>
      <c r="N16" s="278" t="str">
        <f>IF(OR(L16="",COUNTIF($N$4:N15,V16*1)&gt;=1),"-",V16*1)</f>
        <v>-</v>
      </c>
      <c r="O16" s="363"/>
      <c r="P16" s="363"/>
      <c r="Q16" s="363"/>
      <c r="R16" s="363"/>
      <c r="S16" s="364"/>
      <c r="T16" s="364"/>
      <c r="U16" s="364"/>
      <c r="V16" s="364"/>
      <c r="W16" s="363"/>
    </row>
    <row r="17" spans="1:23" hidden="1">
      <c r="A17" s="293"/>
      <c r="B17" s="266"/>
      <c r="L17" s="278" t="str">
        <f t="shared" si="0"/>
        <v/>
      </c>
      <c r="M17" s="278" t="str">
        <f>IF(OR(L17="",COUNTIF($M$4:M16,IF(ISERROR($R17*1),LEFT($R17,2)*1,$R17*1))&gt;=1),"-",IF(ISERROR($R17*1),LEFT($R17,2)*1,$R17*1))</f>
        <v>-</v>
      </c>
      <c r="N17" s="278" t="str">
        <f>IF(OR(L17="",COUNTIF($N$4:N16,V17*1)&gt;=1),"-",V17*1)</f>
        <v>-</v>
      </c>
      <c r="O17" s="282"/>
      <c r="P17" s="282"/>
      <c r="Q17" s="282"/>
      <c r="R17" s="282"/>
      <c r="S17" s="283"/>
      <c r="T17" s="283"/>
      <c r="U17" s="283"/>
      <c r="V17" s="283"/>
      <c r="W17" s="282"/>
    </row>
    <row r="18" spans="1:23" hidden="1">
      <c r="A18" s="293"/>
      <c r="B18" s="266"/>
      <c r="L18" s="278" t="str">
        <f t="shared" si="0"/>
        <v/>
      </c>
      <c r="M18" s="278" t="str">
        <f>IF(OR(L18="",COUNTIF($M$4:M17,IF(ISERROR($R18*1),LEFT($R18,2)*1,$R18*1))&gt;=1),"-",IF(ISERROR($R18*1),LEFT($R18,2)*1,$R18*1))</f>
        <v>-</v>
      </c>
      <c r="N18" s="278" t="str">
        <f>IF(OR(L18="",COUNTIF($N$4:N17,V18*1)&gt;=1),"-",V18*1)</f>
        <v>-</v>
      </c>
      <c r="O18" s="282"/>
      <c r="P18" s="282"/>
      <c r="Q18" s="282"/>
      <c r="R18" s="282"/>
      <c r="S18" s="283"/>
      <c r="T18" s="283"/>
      <c r="U18" s="283"/>
      <c r="V18" s="283"/>
      <c r="W18" s="282"/>
    </row>
    <row r="19" spans="1:23" hidden="1">
      <c r="A19" s="293"/>
      <c r="B19" s="266"/>
      <c r="L19" s="278" t="str">
        <f t="shared" si="0"/>
        <v/>
      </c>
      <c r="M19" s="278" t="str">
        <f>IF(OR(L19="",COUNTIF($M$4:M18,IF(ISERROR($R19*1),LEFT($R19,2)*1,$R19*1))&gt;=1),"-",IF(ISERROR($R19*1),LEFT($R19,2)*1,$R19*1))</f>
        <v>-</v>
      </c>
      <c r="N19" s="278" t="str">
        <f>IF(OR(L19="",COUNTIF($N$4:N18,V19*1)&gt;=1),"-",V19*1)</f>
        <v>-</v>
      </c>
      <c r="O19" s="282"/>
      <c r="P19" s="282"/>
      <c r="Q19" s="282"/>
      <c r="R19" s="282"/>
      <c r="S19" s="283"/>
      <c r="T19" s="283"/>
      <c r="U19" s="283"/>
      <c r="V19" s="283"/>
      <c r="W19" s="282"/>
    </row>
    <row r="20" spans="1:23" hidden="1">
      <c r="A20" s="293"/>
      <c r="B20" s="266"/>
      <c r="L20" s="278" t="str">
        <f t="shared" si="0"/>
        <v/>
      </c>
      <c r="M20" s="278" t="str">
        <f>IF(OR(L20="",COUNTIF($M$4:M19,IF(ISERROR($R20*1),LEFT($R20,2)*1,$R20*1))&gt;=1),"-",IF(ISERROR($R20*1),LEFT($R20,2)*1,$R20*1))</f>
        <v>-</v>
      </c>
      <c r="N20" s="278" t="str">
        <f>IF(OR(L20="",COUNTIF($N$4:N19,V20*1)&gt;=1),"-",V20*1)</f>
        <v>-</v>
      </c>
      <c r="O20" s="282"/>
      <c r="P20" s="282"/>
      <c r="Q20" s="282"/>
      <c r="R20" s="282"/>
      <c r="S20" s="283"/>
      <c r="T20" s="283"/>
      <c r="U20" s="283"/>
      <c r="V20" s="283"/>
      <c r="W20" s="282"/>
    </row>
    <row r="21" spans="1:23" hidden="1">
      <c r="A21" s="266"/>
      <c r="B21" s="266"/>
      <c r="L21" s="278" t="str">
        <f t="shared" si="0"/>
        <v/>
      </c>
      <c r="M21" s="278" t="str">
        <f>IF(OR(L21="",COUNTIF($M$4:M20,IF(ISERROR($R21*1),LEFT($R21,2)*1,$R21*1))&gt;=1),"-",IF(ISERROR($R21*1),LEFT($R21,2)*1,$R21*1))</f>
        <v>-</v>
      </c>
      <c r="N21" s="278" t="str">
        <f>IF(OR(L21="",COUNTIF($N$4:N20,V21*1)&gt;=1),"-",V21*1)</f>
        <v>-</v>
      </c>
      <c r="O21" s="282"/>
      <c r="P21" s="282"/>
      <c r="Q21" s="282"/>
      <c r="R21" s="282"/>
      <c r="S21" s="283"/>
      <c r="T21" s="283"/>
      <c r="U21" s="283"/>
      <c r="V21" s="283"/>
      <c r="W21" s="282"/>
    </row>
    <row r="22" spans="1:23" hidden="1">
      <c r="A22" s="266"/>
      <c r="B22" s="266"/>
      <c r="L22" s="278" t="str">
        <f t="shared" si="0"/>
        <v/>
      </c>
      <c r="M22" s="278" t="str">
        <f>IF(OR(L22="",COUNTIF($M$4:M21,IF(ISERROR($R22*1),LEFT($R22,2)*1,$R22*1))&gt;=1),"-",IF(ISERROR($R22*1),LEFT($R22,2)*1,$R22*1))</f>
        <v>-</v>
      </c>
      <c r="N22" s="278" t="str">
        <f>IF(OR(L22="",COUNTIF($N$4:N21,V22*1)&gt;=1),"-",V22*1)</f>
        <v>-</v>
      </c>
      <c r="O22" s="282"/>
      <c r="P22" s="282"/>
      <c r="Q22" s="282"/>
      <c r="R22" s="282"/>
      <c r="S22" s="283"/>
      <c r="T22" s="283"/>
      <c r="U22" s="283"/>
      <c r="V22" s="283"/>
      <c r="W22" s="282"/>
    </row>
    <row r="23" spans="1:23" hidden="1">
      <c r="A23" s="266"/>
      <c r="B23" s="266"/>
      <c r="L23" s="278" t="str">
        <f t="shared" si="0"/>
        <v/>
      </c>
      <c r="M23" s="278" t="str">
        <f>IF(OR(L23="",COUNTIF($M$4:M22,IF(ISERROR($R23*1),LEFT($R23,2)*1,$R23*1))&gt;=1),"-",IF(ISERROR($R23*1),LEFT($R23,2)*1,$R23*1))</f>
        <v>-</v>
      </c>
      <c r="N23" s="278" t="str">
        <f>IF(OR(L23="",COUNTIF($N$4:N22,V23*1)&gt;=1),"-",V23*1)</f>
        <v>-</v>
      </c>
      <c r="O23" s="282"/>
      <c r="P23" s="282"/>
      <c r="Q23" s="282"/>
      <c r="R23" s="282"/>
      <c r="S23" s="283"/>
      <c r="T23" s="283"/>
      <c r="U23" s="283"/>
      <c r="V23" s="283"/>
      <c r="W23" s="282"/>
    </row>
    <row r="24" spans="1:23" hidden="1">
      <c r="A24" s="266"/>
      <c r="B24" s="266"/>
      <c r="L24" s="278" t="str">
        <f t="shared" si="0"/>
        <v/>
      </c>
      <c r="M24" s="278" t="str">
        <f>IF(OR(L24="",COUNTIF($M$4:M23,IF(ISERROR($R24*1),LEFT($R24,2)*1,$R24*1))&gt;=1),"-",IF(ISERROR($R24*1),LEFT($R24,2)*1,$R24*1))</f>
        <v>-</v>
      </c>
      <c r="N24" s="278" t="str">
        <f>IF(OR(L24="",COUNTIF($N$4:N23,V24*1)&gt;=1),"-",V24*1)</f>
        <v>-</v>
      </c>
      <c r="O24" s="282"/>
      <c r="P24" s="282"/>
      <c r="Q24" s="282"/>
      <c r="R24" s="282"/>
      <c r="S24" s="283"/>
      <c r="T24" s="283"/>
      <c r="U24" s="283"/>
      <c r="V24" s="283"/>
      <c r="W24" s="282"/>
    </row>
    <row r="25" spans="1:23" hidden="1">
      <c r="A25" s="266"/>
      <c r="B25" s="266"/>
      <c r="L25" s="278" t="str">
        <f t="shared" si="0"/>
        <v/>
      </c>
      <c r="M25" s="278" t="str">
        <f>IF(OR(L25="",COUNTIF($M$4:M24,IF(ISERROR($R25*1),LEFT($R25,2)*1,$R25*1))&gt;=1),"-",IF(ISERROR($R25*1),LEFT($R25,2)*1,$R25*1))</f>
        <v>-</v>
      </c>
      <c r="N25" s="278" t="str">
        <f>IF(OR(L25="",COUNTIF($N$4:N24,V25*1)&gt;=1),"-",V25*1)</f>
        <v>-</v>
      </c>
      <c r="O25" s="282"/>
      <c r="P25" s="282"/>
      <c r="Q25" s="282"/>
      <c r="R25" s="282"/>
      <c r="S25" s="283"/>
      <c r="T25" s="283"/>
      <c r="U25" s="283"/>
      <c r="V25" s="283"/>
      <c r="W25" s="282"/>
    </row>
    <row r="26" spans="1:23" hidden="1">
      <c r="A26" s="266"/>
      <c r="B26" s="266"/>
      <c r="L26" s="278" t="str">
        <f t="shared" si="0"/>
        <v/>
      </c>
      <c r="M26" s="278" t="str">
        <f>IF(OR(L26="",COUNTIF($M$4:M25,IF(ISERROR($R26*1),LEFT($R26,2)*1,$R26*1))&gt;=1),"-",IF(ISERROR($R26*1),LEFT($R26,2)*1,$R26*1))</f>
        <v>-</v>
      </c>
      <c r="N26" s="278" t="str">
        <f>IF(OR(L26="",COUNTIF($N$4:N25,V26*1)&gt;=1),"-",V26*1)</f>
        <v>-</v>
      </c>
      <c r="O26" s="282"/>
      <c r="P26" s="282"/>
      <c r="Q26" s="282"/>
      <c r="R26" s="282"/>
      <c r="S26" s="283"/>
      <c r="T26" s="283"/>
      <c r="U26" s="283"/>
      <c r="V26" s="283"/>
      <c r="W26" s="282"/>
    </row>
    <row r="27" spans="1:23" hidden="1">
      <c r="A27" s="266"/>
      <c r="B27" s="266"/>
      <c r="L27" s="278" t="str">
        <f t="shared" si="0"/>
        <v/>
      </c>
      <c r="M27" s="278" t="str">
        <f>IF(OR(L27="",COUNTIF($M$4:M26,IF(ISERROR($R27*1),LEFT($R27,2)*1,$R27*1))&gt;=1),"-",IF(ISERROR($R27*1),LEFT($R27,2)*1,$R27*1))</f>
        <v>-</v>
      </c>
      <c r="N27" s="278" t="str">
        <f>IF(OR(L27="",COUNTIF($N$4:N26,V27*1)&gt;=1),"-",V27*1)</f>
        <v>-</v>
      </c>
      <c r="O27" s="282"/>
      <c r="P27" s="282"/>
      <c r="Q27" s="282"/>
      <c r="R27" s="282"/>
      <c r="S27" s="283"/>
      <c r="T27" s="283"/>
      <c r="U27" s="283"/>
      <c r="V27" s="283"/>
      <c r="W27" s="282"/>
    </row>
    <row r="28" spans="1:23" hidden="1">
      <c r="A28" s="266"/>
      <c r="B28" s="266"/>
      <c r="L28" s="278" t="str">
        <f t="shared" si="0"/>
        <v/>
      </c>
      <c r="M28" s="278" t="str">
        <f>IF(OR(L28="",COUNTIF($M$4:M27,IF(ISERROR($R28*1),LEFT($R28,2)*1,$R28*1))&gt;=1),"-",IF(ISERROR($R28*1),LEFT($R28,2)*1,$R28*1))</f>
        <v>-</v>
      </c>
      <c r="N28" s="278" t="str">
        <f>IF(OR(L28="",COUNTIF($N$4:N27,V28*1)&gt;=1),"-",V28*1)</f>
        <v>-</v>
      </c>
      <c r="O28" s="282"/>
      <c r="P28" s="282"/>
      <c r="Q28" s="282"/>
      <c r="R28" s="282"/>
      <c r="S28" s="283"/>
      <c r="T28" s="283"/>
      <c r="U28" s="283"/>
      <c r="V28" s="283"/>
      <c r="W28" s="282"/>
    </row>
    <row r="29" spans="1:23" hidden="1">
      <c r="A29" s="266"/>
      <c r="B29" s="266"/>
      <c r="L29" s="278" t="str">
        <f t="shared" si="0"/>
        <v/>
      </c>
      <c r="M29" s="278" t="str">
        <f>IF(OR(L29="",COUNTIF($M$4:M28,IF(ISERROR($R29*1),LEFT($R29,2)*1,$R29*1))&gt;=1),"-",IF(ISERROR($R29*1),LEFT($R29,2)*1,$R29*1))</f>
        <v>-</v>
      </c>
      <c r="N29" s="278" t="str">
        <f>IF(OR(L29="",COUNTIF($N$4:N28,V29*1)&gt;=1),"-",V29*1)</f>
        <v>-</v>
      </c>
      <c r="O29" s="282"/>
      <c r="P29" s="282"/>
      <c r="Q29" s="282"/>
      <c r="R29" s="282"/>
      <c r="S29" s="283"/>
      <c r="T29" s="283"/>
      <c r="U29" s="283"/>
      <c r="V29" s="283"/>
      <c r="W29" s="282"/>
    </row>
    <row r="30" spans="1:23" hidden="1">
      <c r="A30" s="266"/>
      <c r="B30" s="266"/>
      <c r="L30" s="278" t="str">
        <f t="shared" si="0"/>
        <v/>
      </c>
      <c r="M30" s="278" t="str">
        <f>IF(OR(L30="",COUNTIF($M$4:M29,IF(ISERROR($R30*1),LEFT($R30,2)*1,$R30*1))&gt;=1),"-",IF(ISERROR($R30*1),LEFT($R30,2)*1,$R30*1))</f>
        <v>-</v>
      </c>
      <c r="N30" s="278" t="str">
        <f>IF(OR(L30="",COUNTIF($N$4:N29,V30*1)&gt;=1),"-",V30*1)</f>
        <v>-</v>
      </c>
      <c r="O30" s="282"/>
      <c r="P30" s="282"/>
      <c r="Q30" s="282"/>
      <c r="R30" s="282"/>
      <c r="S30" s="283"/>
      <c r="T30" s="283"/>
      <c r="U30" s="283"/>
      <c r="V30" s="283"/>
      <c r="W30" s="282"/>
    </row>
    <row r="31" spans="1:23" hidden="1">
      <c r="A31" s="266"/>
      <c r="B31" s="266"/>
      <c r="L31" s="278" t="str">
        <f t="shared" si="0"/>
        <v/>
      </c>
      <c r="M31" s="278" t="str">
        <f>IF(OR(L31="",COUNTIF($M$4:M30,IF(ISERROR($R31*1),LEFT($R31,2)*1,$R31*1))&gt;=1),"-",IF(ISERROR($R31*1),LEFT($R31,2)*1,$R31*1))</f>
        <v>-</v>
      </c>
      <c r="N31" s="278" t="str">
        <f>IF(OR(L31="",COUNTIF($N$4:N30,V31*1)&gt;=1),"-",V31*1)</f>
        <v>-</v>
      </c>
      <c r="O31" s="282"/>
      <c r="P31" s="282"/>
      <c r="Q31" s="282"/>
      <c r="R31" s="282"/>
      <c r="S31" s="283"/>
      <c r="T31" s="283"/>
      <c r="U31" s="283"/>
      <c r="V31" s="283"/>
      <c r="W31" s="282"/>
    </row>
    <row r="32" spans="1:23" hidden="1">
      <c r="A32" s="266"/>
      <c r="B32" s="266"/>
      <c r="L32" s="278" t="str">
        <f t="shared" si="0"/>
        <v/>
      </c>
      <c r="M32" s="278" t="str">
        <f>IF(OR(L32="",COUNTIF($M$4:M31,IF(ISERROR($R32*1),LEFT($R32,2)*1,$R32*1))&gt;=1),"-",IF(ISERROR($R32*1),LEFT($R32,2)*1,$R32*1))</f>
        <v>-</v>
      </c>
      <c r="N32" s="278" t="str">
        <f>IF(OR(L32="",COUNTIF($N$4:N31,V32*1)&gt;=1),"-",V32*1)</f>
        <v>-</v>
      </c>
      <c r="O32" s="282"/>
      <c r="P32" s="282"/>
      <c r="Q32" s="282"/>
      <c r="R32" s="282"/>
      <c r="S32" s="283"/>
      <c r="T32" s="283"/>
      <c r="U32" s="283"/>
      <c r="V32" s="283"/>
      <c r="W32" s="282"/>
    </row>
    <row r="33" spans="1:23" hidden="1">
      <c r="A33" s="266"/>
      <c r="B33" s="266"/>
      <c r="L33" s="278" t="str">
        <f t="shared" si="0"/>
        <v/>
      </c>
      <c r="M33" s="278" t="str">
        <f>IF(OR(L33="",COUNTIF($M$4:M32,IF(ISERROR($R33*1),LEFT($R33,2)*1,$R33*1))&gt;=1),"-",IF(ISERROR($R33*1),LEFT($R33,2)*1,$R33*1))</f>
        <v>-</v>
      </c>
      <c r="N33" s="278" t="str">
        <f>IF(OR(L33="",COUNTIF($N$4:N32,V33*1)&gt;=1),"-",V33*1)</f>
        <v>-</v>
      </c>
      <c r="O33" s="282"/>
      <c r="P33" s="282"/>
      <c r="Q33" s="282"/>
      <c r="R33" s="282"/>
      <c r="S33" s="283"/>
      <c r="T33" s="283"/>
      <c r="U33" s="283"/>
      <c r="V33" s="283"/>
      <c r="W33" s="282"/>
    </row>
    <row r="34" spans="1:23" hidden="1">
      <c r="A34" s="266"/>
      <c r="B34" s="266"/>
      <c r="L34" s="278" t="str">
        <f t="shared" si="0"/>
        <v/>
      </c>
      <c r="M34" s="278" t="str">
        <f>IF(OR(L34="",COUNTIF($M$4:M33,IF(ISERROR($R34*1),LEFT($R34,2)*1,$R34*1))&gt;=1),"-",IF(ISERROR($R34*1),LEFT($R34,2)*1,$R34*1))</f>
        <v>-</v>
      </c>
      <c r="N34" s="278" t="str">
        <f>IF(OR(L34="",COUNTIF($N$4:N33,V34*1)&gt;=1),"-",V34*1)</f>
        <v>-</v>
      </c>
      <c r="O34" s="282"/>
      <c r="P34" s="282"/>
      <c r="Q34" s="282"/>
      <c r="R34" s="282"/>
      <c r="S34" s="283"/>
      <c r="T34" s="283"/>
      <c r="U34" s="283"/>
      <c r="V34" s="283"/>
      <c r="W34" s="282"/>
    </row>
    <row r="35" spans="1:23" hidden="1">
      <c r="A35" s="266"/>
      <c r="B35" s="266"/>
      <c r="L35" s="278" t="str">
        <f t="shared" si="0"/>
        <v/>
      </c>
      <c r="M35" s="278" t="str">
        <f>IF(OR(L35="",COUNTIF($M$4:M34,IF(ISERROR($R35*1),LEFT($R35,2)*1,$R35*1))&gt;=1),"-",IF(ISERROR($R35*1),LEFT($R35,2)*1,$R35*1))</f>
        <v>-</v>
      </c>
      <c r="N35" s="278" t="str">
        <f>IF(OR(L35="",COUNTIF($N$4:N34,V35*1)&gt;=1),"-",V35*1)</f>
        <v>-</v>
      </c>
      <c r="O35" s="282"/>
      <c r="P35" s="282"/>
      <c r="Q35" s="282"/>
      <c r="R35" s="282"/>
      <c r="S35" s="283"/>
      <c r="T35" s="283"/>
      <c r="U35" s="283"/>
      <c r="V35" s="283"/>
      <c r="W35" s="282"/>
    </row>
    <row r="36" spans="1:23" hidden="1">
      <c r="A36" s="266"/>
      <c r="B36" s="266"/>
      <c r="L36" s="278" t="str">
        <f t="shared" si="0"/>
        <v/>
      </c>
      <c r="M36" s="278" t="str">
        <f>IF(OR(L36="",COUNTIF($M$4:M35,IF(ISERROR($R36*1),LEFT($R36,2)*1,$R36*1))&gt;=1),"-",IF(ISERROR($R36*1),LEFT($R36,2)*1,$R36*1))</f>
        <v>-</v>
      </c>
      <c r="N36" s="278" t="str">
        <f>IF(OR(L36="",COUNTIF($N$4:N35,V36*1)&gt;=1),"-",V36*1)</f>
        <v>-</v>
      </c>
      <c r="O36" s="282"/>
      <c r="P36" s="282"/>
      <c r="Q36" s="282"/>
      <c r="R36" s="282"/>
      <c r="S36" s="283"/>
      <c r="T36" s="283"/>
      <c r="U36" s="283"/>
      <c r="V36" s="283"/>
      <c r="W36" s="282"/>
    </row>
    <row r="37" spans="1:23" hidden="1">
      <c r="A37" s="266"/>
      <c r="B37" s="266"/>
      <c r="L37" s="278" t="str">
        <f t="shared" si="0"/>
        <v/>
      </c>
      <c r="M37" s="278" t="str">
        <f>IF(OR(L37="",COUNTIF($M$4:M36,IF(ISERROR($R37*1),LEFT($R37,2)*1,$R37*1))&gt;=1),"-",IF(ISERROR($R37*1),LEFT($R37,2)*1,$R37*1))</f>
        <v>-</v>
      </c>
      <c r="N37" s="278" t="str">
        <f>IF(OR(L37="",COUNTIF($N$4:N36,V37*1)&gt;=1),"-",V37*1)</f>
        <v>-</v>
      </c>
      <c r="O37" s="282"/>
      <c r="P37" s="282"/>
      <c r="Q37" s="282"/>
      <c r="R37" s="282"/>
      <c r="S37" s="283"/>
      <c r="T37" s="283"/>
      <c r="U37" s="283"/>
      <c r="V37" s="283"/>
      <c r="W37" s="282"/>
    </row>
    <row r="38" spans="1:23" hidden="1">
      <c r="A38" s="266"/>
      <c r="B38" s="266"/>
      <c r="L38" s="278" t="str">
        <f t="shared" si="0"/>
        <v/>
      </c>
      <c r="M38" s="278" t="str">
        <f>IF(OR(L38="",COUNTIF($M$4:M37,IF(ISERROR($R38*1),LEFT($R38,2)*1,$R38*1))&gt;=1),"-",IF(ISERROR($R38*1),LEFT($R38,2)*1,$R38*1))</f>
        <v>-</v>
      </c>
      <c r="N38" s="278" t="str">
        <f>IF(OR(L38="",COUNTIF($N$4:N37,V38*1)&gt;=1),"-",V38*1)</f>
        <v>-</v>
      </c>
      <c r="O38" s="282"/>
      <c r="P38" s="282"/>
      <c r="Q38" s="282"/>
      <c r="R38" s="282"/>
      <c r="S38" s="283"/>
      <c r="T38" s="283"/>
      <c r="U38" s="283"/>
      <c r="V38" s="283"/>
      <c r="W38" s="282"/>
    </row>
    <row r="39" spans="1:23" hidden="1">
      <c r="A39" s="266"/>
      <c r="B39" s="266"/>
      <c r="L39" s="278" t="str">
        <f t="shared" si="0"/>
        <v/>
      </c>
      <c r="M39" s="278" t="str">
        <f>IF(OR(L39="",COUNTIF($M$4:M38,IF(ISERROR($R39*1),LEFT($R39,2)*1,$R39*1))&gt;=1),"-",IF(ISERROR($R39*1),LEFT($R39,2)*1,$R39*1))</f>
        <v>-</v>
      </c>
      <c r="N39" s="278" t="str">
        <f>IF(OR(L39="",COUNTIF($N$4:N38,V39*1)&gt;=1),"-",V39*1)</f>
        <v>-</v>
      </c>
      <c r="O39" s="282"/>
      <c r="P39" s="282"/>
      <c r="Q39" s="282"/>
      <c r="R39" s="282"/>
      <c r="S39" s="283"/>
      <c r="T39" s="283"/>
      <c r="U39" s="283"/>
      <c r="V39" s="283"/>
      <c r="W39" s="282"/>
    </row>
    <row r="40" spans="1:23" hidden="1">
      <c r="A40" s="266"/>
      <c r="B40" s="266"/>
      <c r="L40" s="278" t="str">
        <f t="shared" si="0"/>
        <v/>
      </c>
      <c r="M40" s="278" t="str">
        <f>IF(OR(L40="",COUNTIF($M$4:M39,IF(ISERROR($R40*1),LEFT($R40,2)*1,$R40*1))&gt;=1),"-",IF(ISERROR($R40*1),LEFT($R40,2)*1,$R40*1))</f>
        <v>-</v>
      </c>
      <c r="N40" s="278" t="str">
        <f>IF(OR(L40="",COUNTIF($N$4:N39,V40*1)&gt;=1),"-",V40*1)</f>
        <v>-</v>
      </c>
      <c r="O40" s="282"/>
      <c r="P40" s="282"/>
      <c r="Q40" s="282"/>
      <c r="R40" s="282"/>
      <c r="S40" s="283"/>
      <c r="T40" s="283"/>
      <c r="U40" s="283"/>
      <c r="V40" s="283"/>
      <c r="W40" s="282"/>
    </row>
    <row r="41" spans="1:23" hidden="1">
      <c r="A41" s="266"/>
      <c r="B41" s="266"/>
      <c r="L41" s="278" t="str">
        <f t="shared" si="0"/>
        <v/>
      </c>
      <c r="M41" s="278" t="str">
        <f>IF(OR(L41="",COUNTIF($M$4:M40,IF(ISERROR($R41*1),LEFT($R41,2)*1,$R41*1))&gt;=1),"-",IF(ISERROR($R41*1),LEFT($R41,2)*1,$R41*1))</f>
        <v>-</v>
      </c>
      <c r="N41" s="278" t="str">
        <f>IF(OR(L41="",COUNTIF($N$4:N40,V41*1)&gt;=1),"-",V41*1)</f>
        <v>-</v>
      </c>
      <c r="O41" s="282"/>
      <c r="P41" s="282"/>
      <c r="Q41" s="282"/>
      <c r="R41" s="282"/>
      <c r="S41" s="283"/>
      <c r="T41" s="283"/>
      <c r="U41" s="283"/>
      <c r="V41" s="283"/>
      <c r="W41" s="282"/>
    </row>
    <row r="42" spans="1:23" hidden="1">
      <c r="A42" s="266"/>
      <c r="B42" s="266"/>
      <c r="L42" s="278" t="str">
        <f t="shared" si="0"/>
        <v/>
      </c>
      <c r="M42" s="278" t="str">
        <f>IF(OR(L42="",COUNTIF($M$4:M41,IF(ISERROR($R42*1),LEFT($R42,2)*1,$R42*1))&gt;=1),"-",IF(ISERROR($R42*1),LEFT($R42,2)*1,$R42*1))</f>
        <v>-</v>
      </c>
      <c r="N42" s="278" t="str">
        <f>IF(OR(L42="",COUNTIF($N$4:N41,V42*1)&gt;=1),"-",V42*1)</f>
        <v>-</v>
      </c>
      <c r="O42" s="282"/>
      <c r="P42" s="282"/>
      <c r="Q42" s="282"/>
      <c r="R42" s="282"/>
      <c r="S42" s="283"/>
      <c r="T42" s="283"/>
      <c r="U42" s="283"/>
      <c r="V42" s="283"/>
      <c r="W42" s="282"/>
    </row>
    <row r="43" spans="1:23" hidden="1">
      <c r="L43" s="278" t="str">
        <f t="shared" si="0"/>
        <v/>
      </c>
      <c r="M43" s="278" t="str">
        <f>IF(OR(L43="",COUNTIF($M$4:M42,IF(ISERROR($R43*1),LEFT($R43,2)*1,$R43*1))&gt;=1),"-",IF(ISERROR($R43*1),LEFT($R43,2)*1,$R43*1))</f>
        <v>-</v>
      </c>
      <c r="N43" s="278" t="str">
        <f>IF(OR(L43="",COUNTIF($N$4:N42,V43*1)&gt;=1),"-",V43*1)</f>
        <v>-</v>
      </c>
      <c r="O43" s="282"/>
      <c r="P43" s="282"/>
      <c r="Q43" s="282"/>
      <c r="R43" s="282"/>
      <c r="S43" s="283"/>
      <c r="T43" s="283"/>
      <c r="U43" s="283"/>
      <c r="V43" s="283"/>
      <c r="W43" s="282"/>
    </row>
    <row r="44" spans="1:23" hidden="1">
      <c r="L44" s="278" t="str">
        <f t="shared" si="0"/>
        <v/>
      </c>
      <c r="M44" s="278" t="str">
        <f>IF(OR(L44="",COUNTIF($M$4:M43,IF(ISERROR($R44*1),LEFT($R44,2)*1,$R44*1))&gt;=1),"-",IF(ISERROR($R44*1),LEFT($R44,2)*1,$R44*1))</f>
        <v>-</v>
      </c>
      <c r="N44" s="278" t="str">
        <f>IF(OR(L44="",COUNTIF($N$4:N43,V44*1)&gt;=1),"-",V44*1)</f>
        <v>-</v>
      </c>
      <c r="O44" s="282"/>
      <c r="P44" s="282"/>
      <c r="Q44" s="282"/>
      <c r="R44" s="282"/>
      <c r="S44" s="283"/>
      <c r="T44" s="283"/>
      <c r="U44" s="283"/>
      <c r="V44" s="283"/>
      <c r="W44" s="282"/>
    </row>
    <row r="45" spans="1:23" hidden="1">
      <c r="L45" s="278" t="str">
        <f t="shared" si="0"/>
        <v/>
      </c>
      <c r="M45" s="278" t="str">
        <f>IF(OR(L45="",COUNTIF($M$4:M44,IF(ISERROR($R45*1),LEFT($R45,2)*1,$R45*1))&gt;=1),"-",IF(ISERROR($R45*1),LEFT($R45,2)*1,$R45*1))</f>
        <v>-</v>
      </c>
      <c r="N45" s="278" t="str">
        <f>IF(OR(L45="",COUNTIF($N$4:N44,V45*1)&gt;=1),"-",V45*1)</f>
        <v>-</v>
      </c>
      <c r="O45" s="282"/>
      <c r="P45" s="282"/>
      <c r="Q45" s="282"/>
      <c r="R45" s="282"/>
      <c r="S45" s="283"/>
      <c r="T45" s="283"/>
      <c r="U45" s="283"/>
      <c r="V45" s="283"/>
      <c r="W45" s="282"/>
    </row>
    <row r="46" spans="1:23" hidden="1">
      <c r="L46" s="278" t="str">
        <f t="shared" si="0"/>
        <v/>
      </c>
      <c r="M46" s="278" t="str">
        <f>IF(OR(L46="",COUNTIF($M$4:M45,IF(ISERROR($R46*1),LEFT($R46,2)*1,$R46*1))&gt;=1),"-",IF(ISERROR($R46*1),LEFT($R46,2)*1,$R46*1))</f>
        <v>-</v>
      </c>
      <c r="N46" s="278" t="str">
        <f>IF(OR(L46="",COUNTIF($N$4:N45,V46*1)&gt;=1),"-",V46*1)</f>
        <v>-</v>
      </c>
      <c r="O46" s="282"/>
      <c r="P46" s="282"/>
      <c r="Q46" s="282"/>
      <c r="R46" s="282"/>
      <c r="S46" s="283"/>
      <c r="T46" s="283"/>
      <c r="U46" s="283"/>
      <c r="V46" s="283"/>
      <c r="W46" s="282"/>
    </row>
    <row r="47" spans="1:23" hidden="1">
      <c r="L47" s="278" t="str">
        <f t="shared" si="0"/>
        <v/>
      </c>
      <c r="M47" s="278" t="str">
        <f>IF(OR(L47="",COUNTIF($M$4:M46,IF(ISERROR($R47*1),LEFT($R47,2)*1,$R47*1))&gt;=1),"-",IF(ISERROR($R47*1),LEFT($R47,2)*1,$R47*1))</f>
        <v>-</v>
      </c>
      <c r="N47" s="278" t="str">
        <f>IF(OR(L47="",COUNTIF($N$4:N46,V47*1)&gt;=1),"-",V47*1)</f>
        <v>-</v>
      </c>
      <c r="O47" s="282"/>
      <c r="P47" s="282"/>
      <c r="Q47" s="282"/>
      <c r="R47" s="282"/>
      <c r="S47" s="283"/>
      <c r="T47" s="283"/>
      <c r="U47" s="283"/>
      <c r="V47" s="283"/>
      <c r="W47" s="282"/>
    </row>
    <row r="48" spans="1:23" hidden="1">
      <c r="L48" s="278" t="str">
        <f t="shared" si="0"/>
        <v/>
      </c>
      <c r="M48" s="278" t="str">
        <f>IF(OR(L48="",COUNTIF($M$4:M47,IF(ISERROR($R48*1),LEFT($R48,2)*1,$R48*1))&gt;=1),"-",IF(ISERROR($R48*1),LEFT($R48,2)*1,$R48*1))</f>
        <v>-</v>
      </c>
      <c r="N48" s="278" t="str">
        <f>IF(OR(L48="",COUNTIF($N$4:N47,V48*1)&gt;=1),"-",V48*1)</f>
        <v>-</v>
      </c>
      <c r="O48" s="282"/>
      <c r="P48" s="282"/>
      <c r="Q48" s="282"/>
      <c r="R48" s="282"/>
      <c r="S48" s="283"/>
      <c r="T48" s="283"/>
      <c r="U48" s="283"/>
      <c r="V48" s="283"/>
      <c r="W48" s="282"/>
    </row>
    <row r="49" spans="12:23" hidden="1">
      <c r="L49" s="278" t="str">
        <f t="shared" si="0"/>
        <v/>
      </c>
      <c r="M49" s="278" t="str">
        <f>IF(OR(L49="",COUNTIF($M$4:M48,IF(ISERROR($R49*1),LEFT($R49,2)*1,$R49*1))&gt;=1),"-",IF(ISERROR($R49*1),LEFT($R49,2)*1,$R49*1))</f>
        <v>-</v>
      </c>
      <c r="N49" s="278" t="str">
        <f>IF(OR(L49="",COUNTIF($N$4:N48,V49*1)&gt;=1),"-",V49*1)</f>
        <v>-</v>
      </c>
      <c r="O49" s="282"/>
      <c r="P49" s="282"/>
      <c r="Q49" s="282"/>
      <c r="R49" s="282"/>
      <c r="S49" s="283"/>
      <c r="T49" s="283"/>
      <c r="U49" s="283"/>
      <c r="V49" s="283"/>
      <c r="W49" s="282"/>
    </row>
    <row r="50" spans="12:23" hidden="1">
      <c r="L50" s="278" t="str">
        <f t="shared" si="0"/>
        <v/>
      </c>
      <c r="M50" s="278" t="str">
        <f>IF(OR(L50="",COUNTIF($M$4:M49,IF(ISERROR($R50*1),LEFT($R50,2)*1,$R50*1))&gt;=1),"-",IF(ISERROR($R50*1),LEFT($R50,2)*1,$R50*1))</f>
        <v>-</v>
      </c>
      <c r="N50" s="278" t="str">
        <f>IF(OR(L50="",COUNTIF($N$4:N49,V50*1)&gt;=1),"-",V50*1)</f>
        <v>-</v>
      </c>
      <c r="O50" s="282"/>
      <c r="P50" s="282"/>
      <c r="Q50" s="282"/>
      <c r="R50" s="282"/>
      <c r="S50" s="283"/>
      <c r="T50" s="283"/>
      <c r="U50" s="283"/>
      <c r="V50" s="283"/>
      <c r="W50" s="282"/>
    </row>
    <row r="51" spans="12:23" hidden="1">
      <c r="L51" s="278" t="str">
        <f t="shared" si="0"/>
        <v/>
      </c>
      <c r="M51" s="278" t="str">
        <f>IF(OR(L51="",COUNTIF($M$4:M50,IF(ISERROR($R51*1),LEFT($R51,2)*1,$R51*1))&gt;=1),"-",IF(ISERROR($R51*1),LEFT($R51,2)*1,$R51*1))</f>
        <v>-</v>
      </c>
      <c r="N51" s="278" t="str">
        <f>IF(OR(L51="",COUNTIF($N$4:N50,V51*1)&gt;=1),"-",V51*1)</f>
        <v>-</v>
      </c>
      <c r="O51" s="282"/>
      <c r="P51" s="282"/>
      <c r="Q51" s="282"/>
      <c r="R51" s="282"/>
      <c r="S51" s="283"/>
      <c r="T51" s="283"/>
      <c r="U51" s="283"/>
      <c r="V51" s="283"/>
      <c r="W51" s="282"/>
    </row>
    <row r="52" spans="12:23" hidden="1">
      <c r="L52" s="278" t="str">
        <f t="shared" si="0"/>
        <v/>
      </c>
      <c r="M52" s="278" t="str">
        <f>IF(OR(L52="",COUNTIF($M$4:M51,IF(ISERROR($R52*1),LEFT($R52,2)*1,$R52*1))&gt;=1),"-",IF(ISERROR($R52*1),LEFT($R52,2)*1,$R52*1))</f>
        <v>-</v>
      </c>
      <c r="N52" s="278" t="str">
        <f>IF(OR(L52="",COUNTIF($N$4:N51,V52*1)&gt;=1),"-",V52*1)</f>
        <v>-</v>
      </c>
      <c r="O52" s="282"/>
      <c r="P52" s="282"/>
      <c r="Q52" s="282"/>
      <c r="R52" s="282"/>
      <c r="S52" s="283"/>
      <c r="T52" s="283"/>
      <c r="U52" s="283"/>
      <c r="V52" s="283"/>
      <c r="W52" s="282"/>
    </row>
    <row r="53" spans="12:23" hidden="1">
      <c r="L53" s="278" t="str">
        <f t="shared" si="0"/>
        <v/>
      </c>
      <c r="M53" s="278" t="str">
        <f>IF(OR(L53="",COUNTIF($M$4:M52,IF(ISERROR($R53*1),LEFT($R53,2)*1,$R53*1))&gt;=1),"-",IF(ISERROR($R53*1),LEFT($R53,2)*1,$R53*1))</f>
        <v>-</v>
      </c>
      <c r="N53" s="278" t="str">
        <f>IF(OR(L53="",COUNTIF($N$4:N52,V53*1)&gt;=1),"-",V53*1)</f>
        <v>-</v>
      </c>
      <c r="O53" s="282"/>
      <c r="P53" s="282"/>
      <c r="Q53" s="282"/>
      <c r="R53" s="282"/>
      <c r="S53" s="283"/>
      <c r="T53" s="283"/>
      <c r="U53" s="283"/>
      <c r="V53" s="283"/>
      <c r="W53" s="282"/>
    </row>
    <row r="54" spans="12:23" hidden="1">
      <c r="L54" s="278" t="str">
        <f t="shared" si="0"/>
        <v/>
      </c>
      <c r="M54" s="278" t="str">
        <f>IF(OR(L54="",COUNTIF($M$4:M53,IF(ISERROR($R54*1),LEFT($R54,2)*1,$R54*1))&gt;=1),"-",IF(ISERROR($R54*1),LEFT($R54,2)*1,$R54*1))</f>
        <v>-</v>
      </c>
      <c r="N54" s="278" t="str">
        <f>IF(OR(L54="",COUNTIF($N$4:N53,V54*1)&gt;=1),"-",V54*1)</f>
        <v>-</v>
      </c>
      <c r="O54" s="282"/>
      <c r="P54" s="282"/>
      <c r="Q54" s="282"/>
      <c r="R54" s="282"/>
      <c r="S54" s="283"/>
      <c r="T54" s="283"/>
      <c r="U54" s="283"/>
      <c r="V54" s="283"/>
      <c r="W54" s="282"/>
    </row>
    <row r="55" spans="12:23" hidden="1">
      <c r="L55" s="278" t="str">
        <f t="shared" si="0"/>
        <v/>
      </c>
      <c r="M55" s="278" t="str">
        <f>IF(OR(L55="",COUNTIF($M$4:M54,IF(ISERROR($R55*1),LEFT($R55,2)*1,$R55*1))&gt;=1),"-",IF(ISERROR($R55*1),LEFT($R55,2)*1,$R55*1))</f>
        <v>-</v>
      </c>
      <c r="N55" s="278" t="str">
        <f>IF(OR(L55="",COUNTIF($N$4:N54,V55*1)&gt;=1),"-",V55*1)</f>
        <v>-</v>
      </c>
      <c r="O55" s="282"/>
      <c r="P55" s="282"/>
      <c r="Q55" s="282"/>
      <c r="R55" s="282"/>
      <c r="S55" s="283"/>
      <c r="T55" s="283"/>
      <c r="U55" s="283"/>
      <c r="V55" s="283"/>
      <c r="W55" s="282"/>
    </row>
    <row r="56" spans="12:23" hidden="1">
      <c r="L56" s="278" t="str">
        <f t="shared" si="0"/>
        <v/>
      </c>
      <c r="M56" s="278" t="str">
        <f>IF(OR(L56="",COUNTIF($M$4:M55,IF(ISERROR($R56*1),LEFT($R56,2)*1,$R56*1))&gt;=1),"-",IF(ISERROR($R56*1),LEFT($R56,2)*1,$R56*1))</f>
        <v>-</v>
      </c>
      <c r="N56" s="278" t="str">
        <f>IF(OR(L56="",COUNTIF($N$4:N55,V56*1)&gt;=1),"-",V56*1)</f>
        <v>-</v>
      </c>
      <c r="O56" s="282"/>
      <c r="P56" s="282"/>
      <c r="Q56" s="282"/>
      <c r="R56" s="282"/>
      <c r="S56" s="283"/>
      <c r="T56" s="283"/>
      <c r="U56" s="283"/>
      <c r="V56" s="283"/>
      <c r="W56" s="282"/>
    </row>
    <row r="57" spans="12:23" hidden="1">
      <c r="L57" s="278" t="str">
        <f t="shared" si="0"/>
        <v/>
      </c>
      <c r="M57" s="278" t="str">
        <f>IF(OR(L57="",COUNTIF($M$4:M56,IF(ISERROR($R57*1),LEFT($R57,2)*1,$R57*1))&gt;=1),"-",IF(ISERROR($R57*1),LEFT($R57,2)*1,$R57*1))</f>
        <v>-</v>
      </c>
      <c r="N57" s="278" t="str">
        <f>IF(OR(L57="",COUNTIF($N$4:N56,V57*1)&gt;=1),"-",V57*1)</f>
        <v>-</v>
      </c>
      <c r="O57" s="282"/>
      <c r="P57" s="282"/>
      <c r="Q57" s="282"/>
      <c r="R57" s="282"/>
      <c r="S57" s="283"/>
      <c r="T57" s="283"/>
      <c r="U57" s="283"/>
      <c r="V57" s="283"/>
      <c r="W57" s="282"/>
    </row>
    <row r="58" spans="12:23" hidden="1">
      <c r="L58" s="278" t="str">
        <f t="shared" si="0"/>
        <v/>
      </c>
      <c r="M58" s="278" t="str">
        <f>IF(OR(L58="",COUNTIF($M$4:M57,IF(ISERROR($R58*1),LEFT($R58,2)*1,$R58*1))&gt;=1),"-",IF(ISERROR($R58*1),LEFT($R58,2)*1,$R58*1))</f>
        <v>-</v>
      </c>
      <c r="N58" s="278" t="str">
        <f>IF(OR(L58="",COUNTIF($N$4:N57,V58*1)&gt;=1),"-",V58*1)</f>
        <v>-</v>
      </c>
      <c r="O58" s="282"/>
      <c r="P58" s="282"/>
      <c r="Q58" s="282"/>
      <c r="R58" s="282"/>
      <c r="S58" s="283"/>
      <c r="T58" s="283"/>
      <c r="U58" s="283"/>
      <c r="V58" s="283"/>
      <c r="W58" s="282"/>
    </row>
    <row r="59" spans="12:23" hidden="1">
      <c r="L59" s="278" t="str">
        <f t="shared" si="0"/>
        <v/>
      </c>
      <c r="M59" s="278" t="str">
        <f>IF(OR(L59="",COUNTIF($M$4:M58,IF(ISERROR($R59*1),LEFT($R59,2)*1,$R59*1))&gt;=1),"-",IF(ISERROR($R59*1),LEFT($R59,2)*1,$R59*1))</f>
        <v>-</v>
      </c>
      <c r="N59" s="278" t="str">
        <f>IF(OR(L59="",COUNTIF($N$4:N58,V59*1)&gt;=1),"-",V59*1)</f>
        <v>-</v>
      </c>
      <c r="O59" s="282"/>
      <c r="P59" s="282"/>
      <c r="Q59" s="282"/>
      <c r="R59" s="282"/>
      <c r="S59" s="283"/>
      <c r="T59" s="283"/>
      <c r="U59" s="283"/>
      <c r="V59" s="283"/>
      <c r="W59" s="282"/>
    </row>
    <row r="60" spans="12:23" hidden="1">
      <c r="L60" s="278" t="str">
        <f t="shared" si="0"/>
        <v/>
      </c>
      <c r="M60" s="278" t="str">
        <f>IF(OR(L60="",COUNTIF($M$4:M59,IF(ISERROR($R60*1),LEFT($R60,2)*1,$R60*1))&gt;=1),"-",IF(ISERROR($R60*1),LEFT($R60,2)*1,$R60*1))</f>
        <v>-</v>
      </c>
      <c r="N60" s="278" t="str">
        <f>IF(OR(L60="",COUNTIF($N$4:N59,V60*1)&gt;=1),"-",V60*1)</f>
        <v>-</v>
      </c>
      <c r="O60" s="282"/>
      <c r="P60" s="282"/>
      <c r="Q60" s="282"/>
      <c r="R60" s="282"/>
      <c r="S60" s="283"/>
      <c r="T60" s="283"/>
      <c r="U60" s="283"/>
      <c r="V60" s="283"/>
      <c r="W60" s="282"/>
    </row>
    <row r="61" spans="12:23" hidden="1">
      <c r="L61" s="278" t="str">
        <f t="shared" si="0"/>
        <v/>
      </c>
      <c r="M61" s="278" t="str">
        <f>IF(OR(L61="",COUNTIF($M$4:M60,IF(ISERROR($R61*1),LEFT($R61,2)*1,$R61*1))&gt;=1),"-",IF(ISERROR($R61*1),LEFT($R61,2)*1,$R61*1))</f>
        <v>-</v>
      </c>
      <c r="N61" s="278" t="str">
        <f>IF(OR(L61="",COUNTIF($N$4:N60,V61*1)&gt;=1),"-",V61*1)</f>
        <v>-</v>
      </c>
      <c r="O61" s="282"/>
      <c r="P61" s="282"/>
      <c r="Q61" s="282"/>
      <c r="R61" s="282"/>
      <c r="S61" s="283"/>
      <c r="T61" s="283"/>
      <c r="U61" s="283"/>
      <c r="V61" s="283"/>
      <c r="W61" s="282"/>
    </row>
    <row r="62" spans="12:23" hidden="1">
      <c r="L62" s="278" t="str">
        <f t="shared" si="0"/>
        <v/>
      </c>
      <c r="M62" s="278" t="str">
        <f>IF(OR(L62="",COUNTIF($M$4:M61,IF(ISERROR($R62*1),LEFT($R62,2)*1,$R62*1))&gt;=1),"-",IF(ISERROR($R62*1),LEFT($R62,2)*1,$R62*1))</f>
        <v>-</v>
      </c>
      <c r="N62" s="278" t="str">
        <f>IF(OR(L62="",COUNTIF($N$4:N61,V62*1)&gt;=1),"-",V62*1)</f>
        <v>-</v>
      </c>
      <c r="O62" s="282"/>
      <c r="P62" s="282"/>
      <c r="Q62" s="282"/>
      <c r="R62" s="282"/>
      <c r="S62" s="283"/>
      <c r="T62" s="283"/>
      <c r="U62" s="283"/>
      <c r="V62" s="283"/>
      <c r="W62" s="282"/>
    </row>
    <row r="63" spans="12:23" hidden="1">
      <c r="L63" s="278" t="str">
        <f t="shared" si="0"/>
        <v/>
      </c>
      <c r="M63" s="278" t="str">
        <f>IF(OR(L63="",COUNTIF($M$4:M62,IF(ISERROR($R63*1),LEFT($R63,2)*1,$R63*1))&gt;=1),"-",IF(ISERROR($R63*1),LEFT($R63,2)*1,$R63*1))</f>
        <v>-</v>
      </c>
      <c r="N63" s="278" t="str">
        <f>IF(OR(L63="",COUNTIF($N$4:N62,V63*1)&gt;=1),"-",V63*1)</f>
        <v>-</v>
      </c>
      <c r="O63" s="282"/>
      <c r="P63" s="282"/>
      <c r="Q63" s="282"/>
      <c r="R63" s="282"/>
      <c r="S63" s="283"/>
      <c r="T63" s="283"/>
      <c r="U63" s="283"/>
      <c r="V63" s="283"/>
      <c r="W63" s="282"/>
    </row>
    <row r="64" spans="12:23" hidden="1">
      <c r="L64" s="278" t="str">
        <f t="shared" si="0"/>
        <v/>
      </c>
      <c r="M64" s="278" t="str">
        <f>IF(OR(L64="",COUNTIF($M$4:M63,IF(ISERROR($R64*1),LEFT($R64,2)*1,$R64*1))&gt;=1),"-",IF(ISERROR($R64*1),LEFT($R64,2)*1,$R64*1))</f>
        <v>-</v>
      </c>
      <c r="N64" s="278" t="str">
        <f>IF(OR(L64="",COUNTIF($N$4:N63,V64*1)&gt;=1),"-",V64*1)</f>
        <v>-</v>
      </c>
      <c r="O64" s="282"/>
      <c r="P64" s="282"/>
      <c r="Q64" s="282"/>
      <c r="R64" s="282"/>
      <c r="S64" s="283"/>
      <c r="T64" s="283"/>
      <c r="U64" s="283"/>
      <c r="V64" s="283"/>
      <c r="W64" s="282"/>
    </row>
    <row r="65" spans="12:23" hidden="1">
      <c r="L65" s="278" t="str">
        <f t="shared" si="0"/>
        <v/>
      </c>
      <c r="M65" s="278" t="str">
        <f>IF(OR(L65="",COUNTIF($M$4:M64,IF(ISERROR($R65*1),LEFT($R65,2)*1,$R65*1))&gt;=1),"-",IF(ISERROR($R65*1),LEFT($R65,2)*1,$R65*1))</f>
        <v>-</v>
      </c>
      <c r="N65" s="278" t="str">
        <f>IF(OR(L65="",COUNTIF($N$4:N64,V65*1)&gt;=1),"-",V65*1)</f>
        <v>-</v>
      </c>
      <c r="O65" s="282"/>
      <c r="P65" s="282"/>
      <c r="Q65" s="282"/>
      <c r="R65" s="282"/>
      <c r="S65" s="283"/>
      <c r="T65" s="283"/>
      <c r="U65" s="283"/>
      <c r="V65" s="283"/>
      <c r="W65" s="282"/>
    </row>
    <row r="66" spans="12:23" hidden="1">
      <c r="L66" s="278" t="str">
        <f t="shared" si="0"/>
        <v/>
      </c>
      <c r="M66" s="278" t="str">
        <f>IF(OR(L66="",COUNTIF($M$4:M65,IF(ISERROR($R66*1),LEFT($R66,2)*1,$R66*1))&gt;=1),"-",IF(ISERROR($R66*1),LEFT($R66,2)*1,$R66*1))</f>
        <v>-</v>
      </c>
      <c r="N66" s="278" t="str">
        <f>IF(OR(L66="",COUNTIF($N$4:N65,V66*1)&gt;=1),"-",V66*1)</f>
        <v>-</v>
      </c>
      <c r="O66" s="282"/>
      <c r="P66" s="282"/>
      <c r="Q66" s="282"/>
      <c r="R66" s="282"/>
      <c r="S66" s="283"/>
      <c r="T66" s="283"/>
      <c r="U66" s="283"/>
      <c r="V66" s="283"/>
      <c r="W66" s="282"/>
    </row>
    <row r="67" spans="12:23" hidden="1">
      <c r="L67" s="278" t="str">
        <f t="shared" si="0"/>
        <v/>
      </c>
      <c r="M67" s="278" t="str">
        <f>IF(OR(L67="",COUNTIF($M$4:M66,IF(ISERROR($R67*1),LEFT($R67,2)*1,$R67*1))&gt;=1),"-",IF(ISERROR($R67*1),LEFT($R67,2)*1,$R67*1))</f>
        <v>-</v>
      </c>
      <c r="N67" s="278" t="str">
        <f>IF(OR(L67="",COUNTIF($N$4:N66,V67*1)&gt;=1),"-",V67*1)</f>
        <v>-</v>
      </c>
      <c r="O67" s="282"/>
      <c r="P67" s="282"/>
      <c r="Q67" s="282"/>
      <c r="R67" s="282"/>
      <c r="S67" s="283"/>
      <c r="T67" s="283"/>
      <c r="U67" s="283"/>
      <c r="V67" s="283"/>
      <c r="W67" s="282"/>
    </row>
    <row r="68" spans="12:23" hidden="1">
      <c r="L68" s="278" t="str">
        <f t="shared" ref="L68:L102" si="5">IF(P68&lt;&gt;$B$1,"",P68&amp;Q68&amp;R68&amp;V68)</f>
        <v/>
      </c>
      <c r="M68" s="278" t="str">
        <f>IF(OR(L68="",COUNTIF($M$4:M67,IF(ISERROR($R68*1),LEFT($R68,2)*1,$R68*1))&gt;=1),"-",IF(ISERROR($R68*1),LEFT($R68,2)*1,$R68*1))</f>
        <v>-</v>
      </c>
      <c r="N68" s="278" t="str">
        <f>IF(OR(L68="",COUNTIF($N$4:N67,V68*1)&gt;=1),"-",V68*1)</f>
        <v>-</v>
      </c>
      <c r="O68" s="282"/>
      <c r="P68" s="282"/>
      <c r="Q68" s="282"/>
      <c r="R68" s="282"/>
      <c r="S68" s="283"/>
      <c r="T68" s="283"/>
      <c r="U68" s="283"/>
      <c r="V68" s="283"/>
      <c r="W68" s="282"/>
    </row>
    <row r="69" spans="12:23" hidden="1">
      <c r="L69" s="278" t="str">
        <f t="shared" si="5"/>
        <v/>
      </c>
      <c r="M69" s="278" t="str">
        <f>IF(OR(L69="",COUNTIF($M$4:M68,IF(ISERROR($R69*1),LEFT($R69,2)*1,$R69*1))&gt;=1),"-",IF(ISERROR($R69*1),LEFT($R69,2)*1,$R69*1))</f>
        <v>-</v>
      </c>
      <c r="N69" s="278" t="str">
        <f>IF(OR(L69="",COUNTIF($N$4:N68,V69*1)&gt;=1),"-",V69*1)</f>
        <v>-</v>
      </c>
      <c r="O69" s="282"/>
      <c r="P69" s="282"/>
      <c r="Q69" s="282"/>
      <c r="R69" s="282"/>
      <c r="S69" s="283"/>
      <c r="T69" s="283"/>
      <c r="U69" s="283"/>
      <c r="V69" s="283"/>
      <c r="W69" s="282"/>
    </row>
    <row r="70" spans="12:23" hidden="1">
      <c r="L70" s="278" t="str">
        <f t="shared" si="5"/>
        <v/>
      </c>
      <c r="M70" s="278" t="str">
        <f>IF(OR(L70="",COUNTIF($M$4:M69,IF(ISERROR($R70*1),LEFT($R70,2)*1,$R70*1))&gt;=1),"-",IF(ISERROR($R70*1),LEFT($R70,2)*1,$R70*1))</f>
        <v>-</v>
      </c>
      <c r="N70" s="278" t="str">
        <f>IF(OR(L70="",COUNTIF($N$4:N69,V70*1)&gt;=1),"-",V70*1)</f>
        <v>-</v>
      </c>
      <c r="O70" s="282"/>
      <c r="P70" s="282"/>
      <c r="Q70" s="282"/>
      <c r="R70" s="282"/>
      <c r="S70" s="283"/>
      <c r="T70" s="283"/>
      <c r="U70" s="283"/>
      <c r="V70" s="283"/>
      <c r="W70" s="282"/>
    </row>
    <row r="71" spans="12:23" hidden="1">
      <c r="L71" s="278" t="str">
        <f t="shared" si="5"/>
        <v/>
      </c>
      <c r="M71" s="278" t="str">
        <f>IF(OR(L71="",COUNTIF($M$4:M70,IF(ISERROR($R71*1),LEFT($R71,2)*1,$R71*1))&gt;=1),"-",IF(ISERROR($R71*1),LEFT($R71,2)*1,$R71*1))</f>
        <v>-</v>
      </c>
      <c r="N71" s="278" t="str">
        <f>IF(OR(L71="",COUNTIF($N$4:N70,V71*1)&gt;=1),"-",V71*1)</f>
        <v>-</v>
      </c>
      <c r="O71" s="282"/>
      <c r="P71" s="282"/>
      <c r="Q71" s="282"/>
      <c r="R71" s="282"/>
      <c r="S71" s="283"/>
      <c r="T71" s="283"/>
      <c r="U71" s="283"/>
      <c r="V71" s="283"/>
      <c r="W71" s="282"/>
    </row>
    <row r="72" spans="12:23" hidden="1">
      <c r="L72" s="278" t="str">
        <f t="shared" si="5"/>
        <v/>
      </c>
      <c r="M72" s="278" t="str">
        <f>IF(OR(L72="",COUNTIF($M$4:M71,IF(ISERROR($R72*1),LEFT($R72,2)*1,$R72*1))&gt;=1),"-",IF(ISERROR($R72*1),LEFT($R72,2)*1,$R72*1))</f>
        <v>-</v>
      </c>
      <c r="N72" s="278" t="str">
        <f>IF(OR(L72="",COUNTIF($N$4:N71,V72*1)&gt;=1),"-",V72*1)</f>
        <v>-</v>
      </c>
      <c r="O72" s="282"/>
      <c r="P72" s="282"/>
      <c r="Q72" s="282"/>
      <c r="R72" s="282"/>
      <c r="S72" s="283"/>
      <c r="T72" s="283"/>
      <c r="U72" s="283"/>
      <c r="V72" s="283"/>
      <c r="W72" s="282"/>
    </row>
    <row r="73" spans="12:23" hidden="1">
      <c r="L73" s="278" t="str">
        <f t="shared" si="5"/>
        <v/>
      </c>
      <c r="M73" s="278" t="str">
        <f>IF(OR(L73="",COUNTIF($M$4:M72,IF(ISERROR($R73*1),LEFT($R73,2)*1,$R73*1))&gt;=1),"-",IF(ISERROR($R73*1),LEFT($R73,2)*1,$R73*1))</f>
        <v>-</v>
      </c>
      <c r="N73" s="278" t="str">
        <f>IF(OR(L73="",COUNTIF($N$4:N72,V73*1)&gt;=1),"-",V73*1)</f>
        <v>-</v>
      </c>
      <c r="O73" s="282"/>
      <c r="P73" s="282"/>
      <c r="Q73" s="282"/>
      <c r="R73" s="282"/>
      <c r="S73" s="283"/>
      <c r="T73" s="283"/>
      <c r="U73" s="283"/>
      <c r="V73" s="283"/>
      <c r="W73" s="282"/>
    </row>
    <row r="74" spans="12:23" hidden="1">
      <c r="L74" s="278" t="str">
        <f t="shared" si="5"/>
        <v/>
      </c>
      <c r="M74" s="278" t="str">
        <f>IF(OR(L74="",COUNTIF($M$4:M73,IF(ISERROR($R74*1),LEFT($R74,2)*1,$R74*1))&gt;=1),"-",IF(ISERROR($R74*1),LEFT($R74,2)*1,$R74*1))</f>
        <v>-</v>
      </c>
      <c r="N74" s="278" t="str">
        <f>IF(OR(L74="",COUNTIF($N$4:N73,V74*1)&gt;=1),"-",V74*1)</f>
        <v>-</v>
      </c>
      <c r="O74" s="282"/>
      <c r="P74" s="282"/>
      <c r="Q74" s="282"/>
      <c r="R74" s="282"/>
      <c r="S74" s="283"/>
      <c r="T74" s="283"/>
      <c r="U74" s="283"/>
      <c r="V74" s="283"/>
      <c r="W74" s="282"/>
    </row>
    <row r="75" spans="12:23" hidden="1">
      <c r="L75" s="278" t="str">
        <f t="shared" si="5"/>
        <v/>
      </c>
      <c r="M75" s="278" t="str">
        <f>IF(OR(L75="",COUNTIF($M$4:M74,IF(ISERROR($R75*1),LEFT($R75,2)*1,$R75*1))&gt;=1),"-",IF(ISERROR($R75*1),LEFT($R75,2)*1,$R75*1))</f>
        <v>-</v>
      </c>
      <c r="N75" s="278" t="str">
        <f>IF(OR(L75="",COUNTIF($N$4:N74,V75*1)&gt;=1),"-",V75*1)</f>
        <v>-</v>
      </c>
      <c r="O75" s="282"/>
      <c r="P75" s="282"/>
      <c r="Q75" s="282"/>
      <c r="R75" s="282"/>
      <c r="S75" s="283"/>
      <c r="T75" s="283"/>
      <c r="U75" s="283"/>
      <c r="V75" s="283"/>
      <c r="W75" s="282"/>
    </row>
    <row r="76" spans="12:23" hidden="1">
      <c r="L76" s="278" t="str">
        <f t="shared" si="5"/>
        <v/>
      </c>
      <c r="M76" s="278" t="str">
        <f>IF(OR(L76="",COUNTIF($M$4:M75,IF(ISERROR($R76*1),LEFT($R76,2)*1,$R76*1))&gt;=1),"-",IF(ISERROR($R76*1),LEFT($R76,2)*1,$R76*1))</f>
        <v>-</v>
      </c>
      <c r="N76" s="278" t="str">
        <f>IF(OR(L76="",COUNTIF($N$4:N75,V76*1)&gt;=1),"-",V76*1)</f>
        <v>-</v>
      </c>
      <c r="O76" s="282"/>
      <c r="P76" s="282"/>
      <c r="Q76" s="282"/>
      <c r="R76" s="282"/>
      <c r="S76" s="283"/>
      <c r="T76" s="283"/>
      <c r="U76" s="283"/>
      <c r="V76" s="283"/>
      <c r="W76" s="282"/>
    </row>
    <row r="77" spans="12:23" hidden="1">
      <c r="L77" s="278" t="str">
        <f t="shared" si="5"/>
        <v/>
      </c>
      <c r="M77" s="278" t="str">
        <f>IF(OR(L77="",COUNTIF($M$4:M76,IF(ISERROR($R77*1),LEFT($R77,2)*1,$R77*1))&gt;=1),"-",IF(ISERROR($R77*1),LEFT($R77,2)*1,$R77*1))</f>
        <v>-</v>
      </c>
      <c r="N77" s="278" t="str">
        <f>IF(OR(L77="",COUNTIF($N$4:N76,V77*1)&gt;=1),"-",V77*1)</f>
        <v>-</v>
      </c>
      <c r="O77" s="282"/>
      <c r="P77" s="282"/>
      <c r="Q77" s="282"/>
      <c r="R77" s="282"/>
      <c r="S77" s="283"/>
      <c r="T77" s="283"/>
      <c r="U77" s="283"/>
      <c r="V77" s="283"/>
      <c r="W77" s="282"/>
    </row>
    <row r="78" spans="12:23" hidden="1">
      <c r="L78" s="278" t="str">
        <f t="shared" si="5"/>
        <v/>
      </c>
      <c r="M78" s="278" t="str">
        <f>IF(OR(L78="",COUNTIF($M$4:M77,IF(ISERROR($R78*1),LEFT($R78,2)*1,$R78*1))&gt;=1),"-",IF(ISERROR($R78*1),LEFT($R78,2)*1,$R78*1))</f>
        <v>-</v>
      </c>
      <c r="N78" s="278" t="str">
        <f>IF(OR(L78="",COUNTIF($N$4:N77,V78*1)&gt;=1),"-",V78*1)</f>
        <v>-</v>
      </c>
      <c r="O78" s="282"/>
      <c r="P78" s="282"/>
      <c r="Q78" s="282"/>
      <c r="R78" s="282"/>
      <c r="S78" s="283"/>
      <c r="T78" s="283"/>
      <c r="U78" s="283"/>
      <c r="V78" s="283"/>
      <c r="W78" s="282"/>
    </row>
    <row r="79" spans="12:23" hidden="1">
      <c r="L79" s="278" t="str">
        <f t="shared" si="5"/>
        <v/>
      </c>
      <c r="M79" s="278" t="str">
        <f>IF(OR(L79="",COUNTIF($M$4:M78,IF(ISERROR($R79*1),LEFT($R79,2)*1,$R79*1))&gt;=1),"-",IF(ISERROR($R79*1),LEFT($R79,2)*1,$R79*1))</f>
        <v>-</v>
      </c>
      <c r="N79" s="278" t="str">
        <f>IF(OR(L79="",COUNTIF($N$4:N78,V79*1)&gt;=1),"-",V79*1)</f>
        <v>-</v>
      </c>
      <c r="O79" s="282"/>
      <c r="P79" s="282"/>
      <c r="Q79" s="282"/>
      <c r="R79" s="282"/>
      <c r="S79" s="283"/>
      <c r="T79" s="283"/>
      <c r="U79" s="283"/>
      <c r="V79" s="283"/>
      <c r="W79" s="282"/>
    </row>
    <row r="80" spans="12:23" hidden="1">
      <c r="L80" s="278" t="str">
        <f t="shared" si="5"/>
        <v/>
      </c>
      <c r="M80" s="278" t="str">
        <f>IF(OR(L80="",COUNTIF($M$4:M79,IF(ISERROR($R80*1),LEFT($R80,2)*1,$R80*1))&gt;=1),"-",IF(ISERROR($R80*1),LEFT($R80,2)*1,$R80*1))</f>
        <v>-</v>
      </c>
      <c r="N80" s="278" t="str">
        <f>IF(OR(L80="",COUNTIF($N$4:N79,V80*1)&gt;=1),"-",V80*1)</f>
        <v>-</v>
      </c>
      <c r="O80" s="282"/>
      <c r="P80" s="282"/>
      <c r="Q80" s="282"/>
      <c r="R80" s="282"/>
      <c r="S80" s="283"/>
      <c r="T80" s="283"/>
      <c r="U80" s="283"/>
      <c r="V80" s="283"/>
      <c r="W80" s="282"/>
    </row>
    <row r="81" spans="12:23" hidden="1">
      <c r="L81" s="278" t="str">
        <f t="shared" si="5"/>
        <v/>
      </c>
      <c r="M81" s="278" t="str">
        <f>IF(OR(L81="",COUNTIF($M$4:M80,IF(ISERROR($R81*1),LEFT($R81,2)*1,$R81*1))&gt;=1),"-",IF(ISERROR($R81*1),LEFT($R81,2)*1,$R81*1))</f>
        <v>-</v>
      </c>
      <c r="N81" s="278" t="str">
        <f>IF(OR(L81="",COUNTIF($N$4:N80,V81*1)&gt;=1),"-",V81*1)</f>
        <v>-</v>
      </c>
      <c r="O81" s="282"/>
      <c r="P81" s="282"/>
      <c r="Q81" s="282"/>
      <c r="R81" s="282"/>
      <c r="S81" s="283"/>
      <c r="T81" s="283"/>
      <c r="U81" s="283"/>
      <c r="V81" s="283"/>
      <c r="W81" s="282"/>
    </row>
    <row r="82" spans="12:23" hidden="1">
      <c r="L82" s="278" t="str">
        <f t="shared" si="5"/>
        <v/>
      </c>
      <c r="M82" s="278" t="str">
        <f>IF(OR(L82="",COUNTIF($M$4:M81,IF(ISERROR($R82*1),LEFT($R82,2)*1,$R82*1))&gt;=1),"-",IF(ISERROR($R82*1),LEFT($R82,2)*1,$R82*1))</f>
        <v>-</v>
      </c>
      <c r="N82" s="278" t="str">
        <f>IF(OR(L82="",COUNTIF($N$4:N81,V82*1)&gt;=1),"-",V82*1)</f>
        <v>-</v>
      </c>
      <c r="O82" s="282"/>
      <c r="P82" s="282"/>
      <c r="Q82" s="282"/>
      <c r="R82" s="282"/>
      <c r="S82" s="283"/>
      <c r="T82" s="283"/>
      <c r="U82" s="283"/>
      <c r="V82" s="283"/>
      <c r="W82" s="282"/>
    </row>
    <row r="83" spans="12:23" hidden="1">
      <c r="L83" s="278" t="str">
        <f t="shared" si="5"/>
        <v/>
      </c>
      <c r="M83" s="278" t="str">
        <f>IF(OR(L83="",COUNTIF($M$4:M82,IF(ISERROR($R83*1),LEFT($R83,2)*1,$R83*1))&gt;=1),"-",IF(ISERROR($R83*1),LEFT($R83,2)*1,$R83*1))</f>
        <v>-</v>
      </c>
      <c r="N83" s="278" t="str">
        <f>IF(OR(L83="",COUNTIF($N$4:N82,V83*1)&gt;=1),"-",V83*1)</f>
        <v>-</v>
      </c>
      <c r="O83" s="282"/>
      <c r="P83" s="282"/>
      <c r="Q83" s="282"/>
      <c r="R83" s="282"/>
      <c r="S83" s="283"/>
      <c r="T83" s="283"/>
      <c r="U83" s="283"/>
      <c r="V83" s="283"/>
      <c r="W83" s="282"/>
    </row>
    <row r="84" spans="12:23" hidden="1">
      <c r="L84" s="278" t="str">
        <f t="shared" si="5"/>
        <v/>
      </c>
      <c r="M84" s="278" t="str">
        <f>IF(OR(L84="",COUNTIF($M$4:M83,IF(ISERROR($R84*1),LEFT($R84,2)*1,$R84*1))&gt;=1),"-",IF(ISERROR($R84*1),LEFT($R84,2)*1,$R84*1))</f>
        <v>-</v>
      </c>
      <c r="N84" s="278" t="str">
        <f>IF(OR(L84="",COUNTIF($N$4:N83,V84*1)&gt;=1),"-",V84*1)</f>
        <v>-</v>
      </c>
      <c r="O84" s="282"/>
      <c r="P84" s="282"/>
      <c r="Q84" s="282"/>
      <c r="R84" s="282"/>
      <c r="S84" s="283"/>
      <c r="T84" s="283"/>
      <c r="U84" s="283"/>
      <c r="V84" s="283"/>
      <c r="W84" s="282"/>
    </row>
    <row r="85" spans="12:23" hidden="1">
      <c r="L85" s="278" t="str">
        <f t="shared" si="5"/>
        <v/>
      </c>
      <c r="M85" s="278" t="str">
        <f>IF(OR(L85="",COUNTIF($M$4:M84,IF(ISERROR($R85*1),LEFT($R85,2)*1,$R85*1))&gt;=1),"-",IF(ISERROR($R85*1),LEFT($R85,2)*1,$R85*1))</f>
        <v>-</v>
      </c>
      <c r="N85" s="278" t="str">
        <f>IF(OR(L85="",COUNTIF($N$4:N84,V85*1)&gt;=1),"-",V85*1)</f>
        <v>-</v>
      </c>
      <c r="O85" s="282"/>
      <c r="P85" s="282"/>
      <c r="Q85" s="282"/>
      <c r="R85" s="282"/>
      <c r="S85" s="283"/>
      <c r="T85" s="283"/>
      <c r="U85" s="283"/>
      <c r="V85" s="283"/>
      <c r="W85" s="282"/>
    </row>
    <row r="86" spans="12:23" hidden="1">
      <c r="L86" s="278" t="str">
        <f t="shared" si="5"/>
        <v/>
      </c>
      <c r="M86" s="278" t="str">
        <f>IF(OR(L86="",COUNTIF($M$4:M85,IF(ISERROR($R86*1),LEFT($R86,2)*1,$R86*1))&gt;=1),"-",IF(ISERROR($R86*1),LEFT($R86,2)*1,$R86*1))</f>
        <v>-</v>
      </c>
      <c r="N86" s="278" t="str">
        <f>IF(OR(L86="",COUNTIF($N$4:N85,V86*1)&gt;=1),"-",V86*1)</f>
        <v>-</v>
      </c>
      <c r="O86" s="282"/>
      <c r="P86" s="282"/>
      <c r="Q86" s="282"/>
      <c r="R86" s="282"/>
      <c r="S86" s="283"/>
      <c r="T86" s="283"/>
      <c r="U86" s="283"/>
      <c r="V86" s="283"/>
      <c r="W86" s="282"/>
    </row>
    <row r="87" spans="12:23" hidden="1">
      <c r="L87" s="278" t="str">
        <f t="shared" si="5"/>
        <v/>
      </c>
      <c r="M87" s="278" t="str">
        <f>IF(OR(L87="",COUNTIF($M$4:M86,IF(ISERROR($R87*1),LEFT($R87,2)*1,$R87*1))&gt;=1),"-",IF(ISERROR($R87*1),LEFT($R87,2)*1,$R87*1))</f>
        <v>-</v>
      </c>
      <c r="N87" s="278" t="str">
        <f>IF(OR(L87="",COUNTIF($N$4:N86,V87*1)&gt;=1),"-",V87*1)</f>
        <v>-</v>
      </c>
      <c r="O87" s="282"/>
      <c r="P87" s="282"/>
      <c r="Q87" s="282"/>
      <c r="R87" s="282"/>
      <c r="S87" s="283"/>
      <c r="T87" s="283"/>
      <c r="U87" s="283"/>
      <c r="V87" s="283"/>
      <c r="W87" s="282"/>
    </row>
    <row r="88" spans="12:23" hidden="1">
      <c r="L88" s="278" t="str">
        <f t="shared" si="5"/>
        <v/>
      </c>
      <c r="M88" s="278" t="str">
        <f>IF(OR(L88="",COUNTIF($M$4:M87,IF(ISERROR($R88*1),LEFT($R88,2)*1,$R88*1))&gt;=1),"-",IF(ISERROR($R88*1),LEFT($R88,2)*1,$R88*1))</f>
        <v>-</v>
      </c>
      <c r="N88" s="278" t="str">
        <f>IF(OR(L88="",COUNTIF($N$4:N87,V88*1)&gt;=1),"-",V88*1)</f>
        <v>-</v>
      </c>
      <c r="O88" s="282"/>
      <c r="P88" s="282"/>
      <c r="Q88" s="282"/>
      <c r="R88" s="282"/>
      <c r="S88" s="283"/>
      <c r="T88" s="283"/>
      <c r="U88" s="283"/>
      <c r="V88" s="283"/>
      <c r="W88" s="282"/>
    </row>
    <row r="89" spans="12:23" hidden="1">
      <c r="L89" s="278" t="str">
        <f t="shared" si="5"/>
        <v/>
      </c>
      <c r="M89" s="278" t="str">
        <f>IF(OR(L89="",COUNTIF($M$4:M88,IF(ISERROR($R89*1),LEFT($R89,2)*1,$R89*1))&gt;=1),"-",IF(ISERROR($R89*1),LEFT($R89,2)*1,$R89*1))</f>
        <v>-</v>
      </c>
      <c r="N89" s="278" t="str">
        <f>IF(OR(L89="",COUNTIF($N$4:N88,V89*1)&gt;=1),"-",V89*1)</f>
        <v>-</v>
      </c>
      <c r="O89" s="282"/>
      <c r="P89" s="282"/>
      <c r="Q89" s="282"/>
      <c r="R89" s="282"/>
      <c r="S89" s="283"/>
      <c r="T89" s="283"/>
      <c r="U89" s="283"/>
      <c r="V89" s="283"/>
      <c r="W89" s="282"/>
    </row>
    <row r="90" spans="12:23" hidden="1">
      <c r="L90" s="278" t="str">
        <f t="shared" si="5"/>
        <v/>
      </c>
      <c r="M90" s="278" t="str">
        <f>IF(OR(L90="",COUNTIF($M$4:M89,IF(ISERROR($R90*1),LEFT($R90,2)*1,$R90*1))&gt;=1),"-",IF(ISERROR($R90*1),LEFT($R90,2)*1,$R90*1))</f>
        <v>-</v>
      </c>
      <c r="N90" s="278" t="str">
        <f>IF(OR(L90="",COUNTIF($N$4:N89,V90*1)&gt;=1),"-",V90*1)</f>
        <v>-</v>
      </c>
      <c r="O90" s="282"/>
      <c r="P90" s="282"/>
      <c r="Q90" s="282"/>
      <c r="R90" s="282"/>
      <c r="S90" s="283"/>
      <c r="T90" s="283"/>
      <c r="U90" s="283"/>
      <c r="V90" s="283"/>
      <c r="W90" s="282"/>
    </row>
    <row r="91" spans="12:23" hidden="1">
      <c r="L91" s="278" t="str">
        <f t="shared" si="5"/>
        <v/>
      </c>
      <c r="M91" s="278" t="str">
        <f>IF(OR(L91="",COUNTIF($M$4:M90,IF(ISERROR($R91*1),LEFT($R91,2)*1,$R91*1))&gt;=1),"-",IF(ISERROR($R91*1),LEFT($R91,2)*1,$R91*1))</f>
        <v>-</v>
      </c>
      <c r="N91" s="278" t="str">
        <f>IF(OR(L91="",COUNTIF($N$4:N90,V91*1)&gt;=1),"-",V91*1)</f>
        <v>-</v>
      </c>
      <c r="O91" s="282"/>
      <c r="P91" s="282"/>
      <c r="Q91" s="282"/>
      <c r="R91" s="282"/>
      <c r="S91" s="283"/>
      <c r="T91" s="283"/>
      <c r="U91" s="283"/>
      <c r="V91" s="283"/>
      <c r="W91" s="282"/>
    </row>
    <row r="92" spans="12:23" hidden="1">
      <c r="L92" s="278" t="str">
        <f t="shared" si="5"/>
        <v/>
      </c>
      <c r="M92" s="278" t="str">
        <f>IF(OR(L92="",COUNTIF($M$4:M91,IF(ISERROR($R92*1),LEFT($R92,2)*1,$R92*1))&gt;=1),"-",IF(ISERROR($R92*1),LEFT($R92,2)*1,$R92*1))</f>
        <v>-</v>
      </c>
      <c r="N92" s="278" t="str">
        <f>IF(OR(L92="",COUNTIF($N$4:N91,V92*1)&gt;=1),"-",V92*1)</f>
        <v>-</v>
      </c>
      <c r="O92" s="282"/>
      <c r="P92" s="282"/>
      <c r="Q92" s="282"/>
      <c r="R92" s="282"/>
      <c r="S92" s="283"/>
      <c r="T92" s="283"/>
      <c r="U92" s="283"/>
      <c r="V92" s="283"/>
      <c r="W92" s="282"/>
    </row>
    <row r="93" spans="12:23" hidden="1">
      <c r="L93" s="278" t="str">
        <f t="shared" si="5"/>
        <v/>
      </c>
      <c r="M93" s="278" t="str">
        <f>IF(OR(L93="",COUNTIF($M$4:M92,IF(ISERROR($R93*1),LEFT($R93,2)*1,$R93*1))&gt;=1),"-",IF(ISERROR($R93*1),LEFT($R93,2)*1,$R93*1))</f>
        <v>-</v>
      </c>
      <c r="N93" s="278" t="str">
        <f>IF(OR(L93="",COUNTIF($N$4:N92,V93*1)&gt;=1),"-",V93*1)</f>
        <v>-</v>
      </c>
      <c r="O93" s="282"/>
      <c r="P93" s="282"/>
      <c r="Q93" s="282"/>
      <c r="R93" s="282"/>
      <c r="S93" s="283"/>
      <c r="T93" s="283"/>
      <c r="U93" s="283"/>
      <c r="V93" s="283"/>
      <c r="W93" s="282"/>
    </row>
    <row r="94" spans="12:23" hidden="1">
      <c r="L94" s="278" t="str">
        <f t="shared" si="5"/>
        <v/>
      </c>
      <c r="M94" s="278" t="str">
        <f>IF(OR(L94="",COUNTIF($M$4:M93,IF(ISERROR($R94*1),LEFT($R94,2)*1,$R94*1))&gt;=1),"-",IF(ISERROR($R94*1),LEFT($R94,2)*1,$R94*1))</f>
        <v>-</v>
      </c>
      <c r="N94" s="278" t="str">
        <f>IF(OR(L94="",COUNTIF($N$4:N93,V94*1)&gt;=1),"-",V94*1)</f>
        <v>-</v>
      </c>
      <c r="O94" s="282"/>
      <c r="P94" s="282"/>
      <c r="Q94" s="282"/>
      <c r="R94" s="282"/>
      <c r="S94" s="283"/>
      <c r="T94" s="283"/>
      <c r="U94" s="283"/>
      <c r="V94" s="283"/>
      <c r="W94" s="282"/>
    </row>
    <row r="95" spans="12:23" hidden="1">
      <c r="L95" s="278" t="str">
        <f t="shared" si="5"/>
        <v/>
      </c>
      <c r="M95" s="278" t="str">
        <f>IF(OR(L95="",COUNTIF($M$4:M94,IF(ISERROR($R95*1),LEFT($R95,2)*1,$R95*1))&gt;=1),"-",IF(ISERROR($R95*1),LEFT($R95,2)*1,$R95*1))</f>
        <v>-</v>
      </c>
      <c r="N95" s="278" t="str">
        <f>IF(OR(L95="",COUNTIF($N$4:N94,V95*1)&gt;=1),"-",V95*1)</f>
        <v>-</v>
      </c>
      <c r="O95" s="282"/>
      <c r="P95" s="282"/>
      <c r="Q95" s="282"/>
      <c r="R95" s="282"/>
      <c r="S95" s="283"/>
      <c r="T95" s="283"/>
      <c r="U95" s="283"/>
      <c r="V95" s="283"/>
      <c r="W95" s="282"/>
    </row>
    <row r="96" spans="12:23" hidden="1">
      <c r="L96" s="278" t="str">
        <f t="shared" si="5"/>
        <v/>
      </c>
      <c r="M96" s="278" t="str">
        <f>IF(OR(L96="",COUNTIF($M$4:M95,IF(ISERROR($R96*1),LEFT($R96,2)*1,$R96*1))&gt;=1),"-",IF(ISERROR($R96*1),LEFT($R96,2)*1,$R96*1))</f>
        <v>-</v>
      </c>
      <c r="N96" s="278" t="str">
        <f>IF(OR(L96="",COUNTIF($N$4:N95,V96*1)&gt;=1),"-",V96*1)</f>
        <v>-</v>
      </c>
      <c r="O96" s="282"/>
      <c r="P96" s="282"/>
      <c r="Q96" s="282"/>
      <c r="R96" s="282"/>
      <c r="S96" s="283"/>
      <c r="T96" s="283"/>
      <c r="U96" s="283"/>
      <c r="V96" s="283"/>
      <c r="W96" s="282"/>
    </row>
    <row r="97" spans="12:23" hidden="1">
      <c r="L97" s="278" t="str">
        <f t="shared" si="5"/>
        <v/>
      </c>
      <c r="M97" s="278" t="str">
        <f>IF(OR(L97="",COUNTIF($M$4:M96,IF(ISERROR($R97*1),LEFT($R97,2)*1,$R97*1))&gt;=1),"-",IF(ISERROR($R97*1),LEFT($R97,2)*1,$R97*1))</f>
        <v>-</v>
      </c>
      <c r="N97" s="278" t="str">
        <f>IF(OR(L97="",COUNTIF($N$4:N96,V97*1)&gt;=1),"-",V97*1)</f>
        <v>-</v>
      </c>
      <c r="O97" s="282"/>
      <c r="P97" s="282"/>
      <c r="Q97" s="282"/>
      <c r="R97" s="282"/>
      <c r="S97" s="283"/>
      <c r="T97" s="283"/>
      <c r="U97" s="283"/>
      <c r="V97" s="283"/>
      <c r="W97" s="282"/>
    </row>
    <row r="98" spans="12:23" hidden="1">
      <c r="L98" s="278" t="str">
        <f t="shared" si="5"/>
        <v/>
      </c>
      <c r="M98" s="278" t="str">
        <f>IF(OR(L98="",COUNTIF($M$4:M97,IF(ISERROR($R98*1),LEFT($R98,2)*1,$R98*1))&gt;=1),"-",IF(ISERROR($R98*1),LEFT($R98,2)*1,$R98*1))</f>
        <v>-</v>
      </c>
      <c r="N98" s="278" t="str">
        <f>IF(OR(L98="",COUNTIF($N$4:N97,V98*1)&gt;=1),"-",V98*1)</f>
        <v>-</v>
      </c>
      <c r="O98" s="282"/>
      <c r="P98" s="282"/>
      <c r="Q98" s="282"/>
      <c r="R98" s="282"/>
      <c r="S98" s="283"/>
      <c r="T98" s="283"/>
      <c r="U98" s="283"/>
      <c r="V98" s="283"/>
      <c r="W98" s="282"/>
    </row>
    <row r="99" spans="12:23" hidden="1">
      <c r="L99" s="278" t="str">
        <f t="shared" si="5"/>
        <v/>
      </c>
      <c r="M99" s="278" t="str">
        <f>IF(OR(L99="",COUNTIF($M$4:M98,IF(ISERROR($R99*1),LEFT($R99,2)*1,$R99*1))&gt;=1),"-",IF(ISERROR($R99*1),LEFT($R99,2)*1,$R99*1))</f>
        <v>-</v>
      </c>
      <c r="N99" s="278" t="str">
        <f>IF(OR(L99="",COUNTIF($N$4:N98,V99*1)&gt;=1),"-",V99*1)</f>
        <v>-</v>
      </c>
      <c r="O99" s="282"/>
      <c r="P99" s="282"/>
      <c r="Q99" s="282"/>
      <c r="R99" s="282"/>
      <c r="S99" s="283"/>
      <c r="T99" s="283"/>
      <c r="U99" s="283"/>
      <c r="V99" s="283"/>
      <c r="W99" s="282"/>
    </row>
    <row r="100" spans="12:23" hidden="1">
      <c r="L100" s="278" t="str">
        <f t="shared" si="5"/>
        <v/>
      </c>
      <c r="M100" s="278" t="str">
        <f>IF(OR(L100="",COUNTIF($M$4:M99,IF(ISERROR($R100*1),LEFT($R100,2)*1,$R100*1))&gt;=1),"-",IF(ISERROR($R100*1),LEFT($R100,2)*1,$R100*1))</f>
        <v>-</v>
      </c>
      <c r="N100" s="278" t="str">
        <f>IF(OR(L100="",COUNTIF($N$4:N99,V100*1)&gt;=1),"-",V100*1)</f>
        <v>-</v>
      </c>
      <c r="O100" s="282"/>
      <c r="P100" s="282"/>
      <c r="Q100" s="282"/>
      <c r="R100" s="282"/>
      <c r="S100" s="283"/>
      <c r="T100" s="296"/>
      <c r="U100" s="283"/>
      <c r="V100" s="283"/>
      <c r="W100" s="282"/>
    </row>
    <row r="101" spans="12:23" hidden="1">
      <c r="L101" s="278" t="str">
        <f t="shared" si="5"/>
        <v/>
      </c>
      <c r="M101" s="278" t="str">
        <f>IF(OR(L101="",COUNTIF($M$4:M100,IF(ISERROR($R101*1),LEFT($R101,2)*1,$R101*1))&gt;=1),"-",IF(ISERROR($R101*1),LEFT($R101,2)*1,$R101*1))</f>
        <v>-</v>
      </c>
      <c r="N101" s="278" t="str">
        <f>IF(OR(L101="",COUNTIF($N$4:N100,V101*1)&gt;=1),"-",V101*1)</f>
        <v>-</v>
      </c>
      <c r="O101" s="282"/>
      <c r="P101" s="282"/>
      <c r="Q101" s="282"/>
      <c r="R101" s="282"/>
      <c r="S101" s="283"/>
      <c r="T101" s="296"/>
      <c r="U101" s="283"/>
      <c r="V101" s="283"/>
      <c r="W101" s="282"/>
    </row>
    <row r="102" spans="12:23" hidden="1">
      <c r="L102" s="278" t="str">
        <f t="shared" si="5"/>
        <v/>
      </c>
      <c r="M102" s="278" t="str">
        <f>IF(OR(L102="",COUNTIF($M$4:M101,IF(ISERROR($R102*1),LEFT($R102,2)*1,$R102*1))&gt;=1),"-",IF(ISERROR($R102*1),LEFT($R102,2)*1,$R102*1))</f>
        <v>-</v>
      </c>
      <c r="N102" s="278" t="str">
        <f>IF(OR(L102="",COUNTIF($N$4:N101,V102*1)&gt;=1),"-",V102*1)</f>
        <v>-</v>
      </c>
      <c r="O102" s="282"/>
      <c r="P102" s="282"/>
      <c r="Q102" s="282"/>
      <c r="R102" s="282"/>
      <c r="S102" s="283"/>
      <c r="T102" s="296"/>
      <c r="U102" s="283"/>
      <c r="V102" s="283"/>
      <c r="W102" s="282"/>
    </row>
  </sheetData>
  <sheetProtection algorithmName="SHA-512" hashValue="z2BjeFPzEYPrYSAen09A3Zs6s2fKS3D3n0PxTUkzNVmHBdvJ+RLpf3TQ2yJ9Y2g91DhOXUPhZiz9Jq3/IFoP+g==" saltValue="AoYBmXpfbQIYDkYqN9BcyA==" spinCount="100000" sheet="1" objects="1" scenarios="1"/>
  <mergeCells count="1">
    <mergeCell ref="L2:N2"/>
  </mergeCells>
  <phoneticPr fontId="7"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IU102"/>
  <sheetViews>
    <sheetView topLeftCell="XFD1048576" workbookViewId="0"/>
  </sheetViews>
  <sheetFormatPr defaultColWidth="0" defaultRowHeight="16.5" zeroHeight="1"/>
  <cols>
    <col min="1" max="3" width="9.33203125" style="271" hidden="1"/>
    <col min="4" max="4" width="13.5" style="271" hidden="1"/>
    <col min="5" max="9" width="9.33203125" style="271" hidden="1"/>
    <col min="10" max="10" width="2.1640625" style="271" hidden="1"/>
    <col min="11" max="11" width="18.5" style="271" hidden="1"/>
    <col min="12" max="12" width="24.6640625" style="271" hidden="1"/>
    <col min="13" max="13" width="13" style="271" hidden="1"/>
    <col min="14" max="14" width="13.1640625" style="271" hidden="1"/>
    <col min="15" max="255" width="9.33203125" style="271" hidden="1"/>
    <col min="256" max="16384" width="16.6640625" style="271" hidden="1"/>
  </cols>
  <sheetData>
    <row r="1" spans="1:23" hidden="1">
      <c r="A1" s="266"/>
      <c r="B1" s="267" t="str">
        <f>OP!$C$56</f>
        <v>10AIJ</v>
      </c>
      <c r="C1" s="268" t="s">
        <v>253</v>
      </c>
      <c r="D1" s="267" t="str">
        <f>IF(OP!$E$16=1,"足歲",IF(OP!$E$16=2,"保險年齡","錯誤"))</f>
        <v>足歲</v>
      </c>
      <c r="E1" s="268" t="s">
        <v>253</v>
      </c>
      <c r="F1" s="269"/>
      <c r="G1" s="269"/>
      <c r="H1" s="269"/>
      <c r="I1" s="269"/>
      <c r="J1" s="270"/>
      <c r="K1" s="270"/>
      <c r="Q1" s="271">
        <v>6</v>
      </c>
      <c r="R1" s="271">
        <v>7</v>
      </c>
      <c r="S1" s="271">
        <v>8</v>
      </c>
      <c r="T1" s="271">
        <v>9</v>
      </c>
      <c r="U1" s="271">
        <v>10</v>
      </c>
      <c r="V1" s="271">
        <v>11</v>
      </c>
      <c r="W1" s="271">
        <v>12</v>
      </c>
    </row>
    <row r="2" spans="1:23" hidden="1">
      <c r="A2" s="266"/>
      <c r="B2" s="266"/>
      <c r="C2" s="272"/>
      <c r="D2" s="266"/>
      <c r="E2" s="272"/>
      <c r="F2" s="269"/>
      <c r="G2" s="269"/>
      <c r="H2" s="269"/>
      <c r="I2" s="269"/>
      <c r="J2" s="270"/>
      <c r="K2" s="270"/>
      <c r="L2" s="633" t="s">
        <v>254</v>
      </c>
      <c r="M2" s="633"/>
      <c r="N2" s="633"/>
      <c r="O2" s="271" t="s">
        <v>255</v>
      </c>
      <c r="Q2" s="271">
        <v>1070614</v>
      </c>
    </row>
    <row r="3" spans="1:23" hidden="1">
      <c r="A3" s="266"/>
      <c r="B3" s="269"/>
      <c r="C3" s="273" t="s">
        <v>256</v>
      </c>
      <c r="D3" s="274">
        <v>1</v>
      </c>
      <c r="E3" s="274">
        <v>2</v>
      </c>
      <c r="F3" s="274">
        <v>3</v>
      </c>
      <c r="G3" s="274">
        <v>1</v>
      </c>
      <c r="H3" s="274">
        <v>2</v>
      </c>
      <c r="I3" s="274">
        <v>3</v>
      </c>
      <c r="J3" s="269"/>
      <c r="K3" s="275" t="s">
        <v>257</v>
      </c>
      <c r="L3" s="276" t="s">
        <v>32</v>
      </c>
      <c r="M3" s="275" t="s">
        <v>258</v>
      </c>
      <c r="N3" s="275" t="s">
        <v>14</v>
      </c>
      <c r="O3" s="499" t="s">
        <v>22</v>
      </c>
      <c r="P3" s="499" t="s">
        <v>23</v>
      </c>
      <c r="Q3" s="499" t="s">
        <v>24</v>
      </c>
      <c r="R3" s="499" t="s">
        <v>21</v>
      </c>
      <c r="S3" s="499" t="s">
        <v>259</v>
      </c>
      <c r="T3" s="499" t="s">
        <v>260</v>
      </c>
      <c r="U3" s="499" t="s">
        <v>261</v>
      </c>
      <c r="V3" s="499" t="s">
        <v>0</v>
      </c>
      <c r="W3" s="499" t="s">
        <v>262</v>
      </c>
    </row>
    <row r="4" spans="1:23" hidden="1">
      <c r="A4" s="266"/>
      <c r="B4" s="270"/>
      <c r="C4" s="277" t="s">
        <v>263</v>
      </c>
      <c r="D4" s="278">
        <v>1</v>
      </c>
      <c r="E4" s="278">
        <v>1</v>
      </c>
      <c r="F4" s="278">
        <v>1</v>
      </c>
      <c r="G4" s="278">
        <v>2</v>
      </c>
      <c r="H4" s="278">
        <v>2</v>
      </c>
      <c r="I4" s="278">
        <v>2</v>
      </c>
      <c r="J4" s="269"/>
      <c r="K4" s="279" t="str">
        <f>IF($D$1="足歲","15足","")</f>
        <v>15足</v>
      </c>
      <c r="L4" s="280" t="str">
        <f t="shared" ref="L4:L67" si="0">IF(P4&lt;&gt;$B$1,"",P4&amp;Q4&amp;R4&amp;V4)</f>
        <v>10AIJ115足5</v>
      </c>
      <c r="M4" s="280">
        <f>IF(L4="","-",IF(ISERROR($R4*1),LEFT($R4,2)*1,$R4*1))</f>
        <v>15</v>
      </c>
      <c r="N4" s="281">
        <f>IF(L4="","",V4*1)</f>
        <v>5</v>
      </c>
      <c r="O4" s="282" t="s">
        <v>616</v>
      </c>
      <c r="P4" s="282" t="s">
        <v>618</v>
      </c>
      <c r="Q4" s="282" t="s">
        <v>25</v>
      </c>
      <c r="R4" s="282" t="s">
        <v>1064</v>
      </c>
      <c r="S4" s="283">
        <v>0</v>
      </c>
      <c r="T4" s="296" t="s">
        <v>730</v>
      </c>
      <c r="U4" s="283">
        <v>0</v>
      </c>
      <c r="V4" s="283">
        <v>5</v>
      </c>
      <c r="W4" s="282" t="s">
        <v>1065</v>
      </c>
    </row>
    <row r="5" spans="1:23" hidden="1">
      <c r="A5" s="266"/>
      <c r="B5" s="284" t="s">
        <v>265</v>
      </c>
      <c r="C5" s="285">
        <v>12</v>
      </c>
      <c r="D5" s="286" t="str">
        <f t="shared" ref="D5:I5" si="1">IF(SMALL($M:$M,D$3)=15,$K$4,SMALL($M:$M,D$3))</f>
        <v>15足</v>
      </c>
      <c r="E5" s="286">
        <f t="shared" si="1"/>
        <v>35</v>
      </c>
      <c r="F5" s="286">
        <f t="shared" si="1"/>
        <v>61</v>
      </c>
      <c r="G5" s="286" t="str">
        <f t="shared" si="1"/>
        <v>15足</v>
      </c>
      <c r="H5" s="286">
        <f t="shared" si="1"/>
        <v>35</v>
      </c>
      <c r="I5" s="286">
        <f t="shared" si="1"/>
        <v>61</v>
      </c>
      <c r="J5" s="269"/>
      <c r="K5" s="286"/>
      <c r="L5" s="278" t="str">
        <f t="shared" si="0"/>
        <v>10AIJ115足10</v>
      </c>
      <c r="M5" s="278" t="str">
        <f>IF(OR(L5="",COUNTIF($M$4:M4,IF(ISERROR($R5*1),LEFT($R5,2)*1,$R5*1))&gt;=1),"-",IF(ISERROR($R5*1),LEFT($R5,2)*1,$R5*1))</f>
        <v>-</v>
      </c>
      <c r="N5" s="278">
        <f>IF(OR(L5="",COUNTIF($N$4:N4,V5*1)&gt;=1),"-",V5*1)</f>
        <v>10</v>
      </c>
      <c r="O5" s="282" t="s">
        <v>616</v>
      </c>
      <c r="P5" s="282" t="s">
        <v>618</v>
      </c>
      <c r="Q5" s="282" t="s">
        <v>25</v>
      </c>
      <c r="R5" s="282" t="s">
        <v>1064</v>
      </c>
      <c r="S5" s="283">
        <v>0</v>
      </c>
      <c r="T5" s="296" t="s">
        <v>730</v>
      </c>
      <c r="U5" s="283">
        <v>0</v>
      </c>
      <c r="V5" s="283">
        <v>10</v>
      </c>
      <c r="W5" s="282" t="s">
        <v>1066</v>
      </c>
    </row>
    <row r="6" spans="1:23" hidden="1">
      <c r="A6" s="266"/>
      <c r="B6" s="287" t="s">
        <v>266</v>
      </c>
      <c r="C6" s="288" t="s">
        <v>267</v>
      </c>
      <c r="D6" s="289" t="str">
        <f>IF(OR(ISERROR($D5)),"",IF((D$5)=0,D$5&amp;IF(D$4=1,"男性",IF(D$4=2,"女性","")),D$5&amp;"歲"&amp;IF(D$4=1,"男性",IF(D$4=2,"女性",""))))</f>
        <v>15足歲男性</v>
      </c>
      <c r="E6" s="289" t="str">
        <f t="shared" ref="E6:I6" si="2">IF(OR(ISERROR($D5)),"",IF((E$5)=0,E$5&amp;IF(E$4=1,"男性",IF(E$4=2,"女性","")),E$5&amp;"歲"&amp;IF(E$4=1,"男性",IF(E$4=2,"女性",""))))</f>
        <v>35歲男性</v>
      </c>
      <c r="F6" s="289" t="str">
        <f t="shared" si="2"/>
        <v>61歲男性</v>
      </c>
      <c r="G6" s="289" t="str">
        <f t="shared" si="2"/>
        <v>15足歲女性</v>
      </c>
      <c r="H6" s="289" t="str">
        <f t="shared" si="2"/>
        <v>35歲女性</v>
      </c>
      <c r="I6" s="289" t="str">
        <f t="shared" si="2"/>
        <v>61歲女性</v>
      </c>
      <c r="J6" s="269"/>
      <c r="K6" s="286"/>
      <c r="L6" s="278" t="str">
        <f t="shared" si="0"/>
        <v>10AIJ1355</v>
      </c>
      <c r="M6" s="278">
        <f>IF(OR(L6="",COUNTIF($M$4:M5,IF(ISERROR($R6*1),LEFT($R6,2)*1,$R6*1))&gt;=1),"-",IF(ISERROR($R6*1),LEFT($R6,2)*1,$R6*1))</f>
        <v>35</v>
      </c>
      <c r="N6" s="278" t="str">
        <f>IF(OR(L6="",COUNTIF($N$4:N5,V6*1)&gt;=1),"-",V6*1)</f>
        <v>-</v>
      </c>
      <c r="O6" s="282" t="s">
        <v>616</v>
      </c>
      <c r="P6" s="282" t="s">
        <v>618</v>
      </c>
      <c r="Q6" s="282" t="s">
        <v>25</v>
      </c>
      <c r="R6" s="282" t="s">
        <v>264</v>
      </c>
      <c r="S6" s="283">
        <v>0</v>
      </c>
      <c r="T6" s="296" t="s">
        <v>730</v>
      </c>
      <c r="U6" s="283">
        <v>0</v>
      </c>
      <c r="V6" s="283">
        <v>5</v>
      </c>
      <c r="W6" s="282" t="s">
        <v>1067</v>
      </c>
    </row>
    <row r="7" spans="1:23" hidden="1">
      <c r="A7" s="266"/>
      <c r="B7" s="278">
        <v>1</v>
      </c>
      <c r="C7" s="289">
        <f t="shared" ref="C7:C14" si="3">IF(ISERROR(SMALL($N:$N,$B7)),"",SMALL($N:$N,$B7))</f>
        <v>5</v>
      </c>
      <c r="D7" s="290" t="str">
        <f t="shared" ref="D7:I14" si="4">IF(ISERROR(VLOOKUP($B$1&amp;D$4&amp;D$5&amp;$C7,$L:$W,$C$5,0)),"",VLOOKUP($B$1&amp;D$4&amp;D$5&amp;$C7,$L:$W,$C$5,0))</f>
        <v>6.64%</v>
      </c>
      <c r="E7" s="290" t="str">
        <f t="shared" si="4"/>
        <v>9.13%</v>
      </c>
      <c r="F7" s="290" t="str">
        <f t="shared" si="4"/>
        <v>12.34%</v>
      </c>
      <c r="G7" s="290" t="str">
        <f t="shared" si="4"/>
        <v>6.19%</v>
      </c>
      <c r="H7" s="290" t="str">
        <f t="shared" si="4"/>
        <v>7.28%</v>
      </c>
      <c r="I7" s="290" t="str">
        <f t="shared" si="4"/>
        <v>12.18%</v>
      </c>
      <c r="J7" s="269"/>
      <c r="K7" s="269"/>
      <c r="L7" s="278" t="str">
        <f t="shared" si="0"/>
        <v>10AIJ13510</v>
      </c>
      <c r="M7" s="278" t="str">
        <f>IF(OR(L7="",COUNTIF($M$4:M6,IF(ISERROR($R7*1),LEFT($R7,2)*1,$R7*1))&gt;=1),"-",IF(ISERROR($R7*1),LEFT($R7,2)*1,$R7*1))</f>
        <v>-</v>
      </c>
      <c r="N7" s="278" t="str">
        <f>IF(OR(L7="",COUNTIF($N$4:N6,V7*1)&gt;=1),"-",V7*1)</f>
        <v>-</v>
      </c>
      <c r="O7" s="282" t="s">
        <v>616</v>
      </c>
      <c r="P7" s="282" t="s">
        <v>618</v>
      </c>
      <c r="Q7" s="282" t="s">
        <v>25</v>
      </c>
      <c r="R7" s="282" t="s">
        <v>264</v>
      </c>
      <c r="S7" s="283">
        <v>0</v>
      </c>
      <c r="T7" s="296" t="s">
        <v>730</v>
      </c>
      <c r="U7" s="283">
        <v>0</v>
      </c>
      <c r="V7" s="283">
        <v>10</v>
      </c>
      <c r="W7" s="282" t="s">
        <v>1012</v>
      </c>
    </row>
    <row r="8" spans="1:23" hidden="1">
      <c r="A8" s="266"/>
      <c r="B8" s="278">
        <v>2</v>
      </c>
      <c r="C8" s="289">
        <f t="shared" si="3"/>
        <v>10</v>
      </c>
      <c r="D8" s="290" t="str">
        <f t="shared" si="4"/>
        <v>8.03%</v>
      </c>
      <c r="E8" s="290" t="str">
        <f t="shared" si="4"/>
        <v>8.07%</v>
      </c>
      <c r="F8" s="290" t="str">
        <f t="shared" si="4"/>
        <v>8.11%</v>
      </c>
      <c r="G8" s="290" t="str">
        <f t="shared" si="4"/>
        <v>8.16%</v>
      </c>
      <c r="H8" s="290" t="str">
        <f t="shared" si="4"/>
        <v>8.10%</v>
      </c>
      <c r="I8" s="290" t="str">
        <f t="shared" si="4"/>
        <v>8.08%</v>
      </c>
      <c r="J8" s="269"/>
      <c r="K8" s="269"/>
      <c r="L8" s="278" t="str">
        <f t="shared" si="0"/>
        <v>10AIJ1615</v>
      </c>
      <c r="M8" s="278">
        <f>IF(OR(L8="",COUNTIF($M$4:M7,IF(ISERROR($R8*1),LEFT($R8,2)*1,$R8*1))&gt;=1),"-",IF(ISERROR($R8*1),LEFT($R8,2)*1,$R8*1))</f>
        <v>61</v>
      </c>
      <c r="N8" s="278" t="str">
        <f>IF(OR(L8="",COUNTIF($N$4:N7,V8*1)&gt;=1),"-",V8*1)</f>
        <v>-</v>
      </c>
      <c r="O8" s="282" t="s">
        <v>616</v>
      </c>
      <c r="P8" s="282" t="s">
        <v>618</v>
      </c>
      <c r="Q8" s="282" t="s">
        <v>25</v>
      </c>
      <c r="R8" s="282" t="s">
        <v>840</v>
      </c>
      <c r="S8" s="283">
        <v>0</v>
      </c>
      <c r="T8" s="296" t="s">
        <v>730</v>
      </c>
      <c r="U8" s="283">
        <v>0</v>
      </c>
      <c r="V8" s="283">
        <v>5</v>
      </c>
      <c r="W8" s="282" t="s">
        <v>1068</v>
      </c>
    </row>
    <row r="9" spans="1:23" hidden="1">
      <c r="A9" s="266"/>
      <c r="B9" s="278">
        <v>3</v>
      </c>
      <c r="C9" s="289" t="str">
        <f t="shared" si="3"/>
        <v/>
      </c>
      <c r="D9" s="290" t="str">
        <f t="shared" si="4"/>
        <v/>
      </c>
      <c r="E9" s="290" t="str">
        <f t="shared" si="4"/>
        <v/>
      </c>
      <c r="F9" s="290" t="str">
        <f t="shared" si="4"/>
        <v/>
      </c>
      <c r="G9" s="290" t="str">
        <f t="shared" si="4"/>
        <v/>
      </c>
      <c r="H9" s="290" t="str">
        <f t="shared" si="4"/>
        <v/>
      </c>
      <c r="I9" s="290" t="str">
        <f t="shared" si="4"/>
        <v/>
      </c>
      <c r="J9" s="269"/>
      <c r="K9" s="269"/>
      <c r="L9" s="278" t="str">
        <f t="shared" si="0"/>
        <v>10AIJ16110</v>
      </c>
      <c r="M9" s="278" t="str">
        <f>IF(OR(L9="",COUNTIF($M$4:M8,IF(ISERROR($R9*1),LEFT($R9,2)*1,$R9*1))&gt;=1),"-",IF(ISERROR($R9*1),LEFT($R9,2)*1,$R9*1))</f>
        <v>-</v>
      </c>
      <c r="N9" s="278" t="str">
        <f>IF(OR(L9="",COUNTIF($N$4:N8,V9*1)&gt;=1),"-",V9*1)</f>
        <v>-</v>
      </c>
      <c r="O9" s="282" t="s">
        <v>616</v>
      </c>
      <c r="P9" s="282" t="s">
        <v>618</v>
      </c>
      <c r="Q9" s="282" t="s">
        <v>25</v>
      </c>
      <c r="R9" s="282" t="s">
        <v>840</v>
      </c>
      <c r="S9" s="283">
        <v>0</v>
      </c>
      <c r="T9" s="296" t="s">
        <v>730</v>
      </c>
      <c r="U9" s="283">
        <v>0</v>
      </c>
      <c r="V9" s="283">
        <v>10</v>
      </c>
      <c r="W9" s="282" t="s">
        <v>1069</v>
      </c>
    </row>
    <row r="10" spans="1:23" hidden="1">
      <c r="A10" s="291"/>
      <c r="B10" s="278">
        <v>4</v>
      </c>
      <c r="C10" s="289" t="str">
        <f t="shared" si="3"/>
        <v/>
      </c>
      <c r="D10" s="290" t="str">
        <f t="shared" si="4"/>
        <v/>
      </c>
      <c r="E10" s="290" t="str">
        <f t="shared" si="4"/>
        <v/>
      </c>
      <c r="F10" s="290" t="str">
        <f t="shared" si="4"/>
        <v/>
      </c>
      <c r="G10" s="290" t="str">
        <f t="shared" si="4"/>
        <v/>
      </c>
      <c r="H10" s="290" t="str">
        <f t="shared" si="4"/>
        <v/>
      </c>
      <c r="I10" s="290" t="str">
        <f t="shared" si="4"/>
        <v/>
      </c>
      <c r="J10" s="269"/>
      <c r="K10" s="269"/>
      <c r="L10" s="278" t="str">
        <f t="shared" si="0"/>
        <v>10AIJ215足5</v>
      </c>
      <c r="M10" s="278" t="str">
        <f>IF(OR(L10="",COUNTIF($M$4:M9,IF(ISERROR($R10*1),LEFT($R10,2)*1,$R10*1))&gt;=1),"-",IF(ISERROR($R10*1),LEFT($R10,2)*1,$R10*1))</f>
        <v>-</v>
      </c>
      <c r="N10" s="278" t="str">
        <f>IF(OR(L10="",COUNTIF($N$4:N9,V10*1)&gt;=1),"-",V10*1)</f>
        <v>-</v>
      </c>
      <c r="O10" s="282" t="s">
        <v>616</v>
      </c>
      <c r="P10" s="282" t="s">
        <v>618</v>
      </c>
      <c r="Q10" s="282" t="s">
        <v>26</v>
      </c>
      <c r="R10" s="282" t="s">
        <v>1064</v>
      </c>
      <c r="S10" s="283">
        <v>0</v>
      </c>
      <c r="T10" s="296" t="s">
        <v>730</v>
      </c>
      <c r="U10" s="283">
        <v>0</v>
      </c>
      <c r="V10" s="283">
        <v>5</v>
      </c>
      <c r="W10" s="282" t="s">
        <v>1070</v>
      </c>
    </row>
    <row r="11" spans="1:23" hidden="1">
      <c r="A11" s="291"/>
      <c r="B11" s="278">
        <v>5</v>
      </c>
      <c r="C11" s="289" t="str">
        <f t="shared" si="3"/>
        <v/>
      </c>
      <c r="D11" s="290" t="str">
        <f t="shared" si="4"/>
        <v/>
      </c>
      <c r="E11" s="290" t="str">
        <f t="shared" si="4"/>
        <v/>
      </c>
      <c r="F11" s="290" t="str">
        <f t="shared" si="4"/>
        <v/>
      </c>
      <c r="G11" s="290" t="str">
        <f t="shared" si="4"/>
        <v/>
      </c>
      <c r="H11" s="290" t="str">
        <f t="shared" si="4"/>
        <v/>
      </c>
      <c r="I11" s="290" t="str">
        <f t="shared" si="4"/>
        <v/>
      </c>
      <c r="J11" s="269"/>
      <c r="K11" s="269"/>
      <c r="L11" s="278" t="str">
        <f t="shared" si="0"/>
        <v>10AIJ215足10</v>
      </c>
      <c r="M11" s="278" t="str">
        <f>IF(OR(L11="",COUNTIF($M$4:M10,IF(ISERROR($R11*1),LEFT($R11,2)*1,$R11*1))&gt;=1),"-",IF(ISERROR($R11*1),LEFT($R11,2)*1,$R11*1))</f>
        <v>-</v>
      </c>
      <c r="N11" s="278" t="str">
        <f>IF(OR(L11="",COUNTIF($N$4:N10,V11*1)&gt;=1),"-",V11*1)</f>
        <v>-</v>
      </c>
      <c r="O11" s="282" t="s">
        <v>616</v>
      </c>
      <c r="P11" s="282" t="s">
        <v>618</v>
      </c>
      <c r="Q11" s="282" t="s">
        <v>26</v>
      </c>
      <c r="R11" s="282" t="s">
        <v>1064</v>
      </c>
      <c r="S11" s="283">
        <v>0</v>
      </c>
      <c r="T11" s="296" t="s">
        <v>730</v>
      </c>
      <c r="U11" s="283">
        <v>0</v>
      </c>
      <c r="V11" s="283">
        <v>10</v>
      </c>
      <c r="W11" s="282" t="s">
        <v>1071</v>
      </c>
    </row>
    <row r="12" spans="1:23" hidden="1">
      <c r="A12" s="291"/>
      <c r="B12" s="278">
        <v>6</v>
      </c>
      <c r="C12" s="289" t="str">
        <f t="shared" si="3"/>
        <v/>
      </c>
      <c r="D12" s="290" t="str">
        <f t="shared" si="4"/>
        <v/>
      </c>
      <c r="E12" s="290" t="str">
        <f t="shared" si="4"/>
        <v/>
      </c>
      <c r="F12" s="290" t="str">
        <f t="shared" si="4"/>
        <v/>
      </c>
      <c r="G12" s="290" t="str">
        <f t="shared" si="4"/>
        <v/>
      </c>
      <c r="H12" s="290" t="str">
        <f t="shared" si="4"/>
        <v/>
      </c>
      <c r="I12" s="290" t="str">
        <f t="shared" si="4"/>
        <v/>
      </c>
      <c r="J12" s="269"/>
      <c r="K12" s="269"/>
      <c r="L12" s="278" t="str">
        <f t="shared" si="0"/>
        <v>10AIJ2355</v>
      </c>
      <c r="M12" s="278" t="str">
        <f>IF(OR(L12="",COUNTIF($M$4:M11,IF(ISERROR($R12*1),LEFT($R12,2)*1,$R12*1))&gt;=1),"-",IF(ISERROR($R12*1),LEFT($R12,2)*1,$R12*1))</f>
        <v>-</v>
      </c>
      <c r="N12" s="278" t="str">
        <f>IF(OR(L12="",COUNTIF($N$4:N11,V12*1)&gt;=1),"-",V12*1)</f>
        <v>-</v>
      </c>
      <c r="O12" s="282" t="s">
        <v>616</v>
      </c>
      <c r="P12" s="282" t="s">
        <v>618</v>
      </c>
      <c r="Q12" s="282" t="s">
        <v>26</v>
      </c>
      <c r="R12" s="282" t="s">
        <v>264</v>
      </c>
      <c r="S12" s="283">
        <v>0</v>
      </c>
      <c r="T12" s="296" t="s">
        <v>730</v>
      </c>
      <c r="U12" s="283">
        <v>0</v>
      </c>
      <c r="V12" s="283">
        <v>5</v>
      </c>
      <c r="W12" s="282" t="s">
        <v>1072</v>
      </c>
    </row>
    <row r="13" spans="1:23" hidden="1">
      <c r="A13" s="291"/>
      <c r="B13" s="278">
        <v>7</v>
      </c>
      <c r="C13" s="289" t="str">
        <f t="shared" si="3"/>
        <v/>
      </c>
      <c r="D13" s="290" t="str">
        <f t="shared" si="4"/>
        <v/>
      </c>
      <c r="E13" s="290" t="str">
        <f t="shared" si="4"/>
        <v/>
      </c>
      <c r="F13" s="290" t="str">
        <f t="shared" si="4"/>
        <v/>
      </c>
      <c r="G13" s="290" t="str">
        <f t="shared" si="4"/>
        <v/>
      </c>
      <c r="H13" s="290" t="str">
        <f t="shared" si="4"/>
        <v/>
      </c>
      <c r="I13" s="290" t="str">
        <f t="shared" si="4"/>
        <v/>
      </c>
      <c r="J13" s="269"/>
      <c r="K13" s="269"/>
      <c r="L13" s="278" t="str">
        <f t="shared" si="0"/>
        <v>10AIJ23510</v>
      </c>
      <c r="M13" s="278" t="str">
        <f>IF(OR(L13="",COUNTIF($M$4:M12,IF(ISERROR($R13*1),LEFT($R13,2)*1,$R13*1))&gt;=1),"-",IF(ISERROR($R13*1),LEFT($R13,2)*1,$R13*1))</f>
        <v>-</v>
      </c>
      <c r="N13" s="278" t="str">
        <f>IF(OR(L13="",COUNTIF($N$4:N12,V13*1)&gt;=1),"-",V13*1)</f>
        <v>-</v>
      </c>
      <c r="O13" s="282" t="s">
        <v>616</v>
      </c>
      <c r="P13" s="282" t="s">
        <v>618</v>
      </c>
      <c r="Q13" s="282" t="s">
        <v>26</v>
      </c>
      <c r="R13" s="282" t="s">
        <v>264</v>
      </c>
      <c r="S13" s="283">
        <v>0</v>
      </c>
      <c r="T13" s="296" t="s">
        <v>730</v>
      </c>
      <c r="U13" s="283">
        <v>0</v>
      </c>
      <c r="V13" s="283">
        <v>10</v>
      </c>
      <c r="W13" s="282" t="s">
        <v>1073</v>
      </c>
    </row>
    <row r="14" spans="1:23" hidden="1">
      <c r="A14" s="292"/>
      <c r="B14" s="278">
        <v>8</v>
      </c>
      <c r="C14" s="289" t="str">
        <f t="shared" si="3"/>
        <v/>
      </c>
      <c r="D14" s="290" t="str">
        <f t="shared" si="4"/>
        <v/>
      </c>
      <c r="E14" s="290" t="str">
        <f t="shared" si="4"/>
        <v/>
      </c>
      <c r="F14" s="290" t="str">
        <f t="shared" si="4"/>
        <v/>
      </c>
      <c r="G14" s="290" t="str">
        <f t="shared" si="4"/>
        <v/>
      </c>
      <c r="H14" s="290" t="str">
        <f t="shared" si="4"/>
        <v/>
      </c>
      <c r="I14" s="290" t="str">
        <f t="shared" si="4"/>
        <v/>
      </c>
      <c r="J14" s="269"/>
      <c r="K14" s="269"/>
      <c r="L14" s="278" t="str">
        <f t="shared" si="0"/>
        <v>10AIJ2615</v>
      </c>
      <c r="M14" s="278" t="str">
        <f>IF(OR(L14="",COUNTIF($M$4:M13,IF(ISERROR($R14*1),LEFT($R14,2)*1,$R14*1))&gt;=1),"-",IF(ISERROR($R14*1),LEFT($R14,2)*1,$R14*1))</f>
        <v>-</v>
      </c>
      <c r="N14" s="278" t="str">
        <f>IF(OR(L14="",COUNTIF($N$4:N13,V14*1)&gt;=1),"-",V14*1)</f>
        <v>-</v>
      </c>
      <c r="O14" s="282" t="s">
        <v>616</v>
      </c>
      <c r="P14" s="282" t="s">
        <v>618</v>
      </c>
      <c r="Q14" s="282" t="s">
        <v>26</v>
      </c>
      <c r="R14" s="282" t="s">
        <v>840</v>
      </c>
      <c r="S14" s="283">
        <v>0</v>
      </c>
      <c r="T14" s="296" t="s">
        <v>730</v>
      </c>
      <c r="U14" s="283">
        <v>0</v>
      </c>
      <c r="V14" s="283">
        <v>5</v>
      </c>
      <c r="W14" s="282" t="s">
        <v>1074</v>
      </c>
    </row>
    <row r="15" spans="1:23" hidden="1">
      <c r="A15" s="293"/>
      <c r="B15" s="266"/>
      <c r="C15" s="294" t="s">
        <v>268</v>
      </c>
      <c r="D15" s="266"/>
      <c r="E15" s="266"/>
      <c r="F15" s="266"/>
      <c r="G15" s="291"/>
      <c r="H15" s="295"/>
      <c r="I15" s="295"/>
      <c r="J15" s="295"/>
      <c r="K15" s="295"/>
      <c r="L15" s="278" t="str">
        <f t="shared" si="0"/>
        <v>10AIJ26110</v>
      </c>
      <c r="M15" s="278" t="str">
        <f>IF(OR(L15="",COUNTIF($M$4:M14,IF(ISERROR($R15*1),LEFT($R15,2)*1,$R15*1))&gt;=1),"-",IF(ISERROR($R15*1),LEFT($R15,2)*1,$R15*1))</f>
        <v>-</v>
      </c>
      <c r="N15" s="278" t="str">
        <f>IF(OR(L15="",COUNTIF($N$4:N14,V15*1)&gt;=1),"-",V15*1)</f>
        <v>-</v>
      </c>
      <c r="O15" s="282" t="s">
        <v>616</v>
      </c>
      <c r="P15" s="282" t="s">
        <v>618</v>
      </c>
      <c r="Q15" s="282" t="s">
        <v>26</v>
      </c>
      <c r="R15" s="282" t="s">
        <v>840</v>
      </c>
      <c r="S15" s="283">
        <v>0</v>
      </c>
      <c r="T15" s="296" t="s">
        <v>730</v>
      </c>
      <c r="U15" s="283">
        <v>0</v>
      </c>
      <c r="V15" s="283">
        <v>10</v>
      </c>
      <c r="W15" s="282" t="s">
        <v>1011</v>
      </c>
    </row>
    <row r="16" spans="1:23" hidden="1">
      <c r="A16" s="293"/>
      <c r="B16" s="266"/>
      <c r="C16" s="266"/>
      <c r="D16" s="266"/>
      <c r="E16" s="266"/>
      <c r="F16" s="266"/>
      <c r="G16" s="291"/>
      <c r="H16" s="295"/>
      <c r="I16" s="295"/>
      <c r="J16" s="295"/>
      <c r="K16" s="295"/>
      <c r="L16" s="278" t="str">
        <f t="shared" si="0"/>
        <v/>
      </c>
      <c r="M16" s="278" t="str">
        <f>IF(OR(L16="",COUNTIF($M$4:M15,IF(ISERROR($R16*1),LEFT($R16,2)*1,$R16*1))&gt;=1),"-",IF(ISERROR($R16*1),LEFT($R16,2)*1,$R16*1))</f>
        <v>-</v>
      </c>
      <c r="N16" s="278" t="str">
        <f>IF(OR(L16="",COUNTIF($N$4:N15,V16*1)&gt;=1),"-",V16*1)</f>
        <v>-</v>
      </c>
      <c r="O16" s="358"/>
      <c r="P16" s="358"/>
      <c r="Q16" s="358"/>
      <c r="R16" s="358"/>
      <c r="S16" s="359"/>
      <c r="T16" s="360"/>
      <c r="U16" s="361"/>
      <c r="V16" s="359"/>
      <c r="W16" s="358"/>
    </row>
    <row r="17" spans="1:23" hidden="1">
      <c r="A17" s="293"/>
      <c r="B17" s="266"/>
      <c r="L17" s="278" t="str">
        <f t="shared" si="0"/>
        <v/>
      </c>
      <c r="M17" s="278" t="str">
        <f>IF(OR(L17="",COUNTIF($M$4:M16,IF(ISERROR($R17*1),LEFT($R17,2)*1,$R17*1))&gt;=1),"-",IF(ISERROR($R17*1),LEFT($R17,2)*1,$R17*1))</f>
        <v>-</v>
      </c>
      <c r="N17" s="278" t="str">
        <f>IF(OR(L17="",COUNTIF($N$4:N16,V17*1)&gt;=1),"-",V17*1)</f>
        <v>-</v>
      </c>
      <c r="O17" s="358"/>
      <c r="P17" s="358"/>
      <c r="Q17" s="358"/>
      <c r="R17" s="358"/>
      <c r="S17" s="359"/>
      <c r="T17" s="360"/>
      <c r="U17" s="361"/>
      <c r="V17" s="359"/>
      <c r="W17" s="358"/>
    </row>
    <row r="18" spans="1:23" hidden="1">
      <c r="A18" s="293"/>
      <c r="B18" s="266"/>
      <c r="L18" s="278" t="str">
        <f t="shared" si="0"/>
        <v/>
      </c>
      <c r="M18" s="278" t="str">
        <f>IF(OR(L18="",COUNTIF($M$4:M17,IF(ISERROR($R18*1),LEFT($R18,2)*1,$R18*1))&gt;=1),"-",IF(ISERROR($R18*1),LEFT($R18,2)*1,$R18*1))</f>
        <v>-</v>
      </c>
      <c r="N18" s="278" t="str">
        <f>IF(OR(L18="",COUNTIF($N$4:N17,V18*1)&gt;=1),"-",V18*1)</f>
        <v>-</v>
      </c>
      <c r="O18" s="358"/>
      <c r="P18" s="358"/>
      <c r="Q18" s="358"/>
      <c r="R18" s="358"/>
      <c r="S18" s="359"/>
      <c r="T18" s="360"/>
      <c r="U18" s="361"/>
      <c r="V18" s="359"/>
      <c r="W18" s="358"/>
    </row>
    <row r="19" spans="1:23" hidden="1">
      <c r="A19" s="293"/>
      <c r="B19" s="266"/>
      <c r="L19" s="278" t="str">
        <f t="shared" si="0"/>
        <v/>
      </c>
      <c r="M19" s="278" t="str">
        <f>IF(OR(L19="",COUNTIF($M$4:M18,IF(ISERROR($R19*1),LEFT($R19,2)*1,$R19*1))&gt;=1),"-",IF(ISERROR($R19*1),LEFT($R19,2)*1,$R19*1))</f>
        <v>-</v>
      </c>
      <c r="N19" s="278" t="str">
        <f>IF(OR(L19="",COUNTIF($N$4:N18,V19*1)&gt;=1),"-",V19*1)</f>
        <v>-</v>
      </c>
      <c r="O19" s="358"/>
      <c r="P19" s="358"/>
      <c r="Q19" s="358"/>
      <c r="R19" s="358"/>
      <c r="S19" s="359"/>
      <c r="T19" s="360"/>
      <c r="U19" s="361"/>
      <c r="V19" s="359"/>
      <c r="W19" s="358"/>
    </row>
    <row r="20" spans="1:23" hidden="1">
      <c r="A20" s="293"/>
      <c r="B20" s="266"/>
      <c r="L20" s="278" t="str">
        <f t="shared" si="0"/>
        <v/>
      </c>
      <c r="M20" s="278" t="str">
        <f>IF(OR(L20="",COUNTIF($M$4:M19,IF(ISERROR($R20*1),LEFT($R20,2)*1,$R20*1))&gt;=1),"-",IF(ISERROR($R20*1),LEFT($R20,2)*1,$R20*1))</f>
        <v>-</v>
      </c>
      <c r="N20" s="278" t="str">
        <f>IF(OR(L20="",COUNTIF($N$4:N19,V20*1)&gt;=1),"-",V20*1)</f>
        <v>-</v>
      </c>
      <c r="O20" s="358"/>
      <c r="P20" s="358"/>
      <c r="Q20" s="358"/>
      <c r="R20" s="358"/>
      <c r="S20" s="359"/>
      <c r="T20" s="360"/>
      <c r="U20" s="361"/>
      <c r="V20" s="359"/>
      <c r="W20" s="358"/>
    </row>
    <row r="21" spans="1:23" hidden="1">
      <c r="A21" s="266"/>
      <c r="B21" s="266"/>
      <c r="L21" s="278" t="str">
        <f t="shared" si="0"/>
        <v/>
      </c>
      <c r="M21" s="278" t="str">
        <f>IF(OR(L21="",COUNTIF($M$4:M20,IF(ISERROR($R21*1),LEFT($R21,2)*1,$R21*1))&gt;=1),"-",IF(ISERROR($R21*1),LEFT($R21,2)*1,$R21*1))</f>
        <v>-</v>
      </c>
      <c r="N21" s="278" t="str">
        <f>IF(OR(L21="",COUNTIF($N$4:N20,V21*1)&gt;=1),"-",V21*1)</f>
        <v>-</v>
      </c>
      <c r="O21" s="358"/>
      <c r="P21" s="358"/>
      <c r="Q21" s="358"/>
      <c r="R21" s="358"/>
      <c r="S21" s="359"/>
      <c r="T21" s="360"/>
      <c r="U21" s="361"/>
      <c r="V21" s="359"/>
      <c r="W21" s="358"/>
    </row>
    <row r="22" spans="1:23" hidden="1">
      <c r="A22" s="266"/>
      <c r="B22" s="266"/>
      <c r="L22" s="278" t="str">
        <f t="shared" si="0"/>
        <v/>
      </c>
      <c r="M22" s="278" t="str">
        <f>IF(OR(L22="",COUNTIF($M$4:M21,IF(ISERROR($R22*1),LEFT($R22,2)*1,$R22*1))&gt;=1),"-",IF(ISERROR($R22*1),LEFT($R22,2)*1,$R22*1))</f>
        <v>-</v>
      </c>
      <c r="N22" s="278" t="str">
        <f>IF(OR(L22="",COUNTIF($N$4:N21,V22*1)&gt;=1),"-",V22*1)</f>
        <v>-</v>
      </c>
      <c r="O22" s="358"/>
      <c r="P22" s="358"/>
      <c r="Q22" s="358"/>
      <c r="R22" s="358"/>
      <c r="S22" s="359"/>
      <c r="T22" s="360"/>
      <c r="U22" s="361"/>
      <c r="V22" s="359"/>
      <c r="W22" s="358"/>
    </row>
    <row r="23" spans="1:23" hidden="1">
      <c r="A23" s="266"/>
      <c r="B23" s="266"/>
      <c r="L23" s="278" t="str">
        <f t="shared" si="0"/>
        <v/>
      </c>
      <c r="M23" s="278" t="str">
        <f>IF(OR(L23="",COUNTIF($M$4:M22,IF(ISERROR($R23*1),LEFT($R23,2)*1,$R23*1))&gt;=1),"-",IF(ISERROR($R23*1),LEFT($R23,2)*1,$R23*1))</f>
        <v>-</v>
      </c>
      <c r="N23" s="278" t="str">
        <f>IF(OR(L23="",COUNTIF($N$4:N22,V23*1)&gt;=1),"-",V23*1)</f>
        <v>-</v>
      </c>
      <c r="O23" s="358"/>
      <c r="P23" s="358"/>
      <c r="Q23" s="358"/>
      <c r="R23" s="358"/>
      <c r="S23" s="359"/>
      <c r="T23" s="360"/>
      <c r="U23" s="361"/>
      <c r="V23" s="359"/>
      <c r="W23" s="358"/>
    </row>
    <row r="24" spans="1:23" hidden="1">
      <c r="A24" s="266"/>
      <c r="B24" s="266"/>
      <c r="L24" s="278" t="str">
        <f t="shared" si="0"/>
        <v/>
      </c>
      <c r="M24" s="278" t="str">
        <f>IF(OR(L24="",COUNTIF($M$4:M23,IF(ISERROR($R24*1),LEFT($R24,2)*1,$R24*1))&gt;=1),"-",IF(ISERROR($R24*1),LEFT($R24,2)*1,$R24*1))</f>
        <v>-</v>
      </c>
      <c r="N24" s="278" t="str">
        <f>IF(OR(L24="",COUNTIF($N$4:N23,V24*1)&gt;=1),"-",V24*1)</f>
        <v>-</v>
      </c>
      <c r="O24" s="358"/>
      <c r="P24" s="358"/>
      <c r="Q24" s="358"/>
      <c r="R24" s="358"/>
      <c r="S24" s="359"/>
      <c r="T24" s="360"/>
      <c r="U24" s="361"/>
      <c r="V24" s="359"/>
      <c r="W24" s="358"/>
    </row>
    <row r="25" spans="1:23" hidden="1">
      <c r="A25" s="266"/>
      <c r="B25" s="266"/>
      <c r="L25" s="278" t="str">
        <f t="shared" si="0"/>
        <v/>
      </c>
      <c r="M25" s="278" t="str">
        <f>IF(OR(L25="",COUNTIF($M$4:M24,IF(ISERROR($R25*1),LEFT($R25,2)*1,$R25*1))&gt;=1),"-",IF(ISERROR($R25*1),LEFT($R25,2)*1,$R25*1))</f>
        <v>-</v>
      </c>
      <c r="N25" s="278" t="str">
        <f>IF(OR(L25="",COUNTIF($N$4:N24,V25*1)&gt;=1),"-",V25*1)</f>
        <v>-</v>
      </c>
      <c r="O25" s="358"/>
      <c r="P25" s="358"/>
      <c r="Q25" s="358"/>
      <c r="R25" s="358"/>
      <c r="S25" s="359"/>
      <c r="T25" s="360"/>
      <c r="U25" s="361"/>
      <c r="V25" s="359"/>
      <c r="W25" s="358"/>
    </row>
    <row r="26" spans="1:23" hidden="1">
      <c r="A26" s="266"/>
      <c r="B26" s="266"/>
      <c r="L26" s="278" t="str">
        <f t="shared" si="0"/>
        <v/>
      </c>
      <c r="M26" s="278" t="str">
        <f>IF(OR(L26="",COUNTIF($M$4:M25,IF(ISERROR($R26*1),LEFT($R26,2)*1,$R26*1))&gt;=1),"-",IF(ISERROR($R26*1),LEFT($R26,2)*1,$R26*1))</f>
        <v>-</v>
      </c>
      <c r="N26" s="278" t="str">
        <f>IF(OR(L26="",COUNTIF($N$4:N25,V26*1)&gt;=1),"-",V26*1)</f>
        <v>-</v>
      </c>
      <c r="O26" s="358"/>
      <c r="P26" s="358"/>
      <c r="Q26" s="358"/>
      <c r="R26" s="358"/>
      <c r="S26" s="359"/>
      <c r="T26" s="360"/>
      <c r="U26" s="361"/>
      <c r="V26" s="359"/>
      <c r="W26" s="358"/>
    </row>
    <row r="27" spans="1:23" hidden="1">
      <c r="A27" s="266"/>
      <c r="B27" s="266"/>
      <c r="L27" s="278" t="str">
        <f t="shared" si="0"/>
        <v/>
      </c>
      <c r="M27" s="278" t="str">
        <f>IF(OR(L27="",COUNTIF($M$4:M26,IF(ISERROR($R27*1),LEFT($R27,2)*1,$R27*1))&gt;=1),"-",IF(ISERROR($R27*1),LEFT($R27,2)*1,$R27*1))</f>
        <v>-</v>
      </c>
      <c r="N27" s="278" t="str">
        <f>IF(OR(L27="",COUNTIF($N$4:N26,V27*1)&gt;=1),"-",V27*1)</f>
        <v>-</v>
      </c>
      <c r="O27" s="358"/>
      <c r="P27" s="358"/>
      <c r="Q27" s="358"/>
      <c r="R27" s="358"/>
      <c r="S27" s="359"/>
      <c r="T27" s="360"/>
      <c r="U27" s="361"/>
      <c r="V27" s="359"/>
      <c r="W27" s="358"/>
    </row>
    <row r="28" spans="1:23" hidden="1">
      <c r="A28" s="266"/>
      <c r="B28" s="266"/>
      <c r="L28" s="278" t="str">
        <f t="shared" si="0"/>
        <v/>
      </c>
      <c r="M28" s="278" t="str">
        <f>IF(OR(L28="",COUNTIF($M$4:M27,IF(ISERROR($R28*1),LEFT($R28,2)*1,$R28*1))&gt;=1),"-",IF(ISERROR($R28*1),LEFT($R28,2)*1,$R28*1))</f>
        <v>-</v>
      </c>
      <c r="N28" s="278" t="str">
        <f>IF(OR(L28="",COUNTIF($N$4:N27,V28*1)&gt;=1),"-",V28*1)</f>
        <v>-</v>
      </c>
      <c r="O28" s="282"/>
      <c r="P28" s="282"/>
      <c r="Q28" s="282"/>
      <c r="R28" s="282"/>
      <c r="S28" s="283"/>
      <c r="T28" s="283"/>
      <c r="U28" s="283"/>
      <c r="V28" s="283"/>
      <c r="W28" s="282"/>
    </row>
    <row r="29" spans="1:23" hidden="1">
      <c r="A29" s="266"/>
      <c r="B29" s="266"/>
      <c r="L29" s="278" t="str">
        <f t="shared" si="0"/>
        <v/>
      </c>
      <c r="M29" s="278" t="str">
        <f>IF(OR(L29="",COUNTIF($M$4:M28,IF(ISERROR($R29*1),LEFT($R29,2)*1,$R29*1))&gt;=1),"-",IF(ISERROR($R29*1),LEFT($R29,2)*1,$R29*1))</f>
        <v>-</v>
      </c>
      <c r="N29" s="278" t="str">
        <f>IF(OR(L29="",COUNTIF($N$4:N28,V29*1)&gt;=1),"-",V29*1)</f>
        <v>-</v>
      </c>
      <c r="O29" s="282"/>
      <c r="P29" s="282"/>
      <c r="Q29" s="282"/>
      <c r="R29" s="282"/>
      <c r="S29" s="283"/>
      <c r="T29" s="283"/>
      <c r="U29" s="283"/>
      <c r="V29" s="283"/>
      <c r="W29" s="282"/>
    </row>
    <row r="30" spans="1:23" hidden="1">
      <c r="A30" s="266"/>
      <c r="B30" s="266"/>
      <c r="L30" s="278" t="str">
        <f t="shared" si="0"/>
        <v/>
      </c>
      <c r="M30" s="278" t="str">
        <f>IF(OR(L30="",COUNTIF($M$4:M29,IF(ISERROR($R30*1),LEFT($R30,2)*1,$R30*1))&gt;=1),"-",IF(ISERROR($R30*1),LEFT($R30,2)*1,$R30*1))</f>
        <v>-</v>
      </c>
      <c r="N30" s="278" t="str">
        <f>IF(OR(L30="",COUNTIF($N$4:N29,V30*1)&gt;=1),"-",V30*1)</f>
        <v>-</v>
      </c>
      <c r="O30" s="282"/>
      <c r="P30" s="282"/>
      <c r="Q30" s="282"/>
      <c r="R30" s="282"/>
      <c r="S30" s="283"/>
      <c r="T30" s="283"/>
      <c r="U30" s="283"/>
      <c r="V30" s="283"/>
      <c r="W30" s="282"/>
    </row>
    <row r="31" spans="1:23" hidden="1">
      <c r="A31" s="266"/>
      <c r="B31" s="266"/>
      <c r="L31" s="278" t="str">
        <f t="shared" si="0"/>
        <v/>
      </c>
      <c r="M31" s="278" t="str">
        <f>IF(OR(L31="",COUNTIF($M$4:M30,IF(ISERROR($R31*1),LEFT($R31,2)*1,$R31*1))&gt;=1),"-",IF(ISERROR($R31*1),LEFT($R31,2)*1,$R31*1))</f>
        <v>-</v>
      </c>
      <c r="N31" s="278" t="str">
        <f>IF(OR(L31="",COUNTIF($N$4:N30,V31*1)&gt;=1),"-",V31*1)</f>
        <v>-</v>
      </c>
      <c r="O31" s="282"/>
      <c r="P31" s="282"/>
      <c r="Q31" s="282"/>
      <c r="R31" s="282"/>
      <c r="S31" s="283"/>
      <c r="T31" s="283"/>
      <c r="U31" s="283"/>
      <c r="V31" s="283"/>
      <c r="W31" s="282"/>
    </row>
    <row r="32" spans="1:23" hidden="1">
      <c r="A32" s="266"/>
      <c r="B32" s="266"/>
      <c r="L32" s="278" t="str">
        <f t="shared" si="0"/>
        <v/>
      </c>
      <c r="M32" s="278" t="str">
        <f>IF(OR(L32="",COUNTIF($M$4:M31,IF(ISERROR($R32*1),LEFT($R32,2)*1,$R32*1))&gt;=1),"-",IF(ISERROR($R32*1),LEFT($R32,2)*1,$R32*1))</f>
        <v>-</v>
      </c>
      <c r="N32" s="278" t="str">
        <f>IF(OR(L32="",COUNTIF($N$4:N31,V32*1)&gt;=1),"-",V32*1)</f>
        <v>-</v>
      </c>
      <c r="O32" s="282"/>
      <c r="P32" s="282"/>
      <c r="Q32" s="282"/>
      <c r="R32" s="282"/>
      <c r="S32" s="283"/>
      <c r="T32" s="283"/>
      <c r="U32" s="283"/>
      <c r="V32" s="283"/>
      <c r="W32" s="282"/>
    </row>
    <row r="33" spans="1:23" hidden="1">
      <c r="A33" s="266"/>
      <c r="B33" s="266"/>
      <c r="L33" s="278" t="str">
        <f t="shared" si="0"/>
        <v/>
      </c>
      <c r="M33" s="278" t="str">
        <f>IF(OR(L33="",COUNTIF($M$4:M32,IF(ISERROR($R33*1),LEFT($R33,2)*1,$R33*1))&gt;=1),"-",IF(ISERROR($R33*1),LEFT($R33,2)*1,$R33*1))</f>
        <v>-</v>
      </c>
      <c r="N33" s="278" t="str">
        <f>IF(OR(L33="",COUNTIF($N$4:N32,V33*1)&gt;=1),"-",V33*1)</f>
        <v>-</v>
      </c>
      <c r="O33" s="282"/>
      <c r="P33" s="282"/>
      <c r="Q33" s="282"/>
      <c r="R33" s="282"/>
      <c r="S33" s="283"/>
      <c r="T33" s="283"/>
      <c r="U33" s="283"/>
      <c r="V33" s="283"/>
      <c r="W33" s="282"/>
    </row>
    <row r="34" spans="1:23" hidden="1">
      <c r="A34" s="266"/>
      <c r="B34" s="266"/>
      <c r="L34" s="278" t="str">
        <f t="shared" si="0"/>
        <v/>
      </c>
      <c r="M34" s="278" t="str">
        <f>IF(OR(L34="",COUNTIF($M$4:M33,IF(ISERROR($R34*1),LEFT($R34,2)*1,$R34*1))&gt;=1),"-",IF(ISERROR($R34*1),LEFT($R34,2)*1,$R34*1))</f>
        <v>-</v>
      </c>
      <c r="N34" s="278" t="str">
        <f>IF(OR(L34="",COUNTIF($N$4:N33,V34*1)&gt;=1),"-",V34*1)</f>
        <v>-</v>
      </c>
      <c r="O34" s="282"/>
      <c r="P34" s="282"/>
      <c r="Q34" s="282"/>
      <c r="R34" s="282"/>
      <c r="S34" s="283"/>
      <c r="T34" s="283"/>
      <c r="U34" s="283"/>
      <c r="V34" s="283"/>
      <c r="W34" s="282"/>
    </row>
    <row r="35" spans="1:23" hidden="1">
      <c r="A35" s="266"/>
      <c r="B35" s="266"/>
      <c r="L35" s="278" t="str">
        <f t="shared" si="0"/>
        <v/>
      </c>
      <c r="M35" s="278" t="str">
        <f>IF(OR(L35="",COUNTIF($M$4:M34,IF(ISERROR($R35*1),LEFT($R35,2)*1,$R35*1))&gt;=1),"-",IF(ISERROR($R35*1),LEFT($R35,2)*1,$R35*1))</f>
        <v>-</v>
      </c>
      <c r="N35" s="278" t="str">
        <f>IF(OR(L35="",COUNTIF($N$4:N34,V35*1)&gt;=1),"-",V35*1)</f>
        <v>-</v>
      </c>
      <c r="O35" s="282"/>
      <c r="P35" s="282"/>
      <c r="Q35" s="282"/>
      <c r="R35" s="282"/>
      <c r="S35" s="283"/>
      <c r="T35" s="283"/>
      <c r="U35" s="283"/>
      <c r="V35" s="283"/>
      <c r="W35" s="282"/>
    </row>
    <row r="36" spans="1:23" hidden="1">
      <c r="A36" s="266"/>
      <c r="B36" s="266"/>
      <c r="L36" s="278" t="str">
        <f t="shared" si="0"/>
        <v/>
      </c>
      <c r="M36" s="278" t="str">
        <f>IF(OR(L36="",COUNTIF($M$4:M35,IF(ISERROR($R36*1),LEFT($R36,2)*1,$R36*1))&gt;=1),"-",IF(ISERROR($R36*1),LEFT($R36,2)*1,$R36*1))</f>
        <v>-</v>
      </c>
      <c r="N36" s="278" t="str">
        <f>IF(OR(L36="",COUNTIF($N$4:N35,V36*1)&gt;=1),"-",V36*1)</f>
        <v>-</v>
      </c>
      <c r="O36" s="282"/>
      <c r="P36" s="282"/>
      <c r="Q36" s="282"/>
      <c r="R36" s="282"/>
      <c r="S36" s="283"/>
      <c r="T36" s="283"/>
      <c r="U36" s="283"/>
      <c r="V36" s="283"/>
      <c r="W36" s="282"/>
    </row>
    <row r="37" spans="1:23" hidden="1">
      <c r="A37" s="266"/>
      <c r="B37" s="266"/>
      <c r="L37" s="278" t="str">
        <f t="shared" si="0"/>
        <v/>
      </c>
      <c r="M37" s="278" t="str">
        <f>IF(OR(L37="",COUNTIF($M$4:M36,IF(ISERROR($R37*1),LEFT($R37,2)*1,$R37*1))&gt;=1),"-",IF(ISERROR($R37*1),LEFT($R37,2)*1,$R37*1))</f>
        <v>-</v>
      </c>
      <c r="N37" s="278" t="str">
        <f>IF(OR(L37="",COUNTIF($N$4:N36,V37*1)&gt;=1),"-",V37*1)</f>
        <v>-</v>
      </c>
      <c r="O37" s="282"/>
      <c r="P37" s="282"/>
      <c r="Q37" s="282"/>
      <c r="R37" s="282"/>
      <c r="S37" s="283"/>
      <c r="T37" s="283"/>
      <c r="U37" s="283"/>
      <c r="V37" s="283"/>
      <c r="W37" s="282"/>
    </row>
    <row r="38" spans="1:23" hidden="1">
      <c r="A38" s="266"/>
      <c r="B38" s="266"/>
      <c r="L38" s="278" t="str">
        <f t="shared" si="0"/>
        <v/>
      </c>
      <c r="M38" s="278" t="str">
        <f>IF(OR(L38="",COUNTIF($M$4:M37,IF(ISERROR($R38*1),LEFT($R38,2)*1,$R38*1))&gt;=1),"-",IF(ISERROR($R38*1),LEFT($R38,2)*1,$R38*1))</f>
        <v>-</v>
      </c>
      <c r="N38" s="278" t="str">
        <f>IF(OR(L38="",COUNTIF($N$4:N37,V38*1)&gt;=1),"-",V38*1)</f>
        <v>-</v>
      </c>
      <c r="O38" s="282"/>
      <c r="P38" s="282"/>
      <c r="Q38" s="282"/>
      <c r="R38" s="282"/>
      <c r="S38" s="283"/>
      <c r="T38" s="283"/>
      <c r="U38" s="283"/>
      <c r="V38" s="283"/>
      <c r="W38" s="282"/>
    </row>
    <row r="39" spans="1:23" hidden="1">
      <c r="A39" s="266"/>
      <c r="B39" s="266"/>
      <c r="L39" s="278" t="str">
        <f t="shared" si="0"/>
        <v/>
      </c>
      <c r="M39" s="278" t="str">
        <f>IF(OR(L39="",COUNTIF($M$4:M38,IF(ISERROR($R39*1),LEFT($R39,2)*1,$R39*1))&gt;=1),"-",IF(ISERROR($R39*1),LEFT($R39,2)*1,$R39*1))</f>
        <v>-</v>
      </c>
      <c r="N39" s="278" t="str">
        <f>IF(OR(L39="",COUNTIF($N$4:N38,V39*1)&gt;=1),"-",V39*1)</f>
        <v>-</v>
      </c>
      <c r="O39" s="282"/>
      <c r="P39" s="282"/>
      <c r="Q39" s="282"/>
      <c r="R39" s="282"/>
      <c r="S39" s="283"/>
      <c r="T39" s="283"/>
      <c r="U39" s="283"/>
      <c r="V39" s="283"/>
      <c r="W39" s="282"/>
    </row>
    <row r="40" spans="1:23" hidden="1">
      <c r="A40" s="266"/>
      <c r="B40" s="266"/>
      <c r="L40" s="278" t="str">
        <f t="shared" si="0"/>
        <v/>
      </c>
      <c r="M40" s="278" t="str">
        <f>IF(OR(L40="",COUNTIF($M$4:M39,IF(ISERROR($R40*1),LEFT($R40,2)*1,$R40*1))&gt;=1),"-",IF(ISERROR($R40*1),LEFT($R40,2)*1,$R40*1))</f>
        <v>-</v>
      </c>
      <c r="N40" s="278" t="str">
        <f>IF(OR(L40="",COUNTIF($N$4:N39,V40*1)&gt;=1),"-",V40*1)</f>
        <v>-</v>
      </c>
      <c r="O40" s="282"/>
      <c r="P40" s="282"/>
      <c r="Q40" s="282"/>
      <c r="R40" s="282"/>
      <c r="S40" s="283"/>
      <c r="T40" s="283"/>
      <c r="U40" s="283"/>
      <c r="V40" s="283"/>
      <c r="W40" s="282"/>
    </row>
    <row r="41" spans="1:23" hidden="1">
      <c r="A41" s="266"/>
      <c r="B41" s="266"/>
      <c r="L41" s="278" t="str">
        <f t="shared" si="0"/>
        <v/>
      </c>
      <c r="M41" s="278" t="str">
        <f>IF(OR(L41="",COUNTIF($M$4:M40,IF(ISERROR($R41*1),LEFT($R41,2)*1,$R41*1))&gt;=1),"-",IF(ISERROR($R41*1),LEFT($R41,2)*1,$R41*1))</f>
        <v>-</v>
      </c>
      <c r="N41" s="278" t="str">
        <f>IF(OR(L41="",COUNTIF($N$4:N40,V41*1)&gt;=1),"-",V41*1)</f>
        <v>-</v>
      </c>
      <c r="O41" s="282"/>
      <c r="P41" s="282"/>
      <c r="Q41" s="282"/>
      <c r="R41" s="282"/>
      <c r="S41" s="283"/>
      <c r="T41" s="283"/>
      <c r="U41" s="283"/>
      <c r="V41" s="283"/>
      <c r="W41" s="282"/>
    </row>
    <row r="42" spans="1:23" hidden="1">
      <c r="A42" s="266"/>
      <c r="B42" s="266"/>
      <c r="L42" s="278" t="str">
        <f t="shared" si="0"/>
        <v/>
      </c>
      <c r="M42" s="278" t="str">
        <f>IF(OR(L42="",COUNTIF($M$4:M41,IF(ISERROR($R42*1),LEFT($R42,2)*1,$R42*1))&gt;=1),"-",IF(ISERROR($R42*1),LEFT($R42,2)*1,$R42*1))</f>
        <v>-</v>
      </c>
      <c r="N42" s="278" t="str">
        <f>IF(OR(L42="",COUNTIF($N$4:N41,V42*1)&gt;=1),"-",V42*1)</f>
        <v>-</v>
      </c>
      <c r="O42" s="282"/>
      <c r="P42" s="282"/>
      <c r="Q42" s="282"/>
      <c r="R42" s="282"/>
      <c r="S42" s="283"/>
      <c r="T42" s="283"/>
      <c r="U42" s="283"/>
      <c r="V42" s="283"/>
      <c r="W42" s="282"/>
    </row>
    <row r="43" spans="1:23" hidden="1">
      <c r="L43" s="278" t="str">
        <f t="shared" si="0"/>
        <v/>
      </c>
      <c r="M43" s="278" t="str">
        <f>IF(OR(L43="",COUNTIF($M$4:M42,IF(ISERROR($R43*1),LEFT($R43,2)*1,$R43*1))&gt;=1),"-",IF(ISERROR($R43*1),LEFT($R43,2)*1,$R43*1))</f>
        <v>-</v>
      </c>
      <c r="N43" s="278" t="str">
        <f>IF(OR(L43="",COUNTIF($N$4:N42,V43*1)&gt;=1),"-",V43*1)</f>
        <v>-</v>
      </c>
      <c r="O43" s="282"/>
      <c r="P43" s="282"/>
      <c r="Q43" s="282"/>
      <c r="R43" s="282"/>
      <c r="S43" s="283"/>
      <c r="T43" s="283"/>
      <c r="U43" s="283"/>
      <c r="V43" s="283"/>
      <c r="W43" s="282"/>
    </row>
    <row r="44" spans="1:23" hidden="1">
      <c r="L44" s="278" t="str">
        <f t="shared" si="0"/>
        <v/>
      </c>
      <c r="M44" s="278" t="str">
        <f>IF(OR(L44="",COUNTIF($M$4:M43,IF(ISERROR($R44*1),LEFT($R44,2)*1,$R44*1))&gt;=1),"-",IF(ISERROR($R44*1),LEFT($R44,2)*1,$R44*1))</f>
        <v>-</v>
      </c>
      <c r="N44" s="278" t="str">
        <f>IF(OR(L44="",COUNTIF($N$4:N43,V44*1)&gt;=1),"-",V44*1)</f>
        <v>-</v>
      </c>
      <c r="O44" s="282"/>
      <c r="P44" s="282"/>
      <c r="Q44" s="282"/>
      <c r="R44" s="282"/>
      <c r="S44" s="283"/>
      <c r="T44" s="283"/>
      <c r="U44" s="283"/>
      <c r="V44" s="283"/>
      <c r="W44" s="282"/>
    </row>
    <row r="45" spans="1:23" hidden="1">
      <c r="L45" s="278" t="str">
        <f t="shared" si="0"/>
        <v/>
      </c>
      <c r="M45" s="278" t="str">
        <f>IF(OR(L45="",COUNTIF($M$4:M44,IF(ISERROR($R45*1),LEFT($R45,2)*1,$R45*1))&gt;=1),"-",IF(ISERROR($R45*1),LEFT($R45,2)*1,$R45*1))</f>
        <v>-</v>
      </c>
      <c r="N45" s="278" t="str">
        <f>IF(OR(L45="",COUNTIF($N$4:N44,V45*1)&gt;=1),"-",V45*1)</f>
        <v>-</v>
      </c>
      <c r="O45" s="282"/>
      <c r="P45" s="282"/>
      <c r="Q45" s="282"/>
      <c r="R45" s="282"/>
      <c r="S45" s="283"/>
      <c r="T45" s="283"/>
      <c r="U45" s="283"/>
      <c r="V45" s="283"/>
      <c r="W45" s="282"/>
    </row>
    <row r="46" spans="1:23" hidden="1">
      <c r="L46" s="278" t="str">
        <f t="shared" si="0"/>
        <v/>
      </c>
      <c r="M46" s="278" t="str">
        <f>IF(OR(L46="",COUNTIF($M$4:M45,IF(ISERROR($R46*1),LEFT($R46,2)*1,$R46*1))&gt;=1),"-",IF(ISERROR($R46*1),LEFT($R46,2)*1,$R46*1))</f>
        <v>-</v>
      </c>
      <c r="N46" s="278" t="str">
        <f>IF(OR(L46="",COUNTIF($N$4:N45,V46*1)&gt;=1),"-",V46*1)</f>
        <v>-</v>
      </c>
      <c r="O46" s="282"/>
      <c r="P46" s="282"/>
      <c r="Q46" s="282"/>
      <c r="R46" s="282"/>
      <c r="S46" s="283"/>
      <c r="T46" s="283"/>
      <c r="U46" s="283"/>
      <c r="V46" s="283"/>
      <c r="W46" s="282"/>
    </row>
    <row r="47" spans="1:23" hidden="1">
      <c r="L47" s="278" t="str">
        <f t="shared" si="0"/>
        <v/>
      </c>
      <c r="M47" s="278" t="str">
        <f>IF(OR(L47="",COUNTIF($M$4:M46,IF(ISERROR($R47*1),LEFT($R47,2)*1,$R47*1))&gt;=1),"-",IF(ISERROR($R47*1),LEFT($R47,2)*1,$R47*1))</f>
        <v>-</v>
      </c>
      <c r="N47" s="278" t="str">
        <f>IF(OR(L47="",COUNTIF($N$4:N46,V47*1)&gt;=1),"-",V47*1)</f>
        <v>-</v>
      </c>
      <c r="O47" s="282"/>
      <c r="P47" s="282"/>
      <c r="Q47" s="282"/>
      <c r="R47" s="282"/>
      <c r="S47" s="283"/>
      <c r="T47" s="283"/>
      <c r="U47" s="283"/>
      <c r="V47" s="283"/>
      <c r="W47" s="282"/>
    </row>
    <row r="48" spans="1:23" hidden="1">
      <c r="L48" s="278" t="str">
        <f t="shared" si="0"/>
        <v/>
      </c>
      <c r="M48" s="278" t="str">
        <f>IF(OR(L48="",COUNTIF($M$4:M47,IF(ISERROR($R48*1),LEFT($R48,2)*1,$R48*1))&gt;=1),"-",IF(ISERROR($R48*1),LEFT($R48,2)*1,$R48*1))</f>
        <v>-</v>
      </c>
      <c r="N48" s="278" t="str">
        <f>IF(OR(L48="",COUNTIF($N$4:N47,V48*1)&gt;=1),"-",V48*1)</f>
        <v>-</v>
      </c>
      <c r="O48" s="282"/>
      <c r="P48" s="282"/>
      <c r="Q48" s="282"/>
      <c r="R48" s="282"/>
      <c r="S48" s="283"/>
      <c r="T48" s="283"/>
      <c r="U48" s="283"/>
      <c r="V48" s="283"/>
      <c r="W48" s="282"/>
    </row>
    <row r="49" spans="12:23" hidden="1">
      <c r="L49" s="278" t="str">
        <f t="shared" si="0"/>
        <v/>
      </c>
      <c r="M49" s="278" t="str">
        <f>IF(OR(L49="",COUNTIF($M$4:M48,IF(ISERROR($R49*1),LEFT($R49,2)*1,$R49*1))&gt;=1),"-",IF(ISERROR($R49*1),LEFT($R49,2)*1,$R49*1))</f>
        <v>-</v>
      </c>
      <c r="N49" s="278" t="str">
        <f>IF(OR(L49="",COUNTIF($N$4:N48,V49*1)&gt;=1),"-",V49*1)</f>
        <v>-</v>
      </c>
      <c r="O49" s="282"/>
      <c r="P49" s="282"/>
      <c r="Q49" s="282"/>
      <c r="R49" s="282"/>
      <c r="S49" s="283"/>
      <c r="T49" s="283"/>
      <c r="U49" s="283"/>
      <c r="V49" s="283"/>
      <c r="W49" s="282"/>
    </row>
    <row r="50" spans="12:23" hidden="1">
      <c r="L50" s="278" t="str">
        <f t="shared" si="0"/>
        <v/>
      </c>
      <c r="M50" s="278" t="str">
        <f>IF(OR(L50="",COUNTIF($M$4:M49,IF(ISERROR($R50*1),LEFT($R50,2)*1,$R50*1))&gt;=1),"-",IF(ISERROR($R50*1),LEFT($R50,2)*1,$R50*1))</f>
        <v>-</v>
      </c>
      <c r="N50" s="278" t="str">
        <f>IF(OR(L50="",COUNTIF($N$4:N49,V50*1)&gt;=1),"-",V50*1)</f>
        <v>-</v>
      </c>
      <c r="O50" s="282"/>
      <c r="P50" s="282"/>
      <c r="Q50" s="282"/>
      <c r="R50" s="282"/>
      <c r="S50" s="283"/>
      <c r="T50" s="283"/>
      <c r="U50" s="283"/>
      <c r="V50" s="283"/>
      <c r="W50" s="282"/>
    </row>
    <row r="51" spans="12:23" hidden="1">
      <c r="L51" s="278" t="str">
        <f t="shared" si="0"/>
        <v/>
      </c>
      <c r="M51" s="278" t="str">
        <f>IF(OR(L51="",COUNTIF($M$4:M50,IF(ISERROR($R51*1),LEFT($R51,2)*1,$R51*1))&gt;=1),"-",IF(ISERROR($R51*1),LEFT($R51,2)*1,$R51*1))</f>
        <v>-</v>
      </c>
      <c r="N51" s="278" t="str">
        <f>IF(OR(L51="",COUNTIF($N$4:N50,V51*1)&gt;=1),"-",V51*1)</f>
        <v>-</v>
      </c>
      <c r="O51" s="282"/>
      <c r="P51" s="282"/>
      <c r="Q51" s="282"/>
      <c r="R51" s="282"/>
      <c r="S51" s="283"/>
      <c r="T51" s="283"/>
      <c r="U51" s="283"/>
      <c r="V51" s="283"/>
      <c r="W51" s="282"/>
    </row>
    <row r="52" spans="12:23" hidden="1">
      <c r="L52" s="278" t="str">
        <f t="shared" si="0"/>
        <v/>
      </c>
      <c r="M52" s="278" t="str">
        <f>IF(OR(L52="",COUNTIF($M$4:M51,IF(ISERROR($R52*1),LEFT($R52,2)*1,$R52*1))&gt;=1),"-",IF(ISERROR($R52*1),LEFT($R52,2)*1,$R52*1))</f>
        <v>-</v>
      </c>
      <c r="N52" s="278" t="str">
        <f>IF(OR(L52="",COUNTIF($N$4:N51,V52*1)&gt;=1),"-",V52*1)</f>
        <v>-</v>
      </c>
      <c r="O52" s="282"/>
      <c r="P52" s="282"/>
      <c r="Q52" s="282"/>
      <c r="R52" s="282"/>
      <c r="S52" s="283"/>
      <c r="T52" s="283"/>
      <c r="U52" s="283"/>
      <c r="V52" s="283"/>
      <c r="W52" s="282"/>
    </row>
    <row r="53" spans="12:23" hidden="1">
      <c r="L53" s="278" t="str">
        <f t="shared" si="0"/>
        <v/>
      </c>
      <c r="M53" s="278" t="str">
        <f>IF(OR(L53="",COUNTIF($M$4:M52,IF(ISERROR($R53*1),LEFT($R53,2)*1,$R53*1))&gt;=1),"-",IF(ISERROR($R53*1),LEFT($R53,2)*1,$R53*1))</f>
        <v>-</v>
      </c>
      <c r="N53" s="278" t="str">
        <f>IF(OR(L53="",COUNTIF($N$4:N52,V53*1)&gt;=1),"-",V53*1)</f>
        <v>-</v>
      </c>
      <c r="O53" s="282"/>
      <c r="P53" s="282"/>
      <c r="Q53" s="282"/>
      <c r="R53" s="282"/>
      <c r="S53" s="283"/>
      <c r="T53" s="283"/>
      <c r="U53" s="283"/>
      <c r="V53" s="283"/>
      <c r="W53" s="282"/>
    </row>
    <row r="54" spans="12:23" hidden="1">
      <c r="L54" s="278" t="str">
        <f t="shared" si="0"/>
        <v/>
      </c>
      <c r="M54" s="278" t="str">
        <f>IF(OR(L54="",COUNTIF($M$4:M53,IF(ISERROR($R54*1),LEFT($R54,2)*1,$R54*1))&gt;=1),"-",IF(ISERROR($R54*1),LEFT($R54,2)*1,$R54*1))</f>
        <v>-</v>
      </c>
      <c r="N54" s="278" t="str">
        <f>IF(OR(L54="",COUNTIF($N$4:N53,V54*1)&gt;=1),"-",V54*1)</f>
        <v>-</v>
      </c>
      <c r="O54" s="282"/>
      <c r="P54" s="282"/>
      <c r="Q54" s="282"/>
      <c r="R54" s="282"/>
      <c r="S54" s="283"/>
      <c r="T54" s="283"/>
      <c r="U54" s="283"/>
      <c r="V54" s="283"/>
      <c r="W54" s="282"/>
    </row>
    <row r="55" spans="12:23" hidden="1">
      <c r="L55" s="278" t="str">
        <f t="shared" si="0"/>
        <v/>
      </c>
      <c r="M55" s="278" t="str">
        <f>IF(OR(L55="",COUNTIF($M$4:M54,IF(ISERROR($R55*1),LEFT($R55,2)*1,$R55*1))&gt;=1),"-",IF(ISERROR($R55*1),LEFT($R55,2)*1,$R55*1))</f>
        <v>-</v>
      </c>
      <c r="N55" s="278" t="str">
        <f>IF(OR(L55="",COUNTIF($N$4:N54,V55*1)&gt;=1),"-",V55*1)</f>
        <v>-</v>
      </c>
      <c r="O55" s="282"/>
      <c r="P55" s="282"/>
      <c r="Q55" s="282"/>
      <c r="R55" s="282"/>
      <c r="S55" s="283"/>
      <c r="T55" s="283"/>
      <c r="U55" s="283"/>
      <c r="V55" s="283"/>
      <c r="W55" s="282"/>
    </row>
    <row r="56" spans="12:23" hidden="1">
      <c r="L56" s="278" t="str">
        <f t="shared" si="0"/>
        <v/>
      </c>
      <c r="M56" s="278" t="str">
        <f>IF(OR(L56="",COUNTIF($M$4:M55,IF(ISERROR($R56*1),LEFT($R56,2)*1,$R56*1))&gt;=1),"-",IF(ISERROR($R56*1),LEFT($R56,2)*1,$R56*1))</f>
        <v>-</v>
      </c>
      <c r="N56" s="278" t="str">
        <f>IF(OR(L56="",COUNTIF($N$4:N55,V56*1)&gt;=1),"-",V56*1)</f>
        <v>-</v>
      </c>
      <c r="O56" s="282"/>
      <c r="P56" s="282"/>
      <c r="Q56" s="282"/>
      <c r="R56" s="282"/>
      <c r="S56" s="283"/>
      <c r="T56" s="283"/>
      <c r="U56" s="283"/>
      <c r="V56" s="283"/>
      <c r="W56" s="282"/>
    </row>
    <row r="57" spans="12:23" hidden="1">
      <c r="L57" s="278" t="str">
        <f t="shared" si="0"/>
        <v/>
      </c>
      <c r="M57" s="278" t="str">
        <f>IF(OR(L57="",COUNTIF($M$4:M56,IF(ISERROR($R57*1),LEFT($R57,2)*1,$R57*1))&gt;=1),"-",IF(ISERROR($R57*1),LEFT($R57,2)*1,$R57*1))</f>
        <v>-</v>
      </c>
      <c r="N57" s="278" t="str">
        <f>IF(OR(L57="",COUNTIF($N$4:N56,V57*1)&gt;=1),"-",V57*1)</f>
        <v>-</v>
      </c>
      <c r="O57" s="282"/>
      <c r="P57" s="282"/>
      <c r="Q57" s="282"/>
      <c r="R57" s="282"/>
      <c r="S57" s="283"/>
      <c r="T57" s="283"/>
      <c r="U57" s="283"/>
      <c r="V57" s="283"/>
      <c r="W57" s="282"/>
    </row>
    <row r="58" spans="12:23" hidden="1">
      <c r="L58" s="278" t="str">
        <f t="shared" si="0"/>
        <v/>
      </c>
      <c r="M58" s="278" t="str">
        <f>IF(OR(L58="",COUNTIF($M$4:M57,IF(ISERROR($R58*1),LEFT($R58,2)*1,$R58*1))&gt;=1),"-",IF(ISERROR($R58*1),LEFT($R58,2)*1,$R58*1))</f>
        <v>-</v>
      </c>
      <c r="N58" s="278" t="str">
        <f>IF(OR(L58="",COUNTIF($N$4:N57,V58*1)&gt;=1),"-",V58*1)</f>
        <v>-</v>
      </c>
      <c r="O58" s="282"/>
      <c r="P58" s="282"/>
      <c r="Q58" s="282"/>
      <c r="R58" s="282"/>
      <c r="S58" s="283"/>
      <c r="T58" s="283"/>
      <c r="U58" s="283"/>
      <c r="V58" s="283"/>
      <c r="W58" s="282"/>
    </row>
    <row r="59" spans="12:23" hidden="1">
      <c r="L59" s="278" t="str">
        <f t="shared" si="0"/>
        <v/>
      </c>
      <c r="M59" s="278" t="str">
        <f>IF(OR(L59="",COUNTIF($M$4:M58,IF(ISERROR($R59*1),LEFT($R59,2)*1,$R59*1))&gt;=1),"-",IF(ISERROR($R59*1),LEFT($R59,2)*1,$R59*1))</f>
        <v>-</v>
      </c>
      <c r="N59" s="278" t="str">
        <f>IF(OR(L59="",COUNTIF($N$4:N58,V59*1)&gt;=1),"-",V59*1)</f>
        <v>-</v>
      </c>
      <c r="O59" s="282"/>
      <c r="P59" s="282"/>
      <c r="Q59" s="282"/>
      <c r="R59" s="282"/>
      <c r="S59" s="283"/>
      <c r="T59" s="283"/>
      <c r="U59" s="283"/>
      <c r="V59" s="283"/>
      <c r="W59" s="282"/>
    </row>
    <row r="60" spans="12:23" hidden="1">
      <c r="L60" s="278" t="str">
        <f t="shared" si="0"/>
        <v/>
      </c>
      <c r="M60" s="278" t="str">
        <f>IF(OR(L60="",COUNTIF($M$4:M59,IF(ISERROR($R60*1),LEFT($R60,2)*1,$R60*1))&gt;=1),"-",IF(ISERROR($R60*1),LEFT($R60,2)*1,$R60*1))</f>
        <v>-</v>
      </c>
      <c r="N60" s="278" t="str">
        <f>IF(OR(L60="",COUNTIF($N$4:N59,V60*1)&gt;=1),"-",V60*1)</f>
        <v>-</v>
      </c>
      <c r="O60" s="282"/>
      <c r="P60" s="282"/>
      <c r="Q60" s="282"/>
      <c r="R60" s="282"/>
      <c r="S60" s="283"/>
      <c r="T60" s="283"/>
      <c r="U60" s="283"/>
      <c r="V60" s="283"/>
      <c r="W60" s="282"/>
    </row>
    <row r="61" spans="12:23" hidden="1">
      <c r="L61" s="278" t="str">
        <f t="shared" si="0"/>
        <v/>
      </c>
      <c r="M61" s="278" t="str">
        <f>IF(OR(L61="",COUNTIF($M$4:M60,IF(ISERROR($R61*1),LEFT($R61,2)*1,$R61*1))&gt;=1),"-",IF(ISERROR($R61*1),LEFT($R61,2)*1,$R61*1))</f>
        <v>-</v>
      </c>
      <c r="N61" s="278" t="str">
        <f>IF(OR(L61="",COUNTIF($N$4:N60,V61*1)&gt;=1),"-",V61*1)</f>
        <v>-</v>
      </c>
      <c r="O61" s="282"/>
      <c r="P61" s="282"/>
      <c r="Q61" s="282"/>
      <c r="R61" s="282"/>
      <c r="S61" s="283"/>
      <c r="T61" s="283"/>
      <c r="U61" s="283"/>
      <c r="V61" s="283"/>
      <c r="W61" s="282"/>
    </row>
    <row r="62" spans="12:23" hidden="1">
      <c r="L62" s="278" t="str">
        <f t="shared" si="0"/>
        <v/>
      </c>
      <c r="M62" s="278" t="str">
        <f>IF(OR(L62="",COUNTIF($M$4:M61,IF(ISERROR($R62*1),LEFT($R62,2)*1,$R62*1))&gt;=1),"-",IF(ISERROR($R62*1),LEFT($R62,2)*1,$R62*1))</f>
        <v>-</v>
      </c>
      <c r="N62" s="278" t="str">
        <f>IF(OR(L62="",COUNTIF($N$4:N61,V62*1)&gt;=1),"-",V62*1)</f>
        <v>-</v>
      </c>
      <c r="O62" s="282"/>
      <c r="P62" s="282"/>
      <c r="Q62" s="282"/>
      <c r="R62" s="282"/>
      <c r="S62" s="283"/>
      <c r="T62" s="283"/>
      <c r="U62" s="283"/>
      <c r="V62" s="283"/>
      <c r="W62" s="282"/>
    </row>
    <row r="63" spans="12:23" hidden="1">
      <c r="L63" s="278" t="str">
        <f t="shared" si="0"/>
        <v/>
      </c>
      <c r="M63" s="278" t="str">
        <f>IF(OR(L63="",COUNTIF($M$4:M62,IF(ISERROR($R63*1),LEFT($R63,2)*1,$R63*1))&gt;=1),"-",IF(ISERROR($R63*1),LEFT($R63,2)*1,$R63*1))</f>
        <v>-</v>
      </c>
      <c r="N63" s="278" t="str">
        <f>IF(OR(L63="",COUNTIF($N$4:N62,V63*1)&gt;=1),"-",V63*1)</f>
        <v>-</v>
      </c>
      <c r="O63" s="282"/>
      <c r="P63" s="282"/>
      <c r="Q63" s="282"/>
      <c r="R63" s="282"/>
      <c r="S63" s="283"/>
      <c r="T63" s="283"/>
      <c r="U63" s="283"/>
      <c r="V63" s="283"/>
      <c r="W63" s="282"/>
    </row>
    <row r="64" spans="12:23" hidden="1">
      <c r="L64" s="278" t="str">
        <f t="shared" si="0"/>
        <v/>
      </c>
      <c r="M64" s="278" t="str">
        <f>IF(OR(L64="",COUNTIF($M$4:M63,IF(ISERROR($R64*1),LEFT($R64,2)*1,$R64*1))&gt;=1),"-",IF(ISERROR($R64*1),LEFT($R64,2)*1,$R64*1))</f>
        <v>-</v>
      </c>
      <c r="N64" s="278" t="str">
        <f>IF(OR(L64="",COUNTIF($N$4:N63,V64*1)&gt;=1),"-",V64*1)</f>
        <v>-</v>
      </c>
      <c r="O64" s="282"/>
      <c r="P64" s="282"/>
      <c r="Q64" s="282"/>
      <c r="R64" s="282"/>
      <c r="S64" s="283"/>
      <c r="T64" s="283"/>
      <c r="U64" s="283"/>
      <c r="V64" s="283"/>
      <c r="W64" s="282"/>
    </row>
    <row r="65" spans="12:23" hidden="1">
      <c r="L65" s="278" t="str">
        <f t="shared" si="0"/>
        <v/>
      </c>
      <c r="M65" s="278" t="str">
        <f>IF(OR(L65="",COUNTIF($M$4:M64,IF(ISERROR($R65*1),LEFT($R65,2)*1,$R65*1))&gt;=1),"-",IF(ISERROR($R65*1),LEFT($R65,2)*1,$R65*1))</f>
        <v>-</v>
      </c>
      <c r="N65" s="278" t="str">
        <f>IF(OR(L65="",COUNTIF($N$4:N64,V65*1)&gt;=1),"-",V65*1)</f>
        <v>-</v>
      </c>
      <c r="O65" s="282"/>
      <c r="P65" s="282"/>
      <c r="Q65" s="282"/>
      <c r="R65" s="282"/>
      <c r="S65" s="283"/>
      <c r="T65" s="283"/>
      <c r="U65" s="283"/>
      <c r="V65" s="283"/>
      <c r="W65" s="282"/>
    </row>
    <row r="66" spans="12:23" hidden="1">
      <c r="L66" s="278" t="str">
        <f t="shared" si="0"/>
        <v/>
      </c>
      <c r="M66" s="278" t="str">
        <f>IF(OR(L66="",COUNTIF($M$4:M65,IF(ISERROR($R66*1),LEFT($R66,2)*1,$R66*1))&gt;=1),"-",IF(ISERROR($R66*1),LEFT($R66,2)*1,$R66*1))</f>
        <v>-</v>
      </c>
      <c r="N66" s="278" t="str">
        <f>IF(OR(L66="",COUNTIF($N$4:N65,V66*1)&gt;=1),"-",V66*1)</f>
        <v>-</v>
      </c>
      <c r="O66" s="282"/>
      <c r="P66" s="282"/>
      <c r="Q66" s="282"/>
      <c r="R66" s="282"/>
      <c r="S66" s="283"/>
      <c r="T66" s="283"/>
      <c r="U66" s="283"/>
      <c r="V66" s="283"/>
      <c r="W66" s="282"/>
    </row>
    <row r="67" spans="12:23" hidden="1">
      <c r="L67" s="278" t="str">
        <f t="shared" si="0"/>
        <v/>
      </c>
      <c r="M67" s="278" t="str">
        <f>IF(OR(L67="",COUNTIF($M$4:M66,IF(ISERROR($R67*1),LEFT($R67,2)*1,$R67*1))&gt;=1),"-",IF(ISERROR($R67*1),LEFT($R67,2)*1,$R67*1))</f>
        <v>-</v>
      </c>
      <c r="N67" s="278" t="str">
        <f>IF(OR(L67="",COUNTIF($N$4:N66,V67*1)&gt;=1),"-",V67*1)</f>
        <v>-</v>
      </c>
      <c r="O67" s="282"/>
      <c r="P67" s="282"/>
      <c r="Q67" s="282"/>
      <c r="R67" s="282"/>
      <c r="S67" s="283"/>
      <c r="T67" s="283"/>
      <c r="U67" s="283"/>
      <c r="V67" s="283"/>
      <c r="W67" s="282"/>
    </row>
    <row r="68" spans="12:23" hidden="1">
      <c r="L68" s="278" t="str">
        <f t="shared" ref="L68:L102" si="5">IF(P68&lt;&gt;$B$1,"",P68&amp;Q68&amp;R68&amp;V68)</f>
        <v/>
      </c>
      <c r="M68" s="278" t="str">
        <f>IF(OR(L68="",COUNTIF($M$4:M67,IF(ISERROR($R68*1),LEFT($R68,2)*1,$R68*1))&gt;=1),"-",IF(ISERROR($R68*1),LEFT($R68,2)*1,$R68*1))</f>
        <v>-</v>
      </c>
      <c r="N68" s="278" t="str">
        <f>IF(OR(L68="",COUNTIF($N$4:N67,V68*1)&gt;=1),"-",V68*1)</f>
        <v>-</v>
      </c>
      <c r="O68" s="282"/>
      <c r="P68" s="282"/>
      <c r="Q68" s="282"/>
      <c r="R68" s="282"/>
      <c r="S68" s="283"/>
      <c r="T68" s="283"/>
      <c r="U68" s="283"/>
      <c r="V68" s="283"/>
      <c r="W68" s="282"/>
    </row>
    <row r="69" spans="12:23" hidden="1">
      <c r="L69" s="278" t="str">
        <f t="shared" si="5"/>
        <v/>
      </c>
      <c r="M69" s="278" t="str">
        <f>IF(OR(L69="",COUNTIF($M$4:M68,IF(ISERROR($R69*1),LEFT($R69,2)*1,$R69*1))&gt;=1),"-",IF(ISERROR($R69*1),LEFT($R69,2)*1,$R69*1))</f>
        <v>-</v>
      </c>
      <c r="N69" s="278" t="str">
        <f>IF(OR(L69="",COUNTIF($N$4:N68,V69*1)&gt;=1),"-",V69*1)</f>
        <v>-</v>
      </c>
      <c r="O69" s="282"/>
      <c r="P69" s="282"/>
      <c r="Q69" s="282"/>
      <c r="R69" s="282"/>
      <c r="S69" s="283"/>
      <c r="T69" s="283"/>
      <c r="U69" s="283"/>
      <c r="V69" s="283"/>
      <c r="W69" s="282"/>
    </row>
    <row r="70" spans="12:23" hidden="1">
      <c r="L70" s="278" t="str">
        <f t="shared" si="5"/>
        <v/>
      </c>
      <c r="M70" s="278" t="str">
        <f>IF(OR(L70="",COUNTIF($M$4:M69,IF(ISERROR($R70*1),LEFT($R70,2)*1,$R70*1))&gt;=1),"-",IF(ISERROR($R70*1),LEFT($R70,2)*1,$R70*1))</f>
        <v>-</v>
      </c>
      <c r="N70" s="278" t="str">
        <f>IF(OR(L70="",COUNTIF($N$4:N69,V70*1)&gt;=1),"-",V70*1)</f>
        <v>-</v>
      </c>
      <c r="O70" s="282"/>
      <c r="P70" s="282"/>
      <c r="Q70" s="282"/>
      <c r="R70" s="282"/>
      <c r="S70" s="283"/>
      <c r="T70" s="283"/>
      <c r="U70" s="283"/>
      <c r="V70" s="283"/>
      <c r="W70" s="282"/>
    </row>
    <row r="71" spans="12:23" hidden="1">
      <c r="L71" s="278" t="str">
        <f t="shared" si="5"/>
        <v/>
      </c>
      <c r="M71" s="278" t="str">
        <f>IF(OR(L71="",COUNTIF($M$4:M70,IF(ISERROR($R71*1),LEFT($R71,2)*1,$R71*1))&gt;=1),"-",IF(ISERROR($R71*1),LEFT($R71,2)*1,$R71*1))</f>
        <v>-</v>
      </c>
      <c r="N71" s="278" t="str">
        <f>IF(OR(L71="",COUNTIF($N$4:N70,V71*1)&gt;=1),"-",V71*1)</f>
        <v>-</v>
      </c>
      <c r="O71" s="282"/>
      <c r="P71" s="282"/>
      <c r="Q71" s="282"/>
      <c r="R71" s="282"/>
      <c r="S71" s="283"/>
      <c r="T71" s="283"/>
      <c r="U71" s="283"/>
      <c r="V71" s="283"/>
      <c r="W71" s="282"/>
    </row>
    <row r="72" spans="12:23" hidden="1">
      <c r="L72" s="278" t="str">
        <f t="shared" si="5"/>
        <v/>
      </c>
      <c r="M72" s="278" t="str">
        <f>IF(OR(L72="",COUNTIF($M$4:M71,IF(ISERROR($R72*1),LEFT($R72,2)*1,$R72*1))&gt;=1),"-",IF(ISERROR($R72*1),LEFT($R72,2)*1,$R72*1))</f>
        <v>-</v>
      </c>
      <c r="N72" s="278" t="str">
        <f>IF(OR(L72="",COUNTIF($N$4:N71,V72*1)&gt;=1),"-",V72*1)</f>
        <v>-</v>
      </c>
      <c r="O72" s="282"/>
      <c r="P72" s="282"/>
      <c r="Q72" s="282"/>
      <c r="R72" s="282"/>
      <c r="S72" s="283"/>
      <c r="T72" s="283"/>
      <c r="U72" s="283"/>
      <c r="V72" s="283"/>
      <c r="W72" s="282"/>
    </row>
    <row r="73" spans="12:23" hidden="1">
      <c r="L73" s="278" t="str">
        <f t="shared" si="5"/>
        <v/>
      </c>
      <c r="M73" s="278" t="str">
        <f>IF(OR(L73="",COUNTIF($M$4:M72,IF(ISERROR($R73*1),LEFT($R73,2)*1,$R73*1))&gt;=1),"-",IF(ISERROR($R73*1),LEFT($R73,2)*1,$R73*1))</f>
        <v>-</v>
      </c>
      <c r="N73" s="278" t="str">
        <f>IF(OR(L73="",COUNTIF($N$4:N72,V73*1)&gt;=1),"-",V73*1)</f>
        <v>-</v>
      </c>
      <c r="O73" s="282"/>
      <c r="P73" s="282"/>
      <c r="Q73" s="282"/>
      <c r="R73" s="282"/>
      <c r="S73" s="283"/>
      <c r="T73" s="283"/>
      <c r="U73" s="283"/>
      <c r="V73" s="283"/>
      <c r="W73" s="282"/>
    </row>
    <row r="74" spans="12:23" hidden="1">
      <c r="L74" s="278" t="str">
        <f t="shared" si="5"/>
        <v/>
      </c>
      <c r="M74" s="278" t="str">
        <f>IF(OR(L74="",COUNTIF($M$4:M73,IF(ISERROR($R74*1),LEFT($R74,2)*1,$R74*1))&gt;=1),"-",IF(ISERROR($R74*1),LEFT($R74,2)*1,$R74*1))</f>
        <v>-</v>
      </c>
      <c r="N74" s="278" t="str">
        <f>IF(OR(L74="",COUNTIF($N$4:N73,V74*1)&gt;=1),"-",V74*1)</f>
        <v>-</v>
      </c>
      <c r="O74" s="282"/>
      <c r="P74" s="282"/>
      <c r="Q74" s="282"/>
      <c r="R74" s="282"/>
      <c r="S74" s="283"/>
      <c r="T74" s="283"/>
      <c r="U74" s="283"/>
      <c r="V74" s="283"/>
      <c r="W74" s="282"/>
    </row>
    <row r="75" spans="12:23" hidden="1">
      <c r="L75" s="278" t="str">
        <f t="shared" si="5"/>
        <v/>
      </c>
      <c r="M75" s="278" t="str">
        <f>IF(OR(L75="",COUNTIF($M$4:M74,IF(ISERROR($R75*1),LEFT($R75,2)*1,$R75*1))&gt;=1),"-",IF(ISERROR($R75*1),LEFT($R75,2)*1,$R75*1))</f>
        <v>-</v>
      </c>
      <c r="N75" s="278" t="str">
        <f>IF(OR(L75="",COUNTIF($N$4:N74,V75*1)&gt;=1),"-",V75*1)</f>
        <v>-</v>
      </c>
      <c r="O75" s="282"/>
      <c r="P75" s="282"/>
      <c r="Q75" s="282"/>
      <c r="R75" s="282"/>
      <c r="S75" s="283"/>
      <c r="T75" s="283"/>
      <c r="U75" s="283"/>
      <c r="V75" s="283"/>
      <c r="W75" s="282"/>
    </row>
    <row r="76" spans="12:23" hidden="1">
      <c r="L76" s="278" t="str">
        <f t="shared" si="5"/>
        <v/>
      </c>
      <c r="M76" s="278" t="str">
        <f>IF(OR(L76="",COUNTIF($M$4:M75,IF(ISERROR($R76*1),LEFT($R76,2)*1,$R76*1))&gt;=1),"-",IF(ISERROR($R76*1),LEFT($R76,2)*1,$R76*1))</f>
        <v>-</v>
      </c>
      <c r="N76" s="278" t="str">
        <f>IF(OR(L76="",COUNTIF($N$4:N75,V76*1)&gt;=1),"-",V76*1)</f>
        <v>-</v>
      </c>
      <c r="O76" s="282"/>
      <c r="P76" s="282"/>
      <c r="Q76" s="282"/>
      <c r="R76" s="282"/>
      <c r="S76" s="283"/>
      <c r="T76" s="283"/>
      <c r="U76" s="283"/>
      <c r="V76" s="283"/>
      <c r="W76" s="282"/>
    </row>
    <row r="77" spans="12:23" hidden="1">
      <c r="L77" s="278" t="str">
        <f t="shared" si="5"/>
        <v/>
      </c>
      <c r="M77" s="278" t="str">
        <f>IF(OR(L77="",COUNTIF($M$4:M76,IF(ISERROR($R77*1),LEFT($R77,2)*1,$R77*1))&gt;=1),"-",IF(ISERROR($R77*1),LEFT($R77,2)*1,$R77*1))</f>
        <v>-</v>
      </c>
      <c r="N77" s="278" t="str">
        <f>IF(OR(L77="",COUNTIF($N$4:N76,V77*1)&gt;=1),"-",V77*1)</f>
        <v>-</v>
      </c>
      <c r="O77" s="282"/>
      <c r="P77" s="282"/>
      <c r="Q77" s="282"/>
      <c r="R77" s="282"/>
      <c r="S77" s="283"/>
      <c r="T77" s="283"/>
      <c r="U77" s="283"/>
      <c r="V77" s="283"/>
      <c r="W77" s="282"/>
    </row>
    <row r="78" spans="12:23" hidden="1">
      <c r="L78" s="278" t="str">
        <f t="shared" si="5"/>
        <v/>
      </c>
      <c r="M78" s="278" t="str">
        <f>IF(OR(L78="",COUNTIF($M$4:M77,IF(ISERROR($R78*1),LEFT($R78,2)*1,$R78*1))&gt;=1),"-",IF(ISERROR($R78*1),LEFT($R78,2)*1,$R78*1))</f>
        <v>-</v>
      </c>
      <c r="N78" s="278" t="str">
        <f>IF(OR(L78="",COUNTIF($N$4:N77,V78*1)&gt;=1),"-",V78*1)</f>
        <v>-</v>
      </c>
      <c r="O78" s="282"/>
      <c r="P78" s="282"/>
      <c r="Q78" s="282"/>
      <c r="R78" s="282"/>
      <c r="S78" s="283"/>
      <c r="T78" s="283"/>
      <c r="U78" s="283"/>
      <c r="V78" s="283"/>
      <c r="W78" s="282"/>
    </row>
    <row r="79" spans="12:23" hidden="1">
      <c r="L79" s="278" t="str">
        <f t="shared" si="5"/>
        <v/>
      </c>
      <c r="M79" s="278" t="str">
        <f>IF(OR(L79="",COUNTIF($M$4:M78,IF(ISERROR($R79*1),LEFT($R79,2)*1,$R79*1))&gt;=1),"-",IF(ISERROR($R79*1),LEFT($R79,2)*1,$R79*1))</f>
        <v>-</v>
      </c>
      <c r="N79" s="278" t="str">
        <f>IF(OR(L79="",COUNTIF($N$4:N78,V79*1)&gt;=1),"-",V79*1)</f>
        <v>-</v>
      </c>
      <c r="O79" s="282"/>
      <c r="P79" s="282"/>
      <c r="Q79" s="282"/>
      <c r="R79" s="282"/>
      <c r="S79" s="283"/>
      <c r="T79" s="283"/>
      <c r="U79" s="283"/>
      <c r="V79" s="283"/>
      <c r="W79" s="282"/>
    </row>
    <row r="80" spans="12:23" hidden="1">
      <c r="L80" s="278" t="str">
        <f t="shared" si="5"/>
        <v/>
      </c>
      <c r="M80" s="278" t="str">
        <f>IF(OR(L80="",COUNTIF($M$4:M79,IF(ISERROR($R80*1),LEFT($R80,2)*1,$R80*1))&gt;=1),"-",IF(ISERROR($R80*1),LEFT($R80,2)*1,$R80*1))</f>
        <v>-</v>
      </c>
      <c r="N80" s="278" t="str">
        <f>IF(OR(L80="",COUNTIF($N$4:N79,V80*1)&gt;=1),"-",V80*1)</f>
        <v>-</v>
      </c>
      <c r="O80" s="282"/>
      <c r="P80" s="282"/>
      <c r="Q80" s="282"/>
      <c r="R80" s="282"/>
      <c r="S80" s="283"/>
      <c r="T80" s="283"/>
      <c r="U80" s="283"/>
      <c r="V80" s="283"/>
      <c r="W80" s="282"/>
    </row>
    <row r="81" spans="12:23" hidden="1">
      <c r="L81" s="278" t="str">
        <f t="shared" si="5"/>
        <v/>
      </c>
      <c r="M81" s="278" t="str">
        <f>IF(OR(L81="",COUNTIF($M$4:M80,IF(ISERROR($R81*1),LEFT($R81,2)*1,$R81*1))&gt;=1),"-",IF(ISERROR($R81*1),LEFT($R81,2)*1,$R81*1))</f>
        <v>-</v>
      </c>
      <c r="N81" s="278" t="str">
        <f>IF(OR(L81="",COUNTIF($N$4:N80,V81*1)&gt;=1),"-",V81*1)</f>
        <v>-</v>
      </c>
      <c r="O81" s="282"/>
      <c r="P81" s="282"/>
      <c r="Q81" s="282"/>
      <c r="R81" s="282"/>
      <c r="S81" s="283"/>
      <c r="T81" s="283"/>
      <c r="U81" s="283"/>
      <c r="V81" s="283"/>
      <c r="W81" s="282"/>
    </row>
    <row r="82" spans="12:23" hidden="1">
      <c r="L82" s="278" t="str">
        <f t="shared" si="5"/>
        <v/>
      </c>
      <c r="M82" s="278" t="str">
        <f>IF(OR(L82="",COUNTIF($M$4:M81,IF(ISERROR($R82*1),LEFT($R82,2)*1,$R82*1))&gt;=1),"-",IF(ISERROR($R82*1),LEFT($R82,2)*1,$R82*1))</f>
        <v>-</v>
      </c>
      <c r="N82" s="278" t="str">
        <f>IF(OR(L82="",COUNTIF($N$4:N81,V82*1)&gt;=1),"-",V82*1)</f>
        <v>-</v>
      </c>
      <c r="O82" s="282"/>
      <c r="P82" s="282"/>
      <c r="Q82" s="282"/>
      <c r="R82" s="282"/>
      <c r="S82" s="283"/>
      <c r="T82" s="283"/>
      <c r="U82" s="283"/>
      <c r="V82" s="283"/>
      <c r="W82" s="282"/>
    </row>
    <row r="83" spans="12:23" hidden="1">
      <c r="L83" s="278" t="str">
        <f t="shared" si="5"/>
        <v/>
      </c>
      <c r="M83" s="278" t="str">
        <f>IF(OR(L83="",COUNTIF($M$4:M82,IF(ISERROR($R83*1),LEFT($R83,2)*1,$R83*1))&gt;=1),"-",IF(ISERROR($R83*1),LEFT($R83,2)*1,$R83*1))</f>
        <v>-</v>
      </c>
      <c r="N83" s="278" t="str">
        <f>IF(OR(L83="",COUNTIF($N$4:N82,V83*1)&gt;=1),"-",V83*1)</f>
        <v>-</v>
      </c>
      <c r="O83" s="282"/>
      <c r="P83" s="282"/>
      <c r="Q83" s="282"/>
      <c r="R83" s="282"/>
      <c r="S83" s="283"/>
      <c r="T83" s="283"/>
      <c r="U83" s="283"/>
      <c r="V83" s="283"/>
      <c r="W83" s="282"/>
    </row>
    <row r="84" spans="12:23" hidden="1">
      <c r="L84" s="278" t="str">
        <f t="shared" si="5"/>
        <v/>
      </c>
      <c r="M84" s="278" t="str">
        <f>IF(OR(L84="",COUNTIF($M$4:M83,IF(ISERROR($R84*1),LEFT($R84,2)*1,$R84*1))&gt;=1),"-",IF(ISERROR($R84*1),LEFT($R84,2)*1,$R84*1))</f>
        <v>-</v>
      </c>
      <c r="N84" s="278" t="str">
        <f>IF(OR(L84="",COUNTIF($N$4:N83,V84*1)&gt;=1),"-",V84*1)</f>
        <v>-</v>
      </c>
      <c r="O84" s="282"/>
      <c r="P84" s="282"/>
      <c r="Q84" s="282"/>
      <c r="R84" s="282"/>
      <c r="S84" s="283"/>
      <c r="T84" s="283"/>
      <c r="U84" s="283"/>
      <c r="V84" s="283"/>
      <c r="W84" s="282"/>
    </row>
    <row r="85" spans="12:23" hidden="1">
      <c r="L85" s="278" t="str">
        <f t="shared" si="5"/>
        <v/>
      </c>
      <c r="M85" s="278" t="str">
        <f>IF(OR(L85="",COUNTIF($M$4:M84,IF(ISERROR($R85*1),LEFT($R85,2)*1,$R85*1))&gt;=1),"-",IF(ISERROR($R85*1),LEFT($R85,2)*1,$R85*1))</f>
        <v>-</v>
      </c>
      <c r="N85" s="278" t="str">
        <f>IF(OR(L85="",COUNTIF($N$4:N84,V85*1)&gt;=1),"-",V85*1)</f>
        <v>-</v>
      </c>
      <c r="O85" s="282"/>
      <c r="P85" s="282"/>
      <c r="Q85" s="282"/>
      <c r="R85" s="282"/>
      <c r="S85" s="283"/>
      <c r="T85" s="283"/>
      <c r="U85" s="283"/>
      <c r="V85" s="283"/>
      <c r="W85" s="282"/>
    </row>
    <row r="86" spans="12:23" hidden="1">
      <c r="L86" s="278" t="str">
        <f t="shared" si="5"/>
        <v/>
      </c>
      <c r="M86" s="278" t="str">
        <f>IF(OR(L86="",COUNTIF($M$4:M85,IF(ISERROR($R86*1),LEFT($R86,2)*1,$R86*1))&gt;=1),"-",IF(ISERROR($R86*1),LEFT($R86,2)*1,$R86*1))</f>
        <v>-</v>
      </c>
      <c r="N86" s="278" t="str">
        <f>IF(OR(L86="",COUNTIF($N$4:N85,V86*1)&gt;=1),"-",V86*1)</f>
        <v>-</v>
      </c>
      <c r="O86" s="282"/>
      <c r="P86" s="282"/>
      <c r="Q86" s="282"/>
      <c r="R86" s="282"/>
      <c r="S86" s="283"/>
      <c r="T86" s="283"/>
      <c r="U86" s="283"/>
      <c r="V86" s="283"/>
      <c r="W86" s="282"/>
    </row>
    <row r="87" spans="12:23" hidden="1">
      <c r="L87" s="278" t="str">
        <f t="shared" si="5"/>
        <v/>
      </c>
      <c r="M87" s="278" t="str">
        <f>IF(OR(L87="",COUNTIF($M$4:M86,IF(ISERROR($R87*1),LEFT($R87,2)*1,$R87*1))&gt;=1),"-",IF(ISERROR($R87*1),LEFT($R87,2)*1,$R87*1))</f>
        <v>-</v>
      </c>
      <c r="N87" s="278" t="str">
        <f>IF(OR(L87="",COUNTIF($N$4:N86,V87*1)&gt;=1),"-",V87*1)</f>
        <v>-</v>
      </c>
      <c r="O87" s="282"/>
      <c r="P87" s="282"/>
      <c r="Q87" s="282"/>
      <c r="R87" s="282"/>
      <c r="S87" s="283"/>
      <c r="T87" s="283"/>
      <c r="U87" s="283"/>
      <c r="V87" s="283"/>
      <c r="W87" s="282"/>
    </row>
    <row r="88" spans="12:23" hidden="1">
      <c r="L88" s="278" t="str">
        <f t="shared" si="5"/>
        <v/>
      </c>
      <c r="M88" s="278" t="str">
        <f>IF(OR(L88="",COUNTIF($M$4:M87,IF(ISERROR($R88*1),LEFT($R88,2)*1,$R88*1))&gt;=1),"-",IF(ISERROR($R88*1),LEFT($R88,2)*1,$R88*1))</f>
        <v>-</v>
      </c>
      <c r="N88" s="278" t="str">
        <f>IF(OR(L88="",COUNTIF($N$4:N87,V88*1)&gt;=1),"-",V88*1)</f>
        <v>-</v>
      </c>
      <c r="O88" s="282"/>
      <c r="P88" s="282"/>
      <c r="Q88" s="282"/>
      <c r="R88" s="282"/>
      <c r="S88" s="283"/>
      <c r="T88" s="283"/>
      <c r="U88" s="283"/>
      <c r="V88" s="283"/>
      <c r="W88" s="282"/>
    </row>
    <row r="89" spans="12:23" hidden="1">
      <c r="L89" s="278" t="str">
        <f t="shared" si="5"/>
        <v/>
      </c>
      <c r="M89" s="278" t="str">
        <f>IF(OR(L89="",COUNTIF($M$4:M88,IF(ISERROR($R89*1),LEFT($R89,2)*1,$R89*1))&gt;=1),"-",IF(ISERROR($R89*1),LEFT($R89,2)*1,$R89*1))</f>
        <v>-</v>
      </c>
      <c r="N89" s="278" t="str">
        <f>IF(OR(L89="",COUNTIF($N$4:N88,V89*1)&gt;=1),"-",V89*1)</f>
        <v>-</v>
      </c>
      <c r="O89" s="282"/>
      <c r="P89" s="282"/>
      <c r="Q89" s="282"/>
      <c r="R89" s="282"/>
      <c r="S89" s="283"/>
      <c r="T89" s="283"/>
      <c r="U89" s="283"/>
      <c r="V89" s="283"/>
      <c r="W89" s="282"/>
    </row>
    <row r="90" spans="12:23" hidden="1">
      <c r="L90" s="278" t="str">
        <f t="shared" si="5"/>
        <v/>
      </c>
      <c r="M90" s="278" t="str">
        <f>IF(OR(L90="",COUNTIF($M$4:M89,IF(ISERROR($R90*1),LEFT($R90,2)*1,$R90*1))&gt;=1),"-",IF(ISERROR($R90*1),LEFT($R90,2)*1,$R90*1))</f>
        <v>-</v>
      </c>
      <c r="N90" s="278" t="str">
        <f>IF(OR(L90="",COUNTIF($N$4:N89,V90*1)&gt;=1),"-",V90*1)</f>
        <v>-</v>
      </c>
      <c r="O90" s="282"/>
      <c r="P90" s="282"/>
      <c r="Q90" s="282"/>
      <c r="R90" s="282"/>
      <c r="S90" s="283"/>
      <c r="T90" s="283"/>
      <c r="U90" s="283"/>
      <c r="V90" s="283"/>
      <c r="W90" s="282"/>
    </row>
    <row r="91" spans="12:23" hidden="1">
      <c r="L91" s="278" t="str">
        <f t="shared" si="5"/>
        <v/>
      </c>
      <c r="M91" s="278" t="str">
        <f>IF(OR(L91="",COUNTIF($M$4:M90,IF(ISERROR($R91*1),LEFT($R91,2)*1,$R91*1))&gt;=1),"-",IF(ISERROR($R91*1),LEFT($R91,2)*1,$R91*1))</f>
        <v>-</v>
      </c>
      <c r="N91" s="278" t="str">
        <f>IF(OR(L91="",COUNTIF($N$4:N90,V91*1)&gt;=1),"-",V91*1)</f>
        <v>-</v>
      </c>
      <c r="O91" s="282"/>
      <c r="P91" s="282"/>
      <c r="Q91" s="282"/>
      <c r="R91" s="282"/>
      <c r="S91" s="283"/>
      <c r="T91" s="283"/>
      <c r="U91" s="283"/>
      <c r="V91" s="283"/>
      <c r="W91" s="282"/>
    </row>
    <row r="92" spans="12:23" hidden="1">
      <c r="L92" s="278" t="str">
        <f t="shared" si="5"/>
        <v/>
      </c>
      <c r="M92" s="278" t="str">
        <f>IF(OR(L92="",COUNTIF($M$4:M91,IF(ISERROR($R92*1),LEFT($R92,2)*1,$R92*1))&gt;=1),"-",IF(ISERROR($R92*1),LEFT($R92,2)*1,$R92*1))</f>
        <v>-</v>
      </c>
      <c r="N92" s="278" t="str">
        <f>IF(OR(L92="",COUNTIF($N$4:N91,V92*1)&gt;=1),"-",V92*1)</f>
        <v>-</v>
      </c>
      <c r="O92" s="282"/>
      <c r="P92" s="282"/>
      <c r="Q92" s="282"/>
      <c r="R92" s="282"/>
      <c r="S92" s="283"/>
      <c r="T92" s="283"/>
      <c r="U92" s="283"/>
      <c r="V92" s="283"/>
      <c r="W92" s="282"/>
    </row>
    <row r="93" spans="12:23" hidden="1">
      <c r="L93" s="278" t="str">
        <f t="shared" si="5"/>
        <v/>
      </c>
      <c r="M93" s="278" t="str">
        <f>IF(OR(L93="",COUNTIF($M$4:M92,IF(ISERROR($R93*1),LEFT($R93,2)*1,$R93*1))&gt;=1),"-",IF(ISERROR($R93*1),LEFT($R93,2)*1,$R93*1))</f>
        <v>-</v>
      </c>
      <c r="N93" s="278" t="str">
        <f>IF(OR(L93="",COUNTIF($N$4:N92,V93*1)&gt;=1),"-",V93*1)</f>
        <v>-</v>
      </c>
      <c r="O93" s="282"/>
      <c r="P93" s="282"/>
      <c r="Q93" s="282"/>
      <c r="R93" s="282"/>
      <c r="S93" s="283"/>
      <c r="T93" s="283"/>
      <c r="U93" s="283"/>
      <c r="V93" s="283"/>
      <c r="W93" s="282"/>
    </row>
    <row r="94" spans="12:23" hidden="1">
      <c r="L94" s="278" t="str">
        <f t="shared" si="5"/>
        <v/>
      </c>
      <c r="M94" s="278" t="str">
        <f>IF(OR(L94="",COUNTIF($M$4:M93,IF(ISERROR($R94*1),LEFT($R94,2)*1,$R94*1))&gt;=1),"-",IF(ISERROR($R94*1),LEFT($R94,2)*1,$R94*1))</f>
        <v>-</v>
      </c>
      <c r="N94" s="278" t="str">
        <f>IF(OR(L94="",COUNTIF($N$4:N93,V94*1)&gt;=1),"-",V94*1)</f>
        <v>-</v>
      </c>
      <c r="O94" s="282"/>
      <c r="P94" s="282"/>
      <c r="Q94" s="282"/>
      <c r="R94" s="282"/>
      <c r="S94" s="283"/>
      <c r="T94" s="283"/>
      <c r="U94" s="283"/>
      <c r="V94" s="283"/>
      <c r="W94" s="282"/>
    </row>
    <row r="95" spans="12:23" hidden="1">
      <c r="L95" s="278" t="str">
        <f t="shared" si="5"/>
        <v/>
      </c>
      <c r="M95" s="278" t="str">
        <f>IF(OR(L95="",COUNTIF($M$4:M94,IF(ISERROR($R95*1),LEFT($R95,2)*1,$R95*1))&gt;=1),"-",IF(ISERROR($R95*1),LEFT($R95,2)*1,$R95*1))</f>
        <v>-</v>
      </c>
      <c r="N95" s="278" t="str">
        <f>IF(OR(L95="",COUNTIF($N$4:N94,V95*1)&gt;=1),"-",V95*1)</f>
        <v>-</v>
      </c>
      <c r="O95" s="282"/>
      <c r="P95" s="282"/>
      <c r="Q95" s="282"/>
      <c r="R95" s="282"/>
      <c r="S95" s="283"/>
      <c r="T95" s="283"/>
      <c r="U95" s="283"/>
      <c r="V95" s="283"/>
      <c r="W95" s="282"/>
    </row>
    <row r="96" spans="12:23" hidden="1">
      <c r="L96" s="278" t="str">
        <f t="shared" si="5"/>
        <v/>
      </c>
      <c r="M96" s="278" t="str">
        <f>IF(OR(L96="",COUNTIF($M$4:M95,IF(ISERROR($R96*1),LEFT($R96,2)*1,$R96*1))&gt;=1),"-",IF(ISERROR($R96*1),LEFT($R96,2)*1,$R96*1))</f>
        <v>-</v>
      </c>
      <c r="N96" s="278" t="str">
        <f>IF(OR(L96="",COUNTIF($N$4:N95,V96*1)&gt;=1),"-",V96*1)</f>
        <v>-</v>
      </c>
      <c r="O96" s="282"/>
      <c r="P96" s="282"/>
      <c r="Q96" s="282"/>
      <c r="R96" s="282"/>
      <c r="S96" s="283"/>
      <c r="T96" s="283"/>
      <c r="U96" s="283"/>
      <c r="V96" s="283"/>
      <c r="W96" s="282"/>
    </row>
    <row r="97" spans="12:23" hidden="1">
      <c r="L97" s="278" t="str">
        <f t="shared" si="5"/>
        <v/>
      </c>
      <c r="M97" s="278" t="str">
        <f>IF(OR(L97="",COUNTIF($M$4:M96,IF(ISERROR($R97*1),LEFT($R97,2)*1,$R97*1))&gt;=1),"-",IF(ISERROR($R97*1),LEFT($R97,2)*1,$R97*1))</f>
        <v>-</v>
      </c>
      <c r="N97" s="278" t="str">
        <f>IF(OR(L97="",COUNTIF($N$4:N96,V97*1)&gt;=1),"-",V97*1)</f>
        <v>-</v>
      </c>
      <c r="O97" s="282"/>
      <c r="P97" s="282"/>
      <c r="Q97" s="282"/>
      <c r="R97" s="282"/>
      <c r="S97" s="283"/>
      <c r="T97" s="283"/>
      <c r="U97" s="283"/>
      <c r="V97" s="283"/>
      <c r="W97" s="282"/>
    </row>
    <row r="98" spans="12:23" hidden="1">
      <c r="L98" s="278" t="str">
        <f t="shared" si="5"/>
        <v/>
      </c>
      <c r="M98" s="278" t="str">
        <f>IF(OR(L98="",COUNTIF($M$4:M97,IF(ISERROR($R98*1),LEFT($R98,2)*1,$R98*1))&gt;=1),"-",IF(ISERROR($R98*1),LEFT($R98,2)*1,$R98*1))</f>
        <v>-</v>
      </c>
      <c r="N98" s="278" t="str">
        <f>IF(OR(L98="",COUNTIF($N$4:N97,V98*1)&gt;=1),"-",V98*1)</f>
        <v>-</v>
      </c>
      <c r="O98" s="282"/>
      <c r="P98" s="282"/>
      <c r="Q98" s="282"/>
      <c r="R98" s="282"/>
      <c r="S98" s="283"/>
      <c r="T98" s="283"/>
      <c r="U98" s="283"/>
      <c r="V98" s="283"/>
      <c r="W98" s="282"/>
    </row>
    <row r="99" spans="12:23" hidden="1">
      <c r="L99" s="278" t="str">
        <f t="shared" si="5"/>
        <v/>
      </c>
      <c r="M99" s="278" t="str">
        <f>IF(OR(L99="",COUNTIF($M$4:M98,IF(ISERROR($R99*1),LEFT($R99,2)*1,$R99*1))&gt;=1),"-",IF(ISERROR($R99*1),LEFT($R99,2)*1,$R99*1))</f>
        <v>-</v>
      </c>
      <c r="N99" s="278" t="str">
        <f>IF(OR(L99="",COUNTIF($N$4:N98,V99*1)&gt;=1),"-",V99*1)</f>
        <v>-</v>
      </c>
      <c r="O99" s="282"/>
      <c r="P99" s="282"/>
      <c r="Q99" s="282"/>
      <c r="R99" s="282"/>
      <c r="S99" s="283"/>
      <c r="T99" s="283"/>
      <c r="U99" s="283"/>
      <c r="V99" s="283"/>
      <c r="W99" s="282"/>
    </row>
    <row r="100" spans="12:23" hidden="1">
      <c r="L100" s="278" t="str">
        <f t="shared" si="5"/>
        <v/>
      </c>
      <c r="M100" s="278" t="str">
        <f>IF(OR(L100="",COUNTIF($M$4:M99,IF(ISERROR($R100*1),LEFT($R100,2)*1,$R100*1))&gt;=1),"-",IF(ISERROR($R100*1),LEFT($R100,2)*1,$R100*1))</f>
        <v>-</v>
      </c>
      <c r="N100" s="278" t="str">
        <f>IF(OR(L100="",COUNTIF($N$4:N99,V100*1)&gt;=1),"-",V100*1)</f>
        <v>-</v>
      </c>
      <c r="O100" s="282"/>
      <c r="P100" s="282"/>
      <c r="Q100" s="282"/>
      <c r="R100" s="282"/>
      <c r="S100" s="283"/>
      <c r="T100" s="296"/>
      <c r="U100" s="283"/>
      <c r="V100" s="283"/>
      <c r="W100" s="282"/>
    </row>
    <row r="101" spans="12:23" hidden="1">
      <c r="L101" s="278" t="str">
        <f t="shared" si="5"/>
        <v/>
      </c>
      <c r="M101" s="278" t="str">
        <f>IF(OR(L101="",COUNTIF($M$4:M100,IF(ISERROR($R101*1),LEFT($R101,2)*1,$R101*1))&gt;=1),"-",IF(ISERROR($R101*1),LEFT($R101,2)*1,$R101*1))</f>
        <v>-</v>
      </c>
      <c r="N101" s="278" t="str">
        <f>IF(OR(L101="",COUNTIF($N$4:N100,V101*1)&gt;=1),"-",V101*1)</f>
        <v>-</v>
      </c>
      <c r="O101" s="282"/>
      <c r="P101" s="282"/>
      <c r="Q101" s="282"/>
      <c r="R101" s="282"/>
      <c r="S101" s="283"/>
      <c r="T101" s="296"/>
      <c r="U101" s="283"/>
      <c r="V101" s="283"/>
      <c r="W101" s="282"/>
    </row>
    <row r="102" spans="12:23" hidden="1">
      <c r="L102" s="278" t="str">
        <f t="shared" si="5"/>
        <v/>
      </c>
      <c r="M102" s="278" t="str">
        <f>IF(OR(L102="",COUNTIF($M$4:M101,IF(ISERROR($R102*1),LEFT($R102,2)*1,$R102*1))&gt;=1),"-",IF(ISERROR($R102*1),LEFT($R102,2)*1,$R102*1))</f>
        <v>-</v>
      </c>
      <c r="N102" s="278" t="str">
        <f>IF(OR(L102="",COUNTIF($N$4:N101,V102*1)&gt;=1),"-",V102*1)</f>
        <v>-</v>
      </c>
      <c r="O102" s="282"/>
      <c r="P102" s="282"/>
      <c r="Q102" s="282"/>
      <c r="R102" s="282"/>
      <c r="S102" s="283"/>
      <c r="T102" s="296"/>
      <c r="U102" s="283"/>
      <c r="V102" s="283"/>
      <c r="W102" s="282"/>
    </row>
  </sheetData>
  <sheetProtection algorithmName="SHA-512" hashValue="lW/i9FBsKbjgZlKdUTX2D/Xfv+2Q6pMR6D3EHZJtOdrWYAUKqaVZmRD/BOkyTC4yJbsETLBe+haRp8keE6n2Og==" saltValue="142pFqDP+MPkqB0tJWB3lw==" spinCount="100000" sheet="1" objects="1" scenarios="1"/>
  <mergeCells count="1">
    <mergeCell ref="L2:N2"/>
  </mergeCells>
  <phoneticPr fontId="7"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FQ573"/>
  <sheetViews>
    <sheetView topLeftCell="XFD1048576" workbookViewId="0"/>
  </sheetViews>
  <sheetFormatPr defaultColWidth="0" defaultRowHeight="14.25" zeroHeight="1"/>
  <cols>
    <col min="1" max="8" width="9.33203125" style="474" hidden="1"/>
    <col min="9" max="9" width="12.83203125" style="474" hidden="1"/>
    <col min="10" max="19" width="9.33203125" style="474" hidden="1"/>
    <col min="20" max="20" width="12" style="474" hidden="1"/>
    <col min="21" max="30" width="9.33203125" style="474" hidden="1"/>
    <col min="31" max="31" width="12.6640625" style="474" hidden="1"/>
    <col min="32" max="42" width="9.33203125" style="474" hidden="1"/>
    <col min="43" max="43" width="13" style="474" hidden="1"/>
    <col min="44" max="53" width="9.33203125" style="474" hidden="1"/>
    <col min="54" max="54" width="11.6640625" style="474" hidden="1"/>
    <col min="55" max="16384" width="9.33203125" style="474" hidden="1"/>
  </cols>
  <sheetData>
    <row r="1" spans="1:173" s="298" customFormat="1" hidden="1">
      <c r="I1" s="298" t="str">
        <f>B1&amp;TEXT(F1,"00")&amp;TEXT(H1,"00")</f>
        <v>0000</v>
      </c>
      <c r="N1" s="298" t="s">
        <v>206</v>
      </c>
      <c r="T1" s="298" t="str">
        <f>M1&amp;TEXT(Q1,"00")&amp;TEXT(S1,"00")</f>
        <v>0000</v>
      </c>
      <c r="AE1" s="298" t="str">
        <f>X1&amp;TEXT(AB1,"00")&amp;TEXT(AD1,"00")</f>
        <v>0000</v>
      </c>
      <c r="AQ1" s="298" t="str">
        <f>AI1&amp;TEXT(AM1,"00")&amp;TEXT(AO1,"00")</f>
        <v>0000</v>
      </c>
      <c r="BB1" s="298" t="str">
        <f>AU1&amp;TEXT(AY1,"00")&amp;TEXT(BA1,"00")</f>
        <v>0000</v>
      </c>
      <c r="BF1" s="298" t="s">
        <v>734</v>
      </c>
      <c r="BG1" s="298" t="s">
        <v>735</v>
      </c>
      <c r="BJ1" s="298" t="str">
        <f>BG1&amp;TEXT(BH1,"00")&amp;TEXT(BI1,"00")</f>
        <v>CV0000</v>
      </c>
    </row>
    <row r="2" spans="1:173" hidden="1">
      <c r="A2" s="511" t="s">
        <v>163</v>
      </c>
      <c r="B2" s="511" t="s">
        <v>20</v>
      </c>
      <c r="C2" s="511" t="s">
        <v>657</v>
      </c>
      <c r="D2" s="511" t="s">
        <v>717</v>
      </c>
      <c r="E2" s="511" t="s">
        <v>718</v>
      </c>
      <c r="F2" s="511" t="s">
        <v>24</v>
      </c>
      <c r="G2" s="511" t="s">
        <v>719</v>
      </c>
      <c r="H2" s="511" t="s">
        <v>21</v>
      </c>
      <c r="I2" s="298" t="str">
        <f t="shared" ref="I2:I65" si="0">B2&amp;TEXT(F2,"00")&amp;TEXT(H2,"00")</f>
        <v>商品代號性別年齡</v>
      </c>
      <c r="J2" s="511" t="s">
        <v>164</v>
      </c>
      <c r="L2" s="511" t="s">
        <v>163</v>
      </c>
      <c r="M2" s="511" t="s">
        <v>20</v>
      </c>
      <c r="N2" s="511" t="s">
        <v>657</v>
      </c>
      <c r="O2" s="511" t="s">
        <v>717</v>
      </c>
      <c r="P2" s="511" t="s">
        <v>718</v>
      </c>
      <c r="Q2" s="511" t="s">
        <v>24</v>
      </c>
      <c r="R2" s="511" t="s">
        <v>719</v>
      </c>
      <c r="S2" s="511" t="s">
        <v>21</v>
      </c>
      <c r="T2" s="298" t="str">
        <f t="shared" ref="T2:T65" si="1">M2&amp;TEXT(Q2,"00")&amp;TEXT(S2,"00")</f>
        <v>商品代號性別年齡</v>
      </c>
      <c r="U2" s="511" t="s">
        <v>164</v>
      </c>
      <c r="W2" s="511" t="s">
        <v>163</v>
      </c>
      <c r="X2" s="511" t="s">
        <v>20</v>
      </c>
      <c r="Y2" s="511" t="s">
        <v>657</v>
      </c>
      <c r="Z2" s="511" t="s">
        <v>717</v>
      </c>
      <c r="AA2" s="511" t="s">
        <v>718</v>
      </c>
      <c r="AB2" s="511" t="s">
        <v>24</v>
      </c>
      <c r="AC2" s="511" t="s">
        <v>719</v>
      </c>
      <c r="AD2" s="511" t="s">
        <v>21</v>
      </c>
      <c r="AE2" s="298" t="str">
        <f t="shared" ref="AE2:AE65" si="2">X2&amp;TEXT(AB2,"00")&amp;TEXT(AD2,"00")</f>
        <v>商品代號性別年齡</v>
      </c>
      <c r="AF2" s="511" t="s">
        <v>164</v>
      </c>
      <c r="AH2" s="511" t="s">
        <v>163</v>
      </c>
      <c r="AI2" s="511" t="s">
        <v>20</v>
      </c>
      <c r="AJ2" s="511" t="s">
        <v>657</v>
      </c>
      <c r="AK2" s="511" t="s">
        <v>717</v>
      </c>
      <c r="AL2" s="511" t="s">
        <v>718</v>
      </c>
      <c r="AM2" s="511" t="s">
        <v>24</v>
      </c>
      <c r="AN2" s="511" t="s">
        <v>719</v>
      </c>
      <c r="AO2" s="511" t="s">
        <v>21</v>
      </c>
      <c r="AP2" s="511" t="s">
        <v>1007</v>
      </c>
      <c r="AQ2" s="298" t="str">
        <f t="shared" ref="AQ2:AQ65" si="3">AI2&amp;TEXT(AM2,"00")&amp;TEXT(AO2,"00")</f>
        <v>商品代號性別年齡</v>
      </c>
      <c r="AR2" s="511" t="s">
        <v>1008</v>
      </c>
      <c r="AT2" s="511" t="s">
        <v>163</v>
      </c>
      <c r="AU2" s="511" t="s">
        <v>20</v>
      </c>
      <c r="AV2" s="511" t="s">
        <v>657</v>
      </c>
      <c r="AW2" s="511" t="s">
        <v>717</v>
      </c>
      <c r="AX2" s="511" t="s">
        <v>718</v>
      </c>
      <c r="AY2" s="511" t="s">
        <v>24</v>
      </c>
      <c r="AZ2" s="511" t="s">
        <v>719</v>
      </c>
      <c r="BA2" s="511" t="s">
        <v>21</v>
      </c>
      <c r="BB2" s="298" t="str">
        <f t="shared" ref="BB2:BB65" si="4">AU2&amp;TEXT(AY2,"00")&amp;TEXT(BA2,"00")</f>
        <v>商品代號性別年齡</v>
      </c>
      <c r="BC2" s="511" t="s">
        <v>164</v>
      </c>
      <c r="BF2" s="511" t="s">
        <v>163</v>
      </c>
      <c r="BG2" s="511" t="s">
        <v>20</v>
      </c>
      <c r="BH2" s="511" t="s">
        <v>24</v>
      </c>
      <c r="BI2" s="511" t="s">
        <v>21</v>
      </c>
      <c r="BJ2" s="298" t="str">
        <f t="shared" ref="BJ2:BJ65" si="5">BG2&amp;TEXT(BH2,"00")&amp;TEXT(BI2,"00")</f>
        <v>商品代號性別年齡</v>
      </c>
      <c r="BK2" s="511" t="s">
        <v>273</v>
      </c>
      <c r="BL2" s="511" t="s">
        <v>274</v>
      </c>
      <c r="BM2" s="511" t="s">
        <v>275</v>
      </c>
      <c r="BN2" s="511" t="s">
        <v>276</v>
      </c>
      <c r="BO2" s="511" t="s">
        <v>277</v>
      </c>
      <c r="BP2" s="511" t="s">
        <v>278</v>
      </c>
      <c r="BQ2" s="511" t="s">
        <v>279</v>
      </c>
      <c r="BR2" s="511" t="s">
        <v>280</v>
      </c>
      <c r="BS2" s="511" t="s">
        <v>281</v>
      </c>
      <c r="BT2" s="511" t="s">
        <v>282</v>
      </c>
      <c r="BU2" s="511" t="s">
        <v>283</v>
      </c>
      <c r="BV2" s="511" t="s">
        <v>284</v>
      </c>
      <c r="BW2" s="511" t="s">
        <v>285</v>
      </c>
      <c r="BX2" s="511" t="s">
        <v>286</v>
      </c>
      <c r="BY2" s="511" t="s">
        <v>287</v>
      </c>
      <c r="BZ2" s="511" t="s">
        <v>288</v>
      </c>
      <c r="CA2" s="511" t="s">
        <v>289</v>
      </c>
      <c r="CB2" s="511" t="s">
        <v>290</v>
      </c>
      <c r="CC2" s="511" t="s">
        <v>291</v>
      </c>
      <c r="CD2" s="511" t="s">
        <v>292</v>
      </c>
      <c r="CE2" s="511" t="s">
        <v>293</v>
      </c>
      <c r="CF2" s="511" t="s">
        <v>294</v>
      </c>
      <c r="CG2" s="511" t="s">
        <v>295</v>
      </c>
      <c r="CH2" s="511" t="s">
        <v>296</v>
      </c>
      <c r="CI2" s="511" t="s">
        <v>297</v>
      </c>
      <c r="CJ2" s="511" t="s">
        <v>298</v>
      </c>
      <c r="CK2" s="511" t="s">
        <v>299</v>
      </c>
      <c r="CL2" s="511" t="s">
        <v>300</v>
      </c>
      <c r="CM2" s="511" t="s">
        <v>301</v>
      </c>
      <c r="CN2" s="511" t="s">
        <v>302</v>
      </c>
      <c r="CO2" s="511" t="s">
        <v>303</v>
      </c>
      <c r="CP2" s="511" t="s">
        <v>304</v>
      </c>
      <c r="CQ2" s="511" t="s">
        <v>305</v>
      </c>
      <c r="CR2" s="511" t="s">
        <v>306</v>
      </c>
      <c r="CS2" s="511" t="s">
        <v>307</v>
      </c>
      <c r="CT2" s="511" t="s">
        <v>308</v>
      </c>
      <c r="CU2" s="511" t="s">
        <v>309</v>
      </c>
      <c r="CV2" s="511" t="s">
        <v>310</v>
      </c>
      <c r="CW2" s="511" t="s">
        <v>311</v>
      </c>
      <c r="CX2" s="511" t="s">
        <v>312</v>
      </c>
      <c r="CY2" s="511" t="s">
        <v>313</v>
      </c>
      <c r="CZ2" s="511" t="s">
        <v>314</v>
      </c>
      <c r="DA2" s="511" t="s">
        <v>315</v>
      </c>
      <c r="DB2" s="511" t="s">
        <v>316</v>
      </c>
      <c r="DC2" s="511" t="s">
        <v>317</v>
      </c>
      <c r="DD2" s="511" t="s">
        <v>318</v>
      </c>
      <c r="DE2" s="511" t="s">
        <v>319</v>
      </c>
      <c r="DF2" s="511" t="s">
        <v>320</v>
      </c>
      <c r="DG2" s="511" t="s">
        <v>321</v>
      </c>
      <c r="DH2" s="511" t="s">
        <v>322</v>
      </c>
      <c r="DI2" s="511" t="s">
        <v>323</v>
      </c>
      <c r="DJ2" s="511" t="s">
        <v>324</v>
      </c>
      <c r="DK2" s="511" t="s">
        <v>325</v>
      </c>
      <c r="DL2" s="511" t="s">
        <v>326</v>
      </c>
      <c r="DM2" s="511" t="s">
        <v>327</v>
      </c>
      <c r="DN2" s="511" t="s">
        <v>328</v>
      </c>
      <c r="DO2" s="511" t="s">
        <v>329</v>
      </c>
      <c r="DP2" s="511" t="s">
        <v>330</v>
      </c>
      <c r="DQ2" s="511" t="s">
        <v>331</v>
      </c>
      <c r="DR2" s="511" t="s">
        <v>332</v>
      </c>
      <c r="DS2" s="511" t="s">
        <v>333</v>
      </c>
      <c r="DT2" s="511" t="s">
        <v>334</v>
      </c>
      <c r="DU2" s="511" t="s">
        <v>335</v>
      </c>
      <c r="DV2" s="511" t="s">
        <v>336</v>
      </c>
      <c r="DW2" s="511" t="s">
        <v>337</v>
      </c>
      <c r="DX2" s="511" t="s">
        <v>338</v>
      </c>
      <c r="DY2" s="511" t="s">
        <v>339</v>
      </c>
      <c r="DZ2" s="511" t="s">
        <v>340</v>
      </c>
      <c r="EA2" s="511" t="s">
        <v>341</v>
      </c>
      <c r="EB2" s="511" t="s">
        <v>342</v>
      </c>
      <c r="EC2" s="511" t="s">
        <v>343</v>
      </c>
      <c r="ED2" s="511" t="s">
        <v>344</v>
      </c>
      <c r="EE2" s="511" t="s">
        <v>345</v>
      </c>
      <c r="EF2" s="511" t="s">
        <v>346</v>
      </c>
      <c r="EG2" s="511" t="s">
        <v>347</v>
      </c>
      <c r="EH2" s="511" t="s">
        <v>348</v>
      </c>
      <c r="EI2" s="511" t="s">
        <v>349</v>
      </c>
      <c r="EJ2" s="511" t="s">
        <v>350</v>
      </c>
      <c r="EK2" s="511" t="s">
        <v>351</v>
      </c>
      <c r="EL2" s="511" t="s">
        <v>352</v>
      </c>
      <c r="EM2" s="511" t="s">
        <v>353</v>
      </c>
      <c r="EN2" s="511" t="s">
        <v>354</v>
      </c>
      <c r="EO2" s="511" t="s">
        <v>355</v>
      </c>
      <c r="EP2" s="511" t="s">
        <v>356</v>
      </c>
      <c r="EQ2" s="511" t="s">
        <v>357</v>
      </c>
      <c r="ER2" s="511" t="s">
        <v>358</v>
      </c>
      <c r="ES2" s="511" t="s">
        <v>359</v>
      </c>
      <c r="ET2" s="511" t="s">
        <v>360</v>
      </c>
      <c r="EU2" s="511" t="s">
        <v>361</v>
      </c>
      <c r="EV2" s="511" t="s">
        <v>362</v>
      </c>
      <c r="EW2" s="511" t="s">
        <v>363</v>
      </c>
      <c r="EX2" s="511" t="s">
        <v>364</v>
      </c>
      <c r="EY2" s="511" t="s">
        <v>365</v>
      </c>
      <c r="EZ2" s="511" t="s">
        <v>366</v>
      </c>
      <c r="FA2" s="511" t="s">
        <v>367</v>
      </c>
      <c r="FB2" s="511" t="s">
        <v>368</v>
      </c>
      <c r="FC2" s="511" t="s">
        <v>369</v>
      </c>
      <c r="FD2" s="511" t="s">
        <v>370</v>
      </c>
      <c r="FE2" s="511" t="s">
        <v>371</v>
      </c>
      <c r="FF2" s="511" t="s">
        <v>372</v>
      </c>
      <c r="FG2" s="511" t="s">
        <v>373</v>
      </c>
      <c r="FH2" s="511" t="s">
        <v>374</v>
      </c>
      <c r="FI2" s="511" t="s">
        <v>375</v>
      </c>
      <c r="FJ2" s="511" t="s">
        <v>376</v>
      </c>
      <c r="FK2" s="511" t="s">
        <v>377</v>
      </c>
      <c r="FL2" s="511" t="s">
        <v>378</v>
      </c>
      <c r="FM2" s="511" t="s">
        <v>379</v>
      </c>
      <c r="FN2" s="511" t="s">
        <v>380</v>
      </c>
      <c r="FO2" s="511" t="s">
        <v>381</v>
      </c>
      <c r="FP2" s="511" t="s">
        <v>382</v>
      </c>
      <c r="FQ2" s="511" t="s">
        <v>383</v>
      </c>
    </row>
    <row r="3" spans="1:173" ht="16.5" hidden="1">
      <c r="A3" s="512" t="s">
        <v>658</v>
      </c>
      <c r="B3" s="512" t="s">
        <v>732</v>
      </c>
      <c r="C3" s="512" t="s">
        <v>721</v>
      </c>
      <c r="D3" s="513"/>
      <c r="E3" s="512" t="s">
        <v>721</v>
      </c>
      <c r="F3" s="512" t="s">
        <v>25</v>
      </c>
      <c r="G3" s="513"/>
      <c r="H3" s="514">
        <v>69</v>
      </c>
      <c r="I3" s="298" t="str">
        <f t="shared" si="0"/>
        <v>AOR100169</v>
      </c>
      <c r="J3" s="514">
        <v>7</v>
      </c>
      <c r="L3" s="512" t="s">
        <v>720</v>
      </c>
      <c r="M3" s="512" t="s">
        <v>739</v>
      </c>
      <c r="N3" s="512" t="s">
        <v>721</v>
      </c>
      <c r="O3" s="513"/>
      <c r="P3" s="512" t="s">
        <v>721</v>
      </c>
      <c r="Q3" s="512" t="s">
        <v>25</v>
      </c>
      <c r="R3" s="513"/>
      <c r="S3" s="514">
        <v>46</v>
      </c>
      <c r="T3" s="298" t="str">
        <f t="shared" si="1"/>
        <v>HSGA0146</v>
      </c>
      <c r="U3" s="514">
        <v>10918</v>
      </c>
      <c r="W3" s="512" t="s">
        <v>269</v>
      </c>
      <c r="X3" s="512" t="s">
        <v>843</v>
      </c>
      <c r="Y3" s="512" t="s">
        <v>721</v>
      </c>
      <c r="Z3" s="514">
        <v>10</v>
      </c>
      <c r="AA3" s="512" t="s">
        <v>721</v>
      </c>
      <c r="AB3" s="512" t="s">
        <v>25</v>
      </c>
      <c r="AC3" s="514">
        <v>0</v>
      </c>
      <c r="AD3" s="514">
        <v>15</v>
      </c>
      <c r="AE3" s="298" t="str">
        <f t="shared" si="2"/>
        <v>HNR100115</v>
      </c>
      <c r="AF3" s="514">
        <v>293</v>
      </c>
      <c r="AH3" s="512" t="s">
        <v>721</v>
      </c>
      <c r="AI3" s="512" t="s">
        <v>1030</v>
      </c>
      <c r="AJ3" s="512" t="s">
        <v>721</v>
      </c>
      <c r="AK3" s="513"/>
      <c r="AL3" s="512" t="s">
        <v>721</v>
      </c>
      <c r="AM3" s="512" t="s">
        <v>25</v>
      </c>
      <c r="AN3" s="513"/>
      <c r="AO3" s="514">
        <v>15</v>
      </c>
      <c r="AP3" s="513"/>
      <c r="AQ3" s="298" t="str">
        <f t="shared" si="3"/>
        <v>HOR100115</v>
      </c>
      <c r="AR3" s="514">
        <v>345</v>
      </c>
      <c r="AT3" s="512" t="s">
        <v>743</v>
      </c>
      <c r="AU3" s="512" t="s">
        <v>744</v>
      </c>
      <c r="AV3" s="512" t="s">
        <v>721</v>
      </c>
      <c r="AW3" s="513"/>
      <c r="AX3" s="512" t="s">
        <v>721</v>
      </c>
      <c r="AY3" s="512" t="s">
        <v>25</v>
      </c>
      <c r="AZ3" s="513"/>
      <c r="BA3" s="514">
        <v>22</v>
      </c>
      <c r="BB3" s="298" t="str">
        <f t="shared" si="4"/>
        <v>CLR100122</v>
      </c>
      <c r="BC3" s="514">
        <v>17</v>
      </c>
      <c r="BF3" s="512" t="s">
        <v>658</v>
      </c>
      <c r="BG3" s="512" t="s">
        <v>732</v>
      </c>
      <c r="BH3" s="512" t="s">
        <v>25</v>
      </c>
      <c r="BI3" s="514">
        <v>15</v>
      </c>
      <c r="BJ3" s="298" t="str">
        <f t="shared" si="5"/>
        <v>AOR100115</v>
      </c>
      <c r="BK3" s="514">
        <v>0</v>
      </c>
      <c r="BL3" s="514">
        <v>1</v>
      </c>
      <c r="BM3" s="514">
        <v>1</v>
      </c>
      <c r="BN3" s="514">
        <v>1</v>
      </c>
      <c r="BO3" s="514">
        <v>1</v>
      </c>
      <c r="BP3" s="514">
        <v>2</v>
      </c>
      <c r="BQ3" s="514">
        <v>2</v>
      </c>
      <c r="BR3" s="514">
        <v>2</v>
      </c>
      <c r="BS3" s="514">
        <v>3</v>
      </c>
      <c r="BT3" s="514">
        <v>0</v>
      </c>
      <c r="BU3" s="514">
        <v>0</v>
      </c>
      <c r="BV3" s="514">
        <v>0</v>
      </c>
      <c r="BW3" s="514">
        <v>0</v>
      </c>
      <c r="BX3" s="514">
        <v>0</v>
      </c>
      <c r="BY3" s="514">
        <v>0</v>
      </c>
      <c r="BZ3" s="514">
        <v>0</v>
      </c>
      <c r="CA3" s="514">
        <v>0</v>
      </c>
      <c r="CB3" s="514">
        <v>0</v>
      </c>
      <c r="CC3" s="514">
        <v>0</v>
      </c>
      <c r="CD3" s="514">
        <v>0</v>
      </c>
      <c r="CE3" s="514">
        <v>0</v>
      </c>
      <c r="CF3" s="514">
        <v>0</v>
      </c>
      <c r="CG3" s="514">
        <v>0</v>
      </c>
      <c r="CH3" s="514">
        <v>0</v>
      </c>
      <c r="CI3" s="514">
        <v>0</v>
      </c>
      <c r="CJ3" s="514">
        <v>0</v>
      </c>
      <c r="CK3" s="514">
        <v>0</v>
      </c>
      <c r="CL3" s="514">
        <v>0</v>
      </c>
      <c r="CM3" s="514">
        <v>0</v>
      </c>
      <c r="CN3" s="514">
        <v>0</v>
      </c>
      <c r="CO3" s="514">
        <v>0</v>
      </c>
      <c r="CP3" s="514">
        <v>0</v>
      </c>
      <c r="CQ3" s="514">
        <v>0</v>
      </c>
      <c r="CR3" s="514">
        <v>0</v>
      </c>
      <c r="CS3" s="514">
        <v>0</v>
      </c>
      <c r="CT3" s="514">
        <v>0</v>
      </c>
      <c r="CU3" s="514">
        <v>0</v>
      </c>
      <c r="CV3" s="514">
        <v>0</v>
      </c>
      <c r="CW3" s="514">
        <v>0</v>
      </c>
      <c r="CX3" s="514">
        <v>0</v>
      </c>
      <c r="CY3" s="514">
        <v>0</v>
      </c>
      <c r="CZ3" s="514">
        <v>0</v>
      </c>
      <c r="DA3" s="514">
        <v>0</v>
      </c>
      <c r="DB3" s="514">
        <v>0</v>
      </c>
      <c r="DC3" s="514">
        <v>0</v>
      </c>
      <c r="DD3" s="514">
        <v>0</v>
      </c>
      <c r="DE3" s="514">
        <v>0</v>
      </c>
      <c r="DF3" s="514">
        <v>0</v>
      </c>
      <c r="DG3" s="514">
        <v>0</v>
      </c>
      <c r="DH3" s="514">
        <v>0</v>
      </c>
      <c r="DI3" s="514">
        <v>0</v>
      </c>
      <c r="DJ3" s="514">
        <v>0</v>
      </c>
      <c r="DK3" s="514">
        <v>0</v>
      </c>
      <c r="DL3" s="514">
        <v>0</v>
      </c>
      <c r="DM3" s="514">
        <v>0</v>
      </c>
      <c r="DN3" s="514">
        <v>0</v>
      </c>
      <c r="DO3" s="514">
        <v>0</v>
      </c>
      <c r="DP3" s="514">
        <v>0</v>
      </c>
      <c r="DQ3" s="514">
        <v>0</v>
      </c>
      <c r="DR3" s="514">
        <v>0</v>
      </c>
      <c r="DS3" s="514">
        <v>0</v>
      </c>
      <c r="DT3" s="514">
        <v>0</v>
      </c>
      <c r="DU3" s="514">
        <v>0</v>
      </c>
      <c r="DV3" s="514">
        <v>0</v>
      </c>
      <c r="DW3" s="514">
        <v>0</v>
      </c>
      <c r="DX3" s="514">
        <v>0</v>
      </c>
      <c r="DY3" s="514">
        <v>0</v>
      </c>
      <c r="DZ3" s="514">
        <v>0</v>
      </c>
      <c r="EA3" s="514">
        <v>0</v>
      </c>
      <c r="EB3" s="514">
        <v>0</v>
      </c>
      <c r="EC3" s="514">
        <v>0</v>
      </c>
      <c r="ED3" s="514">
        <v>0</v>
      </c>
      <c r="EE3" s="514">
        <v>0</v>
      </c>
      <c r="EF3" s="514">
        <v>0</v>
      </c>
      <c r="EG3" s="514">
        <v>0</v>
      </c>
      <c r="EH3" s="514">
        <v>0</v>
      </c>
      <c r="EI3" s="514">
        <v>0</v>
      </c>
      <c r="EJ3" s="514">
        <v>0</v>
      </c>
      <c r="EK3" s="514">
        <v>0</v>
      </c>
      <c r="EL3" s="514">
        <v>0</v>
      </c>
      <c r="EM3" s="514">
        <v>0</v>
      </c>
      <c r="EN3" s="514">
        <v>0</v>
      </c>
      <c r="EO3" s="514">
        <v>0</v>
      </c>
      <c r="EP3" s="514">
        <v>0</v>
      </c>
      <c r="EQ3" s="514">
        <v>0</v>
      </c>
      <c r="ER3" s="514">
        <v>0</v>
      </c>
      <c r="ES3" s="514">
        <v>0</v>
      </c>
      <c r="ET3" s="514">
        <v>0</v>
      </c>
      <c r="EU3" s="514">
        <v>0</v>
      </c>
      <c r="EV3" s="514">
        <v>0</v>
      </c>
      <c r="EW3" s="514">
        <v>0</v>
      </c>
      <c r="EX3" s="514">
        <v>0</v>
      </c>
      <c r="EY3" s="514">
        <v>0</v>
      </c>
      <c r="EZ3" s="514">
        <v>0</v>
      </c>
      <c r="FA3" s="514">
        <v>0</v>
      </c>
      <c r="FB3" s="514">
        <v>0</v>
      </c>
      <c r="FC3" s="514">
        <v>0</v>
      </c>
      <c r="FD3" s="514">
        <v>0</v>
      </c>
      <c r="FE3" s="514">
        <v>0</v>
      </c>
      <c r="FF3" s="514">
        <v>0</v>
      </c>
      <c r="FG3" s="514">
        <v>0</v>
      </c>
      <c r="FH3" s="514">
        <v>0</v>
      </c>
      <c r="FI3" s="514">
        <v>0</v>
      </c>
      <c r="FJ3" s="514">
        <v>0</v>
      </c>
      <c r="FK3" s="514">
        <v>0</v>
      </c>
      <c r="FL3" s="514">
        <v>0</v>
      </c>
      <c r="FM3" s="514">
        <v>0</v>
      </c>
      <c r="FN3" s="514">
        <v>0</v>
      </c>
      <c r="FO3" s="514">
        <v>0</v>
      </c>
      <c r="FP3" s="514">
        <v>0</v>
      </c>
      <c r="FQ3" s="514">
        <v>0</v>
      </c>
    </row>
    <row r="4" spans="1:173" ht="16.5" hidden="1">
      <c r="A4" s="512" t="s">
        <v>658</v>
      </c>
      <c r="B4" s="512" t="s">
        <v>732</v>
      </c>
      <c r="C4" s="512" t="s">
        <v>721</v>
      </c>
      <c r="D4" s="513"/>
      <c r="E4" s="512" t="s">
        <v>721</v>
      </c>
      <c r="F4" s="512" t="s">
        <v>25</v>
      </c>
      <c r="G4" s="513"/>
      <c r="H4" s="514">
        <v>70</v>
      </c>
      <c r="I4" s="298" t="str">
        <f t="shared" si="0"/>
        <v>AOR100170</v>
      </c>
      <c r="J4" s="514">
        <v>9</v>
      </c>
      <c r="L4" s="512" t="s">
        <v>720</v>
      </c>
      <c r="M4" s="512" t="s">
        <v>739</v>
      </c>
      <c r="N4" s="512" t="s">
        <v>721</v>
      </c>
      <c r="O4" s="513"/>
      <c r="P4" s="512" t="s">
        <v>721</v>
      </c>
      <c r="Q4" s="512" t="s">
        <v>25</v>
      </c>
      <c r="R4" s="513"/>
      <c r="S4" s="514">
        <v>47</v>
      </c>
      <c r="T4" s="298" t="str">
        <f t="shared" si="1"/>
        <v>HSGA0147</v>
      </c>
      <c r="U4" s="514">
        <v>11374</v>
      </c>
      <c r="W4" s="512" t="s">
        <v>269</v>
      </c>
      <c r="X4" s="512" t="s">
        <v>843</v>
      </c>
      <c r="Y4" s="512" t="s">
        <v>721</v>
      </c>
      <c r="Z4" s="514">
        <v>10</v>
      </c>
      <c r="AA4" s="512" t="s">
        <v>721</v>
      </c>
      <c r="AB4" s="512" t="s">
        <v>25</v>
      </c>
      <c r="AC4" s="514">
        <v>0</v>
      </c>
      <c r="AD4" s="514">
        <v>16</v>
      </c>
      <c r="AE4" s="298" t="str">
        <f t="shared" si="2"/>
        <v>HNR100116</v>
      </c>
      <c r="AF4" s="514">
        <v>293</v>
      </c>
      <c r="AH4" s="512" t="s">
        <v>721</v>
      </c>
      <c r="AI4" s="512" t="s">
        <v>1030</v>
      </c>
      <c r="AJ4" s="512" t="s">
        <v>721</v>
      </c>
      <c r="AK4" s="513"/>
      <c r="AL4" s="512" t="s">
        <v>721</v>
      </c>
      <c r="AM4" s="512" t="s">
        <v>25</v>
      </c>
      <c r="AN4" s="513"/>
      <c r="AO4" s="514">
        <v>16</v>
      </c>
      <c r="AP4" s="513"/>
      <c r="AQ4" s="298" t="str">
        <f t="shared" si="3"/>
        <v>HOR100116</v>
      </c>
      <c r="AR4" s="514">
        <v>345</v>
      </c>
      <c r="AT4" s="512" t="s">
        <v>743</v>
      </c>
      <c r="AU4" s="512" t="s">
        <v>744</v>
      </c>
      <c r="AV4" s="512" t="s">
        <v>721</v>
      </c>
      <c r="AW4" s="513"/>
      <c r="AX4" s="512" t="s">
        <v>721</v>
      </c>
      <c r="AY4" s="512" t="s">
        <v>26</v>
      </c>
      <c r="AZ4" s="513"/>
      <c r="BA4" s="514">
        <v>22</v>
      </c>
      <c r="BB4" s="298" t="str">
        <f t="shared" si="4"/>
        <v>CLR100222</v>
      </c>
      <c r="BC4" s="514">
        <v>26</v>
      </c>
      <c r="BF4" s="512" t="s">
        <v>658</v>
      </c>
      <c r="BG4" s="512" t="s">
        <v>732</v>
      </c>
      <c r="BH4" s="512" t="s">
        <v>25</v>
      </c>
      <c r="BI4" s="514">
        <v>16</v>
      </c>
      <c r="BJ4" s="298" t="str">
        <f t="shared" si="5"/>
        <v>AOR100116</v>
      </c>
      <c r="BK4" s="514">
        <v>0</v>
      </c>
      <c r="BL4" s="514">
        <v>1</v>
      </c>
      <c r="BM4" s="514">
        <v>1</v>
      </c>
      <c r="BN4" s="514">
        <v>1</v>
      </c>
      <c r="BO4" s="514">
        <v>1</v>
      </c>
      <c r="BP4" s="514">
        <v>2</v>
      </c>
      <c r="BQ4" s="514">
        <v>2</v>
      </c>
      <c r="BR4" s="514">
        <v>2</v>
      </c>
      <c r="BS4" s="514">
        <v>3</v>
      </c>
      <c r="BT4" s="514">
        <v>0</v>
      </c>
      <c r="BU4" s="514">
        <v>0</v>
      </c>
      <c r="BV4" s="514">
        <v>0</v>
      </c>
      <c r="BW4" s="514">
        <v>0</v>
      </c>
      <c r="BX4" s="514">
        <v>0</v>
      </c>
      <c r="BY4" s="514">
        <v>0</v>
      </c>
      <c r="BZ4" s="514">
        <v>0</v>
      </c>
      <c r="CA4" s="514">
        <v>0</v>
      </c>
      <c r="CB4" s="514">
        <v>0</v>
      </c>
      <c r="CC4" s="514">
        <v>0</v>
      </c>
      <c r="CD4" s="514">
        <v>0</v>
      </c>
      <c r="CE4" s="514">
        <v>0</v>
      </c>
      <c r="CF4" s="514">
        <v>0</v>
      </c>
      <c r="CG4" s="514">
        <v>0</v>
      </c>
      <c r="CH4" s="514">
        <v>0</v>
      </c>
      <c r="CI4" s="514">
        <v>0</v>
      </c>
      <c r="CJ4" s="514">
        <v>0</v>
      </c>
      <c r="CK4" s="514">
        <v>0</v>
      </c>
      <c r="CL4" s="514">
        <v>0</v>
      </c>
      <c r="CM4" s="514">
        <v>0</v>
      </c>
      <c r="CN4" s="514">
        <v>0</v>
      </c>
      <c r="CO4" s="514">
        <v>0</v>
      </c>
      <c r="CP4" s="514">
        <v>0</v>
      </c>
      <c r="CQ4" s="514">
        <v>0</v>
      </c>
      <c r="CR4" s="514">
        <v>0</v>
      </c>
      <c r="CS4" s="514">
        <v>0</v>
      </c>
      <c r="CT4" s="514">
        <v>0</v>
      </c>
      <c r="CU4" s="514">
        <v>0</v>
      </c>
      <c r="CV4" s="514">
        <v>0</v>
      </c>
      <c r="CW4" s="514">
        <v>0</v>
      </c>
      <c r="CX4" s="514">
        <v>0</v>
      </c>
      <c r="CY4" s="514">
        <v>0</v>
      </c>
      <c r="CZ4" s="514">
        <v>0</v>
      </c>
      <c r="DA4" s="514">
        <v>0</v>
      </c>
      <c r="DB4" s="514">
        <v>0</v>
      </c>
      <c r="DC4" s="514">
        <v>0</v>
      </c>
      <c r="DD4" s="514">
        <v>0</v>
      </c>
      <c r="DE4" s="514">
        <v>0</v>
      </c>
      <c r="DF4" s="514">
        <v>0</v>
      </c>
      <c r="DG4" s="514">
        <v>0</v>
      </c>
      <c r="DH4" s="514">
        <v>0</v>
      </c>
      <c r="DI4" s="514">
        <v>0</v>
      </c>
      <c r="DJ4" s="514">
        <v>0</v>
      </c>
      <c r="DK4" s="514">
        <v>0</v>
      </c>
      <c r="DL4" s="514">
        <v>0</v>
      </c>
      <c r="DM4" s="514">
        <v>0</v>
      </c>
      <c r="DN4" s="514">
        <v>0</v>
      </c>
      <c r="DO4" s="514">
        <v>0</v>
      </c>
      <c r="DP4" s="514">
        <v>0</v>
      </c>
      <c r="DQ4" s="514">
        <v>0</v>
      </c>
      <c r="DR4" s="514">
        <v>0</v>
      </c>
      <c r="DS4" s="514">
        <v>0</v>
      </c>
      <c r="DT4" s="514">
        <v>0</v>
      </c>
      <c r="DU4" s="514">
        <v>0</v>
      </c>
      <c r="DV4" s="514">
        <v>0</v>
      </c>
      <c r="DW4" s="514">
        <v>0</v>
      </c>
      <c r="DX4" s="514">
        <v>0</v>
      </c>
      <c r="DY4" s="514">
        <v>0</v>
      </c>
      <c r="DZ4" s="514">
        <v>0</v>
      </c>
      <c r="EA4" s="514">
        <v>0</v>
      </c>
      <c r="EB4" s="514">
        <v>0</v>
      </c>
      <c r="EC4" s="514">
        <v>0</v>
      </c>
      <c r="ED4" s="514">
        <v>0</v>
      </c>
      <c r="EE4" s="514">
        <v>0</v>
      </c>
      <c r="EF4" s="514">
        <v>0</v>
      </c>
      <c r="EG4" s="514">
        <v>0</v>
      </c>
      <c r="EH4" s="514">
        <v>0</v>
      </c>
      <c r="EI4" s="514">
        <v>0</v>
      </c>
      <c r="EJ4" s="514">
        <v>0</v>
      </c>
      <c r="EK4" s="514">
        <v>0</v>
      </c>
      <c r="EL4" s="514">
        <v>0</v>
      </c>
      <c r="EM4" s="514">
        <v>0</v>
      </c>
      <c r="EN4" s="514">
        <v>0</v>
      </c>
      <c r="EO4" s="514">
        <v>0</v>
      </c>
      <c r="EP4" s="514">
        <v>0</v>
      </c>
      <c r="EQ4" s="514">
        <v>0</v>
      </c>
      <c r="ER4" s="514">
        <v>0</v>
      </c>
      <c r="ES4" s="514">
        <v>0</v>
      </c>
      <c r="ET4" s="514">
        <v>0</v>
      </c>
      <c r="EU4" s="514">
        <v>0</v>
      </c>
      <c r="EV4" s="514">
        <v>0</v>
      </c>
      <c r="EW4" s="514">
        <v>0</v>
      </c>
      <c r="EX4" s="514">
        <v>0</v>
      </c>
      <c r="EY4" s="514">
        <v>0</v>
      </c>
      <c r="EZ4" s="514">
        <v>0</v>
      </c>
      <c r="FA4" s="514">
        <v>0</v>
      </c>
      <c r="FB4" s="514">
        <v>0</v>
      </c>
      <c r="FC4" s="514">
        <v>0</v>
      </c>
      <c r="FD4" s="514">
        <v>0</v>
      </c>
      <c r="FE4" s="514">
        <v>0</v>
      </c>
      <c r="FF4" s="514">
        <v>0</v>
      </c>
      <c r="FG4" s="514">
        <v>0</v>
      </c>
      <c r="FH4" s="514">
        <v>0</v>
      </c>
      <c r="FI4" s="514">
        <v>0</v>
      </c>
      <c r="FJ4" s="514">
        <v>0</v>
      </c>
      <c r="FK4" s="514">
        <v>0</v>
      </c>
      <c r="FL4" s="514">
        <v>0</v>
      </c>
      <c r="FM4" s="514">
        <v>0</v>
      </c>
      <c r="FN4" s="514">
        <v>0</v>
      </c>
      <c r="FO4" s="514">
        <v>0</v>
      </c>
      <c r="FP4" s="514">
        <v>0</v>
      </c>
      <c r="FQ4" s="514">
        <v>0</v>
      </c>
    </row>
    <row r="5" spans="1:173" ht="16.5" hidden="1">
      <c r="A5" s="512" t="s">
        <v>658</v>
      </c>
      <c r="B5" s="512" t="s">
        <v>732</v>
      </c>
      <c r="C5" s="512" t="s">
        <v>721</v>
      </c>
      <c r="D5" s="513"/>
      <c r="E5" s="512" t="s">
        <v>721</v>
      </c>
      <c r="F5" s="512" t="s">
        <v>25</v>
      </c>
      <c r="G5" s="513"/>
      <c r="H5" s="514">
        <v>71</v>
      </c>
      <c r="I5" s="298" t="str">
        <f t="shared" si="0"/>
        <v>AOR100171</v>
      </c>
      <c r="J5" s="514">
        <v>10</v>
      </c>
      <c r="L5" s="512" t="s">
        <v>720</v>
      </c>
      <c r="M5" s="512" t="s">
        <v>739</v>
      </c>
      <c r="N5" s="512" t="s">
        <v>721</v>
      </c>
      <c r="O5" s="513"/>
      <c r="P5" s="512" t="s">
        <v>721</v>
      </c>
      <c r="Q5" s="512" t="s">
        <v>25</v>
      </c>
      <c r="R5" s="513"/>
      <c r="S5" s="514">
        <v>48</v>
      </c>
      <c r="T5" s="298" t="str">
        <f t="shared" si="1"/>
        <v>HSGA0148</v>
      </c>
      <c r="U5" s="514">
        <v>11846</v>
      </c>
      <c r="W5" s="512" t="s">
        <v>269</v>
      </c>
      <c r="X5" s="512" t="s">
        <v>843</v>
      </c>
      <c r="Y5" s="512" t="s">
        <v>721</v>
      </c>
      <c r="Z5" s="514">
        <v>10</v>
      </c>
      <c r="AA5" s="512" t="s">
        <v>721</v>
      </c>
      <c r="AB5" s="512" t="s">
        <v>25</v>
      </c>
      <c r="AC5" s="514">
        <v>0</v>
      </c>
      <c r="AD5" s="514">
        <v>17</v>
      </c>
      <c r="AE5" s="298" t="str">
        <f t="shared" si="2"/>
        <v>HNR100117</v>
      </c>
      <c r="AF5" s="514">
        <v>293</v>
      </c>
      <c r="AH5" s="512" t="s">
        <v>721</v>
      </c>
      <c r="AI5" s="512" t="s">
        <v>1030</v>
      </c>
      <c r="AJ5" s="512" t="s">
        <v>721</v>
      </c>
      <c r="AK5" s="513"/>
      <c r="AL5" s="512" t="s">
        <v>721</v>
      </c>
      <c r="AM5" s="512" t="s">
        <v>25</v>
      </c>
      <c r="AN5" s="513"/>
      <c r="AO5" s="514">
        <v>17</v>
      </c>
      <c r="AP5" s="513"/>
      <c r="AQ5" s="298" t="str">
        <f t="shared" si="3"/>
        <v>HOR100117</v>
      </c>
      <c r="AR5" s="514">
        <v>345</v>
      </c>
      <c r="AT5" s="512" t="s">
        <v>743</v>
      </c>
      <c r="AU5" s="512" t="s">
        <v>744</v>
      </c>
      <c r="AV5" s="512" t="s">
        <v>721</v>
      </c>
      <c r="AW5" s="513"/>
      <c r="AX5" s="512" t="s">
        <v>721</v>
      </c>
      <c r="AY5" s="512" t="s">
        <v>25</v>
      </c>
      <c r="AZ5" s="513"/>
      <c r="BA5" s="514">
        <v>23</v>
      </c>
      <c r="BB5" s="298" t="str">
        <f t="shared" si="4"/>
        <v>CLR100123</v>
      </c>
      <c r="BC5" s="514">
        <v>19</v>
      </c>
      <c r="BF5" s="512" t="s">
        <v>658</v>
      </c>
      <c r="BG5" s="512" t="s">
        <v>732</v>
      </c>
      <c r="BH5" s="512" t="s">
        <v>25</v>
      </c>
      <c r="BI5" s="514">
        <v>17</v>
      </c>
      <c r="BJ5" s="298" t="str">
        <f t="shared" si="5"/>
        <v>AOR100117</v>
      </c>
      <c r="BK5" s="514">
        <v>0</v>
      </c>
      <c r="BL5" s="514">
        <v>1</v>
      </c>
      <c r="BM5" s="514">
        <v>1</v>
      </c>
      <c r="BN5" s="514">
        <v>1</v>
      </c>
      <c r="BO5" s="514">
        <v>1</v>
      </c>
      <c r="BP5" s="514">
        <v>2</v>
      </c>
      <c r="BQ5" s="514">
        <v>2</v>
      </c>
      <c r="BR5" s="514">
        <v>2</v>
      </c>
      <c r="BS5" s="514">
        <v>3</v>
      </c>
      <c r="BT5" s="514">
        <v>0</v>
      </c>
      <c r="BU5" s="514">
        <v>0</v>
      </c>
      <c r="BV5" s="514">
        <v>0</v>
      </c>
      <c r="BW5" s="514">
        <v>0</v>
      </c>
      <c r="BX5" s="514">
        <v>0</v>
      </c>
      <c r="BY5" s="514">
        <v>0</v>
      </c>
      <c r="BZ5" s="514">
        <v>0</v>
      </c>
      <c r="CA5" s="514">
        <v>0</v>
      </c>
      <c r="CB5" s="514">
        <v>0</v>
      </c>
      <c r="CC5" s="514">
        <v>0</v>
      </c>
      <c r="CD5" s="514">
        <v>0</v>
      </c>
      <c r="CE5" s="514">
        <v>0</v>
      </c>
      <c r="CF5" s="514">
        <v>0</v>
      </c>
      <c r="CG5" s="514">
        <v>0</v>
      </c>
      <c r="CH5" s="514">
        <v>0</v>
      </c>
      <c r="CI5" s="514">
        <v>0</v>
      </c>
      <c r="CJ5" s="514">
        <v>0</v>
      </c>
      <c r="CK5" s="514">
        <v>0</v>
      </c>
      <c r="CL5" s="514">
        <v>0</v>
      </c>
      <c r="CM5" s="514">
        <v>0</v>
      </c>
      <c r="CN5" s="514">
        <v>0</v>
      </c>
      <c r="CO5" s="514">
        <v>0</v>
      </c>
      <c r="CP5" s="514">
        <v>0</v>
      </c>
      <c r="CQ5" s="514">
        <v>0</v>
      </c>
      <c r="CR5" s="514">
        <v>0</v>
      </c>
      <c r="CS5" s="514">
        <v>0</v>
      </c>
      <c r="CT5" s="514">
        <v>0</v>
      </c>
      <c r="CU5" s="514">
        <v>0</v>
      </c>
      <c r="CV5" s="514">
        <v>0</v>
      </c>
      <c r="CW5" s="514">
        <v>0</v>
      </c>
      <c r="CX5" s="514">
        <v>0</v>
      </c>
      <c r="CY5" s="514">
        <v>0</v>
      </c>
      <c r="CZ5" s="514">
        <v>0</v>
      </c>
      <c r="DA5" s="514">
        <v>0</v>
      </c>
      <c r="DB5" s="514">
        <v>0</v>
      </c>
      <c r="DC5" s="514">
        <v>0</v>
      </c>
      <c r="DD5" s="514">
        <v>0</v>
      </c>
      <c r="DE5" s="514">
        <v>0</v>
      </c>
      <c r="DF5" s="514">
        <v>0</v>
      </c>
      <c r="DG5" s="514">
        <v>0</v>
      </c>
      <c r="DH5" s="514">
        <v>0</v>
      </c>
      <c r="DI5" s="514">
        <v>0</v>
      </c>
      <c r="DJ5" s="514">
        <v>0</v>
      </c>
      <c r="DK5" s="514">
        <v>0</v>
      </c>
      <c r="DL5" s="514">
        <v>0</v>
      </c>
      <c r="DM5" s="514">
        <v>0</v>
      </c>
      <c r="DN5" s="514">
        <v>0</v>
      </c>
      <c r="DO5" s="514">
        <v>0</v>
      </c>
      <c r="DP5" s="514">
        <v>0</v>
      </c>
      <c r="DQ5" s="514">
        <v>0</v>
      </c>
      <c r="DR5" s="514">
        <v>0</v>
      </c>
      <c r="DS5" s="514">
        <v>0</v>
      </c>
      <c r="DT5" s="514">
        <v>0</v>
      </c>
      <c r="DU5" s="514">
        <v>0</v>
      </c>
      <c r="DV5" s="514">
        <v>0</v>
      </c>
      <c r="DW5" s="514">
        <v>0</v>
      </c>
      <c r="DX5" s="514">
        <v>0</v>
      </c>
      <c r="DY5" s="514">
        <v>0</v>
      </c>
      <c r="DZ5" s="514">
        <v>0</v>
      </c>
      <c r="EA5" s="514">
        <v>0</v>
      </c>
      <c r="EB5" s="514">
        <v>0</v>
      </c>
      <c r="EC5" s="514">
        <v>0</v>
      </c>
      <c r="ED5" s="514">
        <v>0</v>
      </c>
      <c r="EE5" s="514">
        <v>0</v>
      </c>
      <c r="EF5" s="514">
        <v>0</v>
      </c>
      <c r="EG5" s="514">
        <v>0</v>
      </c>
      <c r="EH5" s="514">
        <v>0</v>
      </c>
      <c r="EI5" s="514">
        <v>0</v>
      </c>
      <c r="EJ5" s="514">
        <v>0</v>
      </c>
      <c r="EK5" s="514">
        <v>0</v>
      </c>
      <c r="EL5" s="514">
        <v>0</v>
      </c>
      <c r="EM5" s="514">
        <v>0</v>
      </c>
      <c r="EN5" s="514">
        <v>0</v>
      </c>
      <c r="EO5" s="514">
        <v>0</v>
      </c>
      <c r="EP5" s="514">
        <v>0</v>
      </c>
      <c r="EQ5" s="514">
        <v>0</v>
      </c>
      <c r="ER5" s="514">
        <v>0</v>
      </c>
      <c r="ES5" s="514">
        <v>0</v>
      </c>
      <c r="ET5" s="514">
        <v>0</v>
      </c>
      <c r="EU5" s="514">
        <v>0</v>
      </c>
      <c r="EV5" s="514">
        <v>0</v>
      </c>
      <c r="EW5" s="514">
        <v>0</v>
      </c>
      <c r="EX5" s="514">
        <v>0</v>
      </c>
      <c r="EY5" s="514">
        <v>0</v>
      </c>
      <c r="EZ5" s="514">
        <v>0</v>
      </c>
      <c r="FA5" s="514">
        <v>0</v>
      </c>
      <c r="FB5" s="514">
        <v>0</v>
      </c>
      <c r="FC5" s="514">
        <v>0</v>
      </c>
      <c r="FD5" s="514">
        <v>0</v>
      </c>
      <c r="FE5" s="514">
        <v>0</v>
      </c>
      <c r="FF5" s="514">
        <v>0</v>
      </c>
      <c r="FG5" s="514">
        <v>0</v>
      </c>
      <c r="FH5" s="514">
        <v>0</v>
      </c>
      <c r="FI5" s="514">
        <v>0</v>
      </c>
      <c r="FJ5" s="514">
        <v>0</v>
      </c>
      <c r="FK5" s="514">
        <v>0</v>
      </c>
      <c r="FL5" s="514">
        <v>0</v>
      </c>
      <c r="FM5" s="514">
        <v>0</v>
      </c>
      <c r="FN5" s="514">
        <v>0</v>
      </c>
      <c r="FO5" s="514">
        <v>0</v>
      </c>
      <c r="FP5" s="514">
        <v>0</v>
      </c>
      <c r="FQ5" s="514">
        <v>0</v>
      </c>
    </row>
    <row r="6" spans="1:173" ht="16.5" hidden="1">
      <c r="A6" s="512" t="s">
        <v>658</v>
      </c>
      <c r="B6" s="512" t="s">
        <v>732</v>
      </c>
      <c r="C6" s="512" t="s">
        <v>721</v>
      </c>
      <c r="D6" s="513"/>
      <c r="E6" s="512" t="s">
        <v>721</v>
      </c>
      <c r="F6" s="512" t="s">
        <v>26</v>
      </c>
      <c r="G6" s="513"/>
      <c r="H6" s="514">
        <v>15</v>
      </c>
      <c r="I6" s="298" t="str">
        <f t="shared" si="0"/>
        <v>AOR100215</v>
      </c>
      <c r="J6" s="514">
        <v>3</v>
      </c>
      <c r="L6" s="512" t="s">
        <v>720</v>
      </c>
      <c r="M6" s="512" t="s">
        <v>739</v>
      </c>
      <c r="N6" s="512" t="s">
        <v>721</v>
      </c>
      <c r="O6" s="513"/>
      <c r="P6" s="512" t="s">
        <v>721</v>
      </c>
      <c r="Q6" s="512" t="s">
        <v>25</v>
      </c>
      <c r="R6" s="513"/>
      <c r="S6" s="514">
        <v>49</v>
      </c>
      <c r="T6" s="298" t="str">
        <f t="shared" si="1"/>
        <v>HSGA0149</v>
      </c>
      <c r="U6" s="514">
        <v>12272</v>
      </c>
      <c r="W6" s="512" t="s">
        <v>269</v>
      </c>
      <c r="X6" s="512" t="s">
        <v>843</v>
      </c>
      <c r="Y6" s="512" t="s">
        <v>721</v>
      </c>
      <c r="Z6" s="514">
        <v>10</v>
      </c>
      <c r="AA6" s="512" t="s">
        <v>721</v>
      </c>
      <c r="AB6" s="512" t="s">
        <v>25</v>
      </c>
      <c r="AC6" s="514">
        <v>0</v>
      </c>
      <c r="AD6" s="514">
        <v>18</v>
      </c>
      <c r="AE6" s="298" t="str">
        <f t="shared" si="2"/>
        <v>HNR100118</v>
      </c>
      <c r="AF6" s="514">
        <v>293</v>
      </c>
      <c r="AH6" s="512" t="s">
        <v>721</v>
      </c>
      <c r="AI6" s="512" t="s">
        <v>1030</v>
      </c>
      <c r="AJ6" s="512" t="s">
        <v>721</v>
      </c>
      <c r="AK6" s="513"/>
      <c r="AL6" s="512" t="s">
        <v>721</v>
      </c>
      <c r="AM6" s="512" t="s">
        <v>25</v>
      </c>
      <c r="AN6" s="513"/>
      <c r="AO6" s="514">
        <v>18</v>
      </c>
      <c r="AP6" s="513"/>
      <c r="AQ6" s="298" t="str">
        <f t="shared" si="3"/>
        <v>HOR100118</v>
      </c>
      <c r="AR6" s="514">
        <v>345</v>
      </c>
      <c r="AT6" s="512" t="s">
        <v>743</v>
      </c>
      <c r="AU6" s="512" t="s">
        <v>744</v>
      </c>
      <c r="AV6" s="512" t="s">
        <v>721</v>
      </c>
      <c r="AW6" s="513"/>
      <c r="AX6" s="512" t="s">
        <v>721</v>
      </c>
      <c r="AY6" s="512" t="s">
        <v>26</v>
      </c>
      <c r="AZ6" s="513"/>
      <c r="BA6" s="514">
        <v>23</v>
      </c>
      <c r="BB6" s="298" t="str">
        <f t="shared" si="4"/>
        <v>CLR100223</v>
      </c>
      <c r="BC6" s="514">
        <v>31</v>
      </c>
      <c r="BF6" s="512" t="s">
        <v>658</v>
      </c>
      <c r="BG6" s="512" t="s">
        <v>732</v>
      </c>
      <c r="BH6" s="512" t="s">
        <v>25</v>
      </c>
      <c r="BI6" s="514">
        <v>18</v>
      </c>
      <c r="BJ6" s="298" t="str">
        <f t="shared" si="5"/>
        <v>AOR100118</v>
      </c>
      <c r="BK6" s="514">
        <v>0</v>
      </c>
      <c r="BL6" s="514">
        <v>1</v>
      </c>
      <c r="BM6" s="514">
        <v>1</v>
      </c>
      <c r="BN6" s="514">
        <v>1</v>
      </c>
      <c r="BO6" s="514">
        <v>1</v>
      </c>
      <c r="BP6" s="514">
        <v>2</v>
      </c>
      <c r="BQ6" s="514">
        <v>2</v>
      </c>
      <c r="BR6" s="514">
        <v>2</v>
      </c>
      <c r="BS6" s="514">
        <v>3</v>
      </c>
      <c r="BT6" s="514">
        <v>0</v>
      </c>
      <c r="BU6" s="514">
        <v>0</v>
      </c>
      <c r="BV6" s="514">
        <v>0</v>
      </c>
      <c r="BW6" s="514">
        <v>0</v>
      </c>
      <c r="BX6" s="514">
        <v>0</v>
      </c>
      <c r="BY6" s="514">
        <v>0</v>
      </c>
      <c r="BZ6" s="514">
        <v>0</v>
      </c>
      <c r="CA6" s="514">
        <v>0</v>
      </c>
      <c r="CB6" s="514">
        <v>0</v>
      </c>
      <c r="CC6" s="514">
        <v>0</v>
      </c>
      <c r="CD6" s="514">
        <v>0</v>
      </c>
      <c r="CE6" s="514">
        <v>0</v>
      </c>
      <c r="CF6" s="514">
        <v>0</v>
      </c>
      <c r="CG6" s="514">
        <v>0</v>
      </c>
      <c r="CH6" s="514">
        <v>0</v>
      </c>
      <c r="CI6" s="514">
        <v>0</v>
      </c>
      <c r="CJ6" s="514">
        <v>0</v>
      </c>
      <c r="CK6" s="514">
        <v>0</v>
      </c>
      <c r="CL6" s="514">
        <v>0</v>
      </c>
      <c r="CM6" s="514">
        <v>0</v>
      </c>
      <c r="CN6" s="514">
        <v>0</v>
      </c>
      <c r="CO6" s="514">
        <v>0</v>
      </c>
      <c r="CP6" s="514">
        <v>0</v>
      </c>
      <c r="CQ6" s="514">
        <v>0</v>
      </c>
      <c r="CR6" s="514">
        <v>0</v>
      </c>
      <c r="CS6" s="514">
        <v>0</v>
      </c>
      <c r="CT6" s="514">
        <v>0</v>
      </c>
      <c r="CU6" s="514">
        <v>0</v>
      </c>
      <c r="CV6" s="514">
        <v>0</v>
      </c>
      <c r="CW6" s="514">
        <v>0</v>
      </c>
      <c r="CX6" s="514">
        <v>0</v>
      </c>
      <c r="CY6" s="514">
        <v>0</v>
      </c>
      <c r="CZ6" s="514">
        <v>0</v>
      </c>
      <c r="DA6" s="514">
        <v>0</v>
      </c>
      <c r="DB6" s="514">
        <v>0</v>
      </c>
      <c r="DC6" s="514">
        <v>0</v>
      </c>
      <c r="DD6" s="514">
        <v>0</v>
      </c>
      <c r="DE6" s="514">
        <v>0</v>
      </c>
      <c r="DF6" s="514">
        <v>0</v>
      </c>
      <c r="DG6" s="514">
        <v>0</v>
      </c>
      <c r="DH6" s="514">
        <v>0</v>
      </c>
      <c r="DI6" s="514">
        <v>0</v>
      </c>
      <c r="DJ6" s="514">
        <v>0</v>
      </c>
      <c r="DK6" s="514">
        <v>0</v>
      </c>
      <c r="DL6" s="514">
        <v>0</v>
      </c>
      <c r="DM6" s="514">
        <v>0</v>
      </c>
      <c r="DN6" s="514">
        <v>0</v>
      </c>
      <c r="DO6" s="514">
        <v>0</v>
      </c>
      <c r="DP6" s="514">
        <v>0</v>
      </c>
      <c r="DQ6" s="514">
        <v>0</v>
      </c>
      <c r="DR6" s="514">
        <v>0</v>
      </c>
      <c r="DS6" s="514">
        <v>0</v>
      </c>
      <c r="DT6" s="514">
        <v>0</v>
      </c>
      <c r="DU6" s="514">
        <v>0</v>
      </c>
      <c r="DV6" s="514">
        <v>0</v>
      </c>
      <c r="DW6" s="514">
        <v>0</v>
      </c>
      <c r="DX6" s="514">
        <v>0</v>
      </c>
      <c r="DY6" s="514">
        <v>0</v>
      </c>
      <c r="DZ6" s="514">
        <v>0</v>
      </c>
      <c r="EA6" s="514">
        <v>0</v>
      </c>
      <c r="EB6" s="514">
        <v>0</v>
      </c>
      <c r="EC6" s="514">
        <v>0</v>
      </c>
      <c r="ED6" s="514">
        <v>0</v>
      </c>
      <c r="EE6" s="514">
        <v>0</v>
      </c>
      <c r="EF6" s="514">
        <v>0</v>
      </c>
      <c r="EG6" s="514">
        <v>0</v>
      </c>
      <c r="EH6" s="514">
        <v>0</v>
      </c>
      <c r="EI6" s="514">
        <v>0</v>
      </c>
      <c r="EJ6" s="514">
        <v>0</v>
      </c>
      <c r="EK6" s="514">
        <v>0</v>
      </c>
      <c r="EL6" s="514">
        <v>0</v>
      </c>
      <c r="EM6" s="514">
        <v>0</v>
      </c>
      <c r="EN6" s="514">
        <v>0</v>
      </c>
      <c r="EO6" s="514">
        <v>0</v>
      </c>
      <c r="EP6" s="514">
        <v>0</v>
      </c>
      <c r="EQ6" s="514">
        <v>0</v>
      </c>
      <c r="ER6" s="514">
        <v>0</v>
      </c>
      <c r="ES6" s="514">
        <v>0</v>
      </c>
      <c r="ET6" s="514">
        <v>0</v>
      </c>
      <c r="EU6" s="514">
        <v>0</v>
      </c>
      <c r="EV6" s="514">
        <v>0</v>
      </c>
      <c r="EW6" s="514">
        <v>0</v>
      </c>
      <c r="EX6" s="514">
        <v>0</v>
      </c>
      <c r="EY6" s="514">
        <v>0</v>
      </c>
      <c r="EZ6" s="514">
        <v>0</v>
      </c>
      <c r="FA6" s="514">
        <v>0</v>
      </c>
      <c r="FB6" s="514">
        <v>0</v>
      </c>
      <c r="FC6" s="514">
        <v>0</v>
      </c>
      <c r="FD6" s="514">
        <v>0</v>
      </c>
      <c r="FE6" s="514">
        <v>0</v>
      </c>
      <c r="FF6" s="514">
        <v>0</v>
      </c>
      <c r="FG6" s="514">
        <v>0</v>
      </c>
      <c r="FH6" s="514">
        <v>0</v>
      </c>
      <c r="FI6" s="514">
        <v>0</v>
      </c>
      <c r="FJ6" s="514">
        <v>0</v>
      </c>
      <c r="FK6" s="514">
        <v>0</v>
      </c>
      <c r="FL6" s="514">
        <v>0</v>
      </c>
      <c r="FM6" s="514">
        <v>0</v>
      </c>
      <c r="FN6" s="514">
        <v>0</v>
      </c>
      <c r="FO6" s="514">
        <v>0</v>
      </c>
      <c r="FP6" s="514">
        <v>0</v>
      </c>
      <c r="FQ6" s="514">
        <v>0</v>
      </c>
    </row>
    <row r="7" spans="1:173" ht="16.5" hidden="1">
      <c r="A7" s="512" t="s">
        <v>658</v>
      </c>
      <c r="B7" s="512" t="s">
        <v>732</v>
      </c>
      <c r="C7" s="512" t="s">
        <v>721</v>
      </c>
      <c r="D7" s="513"/>
      <c r="E7" s="512" t="s">
        <v>721</v>
      </c>
      <c r="F7" s="512" t="s">
        <v>26</v>
      </c>
      <c r="G7" s="513"/>
      <c r="H7" s="514">
        <v>16</v>
      </c>
      <c r="I7" s="298" t="str">
        <f t="shared" si="0"/>
        <v>AOR100216</v>
      </c>
      <c r="J7" s="514">
        <v>3</v>
      </c>
      <c r="L7" s="512" t="s">
        <v>720</v>
      </c>
      <c r="M7" s="512" t="s">
        <v>739</v>
      </c>
      <c r="N7" s="512" t="s">
        <v>721</v>
      </c>
      <c r="O7" s="513"/>
      <c r="P7" s="512" t="s">
        <v>721</v>
      </c>
      <c r="Q7" s="512" t="s">
        <v>25</v>
      </c>
      <c r="R7" s="513"/>
      <c r="S7" s="514">
        <v>50</v>
      </c>
      <c r="T7" s="298" t="str">
        <f t="shared" si="1"/>
        <v>HSGA0150</v>
      </c>
      <c r="U7" s="514">
        <v>12649</v>
      </c>
      <c r="W7" s="512" t="s">
        <v>269</v>
      </c>
      <c r="X7" s="512" t="s">
        <v>843</v>
      </c>
      <c r="Y7" s="512" t="s">
        <v>721</v>
      </c>
      <c r="Z7" s="514">
        <v>10</v>
      </c>
      <c r="AA7" s="512" t="s">
        <v>721</v>
      </c>
      <c r="AB7" s="512" t="s">
        <v>25</v>
      </c>
      <c r="AC7" s="514">
        <v>0</v>
      </c>
      <c r="AD7" s="514">
        <v>19</v>
      </c>
      <c r="AE7" s="298" t="str">
        <f t="shared" si="2"/>
        <v>HNR100119</v>
      </c>
      <c r="AF7" s="514">
        <v>295</v>
      </c>
      <c r="AH7" s="512" t="s">
        <v>721</v>
      </c>
      <c r="AI7" s="512" t="s">
        <v>1030</v>
      </c>
      <c r="AJ7" s="512" t="s">
        <v>721</v>
      </c>
      <c r="AK7" s="513"/>
      <c r="AL7" s="512" t="s">
        <v>721</v>
      </c>
      <c r="AM7" s="512" t="s">
        <v>25</v>
      </c>
      <c r="AN7" s="513"/>
      <c r="AO7" s="514">
        <v>19</v>
      </c>
      <c r="AP7" s="513"/>
      <c r="AQ7" s="298" t="str">
        <f t="shared" si="3"/>
        <v>HOR100119</v>
      </c>
      <c r="AR7" s="514">
        <v>345</v>
      </c>
      <c r="AT7" s="512" t="s">
        <v>743</v>
      </c>
      <c r="AU7" s="512" t="s">
        <v>744</v>
      </c>
      <c r="AV7" s="512" t="s">
        <v>721</v>
      </c>
      <c r="AW7" s="513"/>
      <c r="AX7" s="512" t="s">
        <v>721</v>
      </c>
      <c r="AY7" s="512" t="s">
        <v>25</v>
      </c>
      <c r="AZ7" s="513"/>
      <c r="BA7" s="514">
        <v>24</v>
      </c>
      <c r="BB7" s="298" t="str">
        <f t="shared" si="4"/>
        <v>CLR100124</v>
      </c>
      <c r="BC7" s="514">
        <v>22</v>
      </c>
      <c r="BF7" s="512" t="s">
        <v>658</v>
      </c>
      <c r="BG7" s="512" t="s">
        <v>732</v>
      </c>
      <c r="BH7" s="512" t="s">
        <v>25</v>
      </c>
      <c r="BI7" s="514">
        <v>19</v>
      </c>
      <c r="BJ7" s="298" t="str">
        <f t="shared" si="5"/>
        <v>AOR100119</v>
      </c>
      <c r="BK7" s="514">
        <v>0</v>
      </c>
      <c r="BL7" s="514">
        <v>1</v>
      </c>
      <c r="BM7" s="514">
        <v>1</v>
      </c>
      <c r="BN7" s="514">
        <v>1</v>
      </c>
      <c r="BO7" s="514">
        <v>1</v>
      </c>
      <c r="BP7" s="514">
        <v>2</v>
      </c>
      <c r="BQ7" s="514">
        <v>2</v>
      </c>
      <c r="BR7" s="514">
        <v>2</v>
      </c>
      <c r="BS7" s="514">
        <v>3</v>
      </c>
      <c r="BT7" s="514">
        <v>0</v>
      </c>
      <c r="BU7" s="514">
        <v>0</v>
      </c>
      <c r="BV7" s="514">
        <v>0</v>
      </c>
      <c r="BW7" s="514">
        <v>0</v>
      </c>
      <c r="BX7" s="514">
        <v>0</v>
      </c>
      <c r="BY7" s="514">
        <v>0</v>
      </c>
      <c r="BZ7" s="514">
        <v>0</v>
      </c>
      <c r="CA7" s="514">
        <v>0</v>
      </c>
      <c r="CB7" s="514">
        <v>0</v>
      </c>
      <c r="CC7" s="514">
        <v>0</v>
      </c>
      <c r="CD7" s="514">
        <v>0</v>
      </c>
      <c r="CE7" s="514">
        <v>0</v>
      </c>
      <c r="CF7" s="514">
        <v>0</v>
      </c>
      <c r="CG7" s="514">
        <v>0</v>
      </c>
      <c r="CH7" s="514">
        <v>0</v>
      </c>
      <c r="CI7" s="514">
        <v>0</v>
      </c>
      <c r="CJ7" s="514">
        <v>0</v>
      </c>
      <c r="CK7" s="514">
        <v>0</v>
      </c>
      <c r="CL7" s="514">
        <v>0</v>
      </c>
      <c r="CM7" s="514">
        <v>0</v>
      </c>
      <c r="CN7" s="514">
        <v>0</v>
      </c>
      <c r="CO7" s="514">
        <v>0</v>
      </c>
      <c r="CP7" s="514">
        <v>0</v>
      </c>
      <c r="CQ7" s="514">
        <v>0</v>
      </c>
      <c r="CR7" s="514">
        <v>0</v>
      </c>
      <c r="CS7" s="514">
        <v>0</v>
      </c>
      <c r="CT7" s="514">
        <v>0</v>
      </c>
      <c r="CU7" s="514">
        <v>0</v>
      </c>
      <c r="CV7" s="514">
        <v>0</v>
      </c>
      <c r="CW7" s="514">
        <v>0</v>
      </c>
      <c r="CX7" s="514">
        <v>0</v>
      </c>
      <c r="CY7" s="514">
        <v>0</v>
      </c>
      <c r="CZ7" s="514">
        <v>0</v>
      </c>
      <c r="DA7" s="514">
        <v>0</v>
      </c>
      <c r="DB7" s="514">
        <v>0</v>
      </c>
      <c r="DC7" s="514">
        <v>0</v>
      </c>
      <c r="DD7" s="514">
        <v>0</v>
      </c>
      <c r="DE7" s="514">
        <v>0</v>
      </c>
      <c r="DF7" s="514">
        <v>0</v>
      </c>
      <c r="DG7" s="514">
        <v>0</v>
      </c>
      <c r="DH7" s="514">
        <v>0</v>
      </c>
      <c r="DI7" s="514">
        <v>0</v>
      </c>
      <c r="DJ7" s="514">
        <v>0</v>
      </c>
      <c r="DK7" s="514">
        <v>0</v>
      </c>
      <c r="DL7" s="514">
        <v>0</v>
      </c>
      <c r="DM7" s="514">
        <v>0</v>
      </c>
      <c r="DN7" s="514">
        <v>0</v>
      </c>
      <c r="DO7" s="514">
        <v>0</v>
      </c>
      <c r="DP7" s="514">
        <v>0</v>
      </c>
      <c r="DQ7" s="514">
        <v>0</v>
      </c>
      <c r="DR7" s="514">
        <v>0</v>
      </c>
      <c r="DS7" s="514">
        <v>0</v>
      </c>
      <c r="DT7" s="514">
        <v>0</v>
      </c>
      <c r="DU7" s="514">
        <v>0</v>
      </c>
      <c r="DV7" s="514">
        <v>0</v>
      </c>
      <c r="DW7" s="514">
        <v>0</v>
      </c>
      <c r="DX7" s="514">
        <v>0</v>
      </c>
      <c r="DY7" s="514">
        <v>0</v>
      </c>
      <c r="DZ7" s="514">
        <v>0</v>
      </c>
      <c r="EA7" s="514">
        <v>0</v>
      </c>
      <c r="EB7" s="514">
        <v>0</v>
      </c>
      <c r="EC7" s="514">
        <v>0</v>
      </c>
      <c r="ED7" s="514">
        <v>0</v>
      </c>
      <c r="EE7" s="514">
        <v>0</v>
      </c>
      <c r="EF7" s="514">
        <v>0</v>
      </c>
      <c r="EG7" s="514">
        <v>0</v>
      </c>
      <c r="EH7" s="514">
        <v>0</v>
      </c>
      <c r="EI7" s="514">
        <v>0</v>
      </c>
      <c r="EJ7" s="514">
        <v>0</v>
      </c>
      <c r="EK7" s="514">
        <v>0</v>
      </c>
      <c r="EL7" s="514">
        <v>0</v>
      </c>
      <c r="EM7" s="514">
        <v>0</v>
      </c>
      <c r="EN7" s="514">
        <v>0</v>
      </c>
      <c r="EO7" s="514">
        <v>0</v>
      </c>
      <c r="EP7" s="514">
        <v>0</v>
      </c>
      <c r="EQ7" s="514">
        <v>0</v>
      </c>
      <c r="ER7" s="514">
        <v>0</v>
      </c>
      <c r="ES7" s="514">
        <v>0</v>
      </c>
      <c r="ET7" s="514">
        <v>0</v>
      </c>
      <c r="EU7" s="514">
        <v>0</v>
      </c>
      <c r="EV7" s="514">
        <v>0</v>
      </c>
      <c r="EW7" s="514">
        <v>0</v>
      </c>
      <c r="EX7" s="514">
        <v>0</v>
      </c>
      <c r="EY7" s="514">
        <v>0</v>
      </c>
      <c r="EZ7" s="514">
        <v>0</v>
      </c>
      <c r="FA7" s="514">
        <v>0</v>
      </c>
      <c r="FB7" s="514">
        <v>0</v>
      </c>
      <c r="FC7" s="514">
        <v>0</v>
      </c>
      <c r="FD7" s="514">
        <v>0</v>
      </c>
      <c r="FE7" s="514">
        <v>0</v>
      </c>
      <c r="FF7" s="514">
        <v>0</v>
      </c>
      <c r="FG7" s="514">
        <v>0</v>
      </c>
      <c r="FH7" s="514">
        <v>0</v>
      </c>
      <c r="FI7" s="514">
        <v>0</v>
      </c>
      <c r="FJ7" s="514">
        <v>0</v>
      </c>
      <c r="FK7" s="514">
        <v>0</v>
      </c>
      <c r="FL7" s="514">
        <v>0</v>
      </c>
      <c r="FM7" s="514">
        <v>0</v>
      </c>
      <c r="FN7" s="514">
        <v>0</v>
      </c>
      <c r="FO7" s="514">
        <v>0</v>
      </c>
      <c r="FP7" s="514">
        <v>0</v>
      </c>
      <c r="FQ7" s="514">
        <v>0</v>
      </c>
    </row>
    <row r="8" spans="1:173" ht="16.5" hidden="1">
      <c r="A8" s="512" t="s">
        <v>658</v>
      </c>
      <c r="B8" s="512" t="s">
        <v>732</v>
      </c>
      <c r="C8" s="512" t="s">
        <v>721</v>
      </c>
      <c r="D8" s="513"/>
      <c r="E8" s="512" t="s">
        <v>721</v>
      </c>
      <c r="F8" s="512" t="s">
        <v>26</v>
      </c>
      <c r="G8" s="513"/>
      <c r="H8" s="514">
        <v>17</v>
      </c>
      <c r="I8" s="298" t="str">
        <f t="shared" si="0"/>
        <v>AOR100217</v>
      </c>
      <c r="J8" s="514">
        <v>3</v>
      </c>
      <c r="L8" s="512" t="s">
        <v>720</v>
      </c>
      <c r="M8" s="512" t="s">
        <v>739</v>
      </c>
      <c r="N8" s="512" t="s">
        <v>721</v>
      </c>
      <c r="O8" s="513"/>
      <c r="P8" s="512" t="s">
        <v>721</v>
      </c>
      <c r="Q8" s="512" t="s">
        <v>25</v>
      </c>
      <c r="R8" s="513"/>
      <c r="S8" s="514">
        <v>51</v>
      </c>
      <c r="T8" s="298" t="str">
        <f t="shared" si="1"/>
        <v>HSGA0151</v>
      </c>
      <c r="U8" s="514">
        <v>12975</v>
      </c>
      <c r="W8" s="512" t="s">
        <v>269</v>
      </c>
      <c r="X8" s="512" t="s">
        <v>843</v>
      </c>
      <c r="Y8" s="512" t="s">
        <v>721</v>
      </c>
      <c r="Z8" s="514">
        <v>10</v>
      </c>
      <c r="AA8" s="512" t="s">
        <v>721</v>
      </c>
      <c r="AB8" s="512" t="s">
        <v>25</v>
      </c>
      <c r="AC8" s="514">
        <v>0</v>
      </c>
      <c r="AD8" s="514">
        <v>20</v>
      </c>
      <c r="AE8" s="298" t="str">
        <f t="shared" si="2"/>
        <v>HNR100120</v>
      </c>
      <c r="AF8" s="514">
        <v>290</v>
      </c>
      <c r="AH8" s="512" t="s">
        <v>721</v>
      </c>
      <c r="AI8" s="512" t="s">
        <v>1030</v>
      </c>
      <c r="AJ8" s="512" t="s">
        <v>721</v>
      </c>
      <c r="AK8" s="513"/>
      <c r="AL8" s="512" t="s">
        <v>721</v>
      </c>
      <c r="AM8" s="512" t="s">
        <v>25</v>
      </c>
      <c r="AN8" s="513"/>
      <c r="AO8" s="514">
        <v>20</v>
      </c>
      <c r="AP8" s="513"/>
      <c r="AQ8" s="298" t="str">
        <f t="shared" si="3"/>
        <v>HOR100120</v>
      </c>
      <c r="AR8" s="514">
        <v>345</v>
      </c>
      <c r="AT8" s="512" t="s">
        <v>743</v>
      </c>
      <c r="AU8" s="512" t="s">
        <v>744</v>
      </c>
      <c r="AV8" s="512" t="s">
        <v>721</v>
      </c>
      <c r="AW8" s="513"/>
      <c r="AX8" s="512" t="s">
        <v>721</v>
      </c>
      <c r="AY8" s="512" t="s">
        <v>26</v>
      </c>
      <c r="AZ8" s="513"/>
      <c r="BA8" s="514">
        <v>24</v>
      </c>
      <c r="BB8" s="298" t="str">
        <f t="shared" si="4"/>
        <v>CLR100224</v>
      </c>
      <c r="BC8" s="514">
        <v>37</v>
      </c>
      <c r="BF8" s="512" t="s">
        <v>658</v>
      </c>
      <c r="BG8" s="512" t="s">
        <v>732</v>
      </c>
      <c r="BH8" s="512" t="s">
        <v>25</v>
      </c>
      <c r="BI8" s="514">
        <v>20</v>
      </c>
      <c r="BJ8" s="298" t="str">
        <f t="shared" si="5"/>
        <v>AOR100120</v>
      </c>
      <c r="BK8" s="514">
        <v>0</v>
      </c>
      <c r="BL8" s="514">
        <v>1</v>
      </c>
      <c r="BM8" s="514">
        <v>1</v>
      </c>
      <c r="BN8" s="514">
        <v>1</v>
      </c>
      <c r="BO8" s="514">
        <v>1</v>
      </c>
      <c r="BP8" s="514">
        <v>2</v>
      </c>
      <c r="BQ8" s="514">
        <v>2</v>
      </c>
      <c r="BR8" s="514">
        <v>2</v>
      </c>
      <c r="BS8" s="514">
        <v>3</v>
      </c>
      <c r="BT8" s="514">
        <v>0</v>
      </c>
      <c r="BU8" s="514">
        <v>0</v>
      </c>
      <c r="BV8" s="514">
        <v>0</v>
      </c>
      <c r="BW8" s="514">
        <v>0</v>
      </c>
      <c r="BX8" s="514">
        <v>0</v>
      </c>
      <c r="BY8" s="514">
        <v>0</v>
      </c>
      <c r="BZ8" s="514">
        <v>0</v>
      </c>
      <c r="CA8" s="514">
        <v>0</v>
      </c>
      <c r="CB8" s="514">
        <v>0</v>
      </c>
      <c r="CC8" s="514">
        <v>0</v>
      </c>
      <c r="CD8" s="514">
        <v>0</v>
      </c>
      <c r="CE8" s="514">
        <v>0</v>
      </c>
      <c r="CF8" s="514">
        <v>0</v>
      </c>
      <c r="CG8" s="514">
        <v>0</v>
      </c>
      <c r="CH8" s="514">
        <v>0</v>
      </c>
      <c r="CI8" s="514">
        <v>0</v>
      </c>
      <c r="CJ8" s="514">
        <v>0</v>
      </c>
      <c r="CK8" s="514">
        <v>0</v>
      </c>
      <c r="CL8" s="514">
        <v>0</v>
      </c>
      <c r="CM8" s="514">
        <v>0</v>
      </c>
      <c r="CN8" s="514">
        <v>0</v>
      </c>
      <c r="CO8" s="514">
        <v>0</v>
      </c>
      <c r="CP8" s="514">
        <v>0</v>
      </c>
      <c r="CQ8" s="514">
        <v>0</v>
      </c>
      <c r="CR8" s="514">
        <v>0</v>
      </c>
      <c r="CS8" s="514">
        <v>0</v>
      </c>
      <c r="CT8" s="514">
        <v>0</v>
      </c>
      <c r="CU8" s="514">
        <v>0</v>
      </c>
      <c r="CV8" s="514">
        <v>0</v>
      </c>
      <c r="CW8" s="514">
        <v>0</v>
      </c>
      <c r="CX8" s="514">
        <v>0</v>
      </c>
      <c r="CY8" s="514">
        <v>0</v>
      </c>
      <c r="CZ8" s="514">
        <v>0</v>
      </c>
      <c r="DA8" s="514">
        <v>0</v>
      </c>
      <c r="DB8" s="514">
        <v>0</v>
      </c>
      <c r="DC8" s="514">
        <v>0</v>
      </c>
      <c r="DD8" s="514">
        <v>0</v>
      </c>
      <c r="DE8" s="514">
        <v>0</v>
      </c>
      <c r="DF8" s="514">
        <v>0</v>
      </c>
      <c r="DG8" s="514">
        <v>0</v>
      </c>
      <c r="DH8" s="514">
        <v>0</v>
      </c>
      <c r="DI8" s="514">
        <v>0</v>
      </c>
      <c r="DJ8" s="514">
        <v>0</v>
      </c>
      <c r="DK8" s="514">
        <v>0</v>
      </c>
      <c r="DL8" s="514">
        <v>0</v>
      </c>
      <c r="DM8" s="514">
        <v>0</v>
      </c>
      <c r="DN8" s="514">
        <v>0</v>
      </c>
      <c r="DO8" s="514">
        <v>0</v>
      </c>
      <c r="DP8" s="514">
        <v>0</v>
      </c>
      <c r="DQ8" s="514">
        <v>0</v>
      </c>
      <c r="DR8" s="514">
        <v>0</v>
      </c>
      <c r="DS8" s="514">
        <v>0</v>
      </c>
      <c r="DT8" s="514">
        <v>0</v>
      </c>
      <c r="DU8" s="514">
        <v>0</v>
      </c>
      <c r="DV8" s="514">
        <v>0</v>
      </c>
      <c r="DW8" s="514">
        <v>0</v>
      </c>
      <c r="DX8" s="514">
        <v>0</v>
      </c>
      <c r="DY8" s="514">
        <v>0</v>
      </c>
      <c r="DZ8" s="514">
        <v>0</v>
      </c>
      <c r="EA8" s="514">
        <v>0</v>
      </c>
      <c r="EB8" s="514">
        <v>0</v>
      </c>
      <c r="EC8" s="514">
        <v>0</v>
      </c>
      <c r="ED8" s="514">
        <v>0</v>
      </c>
      <c r="EE8" s="514">
        <v>0</v>
      </c>
      <c r="EF8" s="514">
        <v>0</v>
      </c>
      <c r="EG8" s="514">
        <v>0</v>
      </c>
      <c r="EH8" s="514">
        <v>0</v>
      </c>
      <c r="EI8" s="514">
        <v>0</v>
      </c>
      <c r="EJ8" s="514">
        <v>0</v>
      </c>
      <c r="EK8" s="514">
        <v>0</v>
      </c>
      <c r="EL8" s="514">
        <v>0</v>
      </c>
      <c r="EM8" s="514">
        <v>0</v>
      </c>
      <c r="EN8" s="514">
        <v>0</v>
      </c>
      <c r="EO8" s="514">
        <v>0</v>
      </c>
      <c r="EP8" s="514">
        <v>0</v>
      </c>
      <c r="EQ8" s="514">
        <v>0</v>
      </c>
      <c r="ER8" s="514">
        <v>0</v>
      </c>
      <c r="ES8" s="514">
        <v>0</v>
      </c>
      <c r="ET8" s="514">
        <v>0</v>
      </c>
      <c r="EU8" s="514">
        <v>0</v>
      </c>
      <c r="EV8" s="514">
        <v>0</v>
      </c>
      <c r="EW8" s="514">
        <v>0</v>
      </c>
      <c r="EX8" s="514">
        <v>0</v>
      </c>
      <c r="EY8" s="514">
        <v>0</v>
      </c>
      <c r="EZ8" s="514">
        <v>0</v>
      </c>
      <c r="FA8" s="514">
        <v>0</v>
      </c>
      <c r="FB8" s="514">
        <v>0</v>
      </c>
      <c r="FC8" s="514">
        <v>0</v>
      </c>
      <c r="FD8" s="514">
        <v>0</v>
      </c>
      <c r="FE8" s="514">
        <v>0</v>
      </c>
      <c r="FF8" s="514">
        <v>0</v>
      </c>
      <c r="FG8" s="514">
        <v>0</v>
      </c>
      <c r="FH8" s="514">
        <v>0</v>
      </c>
      <c r="FI8" s="514">
        <v>0</v>
      </c>
      <c r="FJ8" s="514">
        <v>0</v>
      </c>
      <c r="FK8" s="514">
        <v>0</v>
      </c>
      <c r="FL8" s="514">
        <v>0</v>
      </c>
      <c r="FM8" s="514">
        <v>0</v>
      </c>
      <c r="FN8" s="514">
        <v>0</v>
      </c>
      <c r="FO8" s="514">
        <v>0</v>
      </c>
      <c r="FP8" s="514">
        <v>0</v>
      </c>
      <c r="FQ8" s="514">
        <v>0</v>
      </c>
    </row>
    <row r="9" spans="1:173" ht="16.5" hidden="1">
      <c r="A9" s="512" t="s">
        <v>658</v>
      </c>
      <c r="B9" s="512" t="s">
        <v>732</v>
      </c>
      <c r="C9" s="512" t="s">
        <v>721</v>
      </c>
      <c r="D9" s="513"/>
      <c r="E9" s="512" t="s">
        <v>721</v>
      </c>
      <c r="F9" s="512" t="s">
        <v>26</v>
      </c>
      <c r="G9" s="513"/>
      <c r="H9" s="514">
        <v>18</v>
      </c>
      <c r="I9" s="298" t="str">
        <f t="shared" si="0"/>
        <v>AOR100218</v>
      </c>
      <c r="J9" s="514">
        <v>3</v>
      </c>
      <c r="L9" s="512" t="s">
        <v>720</v>
      </c>
      <c r="M9" s="512" t="s">
        <v>739</v>
      </c>
      <c r="N9" s="512" t="s">
        <v>721</v>
      </c>
      <c r="O9" s="513"/>
      <c r="P9" s="512" t="s">
        <v>721</v>
      </c>
      <c r="Q9" s="512" t="s">
        <v>25</v>
      </c>
      <c r="R9" s="513"/>
      <c r="S9" s="514">
        <v>52</v>
      </c>
      <c r="T9" s="298" t="str">
        <f t="shared" si="1"/>
        <v>HSGA0152</v>
      </c>
      <c r="U9" s="514">
        <v>13249</v>
      </c>
      <c r="W9" s="512" t="s">
        <v>269</v>
      </c>
      <c r="X9" s="512" t="s">
        <v>843</v>
      </c>
      <c r="Y9" s="512" t="s">
        <v>721</v>
      </c>
      <c r="Z9" s="514">
        <v>10</v>
      </c>
      <c r="AA9" s="512" t="s">
        <v>721</v>
      </c>
      <c r="AB9" s="512" t="s">
        <v>25</v>
      </c>
      <c r="AC9" s="514">
        <v>0</v>
      </c>
      <c r="AD9" s="514">
        <v>21</v>
      </c>
      <c r="AE9" s="298" t="str">
        <f t="shared" si="2"/>
        <v>HNR100121</v>
      </c>
      <c r="AF9" s="514">
        <v>286</v>
      </c>
      <c r="AH9" s="512" t="s">
        <v>721</v>
      </c>
      <c r="AI9" s="512" t="s">
        <v>1030</v>
      </c>
      <c r="AJ9" s="512" t="s">
        <v>721</v>
      </c>
      <c r="AK9" s="513"/>
      <c r="AL9" s="512" t="s">
        <v>721</v>
      </c>
      <c r="AM9" s="512" t="s">
        <v>25</v>
      </c>
      <c r="AN9" s="513"/>
      <c r="AO9" s="514">
        <v>21</v>
      </c>
      <c r="AP9" s="513"/>
      <c r="AQ9" s="298" t="str">
        <f t="shared" si="3"/>
        <v>HOR100121</v>
      </c>
      <c r="AR9" s="514">
        <v>345</v>
      </c>
      <c r="AT9" s="512" t="s">
        <v>743</v>
      </c>
      <c r="AU9" s="512" t="s">
        <v>744</v>
      </c>
      <c r="AV9" s="512" t="s">
        <v>721</v>
      </c>
      <c r="AW9" s="513"/>
      <c r="AX9" s="512" t="s">
        <v>721</v>
      </c>
      <c r="AY9" s="512" t="s">
        <v>25</v>
      </c>
      <c r="AZ9" s="513"/>
      <c r="BA9" s="514">
        <v>25</v>
      </c>
      <c r="BB9" s="298" t="str">
        <f t="shared" si="4"/>
        <v>CLR100125</v>
      </c>
      <c r="BC9" s="514">
        <v>26</v>
      </c>
      <c r="BF9" s="512" t="s">
        <v>658</v>
      </c>
      <c r="BG9" s="512" t="s">
        <v>732</v>
      </c>
      <c r="BH9" s="512" t="s">
        <v>25</v>
      </c>
      <c r="BI9" s="514">
        <v>21</v>
      </c>
      <c r="BJ9" s="298" t="str">
        <f t="shared" si="5"/>
        <v>AOR100121</v>
      </c>
      <c r="BK9" s="514">
        <v>0</v>
      </c>
      <c r="BL9" s="514">
        <v>1</v>
      </c>
      <c r="BM9" s="514">
        <v>1</v>
      </c>
      <c r="BN9" s="514">
        <v>1</v>
      </c>
      <c r="BO9" s="514">
        <v>1</v>
      </c>
      <c r="BP9" s="514">
        <v>2</v>
      </c>
      <c r="BQ9" s="514">
        <v>2</v>
      </c>
      <c r="BR9" s="514">
        <v>2</v>
      </c>
      <c r="BS9" s="514">
        <v>3</v>
      </c>
      <c r="BT9" s="514">
        <v>0</v>
      </c>
      <c r="BU9" s="514">
        <v>0</v>
      </c>
      <c r="BV9" s="514">
        <v>0</v>
      </c>
      <c r="BW9" s="514">
        <v>0</v>
      </c>
      <c r="BX9" s="514">
        <v>0</v>
      </c>
      <c r="BY9" s="514">
        <v>0</v>
      </c>
      <c r="BZ9" s="514">
        <v>0</v>
      </c>
      <c r="CA9" s="514">
        <v>0</v>
      </c>
      <c r="CB9" s="514">
        <v>0</v>
      </c>
      <c r="CC9" s="514">
        <v>0</v>
      </c>
      <c r="CD9" s="514">
        <v>0</v>
      </c>
      <c r="CE9" s="514">
        <v>0</v>
      </c>
      <c r="CF9" s="514">
        <v>0</v>
      </c>
      <c r="CG9" s="514">
        <v>0</v>
      </c>
      <c r="CH9" s="514">
        <v>0</v>
      </c>
      <c r="CI9" s="514">
        <v>0</v>
      </c>
      <c r="CJ9" s="514">
        <v>0</v>
      </c>
      <c r="CK9" s="514">
        <v>0</v>
      </c>
      <c r="CL9" s="514">
        <v>0</v>
      </c>
      <c r="CM9" s="514">
        <v>0</v>
      </c>
      <c r="CN9" s="514">
        <v>0</v>
      </c>
      <c r="CO9" s="514">
        <v>0</v>
      </c>
      <c r="CP9" s="514">
        <v>0</v>
      </c>
      <c r="CQ9" s="514">
        <v>0</v>
      </c>
      <c r="CR9" s="514">
        <v>0</v>
      </c>
      <c r="CS9" s="514">
        <v>0</v>
      </c>
      <c r="CT9" s="514">
        <v>0</v>
      </c>
      <c r="CU9" s="514">
        <v>0</v>
      </c>
      <c r="CV9" s="514">
        <v>0</v>
      </c>
      <c r="CW9" s="514">
        <v>0</v>
      </c>
      <c r="CX9" s="514">
        <v>0</v>
      </c>
      <c r="CY9" s="514">
        <v>0</v>
      </c>
      <c r="CZ9" s="514">
        <v>0</v>
      </c>
      <c r="DA9" s="514">
        <v>0</v>
      </c>
      <c r="DB9" s="514">
        <v>0</v>
      </c>
      <c r="DC9" s="514">
        <v>0</v>
      </c>
      <c r="DD9" s="514">
        <v>0</v>
      </c>
      <c r="DE9" s="514">
        <v>0</v>
      </c>
      <c r="DF9" s="514">
        <v>0</v>
      </c>
      <c r="DG9" s="514">
        <v>0</v>
      </c>
      <c r="DH9" s="514">
        <v>0</v>
      </c>
      <c r="DI9" s="514">
        <v>0</v>
      </c>
      <c r="DJ9" s="514">
        <v>0</v>
      </c>
      <c r="DK9" s="514">
        <v>0</v>
      </c>
      <c r="DL9" s="514">
        <v>0</v>
      </c>
      <c r="DM9" s="514">
        <v>0</v>
      </c>
      <c r="DN9" s="514">
        <v>0</v>
      </c>
      <c r="DO9" s="514">
        <v>0</v>
      </c>
      <c r="DP9" s="514">
        <v>0</v>
      </c>
      <c r="DQ9" s="514">
        <v>0</v>
      </c>
      <c r="DR9" s="514">
        <v>0</v>
      </c>
      <c r="DS9" s="514">
        <v>0</v>
      </c>
      <c r="DT9" s="514">
        <v>0</v>
      </c>
      <c r="DU9" s="514">
        <v>0</v>
      </c>
      <c r="DV9" s="514">
        <v>0</v>
      </c>
      <c r="DW9" s="514">
        <v>0</v>
      </c>
      <c r="DX9" s="514">
        <v>0</v>
      </c>
      <c r="DY9" s="514">
        <v>0</v>
      </c>
      <c r="DZ9" s="514">
        <v>0</v>
      </c>
      <c r="EA9" s="514">
        <v>0</v>
      </c>
      <c r="EB9" s="514">
        <v>0</v>
      </c>
      <c r="EC9" s="514">
        <v>0</v>
      </c>
      <c r="ED9" s="514">
        <v>0</v>
      </c>
      <c r="EE9" s="514">
        <v>0</v>
      </c>
      <c r="EF9" s="514">
        <v>0</v>
      </c>
      <c r="EG9" s="514">
        <v>0</v>
      </c>
      <c r="EH9" s="514">
        <v>0</v>
      </c>
      <c r="EI9" s="514">
        <v>0</v>
      </c>
      <c r="EJ9" s="514">
        <v>0</v>
      </c>
      <c r="EK9" s="514">
        <v>0</v>
      </c>
      <c r="EL9" s="514">
        <v>0</v>
      </c>
      <c r="EM9" s="514">
        <v>0</v>
      </c>
      <c r="EN9" s="514">
        <v>0</v>
      </c>
      <c r="EO9" s="514">
        <v>0</v>
      </c>
      <c r="EP9" s="514">
        <v>0</v>
      </c>
      <c r="EQ9" s="514">
        <v>0</v>
      </c>
      <c r="ER9" s="514">
        <v>0</v>
      </c>
      <c r="ES9" s="514">
        <v>0</v>
      </c>
      <c r="ET9" s="514">
        <v>0</v>
      </c>
      <c r="EU9" s="514">
        <v>0</v>
      </c>
      <c r="EV9" s="514">
        <v>0</v>
      </c>
      <c r="EW9" s="514">
        <v>0</v>
      </c>
      <c r="EX9" s="514">
        <v>0</v>
      </c>
      <c r="EY9" s="514">
        <v>0</v>
      </c>
      <c r="EZ9" s="514">
        <v>0</v>
      </c>
      <c r="FA9" s="514">
        <v>0</v>
      </c>
      <c r="FB9" s="514">
        <v>0</v>
      </c>
      <c r="FC9" s="514">
        <v>0</v>
      </c>
      <c r="FD9" s="514">
        <v>0</v>
      </c>
      <c r="FE9" s="514">
        <v>0</v>
      </c>
      <c r="FF9" s="514">
        <v>0</v>
      </c>
      <c r="FG9" s="514">
        <v>0</v>
      </c>
      <c r="FH9" s="514">
        <v>0</v>
      </c>
      <c r="FI9" s="514">
        <v>0</v>
      </c>
      <c r="FJ9" s="514">
        <v>0</v>
      </c>
      <c r="FK9" s="514">
        <v>0</v>
      </c>
      <c r="FL9" s="514">
        <v>0</v>
      </c>
      <c r="FM9" s="514">
        <v>0</v>
      </c>
      <c r="FN9" s="514">
        <v>0</v>
      </c>
      <c r="FO9" s="514">
        <v>0</v>
      </c>
      <c r="FP9" s="514">
        <v>0</v>
      </c>
      <c r="FQ9" s="514">
        <v>0</v>
      </c>
    </row>
    <row r="10" spans="1:173" ht="16.5" hidden="1">
      <c r="A10" s="512" t="s">
        <v>658</v>
      </c>
      <c r="B10" s="512" t="s">
        <v>732</v>
      </c>
      <c r="C10" s="512" t="s">
        <v>721</v>
      </c>
      <c r="D10" s="513"/>
      <c r="E10" s="512" t="s">
        <v>721</v>
      </c>
      <c r="F10" s="512" t="s">
        <v>26</v>
      </c>
      <c r="G10" s="513"/>
      <c r="H10" s="514">
        <v>19</v>
      </c>
      <c r="I10" s="298" t="str">
        <f t="shared" si="0"/>
        <v>AOR100219</v>
      </c>
      <c r="J10" s="514">
        <v>3</v>
      </c>
      <c r="L10" s="512" t="s">
        <v>720</v>
      </c>
      <c r="M10" s="512" t="s">
        <v>739</v>
      </c>
      <c r="N10" s="512" t="s">
        <v>721</v>
      </c>
      <c r="O10" s="513"/>
      <c r="P10" s="512" t="s">
        <v>721</v>
      </c>
      <c r="Q10" s="512" t="s">
        <v>25</v>
      </c>
      <c r="R10" s="513"/>
      <c r="S10" s="514">
        <v>53</v>
      </c>
      <c r="T10" s="298" t="str">
        <f t="shared" si="1"/>
        <v>HSGA0153</v>
      </c>
      <c r="U10" s="514">
        <v>13464</v>
      </c>
      <c r="W10" s="512" t="s">
        <v>269</v>
      </c>
      <c r="X10" s="512" t="s">
        <v>843</v>
      </c>
      <c r="Y10" s="512" t="s">
        <v>721</v>
      </c>
      <c r="Z10" s="514">
        <v>10</v>
      </c>
      <c r="AA10" s="512" t="s">
        <v>721</v>
      </c>
      <c r="AB10" s="512" t="s">
        <v>25</v>
      </c>
      <c r="AC10" s="514">
        <v>0</v>
      </c>
      <c r="AD10" s="514">
        <v>22</v>
      </c>
      <c r="AE10" s="298" t="str">
        <f t="shared" si="2"/>
        <v>HNR100122</v>
      </c>
      <c r="AF10" s="514">
        <v>282</v>
      </c>
      <c r="AH10" s="512" t="s">
        <v>721</v>
      </c>
      <c r="AI10" s="512" t="s">
        <v>1030</v>
      </c>
      <c r="AJ10" s="512" t="s">
        <v>721</v>
      </c>
      <c r="AK10" s="513"/>
      <c r="AL10" s="512" t="s">
        <v>721</v>
      </c>
      <c r="AM10" s="512" t="s">
        <v>25</v>
      </c>
      <c r="AN10" s="513"/>
      <c r="AO10" s="514">
        <v>22</v>
      </c>
      <c r="AP10" s="513"/>
      <c r="AQ10" s="298" t="str">
        <f t="shared" si="3"/>
        <v>HOR100122</v>
      </c>
      <c r="AR10" s="514">
        <v>345</v>
      </c>
      <c r="AT10" s="512" t="s">
        <v>743</v>
      </c>
      <c r="AU10" s="512" t="s">
        <v>744</v>
      </c>
      <c r="AV10" s="512" t="s">
        <v>721</v>
      </c>
      <c r="AW10" s="513"/>
      <c r="AX10" s="512" t="s">
        <v>721</v>
      </c>
      <c r="AY10" s="512" t="s">
        <v>26</v>
      </c>
      <c r="AZ10" s="513"/>
      <c r="BA10" s="514">
        <v>25</v>
      </c>
      <c r="BB10" s="298" t="str">
        <f t="shared" si="4"/>
        <v>CLR100225</v>
      </c>
      <c r="BC10" s="514">
        <v>45</v>
      </c>
      <c r="BF10" s="512" t="s">
        <v>658</v>
      </c>
      <c r="BG10" s="512" t="s">
        <v>732</v>
      </c>
      <c r="BH10" s="512" t="s">
        <v>25</v>
      </c>
      <c r="BI10" s="514">
        <v>22</v>
      </c>
      <c r="BJ10" s="298" t="str">
        <f t="shared" si="5"/>
        <v>AOR100122</v>
      </c>
      <c r="BK10" s="514">
        <v>0</v>
      </c>
      <c r="BL10" s="514">
        <v>1</v>
      </c>
      <c r="BM10" s="514">
        <v>1</v>
      </c>
      <c r="BN10" s="514">
        <v>1</v>
      </c>
      <c r="BO10" s="514">
        <v>1</v>
      </c>
      <c r="BP10" s="514">
        <v>2</v>
      </c>
      <c r="BQ10" s="514">
        <v>2</v>
      </c>
      <c r="BR10" s="514">
        <v>2</v>
      </c>
      <c r="BS10" s="514">
        <v>3</v>
      </c>
      <c r="BT10" s="514">
        <v>0</v>
      </c>
      <c r="BU10" s="514">
        <v>0</v>
      </c>
      <c r="BV10" s="514">
        <v>0</v>
      </c>
      <c r="BW10" s="514">
        <v>0</v>
      </c>
      <c r="BX10" s="514">
        <v>0</v>
      </c>
      <c r="BY10" s="514">
        <v>0</v>
      </c>
      <c r="BZ10" s="514">
        <v>0</v>
      </c>
      <c r="CA10" s="514">
        <v>0</v>
      </c>
      <c r="CB10" s="514">
        <v>0</v>
      </c>
      <c r="CC10" s="514">
        <v>0</v>
      </c>
      <c r="CD10" s="514">
        <v>0</v>
      </c>
      <c r="CE10" s="514">
        <v>0</v>
      </c>
      <c r="CF10" s="514">
        <v>0</v>
      </c>
      <c r="CG10" s="514">
        <v>0</v>
      </c>
      <c r="CH10" s="514">
        <v>0</v>
      </c>
      <c r="CI10" s="514">
        <v>0</v>
      </c>
      <c r="CJ10" s="514">
        <v>0</v>
      </c>
      <c r="CK10" s="514">
        <v>0</v>
      </c>
      <c r="CL10" s="514">
        <v>0</v>
      </c>
      <c r="CM10" s="514">
        <v>0</v>
      </c>
      <c r="CN10" s="514">
        <v>0</v>
      </c>
      <c r="CO10" s="514">
        <v>0</v>
      </c>
      <c r="CP10" s="514">
        <v>0</v>
      </c>
      <c r="CQ10" s="514">
        <v>0</v>
      </c>
      <c r="CR10" s="514">
        <v>0</v>
      </c>
      <c r="CS10" s="514">
        <v>0</v>
      </c>
      <c r="CT10" s="514">
        <v>0</v>
      </c>
      <c r="CU10" s="514">
        <v>0</v>
      </c>
      <c r="CV10" s="514">
        <v>0</v>
      </c>
      <c r="CW10" s="514">
        <v>0</v>
      </c>
      <c r="CX10" s="514">
        <v>0</v>
      </c>
      <c r="CY10" s="514">
        <v>0</v>
      </c>
      <c r="CZ10" s="514">
        <v>0</v>
      </c>
      <c r="DA10" s="514">
        <v>0</v>
      </c>
      <c r="DB10" s="514">
        <v>0</v>
      </c>
      <c r="DC10" s="514">
        <v>0</v>
      </c>
      <c r="DD10" s="514">
        <v>0</v>
      </c>
      <c r="DE10" s="514">
        <v>0</v>
      </c>
      <c r="DF10" s="514">
        <v>0</v>
      </c>
      <c r="DG10" s="514">
        <v>0</v>
      </c>
      <c r="DH10" s="514">
        <v>0</v>
      </c>
      <c r="DI10" s="514">
        <v>0</v>
      </c>
      <c r="DJ10" s="514">
        <v>0</v>
      </c>
      <c r="DK10" s="514">
        <v>0</v>
      </c>
      <c r="DL10" s="514">
        <v>0</v>
      </c>
      <c r="DM10" s="514">
        <v>0</v>
      </c>
      <c r="DN10" s="514">
        <v>0</v>
      </c>
      <c r="DO10" s="514">
        <v>0</v>
      </c>
      <c r="DP10" s="514">
        <v>0</v>
      </c>
      <c r="DQ10" s="514">
        <v>0</v>
      </c>
      <c r="DR10" s="514">
        <v>0</v>
      </c>
      <c r="DS10" s="514">
        <v>0</v>
      </c>
      <c r="DT10" s="514">
        <v>0</v>
      </c>
      <c r="DU10" s="514">
        <v>0</v>
      </c>
      <c r="DV10" s="514">
        <v>0</v>
      </c>
      <c r="DW10" s="514">
        <v>0</v>
      </c>
      <c r="DX10" s="514">
        <v>0</v>
      </c>
      <c r="DY10" s="514">
        <v>0</v>
      </c>
      <c r="DZ10" s="514">
        <v>0</v>
      </c>
      <c r="EA10" s="514">
        <v>0</v>
      </c>
      <c r="EB10" s="514">
        <v>0</v>
      </c>
      <c r="EC10" s="514">
        <v>0</v>
      </c>
      <c r="ED10" s="514">
        <v>0</v>
      </c>
      <c r="EE10" s="514">
        <v>0</v>
      </c>
      <c r="EF10" s="514">
        <v>0</v>
      </c>
      <c r="EG10" s="514">
        <v>0</v>
      </c>
      <c r="EH10" s="514">
        <v>0</v>
      </c>
      <c r="EI10" s="514">
        <v>0</v>
      </c>
      <c r="EJ10" s="514">
        <v>0</v>
      </c>
      <c r="EK10" s="514">
        <v>0</v>
      </c>
      <c r="EL10" s="514">
        <v>0</v>
      </c>
      <c r="EM10" s="514">
        <v>0</v>
      </c>
      <c r="EN10" s="514">
        <v>0</v>
      </c>
      <c r="EO10" s="514">
        <v>0</v>
      </c>
      <c r="EP10" s="514">
        <v>0</v>
      </c>
      <c r="EQ10" s="514">
        <v>0</v>
      </c>
      <c r="ER10" s="514">
        <v>0</v>
      </c>
      <c r="ES10" s="514">
        <v>0</v>
      </c>
      <c r="ET10" s="514">
        <v>0</v>
      </c>
      <c r="EU10" s="514">
        <v>0</v>
      </c>
      <c r="EV10" s="514">
        <v>0</v>
      </c>
      <c r="EW10" s="514">
        <v>0</v>
      </c>
      <c r="EX10" s="514">
        <v>0</v>
      </c>
      <c r="EY10" s="514">
        <v>0</v>
      </c>
      <c r="EZ10" s="514">
        <v>0</v>
      </c>
      <c r="FA10" s="514">
        <v>0</v>
      </c>
      <c r="FB10" s="514">
        <v>0</v>
      </c>
      <c r="FC10" s="514">
        <v>0</v>
      </c>
      <c r="FD10" s="514">
        <v>0</v>
      </c>
      <c r="FE10" s="514">
        <v>0</v>
      </c>
      <c r="FF10" s="514">
        <v>0</v>
      </c>
      <c r="FG10" s="514">
        <v>0</v>
      </c>
      <c r="FH10" s="514">
        <v>0</v>
      </c>
      <c r="FI10" s="514">
        <v>0</v>
      </c>
      <c r="FJ10" s="514">
        <v>0</v>
      </c>
      <c r="FK10" s="514">
        <v>0</v>
      </c>
      <c r="FL10" s="514">
        <v>0</v>
      </c>
      <c r="FM10" s="514">
        <v>0</v>
      </c>
      <c r="FN10" s="514">
        <v>0</v>
      </c>
      <c r="FO10" s="514">
        <v>0</v>
      </c>
      <c r="FP10" s="514">
        <v>0</v>
      </c>
      <c r="FQ10" s="514">
        <v>0</v>
      </c>
    </row>
    <row r="11" spans="1:173" ht="16.5" hidden="1">
      <c r="A11" s="512" t="s">
        <v>658</v>
      </c>
      <c r="B11" s="512" t="s">
        <v>732</v>
      </c>
      <c r="C11" s="512" t="s">
        <v>721</v>
      </c>
      <c r="D11" s="513"/>
      <c r="E11" s="512" t="s">
        <v>721</v>
      </c>
      <c r="F11" s="512" t="s">
        <v>26</v>
      </c>
      <c r="G11" s="513"/>
      <c r="H11" s="514">
        <v>20</v>
      </c>
      <c r="I11" s="298" t="str">
        <f t="shared" si="0"/>
        <v>AOR100220</v>
      </c>
      <c r="J11" s="514">
        <v>3</v>
      </c>
      <c r="L11" s="512" t="s">
        <v>720</v>
      </c>
      <c r="M11" s="512" t="s">
        <v>739</v>
      </c>
      <c r="N11" s="512" t="s">
        <v>721</v>
      </c>
      <c r="O11" s="513"/>
      <c r="P11" s="512" t="s">
        <v>721</v>
      </c>
      <c r="Q11" s="512" t="s">
        <v>25</v>
      </c>
      <c r="R11" s="513"/>
      <c r="S11" s="514">
        <v>54</v>
      </c>
      <c r="T11" s="298" t="str">
        <f t="shared" si="1"/>
        <v>HSGA0154</v>
      </c>
      <c r="U11" s="514">
        <v>13710</v>
      </c>
      <c r="W11" s="512" t="s">
        <v>269</v>
      </c>
      <c r="X11" s="512" t="s">
        <v>843</v>
      </c>
      <c r="Y11" s="512" t="s">
        <v>721</v>
      </c>
      <c r="Z11" s="514">
        <v>10</v>
      </c>
      <c r="AA11" s="512" t="s">
        <v>721</v>
      </c>
      <c r="AB11" s="512" t="s">
        <v>25</v>
      </c>
      <c r="AC11" s="514">
        <v>0</v>
      </c>
      <c r="AD11" s="514">
        <v>23</v>
      </c>
      <c r="AE11" s="298" t="str">
        <f t="shared" si="2"/>
        <v>HNR100123</v>
      </c>
      <c r="AF11" s="514">
        <v>274</v>
      </c>
      <c r="AH11" s="512" t="s">
        <v>721</v>
      </c>
      <c r="AI11" s="512" t="s">
        <v>1030</v>
      </c>
      <c r="AJ11" s="512" t="s">
        <v>721</v>
      </c>
      <c r="AK11" s="513"/>
      <c r="AL11" s="512" t="s">
        <v>721</v>
      </c>
      <c r="AM11" s="512" t="s">
        <v>25</v>
      </c>
      <c r="AN11" s="513"/>
      <c r="AO11" s="514">
        <v>23</v>
      </c>
      <c r="AP11" s="513"/>
      <c r="AQ11" s="298" t="str">
        <f t="shared" si="3"/>
        <v>HOR100123</v>
      </c>
      <c r="AR11" s="514">
        <v>340</v>
      </c>
      <c r="AT11" s="512" t="s">
        <v>743</v>
      </c>
      <c r="AU11" s="512" t="s">
        <v>744</v>
      </c>
      <c r="AV11" s="512" t="s">
        <v>721</v>
      </c>
      <c r="AW11" s="513"/>
      <c r="AX11" s="512" t="s">
        <v>721</v>
      </c>
      <c r="AY11" s="512" t="s">
        <v>25</v>
      </c>
      <c r="AZ11" s="513"/>
      <c r="BA11" s="514">
        <v>26</v>
      </c>
      <c r="BB11" s="298" t="str">
        <f t="shared" si="4"/>
        <v>CLR100126</v>
      </c>
      <c r="BC11" s="514">
        <v>31</v>
      </c>
      <c r="BF11" s="512" t="s">
        <v>658</v>
      </c>
      <c r="BG11" s="512" t="s">
        <v>732</v>
      </c>
      <c r="BH11" s="512" t="s">
        <v>25</v>
      </c>
      <c r="BI11" s="514">
        <v>23</v>
      </c>
      <c r="BJ11" s="298" t="str">
        <f t="shared" si="5"/>
        <v>AOR100123</v>
      </c>
      <c r="BK11" s="514">
        <v>0</v>
      </c>
      <c r="BL11" s="514">
        <v>1</v>
      </c>
      <c r="BM11" s="514">
        <v>1</v>
      </c>
      <c r="BN11" s="514">
        <v>1</v>
      </c>
      <c r="BO11" s="514">
        <v>1</v>
      </c>
      <c r="BP11" s="514">
        <v>2</v>
      </c>
      <c r="BQ11" s="514">
        <v>2</v>
      </c>
      <c r="BR11" s="514">
        <v>2</v>
      </c>
      <c r="BS11" s="514">
        <v>3</v>
      </c>
      <c r="BT11" s="514">
        <v>0</v>
      </c>
      <c r="BU11" s="514">
        <v>0</v>
      </c>
      <c r="BV11" s="514">
        <v>0</v>
      </c>
      <c r="BW11" s="514">
        <v>0</v>
      </c>
      <c r="BX11" s="514">
        <v>0</v>
      </c>
      <c r="BY11" s="514">
        <v>0</v>
      </c>
      <c r="BZ11" s="514">
        <v>0</v>
      </c>
      <c r="CA11" s="514">
        <v>0</v>
      </c>
      <c r="CB11" s="514">
        <v>0</v>
      </c>
      <c r="CC11" s="514">
        <v>0</v>
      </c>
      <c r="CD11" s="514">
        <v>0</v>
      </c>
      <c r="CE11" s="514">
        <v>0</v>
      </c>
      <c r="CF11" s="514">
        <v>0</v>
      </c>
      <c r="CG11" s="514">
        <v>0</v>
      </c>
      <c r="CH11" s="514">
        <v>0</v>
      </c>
      <c r="CI11" s="514">
        <v>0</v>
      </c>
      <c r="CJ11" s="514">
        <v>0</v>
      </c>
      <c r="CK11" s="514">
        <v>0</v>
      </c>
      <c r="CL11" s="514">
        <v>0</v>
      </c>
      <c r="CM11" s="514">
        <v>0</v>
      </c>
      <c r="CN11" s="514">
        <v>0</v>
      </c>
      <c r="CO11" s="514">
        <v>0</v>
      </c>
      <c r="CP11" s="514">
        <v>0</v>
      </c>
      <c r="CQ11" s="514">
        <v>0</v>
      </c>
      <c r="CR11" s="514">
        <v>0</v>
      </c>
      <c r="CS11" s="514">
        <v>0</v>
      </c>
      <c r="CT11" s="514">
        <v>0</v>
      </c>
      <c r="CU11" s="514">
        <v>0</v>
      </c>
      <c r="CV11" s="514">
        <v>0</v>
      </c>
      <c r="CW11" s="514">
        <v>0</v>
      </c>
      <c r="CX11" s="514">
        <v>0</v>
      </c>
      <c r="CY11" s="514">
        <v>0</v>
      </c>
      <c r="CZ11" s="514">
        <v>0</v>
      </c>
      <c r="DA11" s="514">
        <v>0</v>
      </c>
      <c r="DB11" s="514">
        <v>0</v>
      </c>
      <c r="DC11" s="514">
        <v>0</v>
      </c>
      <c r="DD11" s="514">
        <v>0</v>
      </c>
      <c r="DE11" s="514">
        <v>0</v>
      </c>
      <c r="DF11" s="514">
        <v>0</v>
      </c>
      <c r="DG11" s="514">
        <v>0</v>
      </c>
      <c r="DH11" s="514">
        <v>0</v>
      </c>
      <c r="DI11" s="514">
        <v>0</v>
      </c>
      <c r="DJ11" s="514">
        <v>0</v>
      </c>
      <c r="DK11" s="514">
        <v>0</v>
      </c>
      <c r="DL11" s="514">
        <v>0</v>
      </c>
      <c r="DM11" s="514">
        <v>0</v>
      </c>
      <c r="DN11" s="514">
        <v>0</v>
      </c>
      <c r="DO11" s="514">
        <v>0</v>
      </c>
      <c r="DP11" s="514">
        <v>0</v>
      </c>
      <c r="DQ11" s="514">
        <v>0</v>
      </c>
      <c r="DR11" s="514">
        <v>0</v>
      </c>
      <c r="DS11" s="514">
        <v>0</v>
      </c>
      <c r="DT11" s="514">
        <v>0</v>
      </c>
      <c r="DU11" s="514">
        <v>0</v>
      </c>
      <c r="DV11" s="514">
        <v>0</v>
      </c>
      <c r="DW11" s="514">
        <v>0</v>
      </c>
      <c r="DX11" s="514">
        <v>0</v>
      </c>
      <c r="DY11" s="514">
        <v>0</v>
      </c>
      <c r="DZ11" s="514">
        <v>0</v>
      </c>
      <c r="EA11" s="514">
        <v>0</v>
      </c>
      <c r="EB11" s="514">
        <v>0</v>
      </c>
      <c r="EC11" s="514">
        <v>0</v>
      </c>
      <c r="ED11" s="514">
        <v>0</v>
      </c>
      <c r="EE11" s="514">
        <v>0</v>
      </c>
      <c r="EF11" s="514">
        <v>0</v>
      </c>
      <c r="EG11" s="514">
        <v>0</v>
      </c>
      <c r="EH11" s="514">
        <v>0</v>
      </c>
      <c r="EI11" s="514">
        <v>0</v>
      </c>
      <c r="EJ11" s="514">
        <v>0</v>
      </c>
      <c r="EK11" s="514">
        <v>0</v>
      </c>
      <c r="EL11" s="514">
        <v>0</v>
      </c>
      <c r="EM11" s="514">
        <v>0</v>
      </c>
      <c r="EN11" s="514">
        <v>0</v>
      </c>
      <c r="EO11" s="514">
        <v>0</v>
      </c>
      <c r="EP11" s="514">
        <v>0</v>
      </c>
      <c r="EQ11" s="514">
        <v>0</v>
      </c>
      <c r="ER11" s="514">
        <v>0</v>
      </c>
      <c r="ES11" s="514">
        <v>0</v>
      </c>
      <c r="ET11" s="514">
        <v>0</v>
      </c>
      <c r="EU11" s="514">
        <v>0</v>
      </c>
      <c r="EV11" s="514">
        <v>0</v>
      </c>
      <c r="EW11" s="514">
        <v>0</v>
      </c>
      <c r="EX11" s="514">
        <v>0</v>
      </c>
      <c r="EY11" s="514">
        <v>0</v>
      </c>
      <c r="EZ11" s="514">
        <v>0</v>
      </c>
      <c r="FA11" s="514">
        <v>0</v>
      </c>
      <c r="FB11" s="514">
        <v>0</v>
      </c>
      <c r="FC11" s="514">
        <v>0</v>
      </c>
      <c r="FD11" s="514">
        <v>0</v>
      </c>
      <c r="FE11" s="514">
        <v>0</v>
      </c>
      <c r="FF11" s="514">
        <v>0</v>
      </c>
      <c r="FG11" s="514">
        <v>0</v>
      </c>
      <c r="FH11" s="514">
        <v>0</v>
      </c>
      <c r="FI11" s="514">
        <v>0</v>
      </c>
      <c r="FJ11" s="514">
        <v>0</v>
      </c>
      <c r="FK11" s="514">
        <v>0</v>
      </c>
      <c r="FL11" s="514">
        <v>0</v>
      </c>
      <c r="FM11" s="514">
        <v>0</v>
      </c>
      <c r="FN11" s="514">
        <v>0</v>
      </c>
      <c r="FO11" s="514">
        <v>0</v>
      </c>
      <c r="FP11" s="514">
        <v>0</v>
      </c>
      <c r="FQ11" s="514">
        <v>0</v>
      </c>
    </row>
    <row r="12" spans="1:173" ht="16.5" hidden="1">
      <c r="A12" s="512" t="s">
        <v>658</v>
      </c>
      <c r="B12" s="512" t="s">
        <v>732</v>
      </c>
      <c r="C12" s="512" t="s">
        <v>721</v>
      </c>
      <c r="D12" s="513"/>
      <c r="E12" s="512" t="s">
        <v>721</v>
      </c>
      <c r="F12" s="512" t="s">
        <v>26</v>
      </c>
      <c r="G12" s="513"/>
      <c r="H12" s="514">
        <v>21</v>
      </c>
      <c r="I12" s="298" t="str">
        <f t="shared" si="0"/>
        <v>AOR100221</v>
      </c>
      <c r="J12" s="514">
        <v>3</v>
      </c>
      <c r="L12" s="512" t="s">
        <v>720</v>
      </c>
      <c r="M12" s="512" t="s">
        <v>739</v>
      </c>
      <c r="N12" s="512" t="s">
        <v>721</v>
      </c>
      <c r="O12" s="513"/>
      <c r="P12" s="512" t="s">
        <v>721</v>
      </c>
      <c r="Q12" s="512" t="s">
        <v>25</v>
      </c>
      <c r="R12" s="513"/>
      <c r="S12" s="514">
        <v>55</v>
      </c>
      <c r="T12" s="298" t="str">
        <f t="shared" si="1"/>
        <v>HSGA0155</v>
      </c>
      <c r="U12" s="514">
        <v>13987</v>
      </c>
      <c r="W12" s="512" t="s">
        <v>269</v>
      </c>
      <c r="X12" s="512" t="s">
        <v>843</v>
      </c>
      <c r="Y12" s="512" t="s">
        <v>721</v>
      </c>
      <c r="Z12" s="514">
        <v>10</v>
      </c>
      <c r="AA12" s="512" t="s">
        <v>721</v>
      </c>
      <c r="AB12" s="512" t="s">
        <v>25</v>
      </c>
      <c r="AC12" s="514">
        <v>0</v>
      </c>
      <c r="AD12" s="514">
        <v>24</v>
      </c>
      <c r="AE12" s="298" t="str">
        <f t="shared" si="2"/>
        <v>HNR100124</v>
      </c>
      <c r="AF12" s="514">
        <v>268</v>
      </c>
      <c r="AH12" s="512" t="s">
        <v>721</v>
      </c>
      <c r="AI12" s="512" t="s">
        <v>1030</v>
      </c>
      <c r="AJ12" s="512" t="s">
        <v>721</v>
      </c>
      <c r="AK12" s="513"/>
      <c r="AL12" s="512" t="s">
        <v>721</v>
      </c>
      <c r="AM12" s="512" t="s">
        <v>25</v>
      </c>
      <c r="AN12" s="513"/>
      <c r="AO12" s="514">
        <v>24</v>
      </c>
      <c r="AP12" s="513"/>
      <c r="AQ12" s="298" t="str">
        <f t="shared" si="3"/>
        <v>HOR100124</v>
      </c>
      <c r="AR12" s="514">
        <v>335</v>
      </c>
      <c r="AT12" s="512" t="s">
        <v>743</v>
      </c>
      <c r="AU12" s="512" t="s">
        <v>744</v>
      </c>
      <c r="AV12" s="512" t="s">
        <v>721</v>
      </c>
      <c r="AW12" s="513"/>
      <c r="AX12" s="512" t="s">
        <v>721</v>
      </c>
      <c r="AY12" s="512" t="s">
        <v>26</v>
      </c>
      <c r="AZ12" s="513"/>
      <c r="BA12" s="514">
        <v>26</v>
      </c>
      <c r="BB12" s="298" t="str">
        <f t="shared" si="4"/>
        <v>CLR100226</v>
      </c>
      <c r="BC12" s="514">
        <v>53</v>
      </c>
      <c r="BF12" s="512" t="s">
        <v>658</v>
      </c>
      <c r="BG12" s="512" t="s">
        <v>732</v>
      </c>
      <c r="BH12" s="512" t="s">
        <v>25</v>
      </c>
      <c r="BI12" s="514">
        <v>24</v>
      </c>
      <c r="BJ12" s="298" t="str">
        <f t="shared" si="5"/>
        <v>AOR100124</v>
      </c>
      <c r="BK12" s="514">
        <v>0</v>
      </c>
      <c r="BL12" s="514">
        <v>1</v>
      </c>
      <c r="BM12" s="514">
        <v>1</v>
      </c>
      <c r="BN12" s="514">
        <v>1</v>
      </c>
      <c r="BO12" s="514">
        <v>1</v>
      </c>
      <c r="BP12" s="514">
        <v>2</v>
      </c>
      <c r="BQ12" s="514">
        <v>2</v>
      </c>
      <c r="BR12" s="514">
        <v>2</v>
      </c>
      <c r="BS12" s="514">
        <v>3</v>
      </c>
      <c r="BT12" s="514">
        <v>0</v>
      </c>
      <c r="BU12" s="514">
        <v>0</v>
      </c>
      <c r="BV12" s="514">
        <v>0</v>
      </c>
      <c r="BW12" s="514">
        <v>0</v>
      </c>
      <c r="BX12" s="514">
        <v>0</v>
      </c>
      <c r="BY12" s="514">
        <v>0</v>
      </c>
      <c r="BZ12" s="514">
        <v>0</v>
      </c>
      <c r="CA12" s="514">
        <v>0</v>
      </c>
      <c r="CB12" s="514">
        <v>0</v>
      </c>
      <c r="CC12" s="514">
        <v>0</v>
      </c>
      <c r="CD12" s="514">
        <v>0</v>
      </c>
      <c r="CE12" s="514">
        <v>0</v>
      </c>
      <c r="CF12" s="514">
        <v>0</v>
      </c>
      <c r="CG12" s="514">
        <v>0</v>
      </c>
      <c r="CH12" s="514">
        <v>0</v>
      </c>
      <c r="CI12" s="514">
        <v>0</v>
      </c>
      <c r="CJ12" s="514">
        <v>0</v>
      </c>
      <c r="CK12" s="514">
        <v>0</v>
      </c>
      <c r="CL12" s="514">
        <v>0</v>
      </c>
      <c r="CM12" s="514">
        <v>0</v>
      </c>
      <c r="CN12" s="514">
        <v>0</v>
      </c>
      <c r="CO12" s="514">
        <v>0</v>
      </c>
      <c r="CP12" s="514">
        <v>0</v>
      </c>
      <c r="CQ12" s="514">
        <v>0</v>
      </c>
      <c r="CR12" s="514">
        <v>0</v>
      </c>
      <c r="CS12" s="514">
        <v>0</v>
      </c>
      <c r="CT12" s="514">
        <v>0</v>
      </c>
      <c r="CU12" s="514">
        <v>0</v>
      </c>
      <c r="CV12" s="514">
        <v>0</v>
      </c>
      <c r="CW12" s="514">
        <v>0</v>
      </c>
      <c r="CX12" s="514">
        <v>0</v>
      </c>
      <c r="CY12" s="514">
        <v>0</v>
      </c>
      <c r="CZ12" s="514">
        <v>0</v>
      </c>
      <c r="DA12" s="514">
        <v>0</v>
      </c>
      <c r="DB12" s="514">
        <v>0</v>
      </c>
      <c r="DC12" s="514">
        <v>0</v>
      </c>
      <c r="DD12" s="514">
        <v>0</v>
      </c>
      <c r="DE12" s="514">
        <v>0</v>
      </c>
      <c r="DF12" s="514">
        <v>0</v>
      </c>
      <c r="DG12" s="514">
        <v>0</v>
      </c>
      <c r="DH12" s="514">
        <v>0</v>
      </c>
      <c r="DI12" s="514">
        <v>0</v>
      </c>
      <c r="DJ12" s="514">
        <v>0</v>
      </c>
      <c r="DK12" s="514">
        <v>0</v>
      </c>
      <c r="DL12" s="514">
        <v>0</v>
      </c>
      <c r="DM12" s="514">
        <v>0</v>
      </c>
      <c r="DN12" s="514">
        <v>0</v>
      </c>
      <c r="DO12" s="514">
        <v>0</v>
      </c>
      <c r="DP12" s="514">
        <v>0</v>
      </c>
      <c r="DQ12" s="514">
        <v>0</v>
      </c>
      <c r="DR12" s="514">
        <v>0</v>
      </c>
      <c r="DS12" s="514">
        <v>0</v>
      </c>
      <c r="DT12" s="514">
        <v>0</v>
      </c>
      <c r="DU12" s="514">
        <v>0</v>
      </c>
      <c r="DV12" s="514">
        <v>0</v>
      </c>
      <c r="DW12" s="514">
        <v>0</v>
      </c>
      <c r="DX12" s="514">
        <v>0</v>
      </c>
      <c r="DY12" s="514">
        <v>0</v>
      </c>
      <c r="DZ12" s="514">
        <v>0</v>
      </c>
      <c r="EA12" s="514">
        <v>0</v>
      </c>
      <c r="EB12" s="514">
        <v>0</v>
      </c>
      <c r="EC12" s="514">
        <v>0</v>
      </c>
      <c r="ED12" s="514">
        <v>0</v>
      </c>
      <c r="EE12" s="514">
        <v>0</v>
      </c>
      <c r="EF12" s="514">
        <v>0</v>
      </c>
      <c r="EG12" s="514">
        <v>0</v>
      </c>
      <c r="EH12" s="514">
        <v>0</v>
      </c>
      <c r="EI12" s="514">
        <v>0</v>
      </c>
      <c r="EJ12" s="514">
        <v>0</v>
      </c>
      <c r="EK12" s="514">
        <v>0</v>
      </c>
      <c r="EL12" s="514">
        <v>0</v>
      </c>
      <c r="EM12" s="514">
        <v>0</v>
      </c>
      <c r="EN12" s="514">
        <v>0</v>
      </c>
      <c r="EO12" s="514">
        <v>0</v>
      </c>
      <c r="EP12" s="514">
        <v>0</v>
      </c>
      <c r="EQ12" s="514">
        <v>0</v>
      </c>
      <c r="ER12" s="514">
        <v>0</v>
      </c>
      <c r="ES12" s="514">
        <v>0</v>
      </c>
      <c r="ET12" s="514">
        <v>0</v>
      </c>
      <c r="EU12" s="514">
        <v>0</v>
      </c>
      <c r="EV12" s="514">
        <v>0</v>
      </c>
      <c r="EW12" s="514">
        <v>0</v>
      </c>
      <c r="EX12" s="514">
        <v>0</v>
      </c>
      <c r="EY12" s="514">
        <v>0</v>
      </c>
      <c r="EZ12" s="514">
        <v>0</v>
      </c>
      <c r="FA12" s="514">
        <v>0</v>
      </c>
      <c r="FB12" s="514">
        <v>0</v>
      </c>
      <c r="FC12" s="514">
        <v>0</v>
      </c>
      <c r="FD12" s="514">
        <v>0</v>
      </c>
      <c r="FE12" s="514">
        <v>0</v>
      </c>
      <c r="FF12" s="514">
        <v>0</v>
      </c>
      <c r="FG12" s="514">
        <v>0</v>
      </c>
      <c r="FH12" s="514">
        <v>0</v>
      </c>
      <c r="FI12" s="514">
        <v>0</v>
      </c>
      <c r="FJ12" s="514">
        <v>0</v>
      </c>
      <c r="FK12" s="514">
        <v>0</v>
      </c>
      <c r="FL12" s="514">
        <v>0</v>
      </c>
      <c r="FM12" s="514">
        <v>0</v>
      </c>
      <c r="FN12" s="514">
        <v>0</v>
      </c>
      <c r="FO12" s="514">
        <v>0</v>
      </c>
      <c r="FP12" s="514">
        <v>0</v>
      </c>
      <c r="FQ12" s="514">
        <v>0</v>
      </c>
    </row>
    <row r="13" spans="1:173" ht="16.5" hidden="1">
      <c r="A13" s="512" t="s">
        <v>658</v>
      </c>
      <c r="B13" s="512" t="s">
        <v>732</v>
      </c>
      <c r="C13" s="512" t="s">
        <v>721</v>
      </c>
      <c r="D13" s="513"/>
      <c r="E13" s="512" t="s">
        <v>721</v>
      </c>
      <c r="F13" s="512" t="s">
        <v>26</v>
      </c>
      <c r="G13" s="513"/>
      <c r="H13" s="514">
        <v>22</v>
      </c>
      <c r="I13" s="298" t="str">
        <f t="shared" si="0"/>
        <v>AOR100222</v>
      </c>
      <c r="J13" s="514">
        <v>3</v>
      </c>
      <c r="L13" s="512" t="s">
        <v>720</v>
      </c>
      <c r="M13" s="512" t="s">
        <v>739</v>
      </c>
      <c r="N13" s="512" t="s">
        <v>721</v>
      </c>
      <c r="O13" s="513"/>
      <c r="P13" s="512" t="s">
        <v>721</v>
      </c>
      <c r="Q13" s="512" t="s">
        <v>25</v>
      </c>
      <c r="R13" s="513"/>
      <c r="S13" s="514">
        <v>56</v>
      </c>
      <c r="T13" s="298" t="str">
        <f t="shared" si="1"/>
        <v>HSGA0156</v>
      </c>
      <c r="U13" s="514">
        <v>14294</v>
      </c>
      <c r="W13" s="512" t="s">
        <v>269</v>
      </c>
      <c r="X13" s="512" t="s">
        <v>843</v>
      </c>
      <c r="Y13" s="512" t="s">
        <v>721</v>
      </c>
      <c r="Z13" s="514">
        <v>10</v>
      </c>
      <c r="AA13" s="512" t="s">
        <v>721</v>
      </c>
      <c r="AB13" s="512" t="s">
        <v>25</v>
      </c>
      <c r="AC13" s="514">
        <v>0</v>
      </c>
      <c r="AD13" s="514">
        <v>25</v>
      </c>
      <c r="AE13" s="298" t="str">
        <f t="shared" si="2"/>
        <v>HNR100125</v>
      </c>
      <c r="AF13" s="514">
        <v>260</v>
      </c>
      <c r="AH13" s="512" t="s">
        <v>721</v>
      </c>
      <c r="AI13" s="512" t="s">
        <v>1030</v>
      </c>
      <c r="AJ13" s="512" t="s">
        <v>721</v>
      </c>
      <c r="AK13" s="513"/>
      <c r="AL13" s="512" t="s">
        <v>721</v>
      </c>
      <c r="AM13" s="512" t="s">
        <v>25</v>
      </c>
      <c r="AN13" s="513"/>
      <c r="AO13" s="514">
        <v>25</v>
      </c>
      <c r="AP13" s="513"/>
      <c r="AQ13" s="298" t="str">
        <f t="shared" si="3"/>
        <v>HOR100125</v>
      </c>
      <c r="AR13" s="514">
        <v>330</v>
      </c>
      <c r="AT13" s="512" t="s">
        <v>743</v>
      </c>
      <c r="AU13" s="512" t="s">
        <v>744</v>
      </c>
      <c r="AV13" s="512" t="s">
        <v>721</v>
      </c>
      <c r="AW13" s="513"/>
      <c r="AX13" s="512" t="s">
        <v>721</v>
      </c>
      <c r="AY13" s="512" t="s">
        <v>25</v>
      </c>
      <c r="AZ13" s="513"/>
      <c r="BA13" s="514">
        <v>27</v>
      </c>
      <c r="BB13" s="298" t="str">
        <f t="shared" si="4"/>
        <v>CLR100127</v>
      </c>
      <c r="BC13" s="514">
        <v>36</v>
      </c>
      <c r="BF13" s="512" t="s">
        <v>658</v>
      </c>
      <c r="BG13" s="512" t="s">
        <v>732</v>
      </c>
      <c r="BH13" s="512" t="s">
        <v>25</v>
      </c>
      <c r="BI13" s="514">
        <v>25</v>
      </c>
      <c r="BJ13" s="298" t="str">
        <f t="shared" si="5"/>
        <v>AOR100125</v>
      </c>
      <c r="BK13" s="514">
        <v>0</v>
      </c>
      <c r="BL13" s="514">
        <v>1</v>
      </c>
      <c r="BM13" s="514">
        <v>1</v>
      </c>
      <c r="BN13" s="514">
        <v>1</v>
      </c>
      <c r="BO13" s="514">
        <v>1</v>
      </c>
      <c r="BP13" s="514">
        <v>2</v>
      </c>
      <c r="BQ13" s="514">
        <v>2</v>
      </c>
      <c r="BR13" s="514">
        <v>2</v>
      </c>
      <c r="BS13" s="514">
        <v>3</v>
      </c>
      <c r="BT13" s="514">
        <v>0</v>
      </c>
      <c r="BU13" s="514">
        <v>0</v>
      </c>
      <c r="BV13" s="514">
        <v>0</v>
      </c>
      <c r="BW13" s="514">
        <v>0</v>
      </c>
      <c r="BX13" s="514">
        <v>0</v>
      </c>
      <c r="BY13" s="514">
        <v>0</v>
      </c>
      <c r="BZ13" s="514">
        <v>0</v>
      </c>
      <c r="CA13" s="514">
        <v>0</v>
      </c>
      <c r="CB13" s="514">
        <v>0</v>
      </c>
      <c r="CC13" s="514">
        <v>0</v>
      </c>
      <c r="CD13" s="514">
        <v>0</v>
      </c>
      <c r="CE13" s="514">
        <v>0</v>
      </c>
      <c r="CF13" s="514">
        <v>0</v>
      </c>
      <c r="CG13" s="514">
        <v>0</v>
      </c>
      <c r="CH13" s="514">
        <v>0</v>
      </c>
      <c r="CI13" s="514">
        <v>0</v>
      </c>
      <c r="CJ13" s="514">
        <v>0</v>
      </c>
      <c r="CK13" s="514">
        <v>0</v>
      </c>
      <c r="CL13" s="514">
        <v>0</v>
      </c>
      <c r="CM13" s="514">
        <v>0</v>
      </c>
      <c r="CN13" s="514">
        <v>0</v>
      </c>
      <c r="CO13" s="514">
        <v>0</v>
      </c>
      <c r="CP13" s="514">
        <v>0</v>
      </c>
      <c r="CQ13" s="514">
        <v>0</v>
      </c>
      <c r="CR13" s="514">
        <v>0</v>
      </c>
      <c r="CS13" s="514">
        <v>0</v>
      </c>
      <c r="CT13" s="514">
        <v>0</v>
      </c>
      <c r="CU13" s="514">
        <v>0</v>
      </c>
      <c r="CV13" s="514">
        <v>0</v>
      </c>
      <c r="CW13" s="514">
        <v>0</v>
      </c>
      <c r="CX13" s="514">
        <v>0</v>
      </c>
      <c r="CY13" s="514">
        <v>0</v>
      </c>
      <c r="CZ13" s="514">
        <v>0</v>
      </c>
      <c r="DA13" s="514">
        <v>0</v>
      </c>
      <c r="DB13" s="514">
        <v>0</v>
      </c>
      <c r="DC13" s="514">
        <v>0</v>
      </c>
      <c r="DD13" s="514">
        <v>0</v>
      </c>
      <c r="DE13" s="514">
        <v>0</v>
      </c>
      <c r="DF13" s="514">
        <v>0</v>
      </c>
      <c r="DG13" s="514">
        <v>0</v>
      </c>
      <c r="DH13" s="514">
        <v>0</v>
      </c>
      <c r="DI13" s="514">
        <v>0</v>
      </c>
      <c r="DJ13" s="514">
        <v>0</v>
      </c>
      <c r="DK13" s="514">
        <v>0</v>
      </c>
      <c r="DL13" s="514">
        <v>0</v>
      </c>
      <c r="DM13" s="514">
        <v>0</v>
      </c>
      <c r="DN13" s="514">
        <v>0</v>
      </c>
      <c r="DO13" s="514">
        <v>0</v>
      </c>
      <c r="DP13" s="514">
        <v>0</v>
      </c>
      <c r="DQ13" s="514">
        <v>0</v>
      </c>
      <c r="DR13" s="514">
        <v>0</v>
      </c>
      <c r="DS13" s="514">
        <v>0</v>
      </c>
      <c r="DT13" s="514">
        <v>0</v>
      </c>
      <c r="DU13" s="514">
        <v>0</v>
      </c>
      <c r="DV13" s="514">
        <v>0</v>
      </c>
      <c r="DW13" s="514">
        <v>0</v>
      </c>
      <c r="DX13" s="514">
        <v>0</v>
      </c>
      <c r="DY13" s="514">
        <v>0</v>
      </c>
      <c r="DZ13" s="514">
        <v>0</v>
      </c>
      <c r="EA13" s="514">
        <v>0</v>
      </c>
      <c r="EB13" s="514">
        <v>0</v>
      </c>
      <c r="EC13" s="514">
        <v>0</v>
      </c>
      <c r="ED13" s="514">
        <v>0</v>
      </c>
      <c r="EE13" s="514">
        <v>0</v>
      </c>
      <c r="EF13" s="514">
        <v>0</v>
      </c>
      <c r="EG13" s="514">
        <v>0</v>
      </c>
      <c r="EH13" s="514">
        <v>0</v>
      </c>
      <c r="EI13" s="514">
        <v>0</v>
      </c>
      <c r="EJ13" s="514">
        <v>0</v>
      </c>
      <c r="EK13" s="514">
        <v>0</v>
      </c>
      <c r="EL13" s="514">
        <v>0</v>
      </c>
      <c r="EM13" s="514">
        <v>0</v>
      </c>
      <c r="EN13" s="514">
        <v>0</v>
      </c>
      <c r="EO13" s="514">
        <v>0</v>
      </c>
      <c r="EP13" s="514">
        <v>0</v>
      </c>
      <c r="EQ13" s="514">
        <v>0</v>
      </c>
      <c r="ER13" s="514">
        <v>0</v>
      </c>
      <c r="ES13" s="514">
        <v>0</v>
      </c>
      <c r="ET13" s="514">
        <v>0</v>
      </c>
      <c r="EU13" s="514">
        <v>0</v>
      </c>
      <c r="EV13" s="514">
        <v>0</v>
      </c>
      <c r="EW13" s="514">
        <v>0</v>
      </c>
      <c r="EX13" s="514">
        <v>0</v>
      </c>
      <c r="EY13" s="514">
        <v>0</v>
      </c>
      <c r="EZ13" s="514">
        <v>0</v>
      </c>
      <c r="FA13" s="514">
        <v>0</v>
      </c>
      <c r="FB13" s="514">
        <v>0</v>
      </c>
      <c r="FC13" s="514">
        <v>0</v>
      </c>
      <c r="FD13" s="514">
        <v>0</v>
      </c>
      <c r="FE13" s="514">
        <v>0</v>
      </c>
      <c r="FF13" s="514">
        <v>0</v>
      </c>
      <c r="FG13" s="514">
        <v>0</v>
      </c>
      <c r="FH13" s="514">
        <v>0</v>
      </c>
      <c r="FI13" s="514">
        <v>0</v>
      </c>
      <c r="FJ13" s="514">
        <v>0</v>
      </c>
      <c r="FK13" s="514">
        <v>0</v>
      </c>
      <c r="FL13" s="514">
        <v>0</v>
      </c>
      <c r="FM13" s="514">
        <v>0</v>
      </c>
      <c r="FN13" s="514">
        <v>0</v>
      </c>
      <c r="FO13" s="514">
        <v>0</v>
      </c>
      <c r="FP13" s="514">
        <v>0</v>
      </c>
      <c r="FQ13" s="514">
        <v>0</v>
      </c>
    </row>
    <row r="14" spans="1:173" ht="16.5" hidden="1">
      <c r="A14" s="512" t="s">
        <v>658</v>
      </c>
      <c r="B14" s="512" t="s">
        <v>732</v>
      </c>
      <c r="C14" s="512" t="s">
        <v>721</v>
      </c>
      <c r="D14" s="513"/>
      <c r="E14" s="512" t="s">
        <v>721</v>
      </c>
      <c r="F14" s="512" t="s">
        <v>26</v>
      </c>
      <c r="G14" s="513"/>
      <c r="H14" s="514">
        <v>23</v>
      </c>
      <c r="I14" s="298" t="str">
        <f t="shared" si="0"/>
        <v>AOR100223</v>
      </c>
      <c r="J14" s="514">
        <v>3</v>
      </c>
      <c r="L14" s="512" t="s">
        <v>720</v>
      </c>
      <c r="M14" s="512" t="s">
        <v>739</v>
      </c>
      <c r="N14" s="512" t="s">
        <v>721</v>
      </c>
      <c r="O14" s="513"/>
      <c r="P14" s="512" t="s">
        <v>721</v>
      </c>
      <c r="Q14" s="512" t="s">
        <v>25</v>
      </c>
      <c r="R14" s="513"/>
      <c r="S14" s="514">
        <v>57</v>
      </c>
      <c r="T14" s="298" t="str">
        <f t="shared" si="1"/>
        <v>HSGA0157</v>
      </c>
      <c r="U14" s="514">
        <v>14630</v>
      </c>
      <c r="W14" s="512" t="s">
        <v>269</v>
      </c>
      <c r="X14" s="512" t="s">
        <v>843</v>
      </c>
      <c r="Y14" s="512" t="s">
        <v>721</v>
      </c>
      <c r="Z14" s="514">
        <v>10</v>
      </c>
      <c r="AA14" s="512" t="s">
        <v>721</v>
      </c>
      <c r="AB14" s="512" t="s">
        <v>25</v>
      </c>
      <c r="AC14" s="514">
        <v>0</v>
      </c>
      <c r="AD14" s="514">
        <v>26</v>
      </c>
      <c r="AE14" s="298" t="str">
        <f t="shared" si="2"/>
        <v>HNR100126</v>
      </c>
      <c r="AF14" s="514">
        <v>256</v>
      </c>
      <c r="AH14" s="512" t="s">
        <v>721</v>
      </c>
      <c r="AI14" s="512" t="s">
        <v>1030</v>
      </c>
      <c r="AJ14" s="512" t="s">
        <v>721</v>
      </c>
      <c r="AK14" s="513"/>
      <c r="AL14" s="512" t="s">
        <v>721</v>
      </c>
      <c r="AM14" s="512" t="s">
        <v>25</v>
      </c>
      <c r="AN14" s="513"/>
      <c r="AO14" s="514">
        <v>26</v>
      </c>
      <c r="AP14" s="513"/>
      <c r="AQ14" s="298" t="str">
        <f t="shared" si="3"/>
        <v>HOR100126</v>
      </c>
      <c r="AR14" s="514">
        <v>330</v>
      </c>
      <c r="AT14" s="512" t="s">
        <v>743</v>
      </c>
      <c r="AU14" s="512" t="s">
        <v>744</v>
      </c>
      <c r="AV14" s="512" t="s">
        <v>721</v>
      </c>
      <c r="AW14" s="513"/>
      <c r="AX14" s="512" t="s">
        <v>721</v>
      </c>
      <c r="AY14" s="512" t="s">
        <v>26</v>
      </c>
      <c r="AZ14" s="513"/>
      <c r="BA14" s="514">
        <v>27</v>
      </c>
      <c r="BB14" s="298" t="str">
        <f t="shared" si="4"/>
        <v>CLR100227</v>
      </c>
      <c r="BC14" s="514">
        <v>62</v>
      </c>
      <c r="BF14" s="512" t="s">
        <v>658</v>
      </c>
      <c r="BG14" s="512" t="s">
        <v>732</v>
      </c>
      <c r="BH14" s="512" t="s">
        <v>25</v>
      </c>
      <c r="BI14" s="514">
        <v>26</v>
      </c>
      <c r="BJ14" s="298" t="str">
        <f t="shared" si="5"/>
        <v>AOR100126</v>
      </c>
      <c r="BK14" s="514">
        <v>0</v>
      </c>
      <c r="BL14" s="514">
        <v>1</v>
      </c>
      <c r="BM14" s="514">
        <v>1</v>
      </c>
      <c r="BN14" s="514">
        <v>1</v>
      </c>
      <c r="BO14" s="514">
        <v>1</v>
      </c>
      <c r="BP14" s="514">
        <v>2</v>
      </c>
      <c r="BQ14" s="514">
        <v>2</v>
      </c>
      <c r="BR14" s="514">
        <v>2</v>
      </c>
      <c r="BS14" s="514">
        <v>3</v>
      </c>
      <c r="BT14" s="514">
        <v>0</v>
      </c>
      <c r="BU14" s="514">
        <v>0</v>
      </c>
      <c r="BV14" s="514">
        <v>0</v>
      </c>
      <c r="BW14" s="514">
        <v>0</v>
      </c>
      <c r="BX14" s="514">
        <v>0</v>
      </c>
      <c r="BY14" s="514">
        <v>0</v>
      </c>
      <c r="BZ14" s="514">
        <v>0</v>
      </c>
      <c r="CA14" s="514">
        <v>0</v>
      </c>
      <c r="CB14" s="514">
        <v>0</v>
      </c>
      <c r="CC14" s="514">
        <v>0</v>
      </c>
      <c r="CD14" s="514">
        <v>0</v>
      </c>
      <c r="CE14" s="514">
        <v>0</v>
      </c>
      <c r="CF14" s="514">
        <v>0</v>
      </c>
      <c r="CG14" s="514">
        <v>0</v>
      </c>
      <c r="CH14" s="514">
        <v>0</v>
      </c>
      <c r="CI14" s="514">
        <v>0</v>
      </c>
      <c r="CJ14" s="514">
        <v>0</v>
      </c>
      <c r="CK14" s="514">
        <v>0</v>
      </c>
      <c r="CL14" s="514">
        <v>0</v>
      </c>
      <c r="CM14" s="514">
        <v>0</v>
      </c>
      <c r="CN14" s="514">
        <v>0</v>
      </c>
      <c r="CO14" s="514">
        <v>0</v>
      </c>
      <c r="CP14" s="514">
        <v>0</v>
      </c>
      <c r="CQ14" s="514">
        <v>0</v>
      </c>
      <c r="CR14" s="514">
        <v>0</v>
      </c>
      <c r="CS14" s="514">
        <v>0</v>
      </c>
      <c r="CT14" s="514">
        <v>0</v>
      </c>
      <c r="CU14" s="514">
        <v>0</v>
      </c>
      <c r="CV14" s="514">
        <v>0</v>
      </c>
      <c r="CW14" s="514">
        <v>0</v>
      </c>
      <c r="CX14" s="514">
        <v>0</v>
      </c>
      <c r="CY14" s="514">
        <v>0</v>
      </c>
      <c r="CZ14" s="514">
        <v>0</v>
      </c>
      <c r="DA14" s="514">
        <v>0</v>
      </c>
      <c r="DB14" s="514">
        <v>0</v>
      </c>
      <c r="DC14" s="514">
        <v>0</v>
      </c>
      <c r="DD14" s="514">
        <v>0</v>
      </c>
      <c r="DE14" s="514">
        <v>0</v>
      </c>
      <c r="DF14" s="514">
        <v>0</v>
      </c>
      <c r="DG14" s="514">
        <v>0</v>
      </c>
      <c r="DH14" s="514">
        <v>0</v>
      </c>
      <c r="DI14" s="514">
        <v>0</v>
      </c>
      <c r="DJ14" s="514">
        <v>0</v>
      </c>
      <c r="DK14" s="514">
        <v>0</v>
      </c>
      <c r="DL14" s="514">
        <v>0</v>
      </c>
      <c r="DM14" s="514">
        <v>0</v>
      </c>
      <c r="DN14" s="514">
        <v>0</v>
      </c>
      <c r="DO14" s="514">
        <v>0</v>
      </c>
      <c r="DP14" s="514">
        <v>0</v>
      </c>
      <c r="DQ14" s="514">
        <v>0</v>
      </c>
      <c r="DR14" s="514">
        <v>0</v>
      </c>
      <c r="DS14" s="514">
        <v>0</v>
      </c>
      <c r="DT14" s="514">
        <v>0</v>
      </c>
      <c r="DU14" s="514">
        <v>0</v>
      </c>
      <c r="DV14" s="514">
        <v>0</v>
      </c>
      <c r="DW14" s="514">
        <v>0</v>
      </c>
      <c r="DX14" s="514">
        <v>0</v>
      </c>
      <c r="DY14" s="514">
        <v>0</v>
      </c>
      <c r="DZ14" s="514">
        <v>0</v>
      </c>
      <c r="EA14" s="514">
        <v>0</v>
      </c>
      <c r="EB14" s="514">
        <v>0</v>
      </c>
      <c r="EC14" s="514">
        <v>0</v>
      </c>
      <c r="ED14" s="514">
        <v>0</v>
      </c>
      <c r="EE14" s="514">
        <v>0</v>
      </c>
      <c r="EF14" s="514">
        <v>0</v>
      </c>
      <c r="EG14" s="514">
        <v>0</v>
      </c>
      <c r="EH14" s="514">
        <v>0</v>
      </c>
      <c r="EI14" s="514">
        <v>0</v>
      </c>
      <c r="EJ14" s="514">
        <v>0</v>
      </c>
      <c r="EK14" s="514">
        <v>0</v>
      </c>
      <c r="EL14" s="514">
        <v>0</v>
      </c>
      <c r="EM14" s="514">
        <v>0</v>
      </c>
      <c r="EN14" s="514">
        <v>0</v>
      </c>
      <c r="EO14" s="514">
        <v>0</v>
      </c>
      <c r="EP14" s="514">
        <v>0</v>
      </c>
      <c r="EQ14" s="514">
        <v>0</v>
      </c>
      <c r="ER14" s="514">
        <v>0</v>
      </c>
      <c r="ES14" s="514">
        <v>0</v>
      </c>
      <c r="ET14" s="514">
        <v>0</v>
      </c>
      <c r="EU14" s="514">
        <v>0</v>
      </c>
      <c r="EV14" s="514">
        <v>0</v>
      </c>
      <c r="EW14" s="514">
        <v>0</v>
      </c>
      <c r="EX14" s="514">
        <v>0</v>
      </c>
      <c r="EY14" s="514">
        <v>0</v>
      </c>
      <c r="EZ14" s="514">
        <v>0</v>
      </c>
      <c r="FA14" s="514">
        <v>0</v>
      </c>
      <c r="FB14" s="514">
        <v>0</v>
      </c>
      <c r="FC14" s="514">
        <v>0</v>
      </c>
      <c r="FD14" s="514">
        <v>0</v>
      </c>
      <c r="FE14" s="514">
        <v>0</v>
      </c>
      <c r="FF14" s="514">
        <v>0</v>
      </c>
      <c r="FG14" s="514">
        <v>0</v>
      </c>
      <c r="FH14" s="514">
        <v>0</v>
      </c>
      <c r="FI14" s="514">
        <v>0</v>
      </c>
      <c r="FJ14" s="514">
        <v>0</v>
      </c>
      <c r="FK14" s="514">
        <v>0</v>
      </c>
      <c r="FL14" s="514">
        <v>0</v>
      </c>
      <c r="FM14" s="514">
        <v>0</v>
      </c>
      <c r="FN14" s="514">
        <v>0</v>
      </c>
      <c r="FO14" s="514">
        <v>0</v>
      </c>
      <c r="FP14" s="514">
        <v>0</v>
      </c>
      <c r="FQ14" s="514">
        <v>0</v>
      </c>
    </row>
    <row r="15" spans="1:173" ht="16.5" hidden="1">
      <c r="A15" s="512" t="s">
        <v>658</v>
      </c>
      <c r="B15" s="512" t="s">
        <v>732</v>
      </c>
      <c r="C15" s="512" t="s">
        <v>721</v>
      </c>
      <c r="D15" s="513"/>
      <c r="E15" s="512" t="s">
        <v>721</v>
      </c>
      <c r="F15" s="512" t="s">
        <v>26</v>
      </c>
      <c r="G15" s="513"/>
      <c r="H15" s="514">
        <v>24</v>
      </c>
      <c r="I15" s="298" t="str">
        <f t="shared" si="0"/>
        <v>AOR100224</v>
      </c>
      <c r="J15" s="514">
        <v>3</v>
      </c>
      <c r="L15" s="512" t="s">
        <v>720</v>
      </c>
      <c r="M15" s="512" t="s">
        <v>739</v>
      </c>
      <c r="N15" s="512" t="s">
        <v>721</v>
      </c>
      <c r="O15" s="513"/>
      <c r="P15" s="512" t="s">
        <v>721</v>
      </c>
      <c r="Q15" s="512" t="s">
        <v>25</v>
      </c>
      <c r="R15" s="513"/>
      <c r="S15" s="514">
        <v>58</v>
      </c>
      <c r="T15" s="298" t="str">
        <f t="shared" si="1"/>
        <v>HSGA0158</v>
      </c>
      <c r="U15" s="514">
        <v>14994</v>
      </c>
      <c r="W15" s="512" t="s">
        <v>269</v>
      </c>
      <c r="X15" s="512" t="s">
        <v>843</v>
      </c>
      <c r="Y15" s="512" t="s">
        <v>721</v>
      </c>
      <c r="Z15" s="514">
        <v>10</v>
      </c>
      <c r="AA15" s="512" t="s">
        <v>721</v>
      </c>
      <c r="AB15" s="512" t="s">
        <v>25</v>
      </c>
      <c r="AC15" s="514">
        <v>0</v>
      </c>
      <c r="AD15" s="514">
        <v>27</v>
      </c>
      <c r="AE15" s="298" t="str">
        <f t="shared" si="2"/>
        <v>HNR100127</v>
      </c>
      <c r="AF15" s="514">
        <v>250</v>
      </c>
      <c r="AH15" s="512" t="s">
        <v>721</v>
      </c>
      <c r="AI15" s="512" t="s">
        <v>1030</v>
      </c>
      <c r="AJ15" s="512" t="s">
        <v>721</v>
      </c>
      <c r="AK15" s="513"/>
      <c r="AL15" s="512" t="s">
        <v>721</v>
      </c>
      <c r="AM15" s="512" t="s">
        <v>25</v>
      </c>
      <c r="AN15" s="513"/>
      <c r="AO15" s="514">
        <v>27</v>
      </c>
      <c r="AP15" s="513"/>
      <c r="AQ15" s="298" t="str">
        <f t="shared" si="3"/>
        <v>HOR100127</v>
      </c>
      <c r="AR15" s="514">
        <v>330</v>
      </c>
      <c r="AT15" s="512" t="s">
        <v>743</v>
      </c>
      <c r="AU15" s="512" t="s">
        <v>744</v>
      </c>
      <c r="AV15" s="512" t="s">
        <v>721</v>
      </c>
      <c r="AW15" s="513"/>
      <c r="AX15" s="512" t="s">
        <v>721</v>
      </c>
      <c r="AY15" s="512" t="s">
        <v>25</v>
      </c>
      <c r="AZ15" s="513"/>
      <c r="BA15" s="514">
        <v>28</v>
      </c>
      <c r="BB15" s="298" t="str">
        <f t="shared" si="4"/>
        <v>CLR100128</v>
      </c>
      <c r="BC15" s="514">
        <v>42</v>
      </c>
      <c r="BF15" s="512" t="s">
        <v>658</v>
      </c>
      <c r="BG15" s="512" t="s">
        <v>732</v>
      </c>
      <c r="BH15" s="512" t="s">
        <v>25</v>
      </c>
      <c r="BI15" s="514">
        <v>27</v>
      </c>
      <c r="BJ15" s="298" t="str">
        <f t="shared" si="5"/>
        <v>AOR100127</v>
      </c>
      <c r="BK15" s="514">
        <v>0</v>
      </c>
      <c r="BL15" s="514">
        <v>1</v>
      </c>
      <c r="BM15" s="514">
        <v>1</v>
      </c>
      <c r="BN15" s="514">
        <v>1</v>
      </c>
      <c r="BO15" s="514">
        <v>1</v>
      </c>
      <c r="BP15" s="514">
        <v>2</v>
      </c>
      <c r="BQ15" s="514">
        <v>2</v>
      </c>
      <c r="BR15" s="514">
        <v>2</v>
      </c>
      <c r="BS15" s="514">
        <v>3</v>
      </c>
      <c r="BT15" s="514">
        <v>0</v>
      </c>
      <c r="BU15" s="514">
        <v>0</v>
      </c>
      <c r="BV15" s="514">
        <v>0</v>
      </c>
      <c r="BW15" s="514">
        <v>0</v>
      </c>
      <c r="BX15" s="514">
        <v>0</v>
      </c>
      <c r="BY15" s="514">
        <v>0</v>
      </c>
      <c r="BZ15" s="514">
        <v>0</v>
      </c>
      <c r="CA15" s="514">
        <v>0</v>
      </c>
      <c r="CB15" s="514">
        <v>0</v>
      </c>
      <c r="CC15" s="514">
        <v>0</v>
      </c>
      <c r="CD15" s="514">
        <v>0</v>
      </c>
      <c r="CE15" s="514">
        <v>0</v>
      </c>
      <c r="CF15" s="514">
        <v>0</v>
      </c>
      <c r="CG15" s="514">
        <v>0</v>
      </c>
      <c r="CH15" s="514">
        <v>0</v>
      </c>
      <c r="CI15" s="514">
        <v>0</v>
      </c>
      <c r="CJ15" s="514">
        <v>0</v>
      </c>
      <c r="CK15" s="514">
        <v>0</v>
      </c>
      <c r="CL15" s="514">
        <v>0</v>
      </c>
      <c r="CM15" s="514">
        <v>0</v>
      </c>
      <c r="CN15" s="514">
        <v>0</v>
      </c>
      <c r="CO15" s="514">
        <v>0</v>
      </c>
      <c r="CP15" s="514">
        <v>0</v>
      </c>
      <c r="CQ15" s="514">
        <v>0</v>
      </c>
      <c r="CR15" s="514">
        <v>0</v>
      </c>
      <c r="CS15" s="514">
        <v>0</v>
      </c>
      <c r="CT15" s="514">
        <v>0</v>
      </c>
      <c r="CU15" s="514">
        <v>0</v>
      </c>
      <c r="CV15" s="514">
        <v>0</v>
      </c>
      <c r="CW15" s="514">
        <v>0</v>
      </c>
      <c r="CX15" s="514">
        <v>0</v>
      </c>
      <c r="CY15" s="514">
        <v>0</v>
      </c>
      <c r="CZ15" s="514">
        <v>0</v>
      </c>
      <c r="DA15" s="514">
        <v>0</v>
      </c>
      <c r="DB15" s="514">
        <v>0</v>
      </c>
      <c r="DC15" s="514">
        <v>0</v>
      </c>
      <c r="DD15" s="514">
        <v>0</v>
      </c>
      <c r="DE15" s="514">
        <v>0</v>
      </c>
      <c r="DF15" s="514">
        <v>0</v>
      </c>
      <c r="DG15" s="514">
        <v>0</v>
      </c>
      <c r="DH15" s="514">
        <v>0</v>
      </c>
      <c r="DI15" s="514">
        <v>0</v>
      </c>
      <c r="DJ15" s="514">
        <v>0</v>
      </c>
      <c r="DK15" s="514">
        <v>0</v>
      </c>
      <c r="DL15" s="514">
        <v>0</v>
      </c>
      <c r="DM15" s="514">
        <v>0</v>
      </c>
      <c r="DN15" s="514">
        <v>0</v>
      </c>
      <c r="DO15" s="514">
        <v>0</v>
      </c>
      <c r="DP15" s="514">
        <v>0</v>
      </c>
      <c r="DQ15" s="514">
        <v>0</v>
      </c>
      <c r="DR15" s="514">
        <v>0</v>
      </c>
      <c r="DS15" s="514">
        <v>0</v>
      </c>
      <c r="DT15" s="514">
        <v>0</v>
      </c>
      <c r="DU15" s="514">
        <v>0</v>
      </c>
      <c r="DV15" s="514">
        <v>0</v>
      </c>
      <c r="DW15" s="514">
        <v>0</v>
      </c>
      <c r="DX15" s="514">
        <v>0</v>
      </c>
      <c r="DY15" s="514">
        <v>0</v>
      </c>
      <c r="DZ15" s="514">
        <v>0</v>
      </c>
      <c r="EA15" s="514">
        <v>0</v>
      </c>
      <c r="EB15" s="514">
        <v>0</v>
      </c>
      <c r="EC15" s="514">
        <v>0</v>
      </c>
      <c r="ED15" s="514">
        <v>0</v>
      </c>
      <c r="EE15" s="514">
        <v>0</v>
      </c>
      <c r="EF15" s="514">
        <v>0</v>
      </c>
      <c r="EG15" s="514">
        <v>0</v>
      </c>
      <c r="EH15" s="514">
        <v>0</v>
      </c>
      <c r="EI15" s="514">
        <v>0</v>
      </c>
      <c r="EJ15" s="514">
        <v>0</v>
      </c>
      <c r="EK15" s="514">
        <v>0</v>
      </c>
      <c r="EL15" s="514">
        <v>0</v>
      </c>
      <c r="EM15" s="514">
        <v>0</v>
      </c>
      <c r="EN15" s="514">
        <v>0</v>
      </c>
      <c r="EO15" s="514">
        <v>0</v>
      </c>
      <c r="EP15" s="514">
        <v>0</v>
      </c>
      <c r="EQ15" s="514">
        <v>0</v>
      </c>
      <c r="ER15" s="514">
        <v>0</v>
      </c>
      <c r="ES15" s="514">
        <v>0</v>
      </c>
      <c r="ET15" s="514">
        <v>0</v>
      </c>
      <c r="EU15" s="514">
        <v>0</v>
      </c>
      <c r="EV15" s="514">
        <v>0</v>
      </c>
      <c r="EW15" s="514">
        <v>0</v>
      </c>
      <c r="EX15" s="514">
        <v>0</v>
      </c>
      <c r="EY15" s="514">
        <v>0</v>
      </c>
      <c r="EZ15" s="514">
        <v>0</v>
      </c>
      <c r="FA15" s="514">
        <v>0</v>
      </c>
      <c r="FB15" s="514">
        <v>0</v>
      </c>
      <c r="FC15" s="514">
        <v>0</v>
      </c>
      <c r="FD15" s="514">
        <v>0</v>
      </c>
      <c r="FE15" s="514">
        <v>0</v>
      </c>
      <c r="FF15" s="514">
        <v>0</v>
      </c>
      <c r="FG15" s="514">
        <v>0</v>
      </c>
      <c r="FH15" s="514">
        <v>0</v>
      </c>
      <c r="FI15" s="514">
        <v>0</v>
      </c>
      <c r="FJ15" s="514">
        <v>0</v>
      </c>
      <c r="FK15" s="514">
        <v>0</v>
      </c>
      <c r="FL15" s="514">
        <v>0</v>
      </c>
      <c r="FM15" s="514">
        <v>0</v>
      </c>
      <c r="FN15" s="514">
        <v>0</v>
      </c>
      <c r="FO15" s="514">
        <v>0</v>
      </c>
      <c r="FP15" s="514">
        <v>0</v>
      </c>
      <c r="FQ15" s="514">
        <v>0</v>
      </c>
    </row>
    <row r="16" spans="1:173" ht="16.5" hidden="1">
      <c r="A16" s="512" t="s">
        <v>658</v>
      </c>
      <c r="B16" s="512" t="s">
        <v>732</v>
      </c>
      <c r="C16" s="512" t="s">
        <v>721</v>
      </c>
      <c r="D16" s="513"/>
      <c r="E16" s="512" t="s">
        <v>721</v>
      </c>
      <c r="F16" s="512" t="s">
        <v>26</v>
      </c>
      <c r="G16" s="513"/>
      <c r="H16" s="514">
        <v>25</v>
      </c>
      <c r="I16" s="298" t="str">
        <f t="shared" si="0"/>
        <v>AOR100225</v>
      </c>
      <c r="J16" s="514">
        <v>3</v>
      </c>
      <c r="L16" s="512" t="s">
        <v>720</v>
      </c>
      <c r="M16" s="512" t="s">
        <v>739</v>
      </c>
      <c r="N16" s="512" t="s">
        <v>721</v>
      </c>
      <c r="O16" s="513"/>
      <c r="P16" s="512" t="s">
        <v>721</v>
      </c>
      <c r="Q16" s="512" t="s">
        <v>25</v>
      </c>
      <c r="R16" s="513"/>
      <c r="S16" s="514">
        <v>59</v>
      </c>
      <c r="T16" s="298" t="str">
        <f t="shared" si="1"/>
        <v>HSGA0159</v>
      </c>
      <c r="U16" s="514">
        <v>15460</v>
      </c>
      <c r="W16" s="512" t="s">
        <v>269</v>
      </c>
      <c r="X16" s="512" t="s">
        <v>843</v>
      </c>
      <c r="Y16" s="512" t="s">
        <v>721</v>
      </c>
      <c r="Z16" s="514">
        <v>10</v>
      </c>
      <c r="AA16" s="512" t="s">
        <v>721</v>
      </c>
      <c r="AB16" s="512" t="s">
        <v>25</v>
      </c>
      <c r="AC16" s="514">
        <v>0</v>
      </c>
      <c r="AD16" s="514">
        <v>28</v>
      </c>
      <c r="AE16" s="298" t="str">
        <f t="shared" si="2"/>
        <v>HNR100128</v>
      </c>
      <c r="AF16" s="514">
        <v>246</v>
      </c>
      <c r="AH16" s="512" t="s">
        <v>721</v>
      </c>
      <c r="AI16" s="512" t="s">
        <v>1030</v>
      </c>
      <c r="AJ16" s="512" t="s">
        <v>721</v>
      </c>
      <c r="AK16" s="513"/>
      <c r="AL16" s="512" t="s">
        <v>721</v>
      </c>
      <c r="AM16" s="512" t="s">
        <v>25</v>
      </c>
      <c r="AN16" s="513"/>
      <c r="AO16" s="514">
        <v>28</v>
      </c>
      <c r="AP16" s="513"/>
      <c r="AQ16" s="298" t="str">
        <f t="shared" si="3"/>
        <v>HOR100128</v>
      </c>
      <c r="AR16" s="514">
        <v>330</v>
      </c>
      <c r="AT16" s="512" t="s">
        <v>743</v>
      </c>
      <c r="AU16" s="512" t="s">
        <v>744</v>
      </c>
      <c r="AV16" s="512" t="s">
        <v>721</v>
      </c>
      <c r="AW16" s="513"/>
      <c r="AX16" s="512" t="s">
        <v>721</v>
      </c>
      <c r="AY16" s="512" t="s">
        <v>26</v>
      </c>
      <c r="AZ16" s="513"/>
      <c r="BA16" s="514">
        <v>28</v>
      </c>
      <c r="BB16" s="298" t="str">
        <f t="shared" si="4"/>
        <v>CLR100228</v>
      </c>
      <c r="BC16" s="514">
        <v>73</v>
      </c>
      <c r="BF16" s="512" t="s">
        <v>658</v>
      </c>
      <c r="BG16" s="512" t="s">
        <v>732</v>
      </c>
      <c r="BH16" s="512" t="s">
        <v>25</v>
      </c>
      <c r="BI16" s="514">
        <v>28</v>
      </c>
      <c r="BJ16" s="298" t="str">
        <f t="shared" si="5"/>
        <v>AOR100128</v>
      </c>
      <c r="BK16" s="514">
        <v>0</v>
      </c>
      <c r="BL16" s="514">
        <v>1</v>
      </c>
      <c r="BM16" s="514">
        <v>1</v>
      </c>
      <c r="BN16" s="514">
        <v>1</v>
      </c>
      <c r="BO16" s="514">
        <v>1</v>
      </c>
      <c r="BP16" s="514">
        <v>2</v>
      </c>
      <c r="BQ16" s="514">
        <v>2</v>
      </c>
      <c r="BR16" s="514">
        <v>2</v>
      </c>
      <c r="BS16" s="514">
        <v>3</v>
      </c>
      <c r="BT16" s="514">
        <v>0</v>
      </c>
      <c r="BU16" s="514">
        <v>0</v>
      </c>
      <c r="BV16" s="514">
        <v>0</v>
      </c>
      <c r="BW16" s="514">
        <v>0</v>
      </c>
      <c r="BX16" s="514">
        <v>0</v>
      </c>
      <c r="BY16" s="514">
        <v>0</v>
      </c>
      <c r="BZ16" s="514">
        <v>0</v>
      </c>
      <c r="CA16" s="514">
        <v>0</v>
      </c>
      <c r="CB16" s="514">
        <v>0</v>
      </c>
      <c r="CC16" s="514">
        <v>0</v>
      </c>
      <c r="CD16" s="514">
        <v>0</v>
      </c>
      <c r="CE16" s="514">
        <v>0</v>
      </c>
      <c r="CF16" s="514">
        <v>0</v>
      </c>
      <c r="CG16" s="514">
        <v>0</v>
      </c>
      <c r="CH16" s="514">
        <v>0</v>
      </c>
      <c r="CI16" s="514">
        <v>0</v>
      </c>
      <c r="CJ16" s="514">
        <v>0</v>
      </c>
      <c r="CK16" s="514">
        <v>0</v>
      </c>
      <c r="CL16" s="514">
        <v>0</v>
      </c>
      <c r="CM16" s="514">
        <v>0</v>
      </c>
      <c r="CN16" s="514">
        <v>0</v>
      </c>
      <c r="CO16" s="514">
        <v>0</v>
      </c>
      <c r="CP16" s="514">
        <v>0</v>
      </c>
      <c r="CQ16" s="514">
        <v>0</v>
      </c>
      <c r="CR16" s="514">
        <v>0</v>
      </c>
      <c r="CS16" s="514">
        <v>0</v>
      </c>
      <c r="CT16" s="514">
        <v>0</v>
      </c>
      <c r="CU16" s="514">
        <v>0</v>
      </c>
      <c r="CV16" s="514">
        <v>0</v>
      </c>
      <c r="CW16" s="514">
        <v>0</v>
      </c>
      <c r="CX16" s="514">
        <v>0</v>
      </c>
      <c r="CY16" s="514">
        <v>0</v>
      </c>
      <c r="CZ16" s="514">
        <v>0</v>
      </c>
      <c r="DA16" s="514">
        <v>0</v>
      </c>
      <c r="DB16" s="514">
        <v>0</v>
      </c>
      <c r="DC16" s="514">
        <v>0</v>
      </c>
      <c r="DD16" s="514">
        <v>0</v>
      </c>
      <c r="DE16" s="514">
        <v>0</v>
      </c>
      <c r="DF16" s="514">
        <v>0</v>
      </c>
      <c r="DG16" s="514">
        <v>0</v>
      </c>
      <c r="DH16" s="514">
        <v>0</v>
      </c>
      <c r="DI16" s="514">
        <v>0</v>
      </c>
      <c r="DJ16" s="514">
        <v>0</v>
      </c>
      <c r="DK16" s="514">
        <v>0</v>
      </c>
      <c r="DL16" s="514">
        <v>0</v>
      </c>
      <c r="DM16" s="514">
        <v>0</v>
      </c>
      <c r="DN16" s="514">
        <v>0</v>
      </c>
      <c r="DO16" s="514">
        <v>0</v>
      </c>
      <c r="DP16" s="514">
        <v>0</v>
      </c>
      <c r="DQ16" s="514">
        <v>0</v>
      </c>
      <c r="DR16" s="514">
        <v>0</v>
      </c>
      <c r="DS16" s="514">
        <v>0</v>
      </c>
      <c r="DT16" s="514">
        <v>0</v>
      </c>
      <c r="DU16" s="514">
        <v>0</v>
      </c>
      <c r="DV16" s="514">
        <v>0</v>
      </c>
      <c r="DW16" s="514">
        <v>0</v>
      </c>
      <c r="DX16" s="514">
        <v>0</v>
      </c>
      <c r="DY16" s="514">
        <v>0</v>
      </c>
      <c r="DZ16" s="514">
        <v>0</v>
      </c>
      <c r="EA16" s="514">
        <v>0</v>
      </c>
      <c r="EB16" s="514">
        <v>0</v>
      </c>
      <c r="EC16" s="514">
        <v>0</v>
      </c>
      <c r="ED16" s="514">
        <v>0</v>
      </c>
      <c r="EE16" s="514">
        <v>0</v>
      </c>
      <c r="EF16" s="514">
        <v>0</v>
      </c>
      <c r="EG16" s="514">
        <v>0</v>
      </c>
      <c r="EH16" s="514">
        <v>0</v>
      </c>
      <c r="EI16" s="514">
        <v>0</v>
      </c>
      <c r="EJ16" s="514">
        <v>0</v>
      </c>
      <c r="EK16" s="514">
        <v>0</v>
      </c>
      <c r="EL16" s="514">
        <v>0</v>
      </c>
      <c r="EM16" s="514">
        <v>0</v>
      </c>
      <c r="EN16" s="514">
        <v>0</v>
      </c>
      <c r="EO16" s="514">
        <v>0</v>
      </c>
      <c r="EP16" s="514">
        <v>0</v>
      </c>
      <c r="EQ16" s="514">
        <v>0</v>
      </c>
      <c r="ER16" s="514">
        <v>0</v>
      </c>
      <c r="ES16" s="514">
        <v>0</v>
      </c>
      <c r="ET16" s="514">
        <v>0</v>
      </c>
      <c r="EU16" s="514">
        <v>0</v>
      </c>
      <c r="EV16" s="514">
        <v>0</v>
      </c>
      <c r="EW16" s="514">
        <v>0</v>
      </c>
      <c r="EX16" s="514">
        <v>0</v>
      </c>
      <c r="EY16" s="514">
        <v>0</v>
      </c>
      <c r="EZ16" s="514">
        <v>0</v>
      </c>
      <c r="FA16" s="514">
        <v>0</v>
      </c>
      <c r="FB16" s="514">
        <v>0</v>
      </c>
      <c r="FC16" s="514">
        <v>0</v>
      </c>
      <c r="FD16" s="514">
        <v>0</v>
      </c>
      <c r="FE16" s="514">
        <v>0</v>
      </c>
      <c r="FF16" s="514">
        <v>0</v>
      </c>
      <c r="FG16" s="514">
        <v>0</v>
      </c>
      <c r="FH16" s="514">
        <v>0</v>
      </c>
      <c r="FI16" s="514">
        <v>0</v>
      </c>
      <c r="FJ16" s="514">
        <v>0</v>
      </c>
      <c r="FK16" s="514">
        <v>0</v>
      </c>
      <c r="FL16" s="514">
        <v>0</v>
      </c>
      <c r="FM16" s="514">
        <v>0</v>
      </c>
      <c r="FN16" s="514">
        <v>0</v>
      </c>
      <c r="FO16" s="514">
        <v>0</v>
      </c>
      <c r="FP16" s="514">
        <v>0</v>
      </c>
      <c r="FQ16" s="514">
        <v>0</v>
      </c>
    </row>
    <row r="17" spans="1:173" ht="16.5" hidden="1">
      <c r="A17" s="512" t="s">
        <v>658</v>
      </c>
      <c r="B17" s="512" t="s">
        <v>732</v>
      </c>
      <c r="C17" s="512" t="s">
        <v>721</v>
      </c>
      <c r="D17" s="513"/>
      <c r="E17" s="512" t="s">
        <v>721</v>
      </c>
      <c r="F17" s="512" t="s">
        <v>26</v>
      </c>
      <c r="G17" s="513"/>
      <c r="H17" s="514">
        <v>26</v>
      </c>
      <c r="I17" s="298" t="str">
        <f t="shared" si="0"/>
        <v>AOR100226</v>
      </c>
      <c r="J17" s="514">
        <v>3</v>
      </c>
      <c r="L17" s="512" t="s">
        <v>720</v>
      </c>
      <c r="M17" s="512" t="s">
        <v>739</v>
      </c>
      <c r="N17" s="512" t="s">
        <v>721</v>
      </c>
      <c r="O17" s="513"/>
      <c r="P17" s="512" t="s">
        <v>721</v>
      </c>
      <c r="Q17" s="512" t="s">
        <v>25</v>
      </c>
      <c r="R17" s="513"/>
      <c r="S17" s="514">
        <v>60</v>
      </c>
      <c r="T17" s="298" t="str">
        <f t="shared" si="1"/>
        <v>HSGA0160</v>
      </c>
      <c r="U17" s="514">
        <v>16033</v>
      </c>
      <c r="W17" s="512" t="s">
        <v>269</v>
      </c>
      <c r="X17" s="512" t="s">
        <v>843</v>
      </c>
      <c r="Y17" s="512" t="s">
        <v>721</v>
      </c>
      <c r="Z17" s="514">
        <v>10</v>
      </c>
      <c r="AA17" s="512" t="s">
        <v>721</v>
      </c>
      <c r="AB17" s="512" t="s">
        <v>25</v>
      </c>
      <c r="AC17" s="514">
        <v>0</v>
      </c>
      <c r="AD17" s="514">
        <v>29</v>
      </c>
      <c r="AE17" s="298" t="str">
        <f t="shared" si="2"/>
        <v>HNR100129</v>
      </c>
      <c r="AF17" s="514">
        <v>244</v>
      </c>
      <c r="AH17" s="512" t="s">
        <v>721</v>
      </c>
      <c r="AI17" s="512" t="s">
        <v>1030</v>
      </c>
      <c r="AJ17" s="512" t="s">
        <v>721</v>
      </c>
      <c r="AK17" s="513"/>
      <c r="AL17" s="512" t="s">
        <v>721</v>
      </c>
      <c r="AM17" s="512" t="s">
        <v>25</v>
      </c>
      <c r="AN17" s="513"/>
      <c r="AO17" s="514">
        <v>29</v>
      </c>
      <c r="AP17" s="513"/>
      <c r="AQ17" s="298" t="str">
        <f t="shared" si="3"/>
        <v>HOR100129</v>
      </c>
      <c r="AR17" s="514">
        <v>335</v>
      </c>
      <c r="AT17" s="512" t="s">
        <v>743</v>
      </c>
      <c r="AU17" s="512" t="s">
        <v>744</v>
      </c>
      <c r="AV17" s="512" t="s">
        <v>721</v>
      </c>
      <c r="AW17" s="513"/>
      <c r="AX17" s="512" t="s">
        <v>721</v>
      </c>
      <c r="AY17" s="512" t="s">
        <v>25</v>
      </c>
      <c r="AZ17" s="513"/>
      <c r="BA17" s="514">
        <v>29</v>
      </c>
      <c r="BB17" s="298" t="str">
        <f t="shared" si="4"/>
        <v>CLR100129</v>
      </c>
      <c r="BC17" s="514">
        <v>50</v>
      </c>
      <c r="BF17" s="512" t="s">
        <v>658</v>
      </c>
      <c r="BG17" s="512" t="s">
        <v>732</v>
      </c>
      <c r="BH17" s="512" t="s">
        <v>25</v>
      </c>
      <c r="BI17" s="514">
        <v>29</v>
      </c>
      <c r="BJ17" s="298" t="str">
        <f t="shared" si="5"/>
        <v>AOR100129</v>
      </c>
      <c r="BK17" s="514">
        <v>0</v>
      </c>
      <c r="BL17" s="514">
        <v>1</v>
      </c>
      <c r="BM17" s="514">
        <v>1</v>
      </c>
      <c r="BN17" s="514">
        <v>1</v>
      </c>
      <c r="BO17" s="514">
        <v>1</v>
      </c>
      <c r="BP17" s="514">
        <v>2</v>
      </c>
      <c r="BQ17" s="514">
        <v>2</v>
      </c>
      <c r="BR17" s="514">
        <v>2</v>
      </c>
      <c r="BS17" s="514">
        <v>3</v>
      </c>
      <c r="BT17" s="514">
        <v>0</v>
      </c>
      <c r="BU17" s="514">
        <v>0</v>
      </c>
      <c r="BV17" s="514">
        <v>0</v>
      </c>
      <c r="BW17" s="514">
        <v>0</v>
      </c>
      <c r="BX17" s="514">
        <v>0</v>
      </c>
      <c r="BY17" s="514">
        <v>0</v>
      </c>
      <c r="BZ17" s="514">
        <v>0</v>
      </c>
      <c r="CA17" s="514">
        <v>0</v>
      </c>
      <c r="CB17" s="514">
        <v>0</v>
      </c>
      <c r="CC17" s="514">
        <v>0</v>
      </c>
      <c r="CD17" s="514">
        <v>0</v>
      </c>
      <c r="CE17" s="514">
        <v>0</v>
      </c>
      <c r="CF17" s="514">
        <v>0</v>
      </c>
      <c r="CG17" s="514">
        <v>0</v>
      </c>
      <c r="CH17" s="514">
        <v>0</v>
      </c>
      <c r="CI17" s="514">
        <v>0</v>
      </c>
      <c r="CJ17" s="514">
        <v>0</v>
      </c>
      <c r="CK17" s="514">
        <v>0</v>
      </c>
      <c r="CL17" s="514">
        <v>0</v>
      </c>
      <c r="CM17" s="514">
        <v>0</v>
      </c>
      <c r="CN17" s="514">
        <v>0</v>
      </c>
      <c r="CO17" s="514">
        <v>0</v>
      </c>
      <c r="CP17" s="514">
        <v>0</v>
      </c>
      <c r="CQ17" s="514">
        <v>0</v>
      </c>
      <c r="CR17" s="514">
        <v>0</v>
      </c>
      <c r="CS17" s="514">
        <v>0</v>
      </c>
      <c r="CT17" s="514">
        <v>0</v>
      </c>
      <c r="CU17" s="514">
        <v>0</v>
      </c>
      <c r="CV17" s="514">
        <v>0</v>
      </c>
      <c r="CW17" s="514">
        <v>0</v>
      </c>
      <c r="CX17" s="514">
        <v>0</v>
      </c>
      <c r="CY17" s="514">
        <v>0</v>
      </c>
      <c r="CZ17" s="514">
        <v>0</v>
      </c>
      <c r="DA17" s="514">
        <v>0</v>
      </c>
      <c r="DB17" s="514">
        <v>0</v>
      </c>
      <c r="DC17" s="514">
        <v>0</v>
      </c>
      <c r="DD17" s="514">
        <v>0</v>
      </c>
      <c r="DE17" s="514">
        <v>0</v>
      </c>
      <c r="DF17" s="514">
        <v>0</v>
      </c>
      <c r="DG17" s="514">
        <v>0</v>
      </c>
      <c r="DH17" s="514">
        <v>0</v>
      </c>
      <c r="DI17" s="514">
        <v>0</v>
      </c>
      <c r="DJ17" s="514">
        <v>0</v>
      </c>
      <c r="DK17" s="514">
        <v>0</v>
      </c>
      <c r="DL17" s="514">
        <v>0</v>
      </c>
      <c r="DM17" s="514">
        <v>0</v>
      </c>
      <c r="DN17" s="514">
        <v>0</v>
      </c>
      <c r="DO17" s="514">
        <v>0</v>
      </c>
      <c r="DP17" s="514">
        <v>0</v>
      </c>
      <c r="DQ17" s="514">
        <v>0</v>
      </c>
      <c r="DR17" s="514">
        <v>0</v>
      </c>
      <c r="DS17" s="514">
        <v>0</v>
      </c>
      <c r="DT17" s="514">
        <v>0</v>
      </c>
      <c r="DU17" s="514">
        <v>0</v>
      </c>
      <c r="DV17" s="514">
        <v>0</v>
      </c>
      <c r="DW17" s="514">
        <v>0</v>
      </c>
      <c r="DX17" s="514">
        <v>0</v>
      </c>
      <c r="DY17" s="514">
        <v>0</v>
      </c>
      <c r="DZ17" s="514">
        <v>0</v>
      </c>
      <c r="EA17" s="514">
        <v>0</v>
      </c>
      <c r="EB17" s="514">
        <v>0</v>
      </c>
      <c r="EC17" s="514">
        <v>0</v>
      </c>
      <c r="ED17" s="514">
        <v>0</v>
      </c>
      <c r="EE17" s="514">
        <v>0</v>
      </c>
      <c r="EF17" s="514">
        <v>0</v>
      </c>
      <c r="EG17" s="514">
        <v>0</v>
      </c>
      <c r="EH17" s="514">
        <v>0</v>
      </c>
      <c r="EI17" s="514">
        <v>0</v>
      </c>
      <c r="EJ17" s="514">
        <v>0</v>
      </c>
      <c r="EK17" s="514">
        <v>0</v>
      </c>
      <c r="EL17" s="514">
        <v>0</v>
      </c>
      <c r="EM17" s="514">
        <v>0</v>
      </c>
      <c r="EN17" s="514">
        <v>0</v>
      </c>
      <c r="EO17" s="514">
        <v>0</v>
      </c>
      <c r="EP17" s="514">
        <v>0</v>
      </c>
      <c r="EQ17" s="514">
        <v>0</v>
      </c>
      <c r="ER17" s="514">
        <v>0</v>
      </c>
      <c r="ES17" s="514">
        <v>0</v>
      </c>
      <c r="ET17" s="514">
        <v>0</v>
      </c>
      <c r="EU17" s="514">
        <v>0</v>
      </c>
      <c r="EV17" s="514">
        <v>0</v>
      </c>
      <c r="EW17" s="514">
        <v>0</v>
      </c>
      <c r="EX17" s="514">
        <v>0</v>
      </c>
      <c r="EY17" s="514">
        <v>0</v>
      </c>
      <c r="EZ17" s="514">
        <v>0</v>
      </c>
      <c r="FA17" s="514">
        <v>0</v>
      </c>
      <c r="FB17" s="514">
        <v>0</v>
      </c>
      <c r="FC17" s="514">
        <v>0</v>
      </c>
      <c r="FD17" s="514">
        <v>0</v>
      </c>
      <c r="FE17" s="514">
        <v>0</v>
      </c>
      <c r="FF17" s="514">
        <v>0</v>
      </c>
      <c r="FG17" s="514">
        <v>0</v>
      </c>
      <c r="FH17" s="514">
        <v>0</v>
      </c>
      <c r="FI17" s="514">
        <v>0</v>
      </c>
      <c r="FJ17" s="514">
        <v>0</v>
      </c>
      <c r="FK17" s="514">
        <v>0</v>
      </c>
      <c r="FL17" s="514">
        <v>0</v>
      </c>
      <c r="FM17" s="514">
        <v>0</v>
      </c>
      <c r="FN17" s="514">
        <v>0</v>
      </c>
      <c r="FO17" s="514">
        <v>0</v>
      </c>
      <c r="FP17" s="514">
        <v>0</v>
      </c>
      <c r="FQ17" s="514">
        <v>0</v>
      </c>
    </row>
    <row r="18" spans="1:173" ht="16.5" hidden="1">
      <c r="A18" s="512" t="s">
        <v>658</v>
      </c>
      <c r="B18" s="512" t="s">
        <v>732</v>
      </c>
      <c r="C18" s="512" t="s">
        <v>721</v>
      </c>
      <c r="D18" s="513"/>
      <c r="E18" s="512" t="s">
        <v>721</v>
      </c>
      <c r="F18" s="512" t="s">
        <v>26</v>
      </c>
      <c r="G18" s="513"/>
      <c r="H18" s="514">
        <v>27</v>
      </c>
      <c r="I18" s="298" t="str">
        <f t="shared" si="0"/>
        <v>AOR100227</v>
      </c>
      <c r="J18" s="514">
        <v>3</v>
      </c>
      <c r="L18" s="512" t="s">
        <v>720</v>
      </c>
      <c r="M18" s="512" t="s">
        <v>739</v>
      </c>
      <c r="N18" s="512" t="s">
        <v>721</v>
      </c>
      <c r="O18" s="513"/>
      <c r="P18" s="512" t="s">
        <v>721</v>
      </c>
      <c r="Q18" s="512" t="s">
        <v>25</v>
      </c>
      <c r="R18" s="513"/>
      <c r="S18" s="514">
        <v>61</v>
      </c>
      <c r="T18" s="298" t="str">
        <f t="shared" si="1"/>
        <v>HSGA0161</v>
      </c>
      <c r="U18" s="514">
        <v>16720</v>
      </c>
      <c r="W18" s="512" t="s">
        <v>269</v>
      </c>
      <c r="X18" s="512" t="s">
        <v>843</v>
      </c>
      <c r="Y18" s="512" t="s">
        <v>721</v>
      </c>
      <c r="Z18" s="514">
        <v>10</v>
      </c>
      <c r="AA18" s="512" t="s">
        <v>721</v>
      </c>
      <c r="AB18" s="512" t="s">
        <v>25</v>
      </c>
      <c r="AC18" s="514">
        <v>0</v>
      </c>
      <c r="AD18" s="514">
        <v>30</v>
      </c>
      <c r="AE18" s="298" t="str">
        <f t="shared" si="2"/>
        <v>HNR100130</v>
      </c>
      <c r="AF18" s="514">
        <v>243</v>
      </c>
      <c r="AH18" s="512" t="s">
        <v>721</v>
      </c>
      <c r="AI18" s="512" t="s">
        <v>1030</v>
      </c>
      <c r="AJ18" s="512" t="s">
        <v>721</v>
      </c>
      <c r="AK18" s="513"/>
      <c r="AL18" s="512" t="s">
        <v>721</v>
      </c>
      <c r="AM18" s="512" t="s">
        <v>25</v>
      </c>
      <c r="AN18" s="513"/>
      <c r="AO18" s="514">
        <v>30</v>
      </c>
      <c r="AP18" s="513"/>
      <c r="AQ18" s="298" t="str">
        <f t="shared" si="3"/>
        <v>HOR100130</v>
      </c>
      <c r="AR18" s="514">
        <v>345</v>
      </c>
      <c r="AT18" s="512" t="s">
        <v>743</v>
      </c>
      <c r="AU18" s="512" t="s">
        <v>744</v>
      </c>
      <c r="AV18" s="512" t="s">
        <v>721</v>
      </c>
      <c r="AW18" s="513"/>
      <c r="AX18" s="512" t="s">
        <v>721</v>
      </c>
      <c r="AY18" s="512" t="s">
        <v>26</v>
      </c>
      <c r="AZ18" s="513"/>
      <c r="BA18" s="514">
        <v>29</v>
      </c>
      <c r="BB18" s="298" t="str">
        <f t="shared" si="4"/>
        <v>CLR100229</v>
      </c>
      <c r="BC18" s="514">
        <v>85</v>
      </c>
      <c r="BF18" s="512" t="s">
        <v>658</v>
      </c>
      <c r="BG18" s="512" t="s">
        <v>732</v>
      </c>
      <c r="BH18" s="512" t="s">
        <v>25</v>
      </c>
      <c r="BI18" s="514">
        <v>30</v>
      </c>
      <c r="BJ18" s="298" t="str">
        <f t="shared" si="5"/>
        <v>AOR100130</v>
      </c>
      <c r="BK18" s="514">
        <v>0</v>
      </c>
      <c r="BL18" s="514">
        <v>1</v>
      </c>
      <c r="BM18" s="514">
        <v>1</v>
      </c>
      <c r="BN18" s="514">
        <v>1</v>
      </c>
      <c r="BO18" s="514">
        <v>1</v>
      </c>
      <c r="BP18" s="514">
        <v>2</v>
      </c>
      <c r="BQ18" s="514">
        <v>2</v>
      </c>
      <c r="BR18" s="514">
        <v>2</v>
      </c>
      <c r="BS18" s="514">
        <v>3</v>
      </c>
      <c r="BT18" s="514">
        <v>0</v>
      </c>
      <c r="BU18" s="514">
        <v>0</v>
      </c>
      <c r="BV18" s="514">
        <v>0</v>
      </c>
      <c r="BW18" s="514">
        <v>0</v>
      </c>
      <c r="BX18" s="514">
        <v>0</v>
      </c>
      <c r="BY18" s="514">
        <v>0</v>
      </c>
      <c r="BZ18" s="514">
        <v>0</v>
      </c>
      <c r="CA18" s="514">
        <v>0</v>
      </c>
      <c r="CB18" s="514">
        <v>0</v>
      </c>
      <c r="CC18" s="514">
        <v>0</v>
      </c>
      <c r="CD18" s="514">
        <v>0</v>
      </c>
      <c r="CE18" s="514">
        <v>0</v>
      </c>
      <c r="CF18" s="514">
        <v>0</v>
      </c>
      <c r="CG18" s="514">
        <v>0</v>
      </c>
      <c r="CH18" s="514">
        <v>0</v>
      </c>
      <c r="CI18" s="514">
        <v>0</v>
      </c>
      <c r="CJ18" s="514">
        <v>0</v>
      </c>
      <c r="CK18" s="514">
        <v>0</v>
      </c>
      <c r="CL18" s="514">
        <v>0</v>
      </c>
      <c r="CM18" s="514">
        <v>0</v>
      </c>
      <c r="CN18" s="514">
        <v>0</v>
      </c>
      <c r="CO18" s="514">
        <v>0</v>
      </c>
      <c r="CP18" s="514">
        <v>0</v>
      </c>
      <c r="CQ18" s="514">
        <v>0</v>
      </c>
      <c r="CR18" s="514">
        <v>0</v>
      </c>
      <c r="CS18" s="514">
        <v>0</v>
      </c>
      <c r="CT18" s="514">
        <v>0</v>
      </c>
      <c r="CU18" s="514">
        <v>0</v>
      </c>
      <c r="CV18" s="514">
        <v>0</v>
      </c>
      <c r="CW18" s="514">
        <v>0</v>
      </c>
      <c r="CX18" s="514">
        <v>0</v>
      </c>
      <c r="CY18" s="514">
        <v>0</v>
      </c>
      <c r="CZ18" s="514">
        <v>0</v>
      </c>
      <c r="DA18" s="514">
        <v>0</v>
      </c>
      <c r="DB18" s="514">
        <v>0</v>
      </c>
      <c r="DC18" s="514">
        <v>0</v>
      </c>
      <c r="DD18" s="514">
        <v>0</v>
      </c>
      <c r="DE18" s="514">
        <v>0</v>
      </c>
      <c r="DF18" s="514">
        <v>0</v>
      </c>
      <c r="DG18" s="514">
        <v>0</v>
      </c>
      <c r="DH18" s="514">
        <v>0</v>
      </c>
      <c r="DI18" s="514">
        <v>0</v>
      </c>
      <c r="DJ18" s="514">
        <v>0</v>
      </c>
      <c r="DK18" s="514">
        <v>0</v>
      </c>
      <c r="DL18" s="514">
        <v>0</v>
      </c>
      <c r="DM18" s="514">
        <v>0</v>
      </c>
      <c r="DN18" s="514">
        <v>0</v>
      </c>
      <c r="DO18" s="514">
        <v>0</v>
      </c>
      <c r="DP18" s="514">
        <v>0</v>
      </c>
      <c r="DQ18" s="514">
        <v>0</v>
      </c>
      <c r="DR18" s="514">
        <v>0</v>
      </c>
      <c r="DS18" s="514">
        <v>0</v>
      </c>
      <c r="DT18" s="514">
        <v>0</v>
      </c>
      <c r="DU18" s="514">
        <v>0</v>
      </c>
      <c r="DV18" s="514">
        <v>0</v>
      </c>
      <c r="DW18" s="514">
        <v>0</v>
      </c>
      <c r="DX18" s="514">
        <v>0</v>
      </c>
      <c r="DY18" s="514">
        <v>0</v>
      </c>
      <c r="DZ18" s="514">
        <v>0</v>
      </c>
      <c r="EA18" s="514">
        <v>0</v>
      </c>
      <c r="EB18" s="514">
        <v>0</v>
      </c>
      <c r="EC18" s="514">
        <v>0</v>
      </c>
      <c r="ED18" s="514">
        <v>0</v>
      </c>
      <c r="EE18" s="514">
        <v>0</v>
      </c>
      <c r="EF18" s="514">
        <v>0</v>
      </c>
      <c r="EG18" s="514">
        <v>0</v>
      </c>
      <c r="EH18" s="514">
        <v>0</v>
      </c>
      <c r="EI18" s="514">
        <v>0</v>
      </c>
      <c r="EJ18" s="514">
        <v>0</v>
      </c>
      <c r="EK18" s="514">
        <v>0</v>
      </c>
      <c r="EL18" s="514">
        <v>0</v>
      </c>
      <c r="EM18" s="514">
        <v>0</v>
      </c>
      <c r="EN18" s="514">
        <v>0</v>
      </c>
      <c r="EO18" s="514">
        <v>0</v>
      </c>
      <c r="EP18" s="514">
        <v>0</v>
      </c>
      <c r="EQ18" s="514">
        <v>0</v>
      </c>
      <c r="ER18" s="514">
        <v>0</v>
      </c>
      <c r="ES18" s="514">
        <v>0</v>
      </c>
      <c r="ET18" s="514">
        <v>0</v>
      </c>
      <c r="EU18" s="514">
        <v>0</v>
      </c>
      <c r="EV18" s="514">
        <v>0</v>
      </c>
      <c r="EW18" s="514">
        <v>0</v>
      </c>
      <c r="EX18" s="514">
        <v>0</v>
      </c>
      <c r="EY18" s="514">
        <v>0</v>
      </c>
      <c r="EZ18" s="514">
        <v>0</v>
      </c>
      <c r="FA18" s="514">
        <v>0</v>
      </c>
      <c r="FB18" s="514">
        <v>0</v>
      </c>
      <c r="FC18" s="514">
        <v>0</v>
      </c>
      <c r="FD18" s="514">
        <v>0</v>
      </c>
      <c r="FE18" s="514">
        <v>0</v>
      </c>
      <c r="FF18" s="514">
        <v>0</v>
      </c>
      <c r="FG18" s="514">
        <v>0</v>
      </c>
      <c r="FH18" s="514">
        <v>0</v>
      </c>
      <c r="FI18" s="514">
        <v>0</v>
      </c>
      <c r="FJ18" s="514">
        <v>0</v>
      </c>
      <c r="FK18" s="514">
        <v>0</v>
      </c>
      <c r="FL18" s="514">
        <v>0</v>
      </c>
      <c r="FM18" s="514">
        <v>0</v>
      </c>
      <c r="FN18" s="514">
        <v>0</v>
      </c>
      <c r="FO18" s="514">
        <v>0</v>
      </c>
      <c r="FP18" s="514">
        <v>0</v>
      </c>
      <c r="FQ18" s="514">
        <v>0</v>
      </c>
    </row>
    <row r="19" spans="1:173" ht="16.5" hidden="1">
      <c r="A19" s="512" t="s">
        <v>658</v>
      </c>
      <c r="B19" s="512" t="s">
        <v>732</v>
      </c>
      <c r="C19" s="512" t="s">
        <v>721</v>
      </c>
      <c r="D19" s="513"/>
      <c r="E19" s="512" t="s">
        <v>721</v>
      </c>
      <c r="F19" s="512" t="s">
        <v>26</v>
      </c>
      <c r="G19" s="513"/>
      <c r="H19" s="514">
        <v>28</v>
      </c>
      <c r="I19" s="298" t="str">
        <f t="shared" si="0"/>
        <v>AOR100228</v>
      </c>
      <c r="J19" s="514">
        <v>3</v>
      </c>
      <c r="L19" s="512" t="s">
        <v>720</v>
      </c>
      <c r="M19" s="512" t="s">
        <v>739</v>
      </c>
      <c r="N19" s="512" t="s">
        <v>721</v>
      </c>
      <c r="O19" s="513"/>
      <c r="P19" s="512" t="s">
        <v>721</v>
      </c>
      <c r="Q19" s="512" t="s">
        <v>25</v>
      </c>
      <c r="R19" s="513"/>
      <c r="S19" s="514">
        <v>62</v>
      </c>
      <c r="T19" s="298" t="str">
        <f t="shared" si="1"/>
        <v>HSGA0162</v>
      </c>
      <c r="U19" s="514">
        <v>17530</v>
      </c>
      <c r="W19" s="512" t="s">
        <v>269</v>
      </c>
      <c r="X19" s="512" t="s">
        <v>843</v>
      </c>
      <c r="Y19" s="512" t="s">
        <v>721</v>
      </c>
      <c r="Z19" s="514">
        <v>10</v>
      </c>
      <c r="AA19" s="512" t="s">
        <v>721</v>
      </c>
      <c r="AB19" s="512" t="s">
        <v>25</v>
      </c>
      <c r="AC19" s="514">
        <v>0</v>
      </c>
      <c r="AD19" s="514">
        <v>31</v>
      </c>
      <c r="AE19" s="298" t="str">
        <f t="shared" si="2"/>
        <v>HNR100131</v>
      </c>
      <c r="AF19" s="514">
        <v>268</v>
      </c>
      <c r="AH19" s="512" t="s">
        <v>721</v>
      </c>
      <c r="AI19" s="512" t="s">
        <v>1030</v>
      </c>
      <c r="AJ19" s="512" t="s">
        <v>721</v>
      </c>
      <c r="AK19" s="513"/>
      <c r="AL19" s="512" t="s">
        <v>721</v>
      </c>
      <c r="AM19" s="512" t="s">
        <v>25</v>
      </c>
      <c r="AN19" s="513"/>
      <c r="AO19" s="514">
        <v>31</v>
      </c>
      <c r="AP19" s="513"/>
      <c r="AQ19" s="298" t="str">
        <f t="shared" si="3"/>
        <v>HOR100131</v>
      </c>
      <c r="AR19" s="514">
        <v>360</v>
      </c>
      <c r="AT19" s="512" t="s">
        <v>743</v>
      </c>
      <c r="AU19" s="512" t="s">
        <v>744</v>
      </c>
      <c r="AV19" s="512" t="s">
        <v>721</v>
      </c>
      <c r="AW19" s="513"/>
      <c r="AX19" s="512" t="s">
        <v>721</v>
      </c>
      <c r="AY19" s="512" t="s">
        <v>25</v>
      </c>
      <c r="AZ19" s="513"/>
      <c r="BA19" s="514">
        <v>30</v>
      </c>
      <c r="BB19" s="298" t="str">
        <f t="shared" si="4"/>
        <v>CLR100130</v>
      </c>
      <c r="BC19" s="514">
        <v>58</v>
      </c>
      <c r="BF19" s="512" t="s">
        <v>658</v>
      </c>
      <c r="BG19" s="512" t="s">
        <v>732</v>
      </c>
      <c r="BH19" s="512" t="s">
        <v>25</v>
      </c>
      <c r="BI19" s="514">
        <v>31</v>
      </c>
      <c r="BJ19" s="298" t="str">
        <f t="shared" si="5"/>
        <v>AOR100131</v>
      </c>
      <c r="BK19" s="514">
        <v>0</v>
      </c>
      <c r="BL19" s="514">
        <v>1</v>
      </c>
      <c r="BM19" s="514">
        <v>1</v>
      </c>
      <c r="BN19" s="514">
        <v>1</v>
      </c>
      <c r="BO19" s="514">
        <v>1</v>
      </c>
      <c r="BP19" s="514">
        <v>2</v>
      </c>
      <c r="BQ19" s="514">
        <v>2</v>
      </c>
      <c r="BR19" s="514">
        <v>2</v>
      </c>
      <c r="BS19" s="514">
        <v>3</v>
      </c>
      <c r="BT19" s="514">
        <v>0</v>
      </c>
      <c r="BU19" s="514">
        <v>0</v>
      </c>
      <c r="BV19" s="514">
        <v>0</v>
      </c>
      <c r="BW19" s="514">
        <v>0</v>
      </c>
      <c r="BX19" s="514">
        <v>0</v>
      </c>
      <c r="BY19" s="514">
        <v>0</v>
      </c>
      <c r="BZ19" s="514">
        <v>0</v>
      </c>
      <c r="CA19" s="514">
        <v>0</v>
      </c>
      <c r="CB19" s="514">
        <v>0</v>
      </c>
      <c r="CC19" s="514">
        <v>0</v>
      </c>
      <c r="CD19" s="514">
        <v>0</v>
      </c>
      <c r="CE19" s="514">
        <v>0</v>
      </c>
      <c r="CF19" s="514">
        <v>0</v>
      </c>
      <c r="CG19" s="514">
        <v>0</v>
      </c>
      <c r="CH19" s="514">
        <v>0</v>
      </c>
      <c r="CI19" s="514">
        <v>0</v>
      </c>
      <c r="CJ19" s="514">
        <v>0</v>
      </c>
      <c r="CK19" s="514">
        <v>0</v>
      </c>
      <c r="CL19" s="514">
        <v>0</v>
      </c>
      <c r="CM19" s="514">
        <v>0</v>
      </c>
      <c r="CN19" s="514">
        <v>0</v>
      </c>
      <c r="CO19" s="514">
        <v>0</v>
      </c>
      <c r="CP19" s="514">
        <v>0</v>
      </c>
      <c r="CQ19" s="514">
        <v>0</v>
      </c>
      <c r="CR19" s="514">
        <v>0</v>
      </c>
      <c r="CS19" s="514">
        <v>0</v>
      </c>
      <c r="CT19" s="514">
        <v>0</v>
      </c>
      <c r="CU19" s="514">
        <v>0</v>
      </c>
      <c r="CV19" s="514">
        <v>0</v>
      </c>
      <c r="CW19" s="514">
        <v>0</v>
      </c>
      <c r="CX19" s="514">
        <v>0</v>
      </c>
      <c r="CY19" s="514">
        <v>0</v>
      </c>
      <c r="CZ19" s="514">
        <v>0</v>
      </c>
      <c r="DA19" s="514">
        <v>0</v>
      </c>
      <c r="DB19" s="514">
        <v>0</v>
      </c>
      <c r="DC19" s="514">
        <v>0</v>
      </c>
      <c r="DD19" s="514">
        <v>0</v>
      </c>
      <c r="DE19" s="514">
        <v>0</v>
      </c>
      <c r="DF19" s="514">
        <v>0</v>
      </c>
      <c r="DG19" s="514">
        <v>0</v>
      </c>
      <c r="DH19" s="514">
        <v>0</v>
      </c>
      <c r="DI19" s="514">
        <v>0</v>
      </c>
      <c r="DJ19" s="514">
        <v>0</v>
      </c>
      <c r="DK19" s="514">
        <v>0</v>
      </c>
      <c r="DL19" s="514">
        <v>0</v>
      </c>
      <c r="DM19" s="514">
        <v>0</v>
      </c>
      <c r="DN19" s="514">
        <v>0</v>
      </c>
      <c r="DO19" s="514">
        <v>0</v>
      </c>
      <c r="DP19" s="514">
        <v>0</v>
      </c>
      <c r="DQ19" s="514">
        <v>0</v>
      </c>
      <c r="DR19" s="514">
        <v>0</v>
      </c>
      <c r="DS19" s="514">
        <v>0</v>
      </c>
      <c r="DT19" s="514">
        <v>0</v>
      </c>
      <c r="DU19" s="514">
        <v>0</v>
      </c>
      <c r="DV19" s="514">
        <v>0</v>
      </c>
      <c r="DW19" s="514">
        <v>0</v>
      </c>
      <c r="DX19" s="514">
        <v>0</v>
      </c>
      <c r="DY19" s="514">
        <v>0</v>
      </c>
      <c r="DZ19" s="514">
        <v>0</v>
      </c>
      <c r="EA19" s="514">
        <v>0</v>
      </c>
      <c r="EB19" s="514">
        <v>0</v>
      </c>
      <c r="EC19" s="514">
        <v>0</v>
      </c>
      <c r="ED19" s="514">
        <v>0</v>
      </c>
      <c r="EE19" s="514">
        <v>0</v>
      </c>
      <c r="EF19" s="514">
        <v>0</v>
      </c>
      <c r="EG19" s="514">
        <v>0</v>
      </c>
      <c r="EH19" s="514">
        <v>0</v>
      </c>
      <c r="EI19" s="514">
        <v>0</v>
      </c>
      <c r="EJ19" s="514">
        <v>0</v>
      </c>
      <c r="EK19" s="514">
        <v>0</v>
      </c>
      <c r="EL19" s="514">
        <v>0</v>
      </c>
      <c r="EM19" s="514">
        <v>0</v>
      </c>
      <c r="EN19" s="514">
        <v>0</v>
      </c>
      <c r="EO19" s="514">
        <v>0</v>
      </c>
      <c r="EP19" s="514">
        <v>0</v>
      </c>
      <c r="EQ19" s="514">
        <v>0</v>
      </c>
      <c r="ER19" s="514">
        <v>0</v>
      </c>
      <c r="ES19" s="514">
        <v>0</v>
      </c>
      <c r="ET19" s="514">
        <v>0</v>
      </c>
      <c r="EU19" s="514">
        <v>0</v>
      </c>
      <c r="EV19" s="514">
        <v>0</v>
      </c>
      <c r="EW19" s="514">
        <v>0</v>
      </c>
      <c r="EX19" s="514">
        <v>0</v>
      </c>
      <c r="EY19" s="514">
        <v>0</v>
      </c>
      <c r="EZ19" s="514">
        <v>0</v>
      </c>
      <c r="FA19" s="514">
        <v>0</v>
      </c>
      <c r="FB19" s="514">
        <v>0</v>
      </c>
      <c r="FC19" s="514">
        <v>0</v>
      </c>
      <c r="FD19" s="514">
        <v>0</v>
      </c>
      <c r="FE19" s="514">
        <v>0</v>
      </c>
      <c r="FF19" s="514">
        <v>0</v>
      </c>
      <c r="FG19" s="514">
        <v>0</v>
      </c>
      <c r="FH19" s="514">
        <v>0</v>
      </c>
      <c r="FI19" s="514">
        <v>0</v>
      </c>
      <c r="FJ19" s="514">
        <v>0</v>
      </c>
      <c r="FK19" s="514">
        <v>0</v>
      </c>
      <c r="FL19" s="514">
        <v>0</v>
      </c>
      <c r="FM19" s="514">
        <v>0</v>
      </c>
      <c r="FN19" s="514">
        <v>0</v>
      </c>
      <c r="FO19" s="514">
        <v>0</v>
      </c>
      <c r="FP19" s="514">
        <v>0</v>
      </c>
      <c r="FQ19" s="514">
        <v>0</v>
      </c>
    </row>
    <row r="20" spans="1:173" ht="16.5" hidden="1">
      <c r="A20" s="512" t="s">
        <v>658</v>
      </c>
      <c r="B20" s="512" t="s">
        <v>732</v>
      </c>
      <c r="C20" s="512" t="s">
        <v>721</v>
      </c>
      <c r="D20" s="513"/>
      <c r="E20" s="512" t="s">
        <v>721</v>
      </c>
      <c r="F20" s="512" t="s">
        <v>26</v>
      </c>
      <c r="G20" s="513"/>
      <c r="H20" s="514">
        <v>29</v>
      </c>
      <c r="I20" s="298" t="str">
        <f t="shared" si="0"/>
        <v>AOR100229</v>
      </c>
      <c r="J20" s="514">
        <v>3</v>
      </c>
      <c r="L20" s="512" t="s">
        <v>720</v>
      </c>
      <c r="M20" s="512" t="s">
        <v>739</v>
      </c>
      <c r="N20" s="512" t="s">
        <v>721</v>
      </c>
      <c r="O20" s="513"/>
      <c r="P20" s="512" t="s">
        <v>721</v>
      </c>
      <c r="Q20" s="512" t="s">
        <v>25</v>
      </c>
      <c r="R20" s="513"/>
      <c r="S20" s="514">
        <v>63</v>
      </c>
      <c r="T20" s="298" t="str">
        <f t="shared" si="1"/>
        <v>HSGA0163</v>
      </c>
      <c r="U20" s="514">
        <v>18477</v>
      </c>
      <c r="W20" s="512" t="s">
        <v>269</v>
      </c>
      <c r="X20" s="512" t="s">
        <v>843</v>
      </c>
      <c r="Y20" s="512" t="s">
        <v>721</v>
      </c>
      <c r="Z20" s="514">
        <v>10</v>
      </c>
      <c r="AA20" s="512" t="s">
        <v>721</v>
      </c>
      <c r="AB20" s="512" t="s">
        <v>25</v>
      </c>
      <c r="AC20" s="514">
        <v>0</v>
      </c>
      <c r="AD20" s="514">
        <v>32</v>
      </c>
      <c r="AE20" s="298" t="str">
        <f t="shared" si="2"/>
        <v>HNR100132</v>
      </c>
      <c r="AF20" s="514">
        <v>293</v>
      </c>
      <c r="AH20" s="512" t="s">
        <v>721</v>
      </c>
      <c r="AI20" s="512" t="s">
        <v>1030</v>
      </c>
      <c r="AJ20" s="512" t="s">
        <v>721</v>
      </c>
      <c r="AK20" s="513"/>
      <c r="AL20" s="512" t="s">
        <v>721</v>
      </c>
      <c r="AM20" s="512" t="s">
        <v>25</v>
      </c>
      <c r="AN20" s="513"/>
      <c r="AO20" s="514">
        <v>32</v>
      </c>
      <c r="AP20" s="513"/>
      <c r="AQ20" s="298" t="str">
        <f t="shared" si="3"/>
        <v>HOR100132</v>
      </c>
      <c r="AR20" s="514">
        <v>375</v>
      </c>
      <c r="AT20" s="512" t="s">
        <v>743</v>
      </c>
      <c r="AU20" s="512" t="s">
        <v>744</v>
      </c>
      <c r="AV20" s="512" t="s">
        <v>721</v>
      </c>
      <c r="AW20" s="513"/>
      <c r="AX20" s="512" t="s">
        <v>721</v>
      </c>
      <c r="AY20" s="512" t="s">
        <v>26</v>
      </c>
      <c r="AZ20" s="513"/>
      <c r="BA20" s="514">
        <v>30</v>
      </c>
      <c r="BB20" s="298" t="str">
        <f t="shared" si="4"/>
        <v>CLR100230</v>
      </c>
      <c r="BC20" s="514">
        <v>98</v>
      </c>
      <c r="BF20" s="512" t="s">
        <v>658</v>
      </c>
      <c r="BG20" s="512" t="s">
        <v>732</v>
      </c>
      <c r="BH20" s="512" t="s">
        <v>25</v>
      </c>
      <c r="BI20" s="514">
        <v>32</v>
      </c>
      <c r="BJ20" s="298" t="str">
        <f t="shared" si="5"/>
        <v>AOR100132</v>
      </c>
      <c r="BK20" s="514">
        <v>0</v>
      </c>
      <c r="BL20" s="514">
        <v>1</v>
      </c>
      <c r="BM20" s="514">
        <v>1</v>
      </c>
      <c r="BN20" s="514">
        <v>1</v>
      </c>
      <c r="BO20" s="514">
        <v>1</v>
      </c>
      <c r="BP20" s="514">
        <v>2</v>
      </c>
      <c r="BQ20" s="514">
        <v>2</v>
      </c>
      <c r="BR20" s="514">
        <v>2</v>
      </c>
      <c r="BS20" s="514">
        <v>3</v>
      </c>
      <c r="BT20" s="514">
        <v>0</v>
      </c>
      <c r="BU20" s="514">
        <v>0</v>
      </c>
      <c r="BV20" s="514">
        <v>0</v>
      </c>
      <c r="BW20" s="514">
        <v>0</v>
      </c>
      <c r="BX20" s="514">
        <v>0</v>
      </c>
      <c r="BY20" s="514">
        <v>0</v>
      </c>
      <c r="BZ20" s="514">
        <v>0</v>
      </c>
      <c r="CA20" s="514">
        <v>0</v>
      </c>
      <c r="CB20" s="514">
        <v>0</v>
      </c>
      <c r="CC20" s="514">
        <v>0</v>
      </c>
      <c r="CD20" s="514">
        <v>0</v>
      </c>
      <c r="CE20" s="514">
        <v>0</v>
      </c>
      <c r="CF20" s="514">
        <v>0</v>
      </c>
      <c r="CG20" s="514">
        <v>0</v>
      </c>
      <c r="CH20" s="514">
        <v>0</v>
      </c>
      <c r="CI20" s="514">
        <v>0</v>
      </c>
      <c r="CJ20" s="514">
        <v>0</v>
      </c>
      <c r="CK20" s="514">
        <v>0</v>
      </c>
      <c r="CL20" s="514">
        <v>0</v>
      </c>
      <c r="CM20" s="514">
        <v>0</v>
      </c>
      <c r="CN20" s="514">
        <v>0</v>
      </c>
      <c r="CO20" s="514">
        <v>0</v>
      </c>
      <c r="CP20" s="514">
        <v>0</v>
      </c>
      <c r="CQ20" s="514">
        <v>0</v>
      </c>
      <c r="CR20" s="514">
        <v>0</v>
      </c>
      <c r="CS20" s="514">
        <v>0</v>
      </c>
      <c r="CT20" s="514">
        <v>0</v>
      </c>
      <c r="CU20" s="514">
        <v>0</v>
      </c>
      <c r="CV20" s="514">
        <v>0</v>
      </c>
      <c r="CW20" s="514">
        <v>0</v>
      </c>
      <c r="CX20" s="514">
        <v>0</v>
      </c>
      <c r="CY20" s="514">
        <v>0</v>
      </c>
      <c r="CZ20" s="514">
        <v>0</v>
      </c>
      <c r="DA20" s="514">
        <v>0</v>
      </c>
      <c r="DB20" s="514">
        <v>0</v>
      </c>
      <c r="DC20" s="514">
        <v>0</v>
      </c>
      <c r="DD20" s="514">
        <v>0</v>
      </c>
      <c r="DE20" s="514">
        <v>0</v>
      </c>
      <c r="DF20" s="514">
        <v>0</v>
      </c>
      <c r="DG20" s="514">
        <v>0</v>
      </c>
      <c r="DH20" s="514">
        <v>0</v>
      </c>
      <c r="DI20" s="514">
        <v>0</v>
      </c>
      <c r="DJ20" s="514">
        <v>0</v>
      </c>
      <c r="DK20" s="514">
        <v>0</v>
      </c>
      <c r="DL20" s="514">
        <v>0</v>
      </c>
      <c r="DM20" s="514">
        <v>0</v>
      </c>
      <c r="DN20" s="514">
        <v>0</v>
      </c>
      <c r="DO20" s="514">
        <v>0</v>
      </c>
      <c r="DP20" s="514">
        <v>0</v>
      </c>
      <c r="DQ20" s="514">
        <v>0</v>
      </c>
      <c r="DR20" s="514">
        <v>0</v>
      </c>
      <c r="DS20" s="514">
        <v>0</v>
      </c>
      <c r="DT20" s="514">
        <v>0</v>
      </c>
      <c r="DU20" s="514">
        <v>0</v>
      </c>
      <c r="DV20" s="514">
        <v>0</v>
      </c>
      <c r="DW20" s="514">
        <v>0</v>
      </c>
      <c r="DX20" s="514">
        <v>0</v>
      </c>
      <c r="DY20" s="514">
        <v>0</v>
      </c>
      <c r="DZ20" s="514">
        <v>0</v>
      </c>
      <c r="EA20" s="514">
        <v>0</v>
      </c>
      <c r="EB20" s="514">
        <v>0</v>
      </c>
      <c r="EC20" s="514">
        <v>0</v>
      </c>
      <c r="ED20" s="514">
        <v>0</v>
      </c>
      <c r="EE20" s="514">
        <v>0</v>
      </c>
      <c r="EF20" s="514">
        <v>0</v>
      </c>
      <c r="EG20" s="514">
        <v>0</v>
      </c>
      <c r="EH20" s="514">
        <v>0</v>
      </c>
      <c r="EI20" s="514">
        <v>0</v>
      </c>
      <c r="EJ20" s="514">
        <v>0</v>
      </c>
      <c r="EK20" s="514">
        <v>0</v>
      </c>
      <c r="EL20" s="514">
        <v>0</v>
      </c>
      <c r="EM20" s="514">
        <v>0</v>
      </c>
      <c r="EN20" s="514">
        <v>0</v>
      </c>
      <c r="EO20" s="514">
        <v>0</v>
      </c>
      <c r="EP20" s="514">
        <v>0</v>
      </c>
      <c r="EQ20" s="514">
        <v>0</v>
      </c>
      <c r="ER20" s="514">
        <v>0</v>
      </c>
      <c r="ES20" s="514">
        <v>0</v>
      </c>
      <c r="ET20" s="514">
        <v>0</v>
      </c>
      <c r="EU20" s="514">
        <v>0</v>
      </c>
      <c r="EV20" s="514">
        <v>0</v>
      </c>
      <c r="EW20" s="514">
        <v>0</v>
      </c>
      <c r="EX20" s="514">
        <v>0</v>
      </c>
      <c r="EY20" s="514">
        <v>0</v>
      </c>
      <c r="EZ20" s="514">
        <v>0</v>
      </c>
      <c r="FA20" s="514">
        <v>0</v>
      </c>
      <c r="FB20" s="514">
        <v>0</v>
      </c>
      <c r="FC20" s="514">
        <v>0</v>
      </c>
      <c r="FD20" s="514">
        <v>0</v>
      </c>
      <c r="FE20" s="514">
        <v>0</v>
      </c>
      <c r="FF20" s="514">
        <v>0</v>
      </c>
      <c r="FG20" s="514">
        <v>0</v>
      </c>
      <c r="FH20" s="514">
        <v>0</v>
      </c>
      <c r="FI20" s="514">
        <v>0</v>
      </c>
      <c r="FJ20" s="514">
        <v>0</v>
      </c>
      <c r="FK20" s="514">
        <v>0</v>
      </c>
      <c r="FL20" s="514">
        <v>0</v>
      </c>
      <c r="FM20" s="514">
        <v>0</v>
      </c>
      <c r="FN20" s="514">
        <v>0</v>
      </c>
      <c r="FO20" s="514">
        <v>0</v>
      </c>
      <c r="FP20" s="514">
        <v>0</v>
      </c>
      <c r="FQ20" s="514">
        <v>0</v>
      </c>
    </row>
    <row r="21" spans="1:173" ht="16.5" hidden="1">
      <c r="A21" s="512" t="s">
        <v>658</v>
      </c>
      <c r="B21" s="512" t="s">
        <v>732</v>
      </c>
      <c r="C21" s="512" t="s">
        <v>721</v>
      </c>
      <c r="D21" s="513"/>
      <c r="E21" s="512" t="s">
        <v>721</v>
      </c>
      <c r="F21" s="512" t="s">
        <v>26</v>
      </c>
      <c r="G21" s="513"/>
      <c r="H21" s="514">
        <v>30</v>
      </c>
      <c r="I21" s="298" t="str">
        <f t="shared" si="0"/>
        <v>AOR100230</v>
      </c>
      <c r="J21" s="514">
        <v>3</v>
      </c>
      <c r="L21" s="512" t="s">
        <v>720</v>
      </c>
      <c r="M21" s="512" t="s">
        <v>739</v>
      </c>
      <c r="N21" s="512" t="s">
        <v>721</v>
      </c>
      <c r="O21" s="513"/>
      <c r="P21" s="512" t="s">
        <v>721</v>
      </c>
      <c r="Q21" s="512" t="s">
        <v>25</v>
      </c>
      <c r="R21" s="513"/>
      <c r="S21" s="514">
        <v>64</v>
      </c>
      <c r="T21" s="298" t="str">
        <f t="shared" si="1"/>
        <v>HSGA0164</v>
      </c>
      <c r="U21" s="514">
        <v>19557</v>
      </c>
      <c r="W21" s="512" t="s">
        <v>269</v>
      </c>
      <c r="X21" s="512" t="s">
        <v>843</v>
      </c>
      <c r="Y21" s="512" t="s">
        <v>721</v>
      </c>
      <c r="Z21" s="514">
        <v>10</v>
      </c>
      <c r="AA21" s="512" t="s">
        <v>721</v>
      </c>
      <c r="AB21" s="512" t="s">
        <v>25</v>
      </c>
      <c r="AC21" s="514">
        <v>0</v>
      </c>
      <c r="AD21" s="514">
        <v>33</v>
      </c>
      <c r="AE21" s="298" t="str">
        <f t="shared" si="2"/>
        <v>HNR100133</v>
      </c>
      <c r="AF21" s="514">
        <v>311</v>
      </c>
      <c r="AH21" s="512" t="s">
        <v>721</v>
      </c>
      <c r="AI21" s="512" t="s">
        <v>1030</v>
      </c>
      <c r="AJ21" s="512" t="s">
        <v>721</v>
      </c>
      <c r="AK21" s="513"/>
      <c r="AL21" s="512" t="s">
        <v>721</v>
      </c>
      <c r="AM21" s="512" t="s">
        <v>25</v>
      </c>
      <c r="AN21" s="513"/>
      <c r="AO21" s="514">
        <v>33</v>
      </c>
      <c r="AP21" s="513"/>
      <c r="AQ21" s="298" t="str">
        <f t="shared" si="3"/>
        <v>HOR100133</v>
      </c>
      <c r="AR21" s="514">
        <v>400</v>
      </c>
      <c r="AT21" s="512" t="s">
        <v>743</v>
      </c>
      <c r="AU21" s="512" t="s">
        <v>744</v>
      </c>
      <c r="AV21" s="512" t="s">
        <v>721</v>
      </c>
      <c r="AW21" s="513"/>
      <c r="AX21" s="512" t="s">
        <v>721</v>
      </c>
      <c r="AY21" s="512" t="s">
        <v>25</v>
      </c>
      <c r="AZ21" s="513"/>
      <c r="BA21" s="514">
        <v>31</v>
      </c>
      <c r="BB21" s="298" t="str">
        <f t="shared" si="4"/>
        <v>CLR100131</v>
      </c>
      <c r="BC21" s="514">
        <v>68</v>
      </c>
      <c r="BF21" s="512" t="s">
        <v>658</v>
      </c>
      <c r="BG21" s="512" t="s">
        <v>732</v>
      </c>
      <c r="BH21" s="512" t="s">
        <v>25</v>
      </c>
      <c r="BI21" s="514">
        <v>33</v>
      </c>
      <c r="BJ21" s="298" t="str">
        <f t="shared" si="5"/>
        <v>AOR100133</v>
      </c>
      <c r="BK21" s="514">
        <v>0</v>
      </c>
      <c r="BL21" s="514">
        <v>1</v>
      </c>
      <c r="BM21" s="514">
        <v>1</v>
      </c>
      <c r="BN21" s="514">
        <v>1</v>
      </c>
      <c r="BO21" s="514">
        <v>1</v>
      </c>
      <c r="BP21" s="514">
        <v>2</v>
      </c>
      <c r="BQ21" s="514">
        <v>2</v>
      </c>
      <c r="BR21" s="514">
        <v>2</v>
      </c>
      <c r="BS21" s="514">
        <v>3</v>
      </c>
      <c r="BT21" s="514">
        <v>0</v>
      </c>
      <c r="BU21" s="514">
        <v>0</v>
      </c>
      <c r="BV21" s="514">
        <v>0</v>
      </c>
      <c r="BW21" s="514">
        <v>0</v>
      </c>
      <c r="BX21" s="514">
        <v>0</v>
      </c>
      <c r="BY21" s="514">
        <v>0</v>
      </c>
      <c r="BZ21" s="514">
        <v>0</v>
      </c>
      <c r="CA21" s="514">
        <v>0</v>
      </c>
      <c r="CB21" s="514">
        <v>0</v>
      </c>
      <c r="CC21" s="514">
        <v>0</v>
      </c>
      <c r="CD21" s="514">
        <v>0</v>
      </c>
      <c r="CE21" s="514">
        <v>0</v>
      </c>
      <c r="CF21" s="514">
        <v>0</v>
      </c>
      <c r="CG21" s="514">
        <v>0</v>
      </c>
      <c r="CH21" s="514">
        <v>0</v>
      </c>
      <c r="CI21" s="514">
        <v>0</v>
      </c>
      <c r="CJ21" s="514">
        <v>0</v>
      </c>
      <c r="CK21" s="514">
        <v>0</v>
      </c>
      <c r="CL21" s="514">
        <v>0</v>
      </c>
      <c r="CM21" s="514">
        <v>0</v>
      </c>
      <c r="CN21" s="514">
        <v>0</v>
      </c>
      <c r="CO21" s="514">
        <v>0</v>
      </c>
      <c r="CP21" s="514">
        <v>0</v>
      </c>
      <c r="CQ21" s="514">
        <v>0</v>
      </c>
      <c r="CR21" s="514">
        <v>0</v>
      </c>
      <c r="CS21" s="514">
        <v>0</v>
      </c>
      <c r="CT21" s="514">
        <v>0</v>
      </c>
      <c r="CU21" s="514">
        <v>0</v>
      </c>
      <c r="CV21" s="514">
        <v>0</v>
      </c>
      <c r="CW21" s="514">
        <v>0</v>
      </c>
      <c r="CX21" s="514">
        <v>0</v>
      </c>
      <c r="CY21" s="514">
        <v>0</v>
      </c>
      <c r="CZ21" s="514">
        <v>0</v>
      </c>
      <c r="DA21" s="514">
        <v>0</v>
      </c>
      <c r="DB21" s="514">
        <v>0</v>
      </c>
      <c r="DC21" s="514">
        <v>0</v>
      </c>
      <c r="DD21" s="514">
        <v>0</v>
      </c>
      <c r="DE21" s="514">
        <v>0</v>
      </c>
      <c r="DF21" s="514">
        <v>0</v>
      </c>
      <c r="DG21" s="514">
        <v>0</v>
      </c>
      <c r="DH21" s="514">
        <v>0</v>
      </c>
      <c r="DI21" s="514">
        <v>0</v>
      </c>
      <c r="DJ21" s="514">
        <v>0</v>
      </c>
      <c r="DK21" s="514">
        <v>0</v>
      </c>
      <c r="DL21" s="514">
        <v>0</v>
      </c>
      <c r="DM21" s="514">
        <v>0</v>
      </c>
      <c r="DN21" s="514">
        <v>0</v>
      </c>
      <c r="DO21" s="514">
        <v>0</v>
      </c>
      <c r="DP21" s="514">
        <v>0</v>
      </c>
      <c r="DQ21" s="514">
        <v>0</v>
      </c>
      <c r="DR21" s="514">
        <v>0</v>
      </c>
      <c r="DS21" s="514">
        <v>0</v>
      </c>
      <c r="DT21" s="514">
        <v>0</v>
      </c>
      <c r="DU21" s="514">
        <v>0</v>
      </c>
      <c r="DV21" s="514">
        <v>0</v>
      </c>
      <c r="DW21" s="514">
        <v>0</v>
      </c>
      <c r="DX21" s="514">
        <v>0</v>
      </c>
      <c r="DY21" s="514">
        <v>0</v>
      </c>
      <c r="DZ21" s="514">
        <v>0</v>
      </c>
      <c r="EA21" s="514">
        <v>0</v>
      </c>
      <c r="EB21" s="514">
        <v>0</v>
      </c>
      <c r="EC21" s="514">
        <v>0</v>
      </c>
      <c r="ED21" s="514">
        <v>0</v>
      </c>
      <c r="EE21" s="514">
        <v>0</v>
      </c>
      <c r="EF21" s="514">
        <v>0</v>
      </c>
      <c r="EG21" s="514">
        <v>0</v>
      </c>
      <c r="EH21" s="514">
        <v>0</v>
      </c>
      <c r="EI21" s="514">
        <v>0</v>
      </c>
      <c r="EJ21" s="514">
        <v>0</v>
      </c>
      <c r="EK21" s="514">
        <v>0</v>
      </c>
      <c r="EL21" s="514">
        <v>0</v>
      </c>
      <c r="EM21" s="514">
        <v>0</v>
      </c>
      <c r="EN21" s="514">
        <v>0</v>
      </c>
      <c r="EO21" s="514">
        <v>0</v>
      </c>
      <c r="EP21" s="514">
        <v>0</v>
      </c>
      <c r="EQ21" s="514">
        <v>0</v>
      </c>
      <c r="ER21" s="514">
        <v>0</v>
      </c>
      <c r="ES21" s="514">
        <v>0</v>
      </c>
      <c r="ET21" s="514">
        <v>0</v>
      </c>
      <c r="EU21" s="514">
        <v>0</v>
      </c>
      <c r="EV21" s="514">
        <v>0</v>
      </c>
      <c r="EW21" s="514">
        <v>0</v>
      </c>
      <c r="EX21" s="514">
        <v>0</v>
      </c>
      <c r="EY21" s="514">
        <v>0</v>
      </c>
      <c r="EZ21" s="514">
        <v>0</v>
      </c>
      <c r="FA21" s="514">
        <v>0</v>
      </c>
      <c r="FB21" s="514">
        <v>0</v>
      </c>
      <c r="FC21" s="514">
        <v>0</v>
      </c>
      <c r="FD21" s="514">
        <v>0</v>
      </c>
      <c r="FE21" s="514">
        <v>0</v>
      </c>
      <c r="FF21" s="514">
        <v>0</v>
      </c>
      <c r="FG21" s="514">
        <v>0</v>
      </c>
      <c r="FH21" s="514">
        <v>0</v>
      </c>
      <c r="FI21" s="514">
        <v>0</v>
      </c>
      <c r="FJ21" s="514">
        <v>0</v>
      </c>
      <c r="FK21" s="514">
        <v>0</v>
      </c>
      <c r="FL21" s="514">
        <v>0</v>
      </c>
      <c r="FM21" s="514">
        <v>0</v>
      </c>
      <c r="FN21" s="514">
        <v>0</v>
      </c>
      <c r="FO21" s="514">
        <v>0</v>
      </c>
      <c r="FP21" s="514">
        <v>0</v>
      </c>
      <c r="FQ21" s="514">
        <v>0</v>
      </c>
    </row>
    <row r="22" spans="1:173" ht="16.5" hidden="1">
      <c r="A22" s="512" t="s">
        <v>658</v>
      </c>
      <c r="B22" s="512" t="s">
        <v>732</v>
      </c>
      <c r="C22" s="512" t="s">
        <v>721</v>
      </c>
      <c r="D22" s="513"/>
      <c r="E22" s="512" t="s">
        <v>721</v>
      </c>
      <c r="F22" s="512" t="s">
        <v>26</v>
      </c>
      <c r="G22" s="513"/>
      <c r="H22" s="514">
        <v>31</v>
      </c>
      <c r="I22" s="298" t="str">
        <f t="shared" si="0"/>
        <v>AOR100231</v>
      </c>
      <c r="J22" s="514">
        <v>3</v>
      </c>
      <c r="L22" s="512" t="s">
        <v>720</v>
      </c>
      <c r="M22" s="512" t="s">
        <v>739</v>
      </c>
      <c r="N22" s="512" t="s">
        <v>721</v>
      </c>
      <c r="O22" s="513"/>
      <c r="P22" s="512" t="s">
        <v>721</v>
      </c>
      <c r="Q22" s="512" t="s">
        <v>25</v>
      </c>
      <c r="R22" s="513"/>
      <c r="S22" s="514">
        <v>65</v>
      </c>
      <c r="T22" s="298" t="str">
        <f t="shared" si="1"/>
        <v>HSGA0165</v>
      </c>
      <c r="U22" s="514">
        <v>20775</v>
      </c>
      <c r="W22" s="512" t="s">
        <v>269</v>
      </c>
      <c r="X22" s="512" t="s">
        <v>843</v>
      </c>
      <c r="Y22" s="512" t="s">
        <v>721</v>
      </c>
      <c r="Z22" s="514">
        <v>10</v>
      </c>
      <c r="AA22" s="512" t="s">
        <v>721</v>
      </c>
      <c r="AB22" s="512" t="s">
        <v>25</v>
      </c>
      <c r="AC22" s="514">
        <v>0</v>
      </c>
      <c r="AD22" s="514">
        <v>34</v>
      </c>
      <c r="AE22" s="298" t="str">
        <f t="shared" si="2"/>
        <v>HNR100134</v>
      </c>
      <c r="AF22" s="514">
        <v>331</v>
      </c>
      <c r="AH22" s="512" t="s">
        <v>721</v>
      </c>
      <c r="AI22" s="512" t="s">
        <v>1030</v>
      </c>
      <c r="AJ22" s="512" t="s">
        <v>721</v>
      </c>
      <c r="AK22" s="513"/>
      <c r="AL22" s="512" t="s">
        <v>721</v>
      </c>
      <c r="AM22" s="512" t="s">
        <v>25</v>
      </c>
      <c r="AN22" s="513"/>
      <c r="AO22" s="514">
        <v>34</v>
      </c>
      <c r="AP22" s="513"/>
      <c r="AQ22" s="298" t="str">
        <f t="shared" si="3"/>
        <v>HOR100134</v>
      </c>
      <c r="AR22" s="514">
        <v>420</v>
      </c>
      <c r="AT22" s="512" t="s">
        <v>743</v>
      </c>
      <c r="AU22" s="512" t="s">
        <v>744</v>
      </c>
      <c r="AV22" s="512" t="s">
        <v>721</v>
      </c>
      <c r="AW22" s="513"/>
      <c r="AX22" s="512" t="s">
        <v>721</v>
      </c>
      <c r="AY22" s="512" t="s">
        <v>26</v>
      </c>
      <c r="AZ22" s="513"/>
      <c r="BA22" s="514">
        <v>31</v>
      </c>
      <c r="BB22" s="298" t="str">
        <f t="shared" si="4"/>
        <v>CLR100231</v>
      </c>
      <c r="BC22" s="514">
        <v>113</v>
      </c>
      <c r="BF22" s="512" t="s">
        <v>658</v>
      </c>
      <c r="BG22" s="512" t="s">
        <v>732</v>
      </c>
      <c r="BH22" s="512" t="s">
        <v>25</v>
      </c>
      <c r="BI22" s="514">
        <v>34</v>
      </c>
      <c r="BJ22" s="298" t="str">
        <f t="shared" si="5"/>
        <v>AOR100134</v>
      </c>
      <c r="BK22" s="514">
        <v>0</v>
      </c>
      <c r="BL22" s="514">
        <v>1</v>
      </c>
      <c r="BM22" s="514">
        <v>1</v>
      </c>
      <c r="BN22" s="514">
        <v>1</v>
      </c>
      <c r="BO22" s="514">
        <v>1</v>
      </c>
      <c r="BP22" s="514">
        <v>2</v>
      </c>
      <c r="BQ22" s="514">
        <v>2</v>
      </c>
      <c r="BR22" s="514">
        <v>2</v>
      </c>
      <c r="BS22" s="514">
        <v>3</v>
      </c>
      <c r="BT22" s="514">
        <v>0</v>
      </c>
      <c r="BU22" s="514">
        <v>0</v>
      </c>
      <c r="BV22" s="514">
        <v>0</v>
      </c>
      <c r="BW22" s="514">
        <v>0</v>
      </c>
      <c r="BX22" s="514">
        <v>0</v>
      </c>
      <c r="BY22" s="514">
        <v>0</v>
      </c>
      <c r="BZ22" s="514">
        <v>0</v>
      </c>
      <c r="CA22" s="514">
        <v>0</v>
      </c>
      <c r="CB22" s="514">
        <v>0</v>
      </c>
      <c r="CC22" s="514">
        <v>0</v>
      </c>
      <c r="CD22" s="514">
        <v>0</v>
      </c>
      <c r="CE22" s="514">
        <v>0</v>
      </c>
      <c r="CF22" s="514">
        <v>0</v>
      </c>
      <c r="CG22" s="514">
        <v>0</v>
      </c>
      <c r="CH22" s="514">
        <v>0</v>
      </c>
      <c r="CI22" s="514">
        <v>0</v>
      </c>
      <c r="CJ22" s="514">
        <v>0</v>
      </c>
      <c r="CK22" s="514">
        <v>0</v>
      </c>
      <c r="CL22" s="514">
        <v>0</v>
      </c>
      <c r="CM22" s="514">
        <v>0</v>
      </c>
      <c r="CN22" s="514">
        <v>0</v>
      </c>
      <c r="CO22" s="514">
        <v>0</v>
      </c>
      <c r="CP22" s="514">
        <v>0</v>
      </c>
      <c r="CQ22" s="514">
        <v>0</v>
      </c>
      <c r="CR22" s="514">
        <v>0</v>
      </c>
      <c r="CS22" s="514">
        <v>0</v>
      </c>
      <c r="CT22" s="514">
        <v>0</v>
      </c>
      <c r="CU22" s="514">
        <v>0</v>
      </c>
      <c r="CV22" s="514">
        <v>0</v>
      </c>
      <c r="CW22" s="514">
        <v>0</v>
      </c>
      <c r="CX22" s="514">
        <v>0</v>
      </c>
      <c r="CY22" s="514">
        <v>0</v>
      </c>
      <c r="CZ22" s="514">
        <v>0</v>
      </c>
      <c r="DA22" s="514">
        <v>0</v>
      </c>
      <c r="DB22" s="514">
        <v>0</v>
      </c>
      <c r="DC22" s="514">
        <v>0</v>
      </c>
      <c r="DD22" s="514">
        <v>0</v>
      </c>
      <c r="DE22" s="514">
        <v>0</v>
      </c>
      <c r="DF22" s="514">
        <v>0</v>
      </c>
      <c r="DG22" s="514">
        <v>0</v>
      </c>
      <c r="DH22" s="514">
        <v>0</v>
      </c>
      <c r="DI22" s="514">
        <v>0</v>
      </c>
      <c r="DJ22" s="514">
        <v>0</v>
      </c>
      <c r="DK22" s="514">
        <v>0</v>
      </c>
      <c r="DL22" s="514">
        <v>0</v>
      </c>
      <c r="DM22" s="514">
        <v>0</v>
      </c>
      <c r="DN22" s="514">
        <v>0</v>
      </c>
      <c r="DO22" s="514">
        <v>0</v>
      </c>
      <c r="DP22" s="514">
        <v>0</v>
      </c>
      <c r="DQ22" s="514">
        <v>0</v>
      </c>
      <c r="DR22" s="514">
        <v>0</v>
      </c>
      <c r="DS22" s="514">
        <v>0</v>
      </c>
      <c r="DT22" s="514">
        <v>0</v>
      </c>
      <c r="DU22" s="514">
        <v>0</v>
      </c>
      <c r="DV22" s="514">
        <v>0</v>
      </c>
      <c r="DW22" s="514">
        <v>0</v>
      </c>
      <c r="DX22" s="514">
        <v>0</v>
      </c>
      <c r="DY22" s="514">
        <v>0</v>
      </c>
      <c r="DZ22" s="514">
        <v>0</v>
      </c>
      <c r="EA22" s="514">
        <v>0</v>
      </c>
      <c r="EB22" s="514">
        <v>0</v>
      </c>
      <c r="EC22" s="514">
        <v>0</v>
      </c>
      <c r="ED22" s="514">
        <v>0</v>
      </c>
      <c r="EE22" s="514">
        <v>0</v>
      </c>
      <c r="EF22" s="514">
        <v>0</v>
      </c>
      <c r="EG22" s="514">
        <v>0</v>
      </c>
      <c r="EH22" s="514">
        <v>0</v>
      </c>
      <c r="EI22" s="514">
        <v>0</v>
      </c>
      <c r="EJ22" s="514">
        <v>0</v>
      </c>
      <c r="EK22" s="514">
        <v>0</v>
      </c>
      <c r="EL22" s="514">
        <v>0</v>
      </c>
      <c r="EM22" s="514">
        <v>0</v>
      </c>
      <c r="EN22" s="514">
        <v>0</v>
      </c>
      <c r="EO22" s="514">
        <v>0</v>
      </c>
      <c r="EP22" s="514">
        <v>0</v>
      </c>
      <c r="EQ22" s="514">
        <v>0</v>
      </c>
      <c r="ER22" s="514">
        <v>0</v>
      </c>
      <c r="ES22" s="514">
        <v>0</v>
      </c>
      <c r="ET22" s="514">
        <v>0</v>
      </c>
      <c r="EU22" s="514">
        <v>0</v>
      </c>
      <c r="EV22" s="514">
        <v>0</v>
      </c>
      <c r="EW22" s="514">
        <v>0</v>
      </c>
      <c r="EX22" s="514">
        <v>0</v>
      </c>
      <c r="EY22" s="514">
        <v>0</v>
      </c>
      <c r="EZ22" s="514">
        <v>0</v>
      </c>
      <c r="FA22" s="514">
        <v>0</v>
      </c>
      <c r="FB22" s="514">
        <v>0</v>
      </c>
      <c r="FC22" s="514">
        <v>0</v>
      </c>
      <c r="FD22" s="514">
        <v>0</v>
      </c>
      <c r="FE22" s="514">
        <v>0</v>
      </c>
      <c r="FF22" s="514">
        <v>0</v>
      </c>
      <c r="FG22" s="514">
        <v>0</v>
      </c>
      <c r="FH22" s="514">
        <v>0</v>
      </c>
      <c r="FI22" s="514">
        <v>0</v>
      </c>
      <c r="FJ22" s="514">
        <v>0</v>
      </c>
      <c r="FK22" s="514">
        <v>0</v>
      </c>
      <c r="FL22" s="514">
        <v>0</v>
      </c>
      <c r="FM22" s="514">
        <v>0</v>
      </c>
      <c r="FN22" s="514">
        <v>0</v>
      </c>
      <c r="FO22" s="514">
        <v>0</v>
      </c>
      <c r="FP22" s="514">
        <v>0</v>
      </c>
      <c r="FQ22" s="514">
        <v>0</v>
      </c>
    </row>
    <row r="23" spans="1:173" ht="16.5" hidden="1">
      <c r="A23" s="512" t="s">
        <v>658</v>
      </c>
      <c r="B23" s="512" t="s">
        <v>732</v>
      </c>
      <c r="C23" s="512" t="s">
        <v>721</v>
      </c>
      <c r="D23" s="513"/>
      <c r="E23" s="512" t="s">
        <v>721</v>
      </c>
      <c r="F23" s="512" t="s">
        <v>26</v>
      </c>
      <c r="G23" s="513"/>
      <c r="H23" s="514">
        <v>32</v>
      </c>
      <c r="I23" s="298" t="str">
        <f t="shared" si="0"/>
        <v>AOR100232</v>
      </c>
      <c r="J23" s="514">
        <v>3</v>
      </c>
      <c r="L23" s="512" t="s">
        <v>720</v>
      </c>
      <c r="M23" s="512" t="s">
        <v>739</v>
      </c>
      <c r="N23" s="512" t="s">
        <v>721</v>
      </c>
      <c r="O23" s="513"/>
      <c r="P23" s="512" t="s">
        <v>721</v>
      </c>
      <c r="Q23" s="512" t="s">
        <v>25</v>
      </c>
      <c r="R23" s="513"/>
      <c r="S23" s="514">
        <v>66</v>
      </c>
      <c r="T23" s="298" t="str">
        <f t="shared" si="1"/>
        <v>HSGA0166</v>
      </c>
      <c r="U23" s="514">
        <v>22137</v>
      </c>
      <c r="W23" s="512" t="s">
        <v>269</v>
      </c>
      <c r="X23" s="512" t="s">
        <v>843</v>
      </c>
      <c r="Y23" s="512" t="s">
        <v>721</v>
      </c>
      <c r="Z23" s="514">
        <v>10</v>
      </c>
      <c r="AA23" s="512" t="s">
        <v>721</v>
      </c>
      <c r="AB23" s="512" t="s">
        <v>25</v>
      </c>
      <c r="AC23" s="514">
        <v>0</v>
      </c>
      <c r="AD23" s="514">
        <v>35</v>
      </c>
      <c r="AE23" s="298" t="str">
        <f t="shared" si="2"/>
        <v>HNR100135</v>
      </c>
      <c r="AF23" s="514">
        <v>354</v>
      </c>
      <c r="AH23" s="512" t="s">
        <v>721</v>
      </c>
      <c r="AI23" s="512" t="s">
        <v>1030</v>
      </c>
      <c r="AJ23" s="512" t="s">
        <v>721</v>
      </c>
      <c r="AK23" s="513"/>
      <c r="AL23" s="512" t="s">
        <v>721</v>
      </c>
      <c r="AM23" s="512" t="s">
        <v>25</v>
      </c>
      <c r="AN23" s="513"/>
      <c r="AO23" s="514">
        <v>35</v>
      </c>
      <c r="AP23" s="513"/>
      <c r="AQ23" s="298" t="str">
        <f t="shared" si="3"/>
        <v>HOR100135</v>
      </c>
      <c r="AR23" s="514">
        <v>455</v>
      </c>
      <c r="AT23" s="512" t="s">
        <v>743</v>
      </c>
      <c r="AU23" s="512" t="s">
        <v>744</v>
      </c>
      <c r="AV23" s="512" t="s">
        <v>721</v>
      </c>
      <c r="AW23" s="513"/>
      <c r="AX23" s="512" t="s">
        <v>721</v>
      </c>
      <c r="AY23" s="512" t="s">
        <v>25</v>
      </c>
      <c r="AZ23" s="513"/>
      <c r="BA23" s="514">
        <v>32</v>
      </c>
      <c r="BB23" s="298" t="str">
        <f t="shared" si="4"/>
        <v>CLR100132</v>
      </c>
      <c r="BC23" s="514">
        <v>79</v>
      </c>
      <c r="BF23" s="512" t="s">
        <v>658</v>
      </c>
      <c r="BG23" s="512" t="s">
        <v>732</v>
      </c>
      <c r="BH23" s="512" t="s">
        <v>25</v>
      </c>
      <c r="BI23" s="514">
        <v>35</v>
      </c>
      <c r="BJ23" s="298" t="str">
        <f t="shared" si="5"/>
        <v>AOR100135</v>
      </c>
      <c r="BK23" s="514">
        <v>0</v>
      </c>
      <c r="BL23" s="514">
        <v>1</v>
      </c>
      <c r="BM23" s="514">
        <v>1</v>
      </c>
      <c r="BN23" s="514">
        <v>1</v>
      </c>
      <c r="BO23" s="514">
        <v>1</v>
      </c>
      <c r="BP23" s="514">
        <v>2</v>
      </c>
      <c r="BQ23" s="514">
        <v>2</v>
      </c>
      <c r="BR23" s="514">
        <v>2</v>
      </c>
      <c r="BS23" s="514">
        <v>3</v>
      </c>
      <c r="BT23" s="514">
        <v>0</v>
      </c>
      <c r="BU23" s="514">
        <v>0</v>
      </c>
      <c r="BV23" s="514">
        <v>0</v>
      </c>
      <c r="BW23" s="514">
        <v>0</v>
      </c>
      <c r="BX23" s="514">
        <v>0</v>
      </c>
      <c r="BY23" s="514">
        <v>0</v>
      </c>
      <c r="BZ23" s="514">
        <v>0</v>
      </c>
      <c r="CA23" s="514">
        <v>0</v>
      </c>
      <c r="CB23" s="514">
        <v>0</v>
      </c>
      <c r="CC23" s="514">
        <v>0</v>
      </c>
      <c r="CD23" s="514">
        <v>0</v>
      </c>
      <c r="CE23" s="514">
        <v>0</v>
      </c>
      <c r="CF23" s="514">
        <v>0</v>
      </c>
      <c r="CG23" s="514">
        <v>0</v>
      </c>
      <c r="CH23" s="514">
        <v>0</v>
      </c>
      <c r="CI23" s="514">
        <v>0</v>
      </c>
      <c r="CJ23" s="514">
        <v>0</v>
      </c>
      <c r="CK23" s="514">
        <v>0</v>
      </c>
      <c r="CL23" s="514">
        <v>0</v>
      </c>
      <c r="CM23" s="514">
        <v>0</v>
      </c>
      <c r="CN23" s="514">
        <v>0</v>
      </c>
      <c r="CO23" s="514">
        <v>0</v>
      </c>
      <c r="CP23" s="514">
        <v>0</v>
      </c>
      <c r="CQ23" s="514">
        <v>0</v>
      </c>
      <c r="CR23" s="514">
        <v>0</v>
      </c>
      <c r="CS23" s="514">
        <v>0</v>
      </c>
      <c r="CT23" s="514">
        <v>0</v>
      </c>
      <c r="CU23" s="514">
        <v>0</v>
      </c>
      <c r="CV23" s="514">
        <v>0</v>
      </c>
      <c r="CW23" s="514">
        <v>0</v>
      </c>
      <c r="CX23" s="514">
        <v>0</v>
      </c>
      <c r="CY23" s="514">
        <v>0</v>
      </c>
      <c r="CZ23" s="514">
        <v>0</v>
      </c>
      <c r="DA23" s="514">
        <v>0</v>
      </c>
      <c r="DB23" s="514">
        <v>0</v>
      </c>
      <c r="DC23" s="514">
        <v>0</v>
      </c>
      <c r="DD23" s="514">
        <v>0</v>
      </c>
      <c r="DE23" s="514">
        <v>0</v>
      </c>
      <c r="DF23" s="514">
        <v>0</v>
      </c>
      <c r="DG23" s="514">
        <v>0</v>
      </c>
      <c r="DH23" s="514">
        <v>0</v>
      </c>
      <c r="DI23" s="514">
        <v>0</v>
      </c>
      <c r="DJ23" s="514">
        <v>0</v>
      </c>
      <c r="DK23" s="514">
        <v>0</v>
      </c>
      <c r="DL23" s="514">
        <v>0</v>
      </c>
      <c r="DM23" s="514">
        <v>0</v>
      </c>
      <c r="DN23" s="514">
        <v>0</v>
      </c>
      <c r="DO23" s="514">
        <v>0</v>
      </c>
      <c r="DP23" s="514">
        <v>0</v>
      </c>
      <c r="DQ23" s="514">
        <v>0</v>
      </c>
      <c r="DR23" s="514">
        <v>0</v>
      </c>
      <c r="DS23" s="514">
        <v>0</v>
      </c>
      <c r="DT23" s="514">
        <v>0</v>
      </c>
      <c r="DU23" s="514">
        <v>0</v>
      </c>
      <c r="DV23" s="514">
        <v>0</v>
      </c>
      <c r="DW23" s="514">
        <v>0</v>
      </c>
      <c r="DX23" s="514">
        <v>0</v>
      </c>
      <c r="DY23" s="514">
        <v>0</v>
      </c>
      <c r="DZ23" s="514">
        <v>0</v>
      </c>
      <c r="EA23" s="514">
        <v>0</v>
      </c>
      <c r="EB23" s="514">
        <v>0</v>
      </c>
      <c r="EC23" s="514">
        <v>0</v>
      </c>
      <c r="ED23" s="514">
        <v>0</v>
      </c>
      <c r="EE23" s="514">
        <v>0</v>
      </c>
      <c r="EF23" s="514">
        <v>0</v>
      </c>
      <c r="EG23" s="514">
        <v>0</v>
      </c>
      <c r="EH23" s="514">
        <v>0</v>
      </c>
      <c r="EI23" s="514">
        <v>0</v>
      </c>
      <c r="EJ23" s="514">
        <v>0</v>
      </c>
      <c r="EK23" s="514">
        <v>0</v>
      </c>
      <c r="EL23" s="514">
        <v>0</v>
      </c>
      <c r="EM23" s="514">
        <v>0</v>
      </c>
      <c r="EN23" s="514">
        <v>0</v>
      </c>
      <c r="EO23" s="514">
        <v>0</v>
      </c>
      <c r="EP23" s="514">
        <v>0</v>
      </c>
      <c r="EQ23" s="514">
        <v>0</v>
      </c>
      <c r="ER23" s="514">
        <v>0</v>
      </c>
      <c r="ES23" s="514">
        <v>0</v>
      </c>
      <c r="ET23" s="514">
        <v>0</v>
      </c>
      <c r="EU23" s="514">
        <v>0</v>
      </c>
      <c r="EV23" s="514">
        <v>0</v>
      </c>
      <c r="EW23" s="514">
        <v>0</v>
      </c>
      <c r="EX23" s="514">
        <v>0</v>
      </c>
      <c r="EY23" s="514">
        <v>0</v>
      </c>
      <c r="EZ23" s="514">
        <v>0</v>
      </c>
      <c r="FA23" s="514">
        <v>0</v>
      </c>
      <c r="FB23" s="514">
        <v>0</v>
      </c>
      <c r="FC23" s="514">
        <v>0</v>
      </c>
      <c r="FD23" s="514">
        <v>0</v>
      </c>
      <c r="FE23" s="514">
        <v>0</v>
      </c>
      <c r="FF23" s="514">
        <v>0</v>
      </c>
      <c r="FG23" s="514">
        <v>0</v>
      </c>
      <c r="FH23" s="514">
        <v>0</v>
      </c>
      <c r="FI23" s="514">
        <v>0</v>
      </c>
      <c r="FJ23" s="514">
        <v>0</v>
      </c>
      <c r="FK23" s="514">
        <v>0</v>
      </c>
      <c r="FL23" s="514">
        <v>0</v>
      </c>
      <c r="FM23" s="514">
        <v>0</v>
      </c>
      <c r="FN23" s="514">
        <v>0</v>
      </c>
      <c r="FO23" s="514">
        <v>0</v>
      </c>
      <c r="FP23" s="514">
        <v>0</v>
      </c>
      <c r="FQ23" s="514">
        <v>0</v>
      </c>
    </row>
    <row r="24" spans="1:173" ht="16.5" hidden="1">
      <c r="A24" s="512" t="s">
        <v>658</v>
      </c>
      <c r="B24" s="512" t="s">
        <v>732</v>
      </c>
      <c r="C24" s="512" t="s">
        <v>721</v>
      </c>
      <c r="D24" s="513"/>
      <c r="E24" s="512" t="s">
        <v>721</v>
      </c>
      <c r="F24" s="512" t="s">
        <v>26</v>
      </c>
      <c r="G24" s="513"/>
      <c r="H24" s="514">
        <v>33</v>
      </c>
      <c r="I24" s="298" t="str">
        <f t="shared" si="0"/>
        <v>AOR100233</v>
      </c>
      <c r="J24" s="514">
        <v>3</v>
      </c>
      <c r="L24" s="512" t="s">
        <v>720</v>
      </c>
      <c r="M24" s="512" t="s">
        <v>739</v>
      </c>
      <c r="N24" s="512" t="s">
        <v>721</v>
      </c>
      <c r="O24" s="513"/>
      <c r="P24" s="512" t="s">
        <v>721</v>
      </c>
      <c r="Q24" s="512" t="s">
        <v>25</v>
      </c>
      <c r="R24" s="513"/>
      <c r="S24" s="514">
        <v>67</v>
      </c>
      <c r="T24" s="298" t="str">
        <f t="shared" si="1"/>
        <v>HSGA0167</v>
      </c>
      <c r="U24" s="514">
        <v>23651</v>
      </c>
      <c r="W24" s="512" t="s">
        <v>269</v>
      </c>
      <c r="X24" s="512" t="s">
        <v>843</v>
      </c>
      <c r="Y24" s="512" t="s">
        <v>721</v>
      </c>
      <c r="Z24" s="514">
        <v>10</v>
      </c>
      <c r="AA24" s="512" t="s">
        <v>721</v>
      </c>
      <c r="AB24" s="512" t="s">
        <v>25</v>
      </c>
      <c r="AC24" s="514">
        <v>0</v>
      </c>
      <c r="AD24" s="514">
        <v>36</v>
      </c>
      <c r="AE24" s="298" t="str">
        <f t="shared" si="2"/>
        <v>HNR100136</v>
      </c>
      <c r="AF24" s="514">
        <v>373</v>
      </c>
      <c r="AH24" s="512" t="s">
        <v>721</v>
      </c>
      <c r="AI24" s="512" t="s">
        <v>1030</v>
      </c>
      <c r="AJ24" s="512" t="s">
        <v>721</v>
      </c>
      <c r="AK24" s="513"/>
      <c r="AL24" s="512" t="s">
        <v>721</v>
      </c>
      <c r="AM24" s="512" t="s">
        <v>25</v>
      </c>
      <c r="AN24" s="513"/>
      <c r="AO24" s="514">
        <v>36</v>
      </c>
      <c r="AP24" s="513"/>
      <c r="AQ24" s="298" t="str">
        <f t="shared" si="3"/>
        <v>HOR100136</v>
      </c>
      <c r="AR24" s="514">
        <v>480</v>
      </c>
      <c r="AT24" s="512" t="s">
        <v>743</v>
      </c>
      <c r="AU24" s="512" t="s">
        <v>744</v>
      </c>
      <c r="AV24" s="512" t="s">
        <v>721</v>
      </c>
      <c r="AW24" s="513"/>
      <c r="AX24" s="512" t="s">
        <v>721</v>
      </c>
      <c r="AY24" s="512" t="s">
        <v>26</v>
      </c>
      <c r="AZ24" s="513"/>
      <c r="BA24" s="514">
        <v>32</v>
      </c>
      <c r="BB24" s="298" t="str">
        <f t="shared" si="4"/>
        <v>CLR100232</v>
      </c>
      <c r="BC24" s="514">
        <v>130</v>
      </c>
      <c r="BF24" s="512" t="s">
        <v>658</v>
      </c>
      <c r="BG24" s="512" t="s">
        <v>732</v>
      </c>
      <c r="BH24" s="512" t="s">
        <v>25</v>
      </c>
      <c r="BI24" s="514">
        <v>36</v>
      </c>
      <c r="BJ24" s="298" t="str">
        <f t="shared" si="5"/>
        <v>AOR100136</v>
      </c>
      <c r="BK24" s="514">
        <v>0</v>
      </c>
      <c r="BL24" s="514">
        <v>1</v>
      </c>
      <c r="BM24" s="514">
        <v>1</v>
      </c>
      <c r="BN24" s="514">
        <v>1</v>
      </c>
      <c r="BO24" s="514">
        <v>1</v>
      </c>
      <c r="BP24" s="514">
        <v>2</v>
      </c>
      <c r="BQ24" s="514">
        <v>2</v>
      </c>
      <c r="BR24" s="514">
        <v>2</v>
      </c>
      <c r="BS24" s="514">
        <v>3</v>
      </c>
      <c r="BT24" s="514">
        <v>0</v>
      </c>
      <c r="BU24" s="514">
        <v>0</v>
      </c>
      <c r="BV24" s="514">
        <v>0</v>
      </c>
      <c r="BW24" s="514">
        <v>0</v>
      </c>
      <c r="BX24" s="514">
        <v>0</v>
      </c>
      <c r="BY24" s="514">
        <v>0</v>
      </c>
      <c r="BZ24" s="514">
        <v>0</v>
      </c>
      <c r="CA24" s="514">
        <v>0</v>
      </c>
      <c r="CB24" s="514">
        <v>0</v>
      </c>
      <c r="CC24" s="514">
        <v>0</v>
      </c>
      <c r="CD24" s="514">
        <v>0</v>
      </c>
      <c r="CE24" s="514">
        <v>0</v>
      </c>
      <c r="CF24" s="514">
        <v>0</v>
      </c>
      <c r="CG24" s="514">
        <v>0</v>
      </c>
      <c r="CH24" s="514">
        <v>0</v>
      </c>
      <c r="CI24" s="514">
        <v>0</v>
      </c>
      <c r="CJ24" s="514">
        <v>0</v>
      </c>
      <c r="CK24" s="514">
        <v>0</v>
      </c>
      <c r="CL24" s="514">
        <v>0</v>
      </c>
      <c r="CM24" s="514">
        <v>0</v>
      </c>
      <c r="CN24" s="514">
        <v>0</v>
      </c>
      <c r="CO24" s="514">
        <v>0</v>
      </c>
      <c r="CP24" s="514">
        <v>0</v>
      </c>
      <c r="CQ24" s="514">
        <v>0</v>
      </c>
      <c r="CR24" s="514">
        <v>0</v>
      </c>
      <c r="CS24" s="514">
        <v>0</v>
      </c>
      <c r="CT24" s="514">
        <v>0</v>
      </c>
      <c r="CU24" s="514">
        <v>0</v>
      </c>
      <c r="CV24" s="514">
        <v>0</v>
      </c>
      <c r="CW24" s="514">
        <v>0</v>
      </c>
      <c r="CX24" s="514">
        <v>0</v>
      </c>
      <c r="CY24" s="514">
        <v>0</v>
      </c>
      <c r="CZ24" s="514">
        <v>0</v>
      </c>
      <c r="DA24" s="514">
        <v>0</v>
      </c>
      <c r="DB24" s="514">
        <v>0</v>
      </c>
      <c r="DC24" s="514">
        <v>0</v>
      </c>
      <c r="DD24" s="514">
        <v>0</v>
      </c>
      <c r="DE24" s="514">
        <v>0</v>
      </c>
      <c r="DF24" s="514">
        <v>0</v>
      </c>
      <c r="DG24" s="514">
        <v>0</v>
      </c>
      <c r="DH24" s="514">
        <v>0</v>
      </c>
      <c r="DI24" s="514">
        <v>0</v>
      </c>
      <c r="DJ24" s="514">
        <v>0</v>
      </c>
      <c r="DK24" s="514">
        <v>0</v>
      </c>
      <c r="DL24" s="514">
        <v>0</v>
      </c>
      <c r="DM24" s="514">
        <v>0</v>
      </c>
      <c r="DN24" s="514">
        <v>0</v>
      </c>
      <c r="DO24" s="514">
        <v>0</v>
      </c>
      <c r="DP24" s="514">
        <v>0</v>
      </c>
      <c r="DQ24" s="514">
        <v>0</v>
      </c>
      <c r="DR24" s="514">
        <v>0</v>
      </c>
      <c r="DS24" s="514">
        <v>0</v>
      </c>
      <c r="DT24" s="514">
        <v>0</v>
      </c>
      <c r="DU24" s="514">
        <v>0</v>
      </c>
      <c r="DV24" s="514">
        <v>0</v>
      </c>
      <c r="DW24" s="514">
        <v>0</v>
      </c>
      <c r="DX24" s="514">
        <v>0</v>
      </c>
      <c r="DY24" s="514">
        <v>0</v>
      </c>
      <c r="DZ24" s="514">
        <v>0</v>
      </c>
      <c r="EA24" s="514">
        <v>0</v>
      </c>
      <c r="EB24" s="514">
        <v>0</v>
      </c>
      <c r="EC24" s="514">
        <v>0</v>
      </c>
      <c r="ED24" s="514">
        <v>0</v>
      </c>
      <c r="EE24" s="514">
        <v>0</v>
      </c>
      <c r="EF24" s="514">
        <v>0</v>
      </c>
      <c r="EG24" s="514">
        <v>0</v>
      </c>
      <c r="EH24" s="514">
        <v>0</v>
      </c>
      <c r="EI24" s="514">
        <v>0</v>
      </c>
      <c r="EJ24" s="514">
        <v>0</v>
      </c>
      <c r="EK24" s="514">
        <v>0</v>
      </c>
      <c r="EL24" s="514">
        <v>0</v>
      </c>
      <c r="EM24" s="514">
        <v>0</v>
      </c>
      <c r="EN24" s="514">
        <v>0</v>
      </c>
      <c r="EO24" s="514">
        <v>0</v>
      </c>
      <c r="EP24" s="514">
        <v>0</v>
      </c>
      <c r="EQ24" s="514">
        <v>0</v>
      </c>
      <c r="ER24" s="514">
        <v>0</v>
      </c>
      <c r="ES24" s="514">
        <v>0</v>
      </c>
      <c r="ET24" s="514">
        <v>0</v>
      </c>
      <c r="EU24" s="514">
        <v>0</v>
      </c>
      <c r="EV24" s="514">
        <v>0</v>
      </c>
      <c r="EW24" s="514">
        <v>0</v>
      </c>
      <c r="EX24" s="514">
        <v>0</v>
      </c>
      <c r="EY24" s="514">
        <v>0</v>
      </c>
      <c r="EZ24" s="514">
        <v>0</v>
      </c>
      <c r="FA24" s="514">
        <v>0</v>
      </c>
      <c r="FB24" s="514">
        <v>0</v>
      </c>
      <c r="FC24" s="514">
        <v>0</v>
      </c>
      <c r="FD24" s="514">
        <v>0</v>
      </c>
      <c r="FE24" s="514">
        <v>0</v>
      </c>
      <c r="FF24" s="514">
        <v>0</v>
      </c>
      <c r="FG24" s="514">
        <v>0</v>
      </c>
      <c r="FH24" s="514">
        <v>0</v>
      </c>
      <c r="FI24" s="514">
        <v>0</v>
      </c>
      <c r="FJ24" s="514">
        <v>0</v>
      </c>
      <c r="FK24" s="514">
        <v>0</v>
      </c>
      <c r="FL24" s="514">
        <v>0</v>
      </c>
      <c r="FM24" s="514">
        <v>0</v>
      </c>
      <c r="FN24" s="514">
        <v>0</v>
      </c>
      <c r="FO24" s="514">
        <v>0</v>
      </c>
      <c r="FP24" s="514">
        <v>0</v>
      </c>
      <c r="FQ24" s="514">
        <v>0</v>
      </c>
    </row>
    <row r="25" spans="1:173" ht="16.5" hidden="1">
      <c r="A25" s="512" t="s">
        <v>658</v>
      </c>
      <c r="B25" s="512" t="s">
        <v>732</v>
      </c>
      <c r="C25" s="512" t="s">
        <v>721</v>
      </c>
      <c r="D25" s="513"/>
      <c r="E25" s="512" t="s">
        <v>721</v>
      </c>
      <c r="F25" s="512" t="s">
        <v>26</v>
      </c>
      <c r="G25" s="513"/>
      <c r="H25" s="514">
        <v>34</v>
      </c>
      <c r="I25" s="298" t="str">
        <f t="shared" si="0"/>
        <v>AOR100234</v>
      </c>
      <c r="J25" s="514">
        <v>3</v>
      </c>
      <c r="L25" s="512" t="s">
        <v>720</v>
      </c>
      <c r="M25" s="512" t="s">
        <v>739</v>
      </c>
      <c r="N25" s="512" t="s">
        <v>721</v>
      </c>
      <c r="O25" s="513"/>
      <c r="P25" s="512" t="s">
        <v>721</v>
      </c>
      <c r="Q25" s="512" t="s">
        <v>25</v>
      </c>
      <c r="R25" s="513"/>
      <c r="S25" s="514">
        <v>68</v>
      </c>
      <c r="T25" s="298" t="str">
        <f t="shared" si="1"/>
        <v>HSGA0168</v>
      </c>
      <c r="U25" s="514">
        <v>25329</v>
      </c>
      <c r="W25" s="512" t="s">
        <v>269</v>
      </c>
      <c r="X25" s="512" t="s">
        <v>843</v>
      </c>
      <c r="Y25" s="512" t="s">
        <v>721</v>
      </c>
      <c r="Z25" s="514">
        <v>10</v>
      </c>
      <c r="AA25" s="512" t="s">
        <v>721</v>
      </c>
      <c r="AB25" s="512" t="s">
        <v>25</v>
      </c>
      <c r="AC25" s="514">
        <v>0</v>
      </c>
      <c r="AD25" s="514">
        <v>37</v>
      </c>
      <c r="AE25" s="298" t="str">
        <f t="shared" si="2"/>
        <v>HNR100137</v>
      </c>
      <c r="AF25" s="514">
        <v>395</v>
      </c>
      <c r="AH25" s="512" t="s">
        <v>721</v>
      </c>
      <c r="AI25" s="512" t="s">
        <v>1030</v>
      </c>
      <c r="AJ25" s="512" t="s">
        <v>721</v>
      </c>
      <c r="AK25" s="513"/>
      <c r="AL25" s="512" t="s">
        <v>721</v>
      </c>
      <c r="AM25" s="512" t="s">
        <v>25</v>
      </c>
      <c r="AN25" s="513"/>
      <c r="AO25" s="514">
        <v>37</v>
      </c>
      <c r="AP25" s="513"/>
      <c r="AQ25" s="298" t="str">
        <f t="shared" si="3"/>
        <v>HOR100137</v>
      </c>
      <c r="AR25" s="514">
        <v>515</v>
      </c>
      <c r="AT25" s="512" t="s">
        <v>743</v>
      </c>
      <c r="AU25" s="512" t="s">
        <v>744</v>
      </c>
      <c r="AV25" s="512" t="s">
        <v>721</v>
      </c>
      <c r="AW25" s="513"/>
      <c r="AX25" s="512" t="s">
        <v>721</v>
      </c>
      <c r="AY25" s="512" t="s">
        <v>25</v>
      </c>
      <c r="AZ25" s="513"/>
      <c r="BA25" s="514">
        <v>33</v>
      </c>
      <c r="BB25" s="298" t="str">
        <f t="shared" si="4"/>
        <v>CLR100133</v>
      </c>
      <c r="BC25" s="514">
        <v>92</v>
      </c>
      <c r="BF25" s="512" t="s">
        <v>658</v>
      </c>
      <c r="BG25" s="512" t="s">
        <v>732</v>
      </c>
      <c r="BH25" s="512" t="s">
        <v>25</v>
      </c>
      <c r="BI25" s="514">
        <v>37</v>
      </c>
      <c r="BJ25" s="298" t="str">
        <f t="shared" si="5"/>
        <v>AOR100137</v>
      </c>
      <c r="BK25" s="514">
        <v>0</v>
      </c>
      <c r="BL25" s="514">
        <v>1</v>
      </c>
      <c r="BM25" s="514">
        <v>1</v>
      </c>
      <c r="BN25" s="514">
        <v>1</v>
      </c>
      <c r="BO25" s="514">
        <v>1</v>
      </c>
      <c r="BP25" s="514">
        <v>2</v>
      </c>
      <c r="BQ25" s="514">
        <v>2</v>
      </c>
      <c r="BR25" s="514">
        <v>2</v>
      </c>
      <c r="BS25" s="514">
        <v>3</v>
      </c>
      <c r="BT25" s="514">
        <v>0</v>
      </c>
      <c r="BU25" s="514">
        <v>0</v>
      </c>
      <c r="BV25" s="514">
        <v>0</v>
      </c>
      <c r="BW25" s="514">
        <v>0</v>
      </c>
      <c r="BX25" s="514">
        <v>0</v>
      </c>
      <c r="BY25" s="514">
        <v>0</v>
      </c>
      <c r="BZ25" s="514">
        <v>0</v>
      </c>
      <c r="CA25" s="514">
        <v>0</v>
      </c>
      <c r="CB25" s="514">
        <v>0</v>
      </c>
      <c r="CC25" s="514">
        <v>0</v>
      </c>
      <c r="CD25" s="514">
        <v>0</v>
      </c>
      <c r="CE25" s="514">
        <v>0</v>
      </c>
      <c r="CF25" s="514">
        <v>0</v>
      </c>
      <c r="CG25" s="514">
        <v>0</v>
      </c>
      <c r="CH25" s="514">
        <v>0</v>
      </c>
      <c r="CI25" s="514">
        <v>0</v>
      </c>
      <c r="CJ25" s="514">
        <v>0</v>
      </c>
      <c r="CK25" s="514">
        <v>0</v>
      </c>
      <c r="CL25" s="514">
        <v>0</v>
      </c>
      <c r="CM25" s="514">
        <v>0</v>
      </c>
      <c r="CN25" s="514">
        <v>0</v>
      </c>
      <c r="CO25" s="514">
        <v>0</v>
      </c>
      <c r="CP25" s="514">
        <v>0</v>
      </c>
      <c r="CQ25" s="514">
        <v>0</v>
      </c>
      <c r="CR25" s="514">
        <v>0</v>
      </c>
      <c r="CS25" s="514">
        <v>0</v>
      </c>
      <c r="CT25" s="514">
        <v>0</v>
      </c>
      <c r="CU25" s="514">
        <v>0</v>
      </c>
      <c r="CV25" s="514">
        <v>0</v>
      </c>
      <c r="CW25" s="514">
        <v>0</v>
      </c>
      <c r="CX25" s="514">
        <v>0</v>
      </c>
      <c r="CY25" s="514">
        <v>0</v>
      </c>
      <c r="CZ25" s="514">
        <v>0</v>
      </c>
      <c r="DA25" s="514">
        <v>0</v>
      </c>
      <c r="DB25" s="514">
        <v>0</v>
      </c>
      <c r="DC25" s="514">
        <v>0</v>
      </c>
      <c r="DD25" s="514">
        <v>0</v>
      </c>
      <c r="DE25" s="514">
        <v>0</v>
      </c>
      <c r="DF25" s="514">
        <v>0</v>
      </c>
      <c r="DG25" s="514">
        <v>0</v>
      </c>
      <c r="DH25" s="514">
        <v>0</v>
      </c>
      <c r="DI25" s="514">
        <v>0</v>
      </c>
      <c r="DJ25" s="514">
        <v>0</v>
      </c>
      <c r="DK25" s="514">
        <v>0</v>
      </c>
      <c r="DL25" s="514">
        <v>0</v>
      </c>
      <c r="DM25" s="514">
        <v>0</v>
      </c>
      <c r="DN25" s="514">
        <v>0</v>
      </c>
      <c r="DO25" s="514">
        <v>0</v>
      </c>
      <c r="DP25" s="514">
        <v>0</v>
      </c>
      <c r="DQ25" s="514">
        <v>0</v>
      </c>
      <c r="DR25" s="514">
        <v>0</v>
      </c>
      <c r="DS25" s="514">
        <v>0</v>
      </c>
      <c r="DT25" s="514">
        <v>0</v>
      </c>
      <c r="DU25" s="514">
        <v>0</v>
      </c>
      <c r="DV25" s="514">
        <v>0</v>
      </c>
      <c r="DW25" s="514">
        <v>0</v>
      </c>
      <c r="DX25" s="514">
        <v>0</v>
      </c>
      <c r="DY25" s="514">
        <v>0</v>
      </c>
      <c r="DZ25" s="514">
        <v>0</v>
      </c>
      <c r="EA25" s="514">
        <v>0</v>
      </c>
      <c r="EB25" s="514">
        <v>0</v>
      </c>
      <c r="EC25" s="514">
        <v>0</v>
      </c>
      <c r="ED25" s="514">
        <v>0</v>
      </c>
      <c r="EE25" s="514">
        <v>0</v>
      </c>
      <c r="EF25" s="514">
        <v>0</v>
      </c>
      <c r="EG25" s="514">
        <v>0</v>
      </c>
      <c r="EH25" s="514">
        <v>0</v>
      </c>
      <c r="EI25" s="514">
        <v>0</v>
      </c>
      <c r="EJ25" s="514">
        <v>0</v>
      </c>
      <c r="EK25" s="514">
        <v>0</v>
      </c>
      <c r="EL25" s="514">
        <v>0</v>
      </c>
      <c r="EM25" s="514">
        <v>0</v>
      </c>
      <c r="EN25" s="514">
        <v>0</v>
      </c>
      <c r="EO25" s="514">
        <v>0</v>
      </c>
      <c r="EP25" s="514">
        <v>0</v>
      </c>
      <c r="EQ25" s="514">
        <v>0</v>
      </c>
      <c r="ER25" s="514">
        <v>0</v>
      </c>
      <c r="ES25" s="514">
        <v>0</v>
      </c>
      <c r="ET25" s="514">
        <v>0</v>
      </c>
      <c r="EU25" s="514">
        <v>0</v>
      </c>
      <c r="EV25" s="514">
        <v>0</v>
      </c>
      <c r="EW25" s="514">
        <v>0</v>
      </c>
      <c r="EX25" s="514">
        <v>0</v>
      </c>
      <c r="EY25" s="514">
        <v>0</v>
      </c>
      <c r="EZ25" s="514">
        <v>0</v>
      </c>
      <c r="FA25" s="514">
        <v>0</v>
      </c>
      <c r="FB25" s="514">
        <v>0</v>
      </c>
      <c r="FC25" s="514">
        <v>0</v>
      </c>
      <c r="FD25" s="514">
        <v>0</v>
      </c>
      <c r="FE25" s="514">
        <v>0</v>
      </c>
      <c r="FF25" s="514">
        <v>0</v>
      </c>
      <c r="FG25" s="514">
        <v>0</v>
      </c>
      <c r="FH25" s="514">
        <v>0</v>
      </c>
      <c r="FI25" s="514">
        <v>0</v>
      </c>
      <c r="FJ25" s="514">
        <v>0</v>
      </c>
      <c r="FK25" s="514">
        <v>0</v>
      </c>
      <c r="FL25" s="514">
        <v>0</v>
      </c>
      <c r="FM25" s="514">
        <v>0</v>
      </c>
      <c r="FN25" s="514">
        <v>0</v>
      </c>
      <c r="FO25" s="514">
        <v>0</v>
      </c>
      <c r="FP25" s="514">
        <v>0</v>
      </c>
      <c r="FQ25" s="514">
        <v>0</v>
      </c>
    </row>
    <row r="26" spans="1:173" ht="16.5" hidden="1">
      <c r="A26" s="512" t="s">
        <v>658</v>
      </c>
      <c r="B26" s="512" t="s">
        <v>732</v>
      </c>
      <c r="C26" s="512" t="s">
        <v>721</v>
      </c>
      <c r="D26" s="513"/>
      <c r="E26" s="512" t="s">
        <v>721</v>
      </c>
      <c r="F26" s="512" t="s">
        <v>26</v>
      </c>
      <c r="G26" s="513"/>
      <c r="H26" s="514">
        <v>35</v>
      </c>
      <c r="I26" s="298" t="str">
        <f t="shared" si="0"/>
        <v>AOR100235</v>
      </c>
      <c r="J26" s="514">
        <v>3</v>
      </c>
      <c r="L26" s="512" t="s">
        <v>720</v>
      </c>
      <c r="M26" s="512" t="s">
        <v>739</v>
      </c>
      <c r="N26" s="512" t="s">
        <v>721</v>
      </c>
      <c r="O26" s="513"/>
      <c r="P26" s="512" t="s">
        <v>721</v>
      </c>
      <c r="Q26" s="512" t="s">
        <v>25</v>
      </c>
      <c r="R26" s="513"/>
      <c r="S26" s="514">
        <v>69</v>
      </c>
      <c r="T26" s="298" t="str">
        <f t="shared" si="1"/>
        <v>HSGA0169</v>
      </c>
      <c r="U26" s="514">
        <v>27167</v>
      </c>
      <c r="W26" s="512" t="s">
        <v>269</v>
      </c>
      <c r="X26" s="512" t="s">
        <v>843</v>
      </c>
      <c r="Y26" s="512" t="s">
        <v>721</v>
      </c>
      <c r="Z26" s="514">
        <v>10</v>
      </c>
      <c r="AA26" s="512" t="s">
        <v>721</v>
      </c>
      <c r="AB26" s="512" t="s">
        <v>25</v>
      </c>
      <c r="AC26" s="514">
        <v>0</v>
      </c>
      <c r="AD26" s="514">
        <v>38</v>
      </c>
      <c r="AE26" s="298" t="str">
        <f t="shared" si="2"/>
        <v>HNR100138</v>
      </c>
      <c r="AF26" s="514">
        <v>421</v>
      </c>
      <c r="AH26" s="512" t="s">
        <v>721</v>
      </c>
      <c r="AI26" s="512" t="s">
        <v>1030</v>
      </c>
      <c r="AJ26" s="512" t="s">
        <v>721</v>
      </c>
      <c r="AK26" s="513"/>
      <c r="AL26" s="512" t="s">
        <v>721</v>
      </c>
      <c r="AM26" s="512" t="s">
        <v>25</v>
      </c>
      <c r="AN26" s="513"/>
      <c r="AO26" s="514">
        <v>38</v>
      </c>
      <c r="AP26" s="513"/>
      <c r="AQ26" s="298" t="str">
        <f t="shared" si="3"/>
        <v>HOR100138</v>
      </c>
      <c r="AR26" s="514">
        <v>555</v>
      </c>
      <c r="AT26" s="512" t="s">
        <v>743</v>
      </c>
      <c r="AU26" s="512" t="s">
        <v>744</v>
      </c>
      <c r="AV26" s="512" t="s">
        <v>721</v>
      </c>
      <c r="AW26" s="513"/>
      <c r="AX26" s="512" t="s">
        <v>721</v>
      </c>
      <c r="AY26" s="512" t="s">
        <v>26</v>
      </c>
      <c r="AZ26" s="513"/>
      <c r="BA26" s="514">
        <v>33</v>
      </c>
      <c r="BB26" s="298" t="str">
        <f t="shared" si="4"/>
        <v>CLR100233</v>
      </c>
      <c r="BC26" s="514">
        <v>147</v>
      </c>
      <c r="BF26" s="512" t="s">
        <v>658</v>
      </c>
      <c r="BG26" s="512" t="s">
        <v>732</v>
      </c>
      <c r="BH26" s="512" t="s">
        <v>25</v>
      </c>
      <c r="BI26" s="514">
        <v>38</v>
      </c>
      <c r="BJ26" s="298" t="str">
        <f t="shared" si="5"/>
        <v>AOR100138</v>
      </c>
      <c r="BK26" s="514">
        <v>0</v>
      </c>
      <c r="BL26" s="514">
        <v>1</v>
      </c>
      <c r="BM26" s="514">
        <v>1</v>
      </c>
      <c r="BN26" s="514">
        <v>1</v>
      </c>
      <c r="BO26" s="514">
        <v>1</v>
      </c>
      <c r="BP26" s="514">
        <v>2</v>
      </c>
      <c r="BQ26" s="514">
        <v>2</v>
      </c>
      <c r="BR26" s="514">
        <v>2</v>
      </c>
      <c r="BS26" s="514">
        <v>3</v>
      </c>
      <c r="BT26" s="514">
        <v>0</v>
      </c>
      <c r="BU26" s="514">
        <v>0</v>
      </c>
      <c r="BV26" s="514">
        <v>0</v>
      </c>
      <c r="BW26" s="514">
        <v>0</v>
      </c>
      <c r="BX26" s="514">
        <v>0</v>
      </c>
      <c r="BY26" s="514">
        <v>0</v>
      </c>
      <c r="BZ26" s="514">
        <v>0</v>
      </c>
      <c r="CA26" s="514">
        <v>0</v>
      </c>
      <c r="CB26" s="514">
        <v>0</v>
      </c>
      <c r="CC26" s="514">
        <v>0</v>
      </c>
      <c r="CD26" s="514">
        <v>0</v>
      </c>
      <c r="CE26" s="514">
        <v>0</v>
      </c>
      <c r="CF26" s="514">
        <v>0</v>
      </c>
      <c r="CG26" s="514">
        <v>0</v>
      </c>
      <c r="CH26" s="514">
        <v>0</v>
      </c>
      <c r="CI26" s="514">
        <v>0</v>
      </c>
      <c r="CJ26" s="514">
        <v>0</v>
      </c>
      <c r="CK26" s="514">
        <v>0</v>
      </c>
      <c r="CL26" s="514">
        <v>0</v>
      </c>
      <c r="CM26" s="514">
        <v>0</v>
      </c>
      <c r="CN26" s="514">
        <v>0</v>
      </c>
      <c r="CO26" s="514">
        <v>0</v>
      </c>
      <c r="CP26" s="514">
        <v>0</v>
      </c>
      <c r="CQ26" s="514">
        <v>0</v>
      </c>
      <c r="CR26" s="514">
        <v>0</v>
      </c>
      <c r="CS26" s="514">
        <v>0</v>
      </c>
      <c r="CT26" s="514">
        <v>0</v>
      </c>
      <c r="CU26" s="514">
        <v>0</v>
      </c>
      <c r="CV26" s="514">
        <v>0</v>
      </c>
      <c r="CW26" s="514">
        <v>0</v>
      </c>
      <c r="CX26" s="514">
        <v>0</v>
      </c>
      <c r="CY26" s="514">
        <v>0</v>
      </c>
      <c r="CZ26" s="514">
        <v>0</v>
      </c>
      <c r="DA26" s="514">
        <v>0</v>
      </c>
      <c r="DB26" s="514">
        <v>0</v>
      </c>
      <c r="DC26" s="514">
        <v>0</v>
      </c>
      <c r="DD26" s="514">
        <v>0</v>
      </c>
      <c r="DE26" s="514">
        <v>0</v>
      </c>
      <c r="DF26" s="514">
        <v>0</v>
      </c>
      <c r="DG26" s="514">
        <v>0</v>
      </c>
      <c r="DH26" s="514">
        <v>0</v>
      </c>
      <c r="DI26" s="514">
        <v>0</v>
      </c>
      <c r="DJ26" s="514">
        <v>0</v>
      </c>
      <c r="DK26" s="514">
        <v>0</v>
      </c>
      <c r="DL26" s="514">
        <v>0</v>
      </c>
      <c r="DM26" s="514">
        <v>0</v>
      </c>
      <c r="DN26" s="514">
        <v>0</v>
      </c>
      <c r="DO26" s="514">
        <v>0</v>
      </c>
      <c r="DP26" s="514">
        <v>0</v>
      </c>
      <c r="DQ26" s="514">
        <v>0</v>
      </c>
      <c r="DR26" s="514">
        <v>0</v>
      </c>
      <c r="DS26" s="514">
        <v>0</v>
      </c>
      <c r="DT26" s="514">
        <v>0</v>
      </c>
      <c r="DU26" s="514">
        <v>0</v>
      </c>
      <c r="DV26" s="514">
        <v>0</v>
      </c>
      <c r="DW26" s="514">
        <v>0</v>
      </c>
      <c r="DX26" s="514">
        <v>0</v>
      </c>
      <c r="DY26" s="514">
        <v>0</v>
      </c>
      <c r="DZ26" s="514">
        <v>0</v>
      </c>
      <c r="EA26" s="514">
        <v>0</v>
      </c>
      <c r="EB26" s="514">
        <v>0</v>
      </c>
      <c r="EC26" s="514">
        <v>0</v>
      </c>
      <c r="ED26" s="514">
        <v>0</v>
      </c>
      <c r="EE26" s="514">
        <v>0</v>
      </c>
      <c r="EF26" s="514">
        <v>0</v>
      </c>
      <c r="EG26" s="514">
        <v>0</v>
      </c>
      <c r="EH26" s="514">
        <v>0</v>
      </c>
      <c r="EI26" s="514">
        <v>0</v>
      </c>
      <c r="EJ26" s="514">
        <v>0</v>
      </c>
      <c r="EK26" s="514">
        <v>0</v>
      </c>
      <c r="EL26" s="514">
        <v>0</v>
      </c>
      <c r="EM26" s="514">
        <v>0</v>
      </c>
      <c r="EN26" s="514">
        <v>0</v>
      </c>
      <c r="EO26" s="514">
        <v>0</v>
      </c>
      <c r="EP26" s="514">
        <v>0</v>
      </c>
      <c r="EQ26" s="514">
        <v>0</v>
      </c>
      <c r="ER26" s="514">
        <v>0</v>
      </c>
      <c r="ES26" s="514">
        <v>0</v>
      </c>
      <c r="ET26" s="514">
        <v>0</v>
      </c>
      <c r="EU26" s="514">
        <v>0</v>
      </c>
      <c r="EV26" s="514">
        <v>0</v>
      </c>
      <c r="EW26" s="514">
        <v>0</v>
      </c>
      <c r="EX26" s="514">
        <v>0</v>
      </c>
      <c r="EY26" s="514">
        <v>0</v>
      </c>
      <c r="EZ26" s="514">
        <v>0</v>
      </c>
      <c r="FA26" s="514">
        <v>0</v>
      </c>
      <c r="FB26" s="514">
        <v>0</v>
      </c>
      <c r="FC26" s="514">
        <v>0</v>
      </c>
      <c r="FD26" s="514">
        <v>0</v>
      </c>
      <c r="FE26" s="514">
        <v>0</v>
      </c>
      <c r="FF26" s="514">
        <v>0</v>
      </c>
      <c r="FG26" s="514">
        <v>0</v>
      </c>
      <c r="FH26" s="514">
        <v>0</v>
      </c>
      <c r="FI26" s="514">
        <v>0</v>
      </c>
      <c r="FJ26" s="514">
        <v>0</v>
      </c>
      <c r="FK26" s="514">
        <v>0</v>
      </c>
      <c r="FL26" s="514">
        <v>0</v>
      </c>
      <c r="FM26" s="514">
        <v>0</v>
      </c>
      <c r="FN26" s="514">
        <v>0</v>
      </c>
      <c r="FO26" s="514">
        <v>0</v>
      </c>
      <c r="FP26" s="514">
        <v>0</v>
      </c>
      <c r="FQ26" s="514">
        <v>0</v>
      </c>
    </row>
    <row r="27" spans="1:173" ht="16.5" hidden="1">
      <c r="A27" s="512" t="s">
        <v>658</v>
      </c>
      <c r="B27" s="512" t="s">
        <v>732</v>
      </c>
      <c r="C27" s="512" t="s">
        <v>721</v>
      </c>
      <c r="D27" s="513"/>
      <c r="E27" s="512" t="s">
        <v>721</v>
      </c>
      <c r="F27" s="512" t="s">
        <v>26</v>
      </c>
      <c r="G27" s="513"/>
      <c r="H27" s="514">
        <v>36</v>
      </c>
      <c r="I27" s="298" t="str">
        <f t="shared" si="0"/>
        <v>AOR100236</v>
      </c>
      <c r="J27" s="514">
        <v>3</v>
      </c>
      <c r="L27" s="512" t="s">
        <v>720</v>
      </c>
      <c r="M27" s="512" t="s">
        <v>739</v>
      </c>
      <c r="N27" s="512" t="s">
        <v>721</v>
      </c>
      <c r="O27" s="513"/>
      <c r="P27" s="512" t="s">
        <v>721</v>
      </c>
      <c r="Q27" s="512" t="s">
        <v>25</v>
      </c>
      <c r="R27" s="513"/>
      <c r="S27" s="514">
        <v>70</v>
      </c>
      <c r="T27" s="298" t="str">
        <f t="shared" si="1"/>
        <v>HSGA0170</v>
      </c>
      <c r="U27" s="514">
        <v>29177</v>
      </c>
      <c r="W27" s="512" t="s">
        <v>269</v>
      </c>
      <c r="X27" s="512" t="s">
        <v>843</v>
      </c>
      <c r="Y27" s="512" t="s">
        <v>721</v>
      </c>
      <c r="Z27" s="514">
        <v>10</v>
      </c>
      <c r="AA27" s="512" t="s">
        <v>721</v>
      </c>
      <c r="AB27" s="512" t="s">
        <v>25</v>
      </c>
      <c r="AC27" s="514">
        <v>0</v>
      </c>
      <c r="AD27" s="514">
        <v>39</v>
      </c>
      <c r="AE27" s="298" t="str">
        <f t="shared" si="2"/>
        <v>HNR100139</v>
      </c>
      <c r="AF27" s="514">
        <v>448</v>
      </c>
      <c r="AH27" s="512" t="s">
        <v>721</v>
      </c>
      <c r="AI27" s="512" t="s">
        <v>1030</v>
      </c>
      <c r="AJ27" s="512" t="s">
        <v>721</v>
      </c>
      <c r="AK27" s="513"/>
      <c r="AL27" s="512" t="s">
        <v>721</v>
      </c>
      <c r="AM27" s="512" t="s">
        <v>25</v>
      </c>
      <c r="AN27" s="513"/>
      <c r="AO27" s="514">
        <v>39</v>
      </c>
      <c r="AP27" s="513"/>
      <c r="AQ27" s="298" t="str">
        <f t="shared" si="3"/>
        <v>HOR100139</v>
      </c>
      <c r="AR27" s="514">
        <v>595</v>
      </c>
      <c r="AT27" s="512" t="s">
        <v>743</v>
      </c>
      <c r="AU27" s="512" t="s">
        <v>744</v>
      </c>
      <c r="AV27" s="512" t="s">
        <v>721</v>
      </c>
      <c r="AW27" s="513"/>
      <c r="AX27" s="512" t="s">
        <v>721</v>
      </c>
      <c r="AY27" s="512" t="s">
        <v>25</v>
      </c>
      <c r="AZ27" s="513"/>
      <c r="BA27" s="514">
        <v>34</v>
      </c>
      <c r="BB27" s="298" t="str">
        <f t="shared" si="4"/>
        <v>CLR100134</v>
      </c>
      <c r="BC27" s="514">
        <v>106</v>
      </c>
      <c r="BF27" s="512" t="s">
        <v>658</v>
      </c>
      <c r="BG27" s="512" t="s">
        <v>732</v>
      </c>
      <c r="BH27" s="512" t="s">
        <v>25</v>
      </c>
      <c r="BI27" s="514">
        <v>39</v>
      </c>
      <c r="BJ27" s="298" t="str">
        <f t="shared" si="5"/>
        <v>AOR100139</v>
      </c>
      <c r="BK27" s="514">
        <v>0</v>
      </c>
      <c r="BL27" s="514">
        <v>1</v>
      </c>
      <c r="BM27" s="514">
        <v>1</v>
      </c>
      <c r="BN27" s="514">
        <v>1</v>
      </c>
      <c r="BO27" s="514">
        <v>1</v>
      </c>
      <c r="BP27" s="514">
        <v>2</v>
      </c>
      <c r="BQ27" s="514">
        <v>2</v>
      </c>
      <c r="BR27" s="514">
        <v>2</v>
      </c>
      <c r="BS27" s="514">
        <v>3</v>
      </c>
      <c r="BT27" s="514">
        <v>0</v>
      </c>
      <c r="BU27" s="514">
        <v>0</v>
      </c>
      <c r="BV27" s="514">
        <v>0</v>
      </c>
      <c r="BW27" s="514">
        <v>0</v>
      </c>
      <c r="BX27" s="514">
        <v>0</v>
      </c>
      <c r="BY27" s="514">
        <v>0</v>
      </c>
      <c r="BZ27" s="514">
        <v>0</v>
      </c>
      <c r="CA27" s="514">
        <v>0</v>
      </c>
      <c r="CB27" s="514">
        <v>0</v>
      </c>
      <c r="CC27" s="514">
        <v>0</v>
      </c>
      <c r="CD27" s="514">
        <v>0</v>
      </c>
      <c r="CE27" s="514">
        <v>0</v>
      </c>
      <c r="CF27" s="514">
        <v>0</v>
      </c>
      <c r="CG27" s="514">
        <v>0</v>
      </c>
      <c r="CH27" s="514">
        <v>0</v>
      </c>
      <c r="CI27" s="514">
        <v>0</v>
      </c>
      <c r="CJ27" s="514">
        <v>0</v>
      </c>
      <c r="CK27" s="514">
        <v>0</v>
      </c>
      <c r="CL27" s="514">
        <v>0</v>
      </c>
      <c r="CM27" s="514">
        <v>0</v>
      </c>
      <c r="CN27" s="514">
        <v>0</v>
      </c>
      <c r="CO27" s="514">
        <v>0</v>
      </c>
      <c r="CP27" s="514">
        <v>0</v>
      </c>
      <c r="CQ27" s="514">
        <v>0</v>
      </c>
      <c r="CR27" s="514">
        <v>0</v>
      </c>
      <c r="CS27" s="514">
        <v>0</v>
      </c>
      <c r="CT27" s="514">
        <v>0</v>
      </c>
      <c r="CU27" s="514">
        <v>0</v>
      </c>
      <c r="CV27" s="514">
        <v>0</v>
      </c>
      <c r="CW27" s="514">
        <v>0</v>
      </c>
      <c r="CX27" s="514">
        <v>0</v>
      </c>
      <c r="CY27" s="514">
        <v>0</v>
      </c>
      <c r="CZ27" s="514">
        <v>0</v>
      </c>
      <c r="DA27" s="514">
        <v>0</v>
      </c>
      <c r="DB27" s="514">
        <v>0</v>
      </c>
      <c r="DC27" s="514">
        <v>0</v>
      </c>
      <c r="DD27" s="514">
        <v>0</v>
      </c>
      <c r="DE27" s="514">
        <v>0</v>
      </c>
      <c r="DF27" s="514">
        <v>0</v>
      </c>
      <c r="DG27" s="514">
        <v>0</v>
      </c>
      <c r="DH27" s="514">
        <v>0</v>
      </c>
      <c r="DI27" s="514">
        <v>0</v>
      </c>
      <c r="DJ27" s="514">
        <v>0</v>
      </c>
      <c r="DK27" s="514">
        <v>0</v>
      </c>
      <c r="DL27" s="514">
        <v>0</v>
      </c>
      <c r="DM27" s="514">
        <v>0</v>
      </c>
      <c r="DN27" s="514">
        <v>0</v>
      </c>
      <c r="DO27" s="514">
        <v>0</v>
      </c>
      <c r="DP27" s="514">
        <v>0</v>
      </c>
      <c r="DQ27" s="514">
        <v>0</v>
      </c>
      <c r="DR27" s="514">
        <v>0</v>
      </c>
      <c r="DS27" s="514">
        <v>0</v>
      </c>
      <c r="DT27" s="514">
        <v>0</v>
      </c>
      <c r="DU27" s="514">
        <v>0</v>
      </c>
      <c r="DV27" s="514">
        <v>0</v>
      </c>
      <c r="DW27" s="514">
        <v>0</v>
      </c>
      <c r="DX27" s="514">
        <v>0</v>
      </c>
      <c r="DY27" s="514">
        <v>0</v>
      </c>
      <c r="DZ27" s="514">
        <v>0</v>
      </c>
      <c r="EA27" s="514">
        <v>0</v>
      </c>
      <c r="EB27" s="514">
        <v>0</v>
      </c>
      <c r="EC27" s="514">
        <v>0</v>
      </c>
      <c r="ED27" s="514">
        <v>0</v>
      </c>
      <c r="EE27" s="514">
        <v>0</v>
      </c>
      <c r="EF27" s="514">
        <v>0</v>
      </c>
      <c r="EG27" s="514">
        <v>0</v>
      </c>
      <c r="EH27" s="514">
        <v>0</v>
      </c>
      <c r="EI27" s="514">
        <v>0</v>
      </c>
      <c r="EJ27" s="514">
        <v>0</v>
      </c>
      <c r="EK27" s="514">
        <v>0</v>
      </c>
      <c r="EL27" s="514">
        <v>0</v>
      </c>
      <c r="EM27" s="514">
        <v>0</v>
      </c>
      <c r="EN27" s="514">
        <v>0</v>
      </c>
      <c r="EO27" s="514">
        <v>0</v>
      </c>
      <c r="EP27" s="514">
        <v>0</v>
      </c>
      <c r="EQ27" s="514">
        <v>0</v>
      </c>
      <c r="ER27" s="514">
        <v>0</v>
      </c>
      <c r="ES27" s="514">
        <v>0</v>
      </c>
      <c r="ET27" s="514">
        <v>0</v>
      </c>
      <c r="EU27" s="514">
        <v>0</v>
      </c>
      <c r="EV27" s="514">
        <v>0</v>
      </c>
      <c r="EW27" s="514">
        <v>0</v>
      </c>
      <c r="EX27" s="514">
        <v>0</v>
      </c>
      <c r="EY27" s="514">
        <v>0</v>
      </c>
      <c r="EZ27" s="514">
        <v>0</v>
      </c>
      <c r="FA27" s="514">
        <v>0</v>
      </c>
      <c r="FB27" s="514">
        <v>0</v>
      </c>
      <c r="FC27" s="514">
        <v>0</v>
      </c>
      <c r="FD27" s="514">
        <v>0</v>
      </c>
      <c r="FE27" s="514">
        <v>0</v>
      </c>
      <c r="FF27" s="514">
        <v>0</v>
      </c>
      <c r="FG27" s="514">
        <v>0</v>
      </c>
      <c r="FH27" s="514">
        <v>0</v>
      </c>
      <c r="FI27" s="514">
        <v>0</v>
      </c>
      <c r="FJ27" s="514">
        <v>0</v>
      </c>
      <c r="FK27" s="514">
        <v>0</v>
      </c>
      <c r="FL27" s="514">
        <v>0</v>
      </c>
      <c r="FM27" s="514">
        <v>0</v>
      </c>
      <c r="FN27" s="514">
        <v>0</v>
      </c>
      <c r="FO27" s="514">
        <v>0</v>
      </c>
      <c r="FP27" s="514">
        <v>0</v>
      </c>
      <c r="FQ27" s="514">
        <v>0</v>
      </c>
    </row>
    <row r="28" spans="1:173" ht="16.5" hidden="1">
      <c r="A28" s="512" t="s">
        <v>658</v>
      </c>
      <c r="B28" s="512" t="s">
        <v>732</v>
      </c>
      <c r="C28" s="512" t="s">
        <v>721</v>
      </c>
      <c r="D28" s="513"/>
      <c r="E28" s="512" t="s">
        <v>721</v>
      </c>
      <c r="F28" s="512" t="s">
        <v>26</v>
      </c>
      <c r="G28" s="513"/>
      <c r="H28" s="514">
        <v>37</v>
      </c>
      <c r="I28" s="298" t="str">
        <f t="shared" si="0"/>
        <v>AOR100237</v>
      </c>
      <c r="J28" s="514">
        <v>3</v>
      </c>
      <c r="L28" s="512" t="s">
        <v>720</v>
      </c>
      <c r="M28" s="512" t="s">
        <v>739</v>
      </c>
      <c r="N28" s="512" t="s">
        <v>721</v>
      </c>
      <c r="O28" s="513"/>
      <c r="P28" s="512" t="s">
        <v>721</v>
      </c>
      <c r="Q28" s="512" t="s">
        <v>25</v>
      </c>
      <c r="R28" s="513"/>
      <c r="S28" s="514">
        <v>71</v>
      </c>
      <c r="T28" s="298" t="str">
        <f t="shared" si="1"/>
        <v>HSGA0171</v>
      </c>
      <c r="U28" s="514">
        <v>31372</v>
      </c>
      <c r="W28" s="512" t="s">
        <v>269</v>
      </c>
      <c r="X28" s="512" t="s">
        <v>843</v>
      </c>
      <c r="Y28" s="512" t="s">
        <v>721</v>
      </c>
      <c r="Z28" s="514">
        <v>10</v>
      </c>
      <c r="AA28" s="512" t="s">
        <v>721</v>
      </c>
      <c r="AB28" s="512" t="s">
        <v>25</v>
      </c>
      <c r="AC28" s="514">
        <v>0</v>
      </c>
      <c r="AD28" s="514">
        <v>40</v>
      </c>
      <c r="AE28" s="298" t="str">
        <f t="shared" si="2"/>
        <v>HNR100140</v>
      </c>
      <c r="AF28" s="514">
        <v>477</v>
      </c>
      <c r="AH28" s="512" t="s">
        <v>721</v>
      </c>
      <c r="AI28" s="512" t="s">
        <v>1030</v>
      </c>
      <c r="AJ28" s="512" t="s">
        <v>721</v>
      </c>
      <c r="AK28" s="513"/>
      <c r="AL28" s="512" t="s">
        <v>721</v>
      </c>
      <c r="AM28" s="512" t="s">
        <v>25</v>
      </c>
      <c r="AN28" s="513"/>
      <c r="AO28" s="514">
        <v>40</v>
      </c>
      <c r="AP28" s="513"/>
      <c r="AQ28" s="298" t="str">
        <f t="shared" si="3"/>
        <v>HOR100140</v>
      </c>
      <c r="AR28" s="514">
        <v>640</v>
      </c>
      <c r="AT28" s="512" t="s">
        <v>743</v>
      </c>
      <c r="AU28" s="512" t="s">
        <v>744</v>
      </c>
      <c r="AV28" s="512" t="s">
        <v>721</v>
      </c>
      <c r="AW28" s="513"/>
      <c r="AX28" s="512" t="s">
        <v>721</v>
      </c>
      <c r="AY28" s="512" t="s">
        <v>26</v>
      </c>
      <c r="AZ28" s="513"/>
      <c r="BA28" s="514">
        <v>34</v>
      </c>
      <c r="BB28" s="298" t="str">
        <f t="shared" si="4"/>
        <v>CLR100234</v>
      </c>
      <c r="BC28" s="514">
        <v>166</v>
      </c>
      <c r="BF28" s="512" t="s">
        <v>658</v>
      </c>
      <c r="BG28" s="512" t="s">
        <v>732</v>
      </c>
      <c r="BH28" s="512" t="s">
        <v>25</v>
      </c>
      <c r="BI28" s="514">
        <v>40</v>
      </c>
      <c r="BJ28" s="298" t="str">
        <f t="shared" si="5"/>
        <v>AOR100140</v>
      </c>
      <c r="BK28" s="514">
        <v>0</v>
      </c>
      <c r="BL28" s="514">
        <v>1</v>
      </c>
      <c r="BM28" s="514">
        <v>1</v>
      </c>
      <c r="BN28" s="514">
        <v>1</v>
      </c>
      <c r="BO28" s="514">
        <v>1</v>
      </c>
      <c r="BP28" s="514">
        <v>2</v>
      </c>
      <c r="BQ28" s="514">
        <v>2</v>
      </c>
      <c r="BR28" s="514">
        <v>2</v>
      </c>
      <c r="BS28" s="514">
        <v>3</v>
      </c>
      <c r="BT28" s="514">
        <v>0</v>
      </c>
      <c r="BU28" s="514">
        <v>0</v>
      </c>
      <c r="BV28" s="514">
        <v>0</v>
      </c>
      <c r="BW28" s="514">
        <v>0</v>
      </c>
      <c r="BX28" s="514">
        <v>0</v>
      </c>
      <c r="BY28" s="514">
        <v>0</v>
      </c>
      <c r="BZ28" s="514">
        <v>0</v>
      </c>
      <c r="CA28" s="514">
        <v>0</v>
      </c>
      <c r="CB28" s="514">
        <v>0</v>
      </c>
      <c r="CC28" s="514">
        <v>0</v>
      </c>
      <c r="CD28" s="514">
        <v>0</v>
      </c>
      <c r="CE28" s="514">
        <v>0</v>
      </c>
      <c r="CF28" s="514">
        <v>0</v>
      </c>
      <c r="CG28" s="514">
        <v>0</v>
      </c>
      <c r="CH28" s="514">
        <v>0</v>
      </c>
      <c r="CI28" s="514">
        <v>0</v>
      </c>
      <c r="CJ28" s="514">
        <v>0</v>
      </c>
      <c r="CK28" s="514">
        <v>0</v>
      </c>
      <c r="CL28" s="514">
        <v>0</v>
      </c>
      <c r="CM28" s="514">
        <v>0</v>
      </c>
      <c r="CN28" s="514">
        <v>0</v>
      </c>
      <c r="CO28" s="514">
        <v>0</v>
      </c>
      <c r="CP28" s="514">
        <v>0</v>
      </c>
      <c r="CQ28" s="514">
        <v>0</v>
      </c>
      <c r="CR28" s="514">
        <v>0</v>
      </c>
      <c r="CS28" s="514">
        <v>0</v>
      </c>
      <c r="CT28" s="514">
        <v>0</v>
      </c>
      <c r="CU28" s="514">
        <v>0</v>
      </c>
      <c r="CV28" s="514">
        <v>0</v>
      </c>
      <c r="CW28" s="514">
        <v>0</v>
      </c>
      <c r="CX28" s="514">
        <v>0</v>
      </c>
      <c r="CY28" s="514">
        <v>0</v>
      </c>
      <c r="CZ28" s="514">
        <v>0</v>
      </c>
      <c r="DA28" s="514">
        <v>0</v>
      </c>
      <c r="DB28" s="514">
        <v>0</v>
      </c>
      <c r="DC28" s="514">
        <v>0</v>
      </c>
      <c r="DD28" s="514">
        <v>0</v>
      </c>
      <c r="DE28" s="514">
        <v>0</v>
      </c>
      <c r="DF28" s="514">
        <v>0</v>
      </c>
      <c r="DG28" s="514">
        <v>0</v>
      </c>
      <c r="DH28" s="514">
        <v>0</v>
      </c>
      <c r="DI28" s="514">
        <v>0</v>
      </c>
      <c r="DJ28" s="514">
        <v>0</v>
      </c>
      <c r="DK28" s="514">
        <v>0</v>
      </c>
      <c r="DL28" s="514">
        <v>0</v>
      </c>
      <c r="DM28" s="514">
        <v>0</v>
      </c>
      <c r="DN28" s="514">
        <v>0</v>
      </c>
      <c r="DO28" s="514">
        <v>0</v>
      </c>
      <c r="DP28" s="514">
        <v>0</v>
      </c>
      <c r="DQ28" s="514">
        <v>0</v>
      </c>
      <c r="DR28" s="514">
        <v>0</v>
      </c>
      <c r="DS28" s="514">
        <v>0</v>
      </c>
      <c r="DT28" s="514">
        <v>0</v>
      </c>
      <c r="DU28" s="514">
        <v>0</v>
      </c>
      <c r="DV28" s="514">
        <v>0</v>
      </c>
      <c r="DW28" s="514">
        <v>0</v>
      </c>
      <c r="DX28" s="514">
        <v>0</v>
      </c>
      <c r="DY28" s="514">
        <v>0</v>
      </c>
      <c r="DZ28" s="514">
        <v>0</v>
      </c>
      <c r="EA28" s="514">
        <v>0</v>
      </c>
      <c r="EB28" s="514">
        <v>0</v>
      </c>
      <c r="EC28" s="514">
        <v>0</v>
      </c>
      <c r="ED28" s="514">
        <v>0</v>
      </c>
      <c r="EE28" s="514">
        <v>0</v>
      </c>
      <c r="EF28" s="514">
        <v>0</v>
      </c>
      <c r="EG28" s="514">
        <v>0</v>
      </c>
      <c r="EH28" s="514">
        <v>0</v>
      </c>
      <c r="EI28" s="514">
        <v>0</v>
      </c>
      <c r="EJ28" s="514">
        <v>0</v>
      </c>
      <c r="EK28" s="514">
        <v>0</v>
      </c>
      <c r="EL28" s="514">
        <v>0</v>
      </c>
      <c r="EM28" s="514">
        <v>0</v>
      </c>
      <c r="EN28" s="514">
        <v>0</v>
      </c>
      <c r="EO28" s="514">
        <v>0</v>
      </c>
      <c r="EP28" s="514">
        <v>0</v>
      </c>
      <c r="EQ28" s="514">
        <v>0</v>
      </c>
      <c r="ER28" s="514">
        <v>0</v>
      </c>
      <c r="ES28" s="514">
        <v>0</v>
      </c>
      <c r="ET28" s="514">
        <v>0</v>
      </c>
      <c r="EU28" s="514">
        <v>0</v>
      </c>
      <c r="EV28" s="514">
        <v>0</v>
      </c>
      <c r="EW28" s="514">
        <v>0</v>
      </c>
      <c r="EX28" s="514">
        <v>0</v>
      </c>
      <c r="EY28" s="514">
        <v>0</v>
      </c>
      <c r="EZ28" s="514">
        <v>0</v>
      </c>
      <c r="FA28" s="514">
        <v>0</v>
      </c>
      <c r="FB28" s="514">
        <v>0</v>
      </c>
      <c r="FC28" s="514">
        <v>0</v>
      </c>
      <c r="FD28" s="514">
        <v>0</v>
      </c>
      <c r="FE28" s="514">
        <v>0</v>
      </c>
      <c r="FF28" s="514">
        <v>0</v>
      </c>
      <c r="FG28" s="514">
        <v>0</v>
      </c>
      <c r="FH28" s="514">
        <v>0</v>
      </c>
      <c r="FI28" s="514">
        <v>0</v>
      </c>
      <c r="FJ28" s="514">
        <v>0</v>
      </c>
      <c r="FK28" s="514">
        <v>0</v>
      </c>
      <c r="FL28" s="514">
        <v>0</v>
      </c>
      <c r="FM28" s="514">
        <v>0</v>
      </c>
      <c r="FN28" s="514">
        <v>0</v>
      </c>
      <c r="FO28" s="514">
        <v>0</v>
      </c>
      <c r="FP28" s="514">
        <v>0</v>
      </c>
      <c r="FQ28" s="514">
        <v>0</v>
      </c>
    </row>
    <row r="29" spans="1:173" ht="16.5" hidden="1">
      <c r="A29" s="512" t="s">
        <v>658</v>
      </c>
      <c r="B29" s="512" t="s">
        <v>732</v>
      </c>
      <c r="C29" s="512" t="s">
        <v>721</v>
      </c>
      <c r="D29" s="513"/>
      <c r="E29" s="512" t="s">
        <v>721</v>
      </c>
      <c r="F29" s="512" t="s">
        <v>26</v>
      </c>
      <c r="G29" s="513"/>
      <c r="H29" s="514">
        <v>38</v>
      </c>
      <c r="I29" s="298" t="str">
        <f t="shared" si="0"/>
        <v>AOR100238</v>
      </c>
      <c r="J29" s="514">
        <v>3</v>
      </c>
      <c r="L29" s="512" t="s">
        <v>720</v>
      </c>
      <c r="M29" s="512" t="s">
        <v>739</v>
      </c>
      <c r="N29" s="512" t="s">
        <v>721</v>
      </c>
      <c r="O29" s="513"/>
      <c r="P29" s="512" t="s">
        <v>721</v>
      </c>
      <c r="Q29" s="512" t="s">
        <v>26</v>
      </c>
      <c r="R29" s="513"/>
      <c r="S29" s="514">
        <v>20</v>
      </c>
      <c r="T29" s="298" t="str">
        <f t="shared" si="1"/>
        <v>HSGA0220</v>
      </c>
      <c r="U29" s="514">
        <v>3704</v>
      </c>
      <c r="W29" s="512" t="s">
        <v>269</v>
      </c>
      <c r="X29" s="512" t="s">
        <v>843</v>
      </c>
      <c r="Y29" s="512" t="s">
        <v>721</v>
      </c>
      <c r="Z29" s="514">
        <v>10</v>
      </c>
      <c r="AA29" s="512" t="s">
        <v>721</v>
      </c>
      <c r="AB29" s="512" t="s">
        <v>25</v>
      </c>
      <c r="AC29" s="514">
        <v>0</v>
      </c>
      <c r="AD29" s="514">
        <v>41</v>
      </c>
      <c r="AE29" s="298" t="str">
        <f t="shared" si="2"/>
        <v>HNR100141</v>
      </c>
      <c r="AF29" s="514">
        <v>494</v>
      </c>
      <c r="AH29" s="512" t="s">
        <v>721</v>
      </c>
      <c r="AI29" s="512" t="s">
        <v>1030</v>
      </c>
      <c r="AJ29" s="512" t="s">
        <v>721</v>
      </c>
      <c r="AK29" s="513"/>
      <c r="AL29" s="512" t="s">
        <v>721</v>
      </c>
      <c r="AM29" s="512" t="s">
        <v>25</v>
      </c>
      <c r="AN29" s="513"/>
      <c r="AO29" s="514">
        <v>41</v>
      </c>
      <c r="AP29" s="513"/>
      <c r="AQ29" s="298" t="str">
        <f t="shared" si="3"/>
        <v>HOR100141</v>
      </c>
      <c r="AR29" s="514">
        <v>660</v>
      </c>
      <c r="AT29" s="512" t="s">
        <v>743</v>
      </c>
      <c r="AU29" s="512" t="s">
        <v>744</v>
      </c>
      <c r="AV29" s="512" t="s">
        <v>721</v>
      </c>
      <c r="AW29" s="513"/>
      <c r="AX29" s="512" t="s">
        <v>721</v>
      </c>
      <c r="AY29" s="512" t="s">
        <v>25</v>
      </c>
      <c r="AZ29" s="513"/>
      <c r="BA29" s="514">
        <v>35</v>
      </c>
      <c r="BB29" s="298" t="str">
        <f t="shared" si="4"/>
        <v>CLR100135</v>
      </c>
      <c r="BC29" s="514">
        <v>120</v>
      </c>
      <c r="BF29" s="512" t="s">
        <v>658</v>
      </c>
      <c r="BG29" s="512" t="s">
        <v>732</v>
      </c>
      <c r="BH29" s="512" t="s">
        <v>25</v>
      </c>
      <c r="BI29" s="514">
        <v>41</v>
      </c>
      <c r="BJ29" s="298" t="str">
        <f t="shared" si="5"/>
        <v>AOR100141</v>
      </c>
      <c r="BK29" s="514">
        <v>0</v>
      </c>
      <c r="BL29" s="514">
        <v>1</v>
      </c>
      <c r="BM29" s="514">
        <v>1</v>
      </c>
      <c r="BN29" s="514">
        <v>1</v>
      </c>
      <c r="BO29" s="514">
        <v>1</v>
      </c>
      <c r="BP29" s="514">
        <v>2</v>
      </c>
      <c r="BQ29" s="514">
        <v>2</v>
      </c>
      <c r="BR29" s="514">
        <v>2</v>
      </c>
      <c r="BS29" s="514">
        <v>3</v>
      </c>
      <c r="BT29" s="514">
        <v>0</v>
      </c>
      <c r="BU29" s="514">
        <v>0</v>
      </c>
      <c r="BV29" s="514">
        <v>0</v>
      </c>
      <c r="BW29" s="514">
        <v>0</v>
      </c>
      <c r="BX29" s="514">
        <v>0</v>
      </c>
      <c r="BY29" s="514">
        <v>0</v>
      </c>
      <c r="BZ29" s="514">
        <v>0</v>
      </c>
      <c r="CA29" s="514">
        <v>0</v>
      </c>
      <c r="CB29" s="514">
        <v>0</v>
      </c>
      <c r="CC29" s="514">
        <v>0</v>
      </c>
      <c r="CD29" s="514">
        <v>0</v>
      </c>
      <c r="CE29" s="514">
        <v>0</v>
      </c>
      <c r="CF29" s="514">
        <v>0</v>
      </c>
      <c r="CG29" s="514">
        <v>0</v>
      </c>
      <c r="CH29" s="514">
        <v>0</v>
      </c>
      <c r="CI29" s="514">
        <v>0</v>
      </c>
      <c r="CJ29" s="514">
        <v>0</v>
      </c>
      <c r="CK29" s="514">
        <v>0</v>
      </c>
      <c r="CL29" s="514">
        <v>0</v>
      </c>
      <c r="CM29" s="514">
        <v>0</v>
      </c>
      <c r="CN29" s="514">
        <v>0</v>
      </c>
      <c r="CO29" s="514">
        <v>0</v>
      </c>
      <c r="CP29" s="514">
        <v>0</v>
      </c>
      <c r="CQ29" s="514">
        <v>0</v>
      </c>
      <c r="CR29" s="514">
        <v>0</v>
      </c>
      <c r="CS29" s="514">
        <v>0</v>
      </c>
      <c r="CT29" s="514">
        <v>0</v>
      </c>
      <c r="CU29" s="514">
        <v>0</v>
      </c>
      <c r="CV29" s="514">
        <v>0</v>
      </c>
      <c r="CW29" s="514">
        <v>0</v>
      </c>
      <c r="CX29" s="514">
        <v>0</v>
      </c>
      <c r="CY29" s="514">
        <v>0</v>
      </c>
      <c r="CZ29" s="514">
        <v>0</v>
      </c>
      <c r="DA29" s="514">
        <v>0</v>
      </c>
      <c r="DB29" s="514">
        <v>0</v>
      </c>
      <c r="DC29" s="514">
        <v>0</v>
      </c>
      <c r="DD29" s="514">
        <v>0</v>
      </c>
      <c r="DE29" s="514">
        <v>0</v>
      </c>
      <c r="DF29" s="514">
        <v>0</v>
      </c>
      <c r="DG29" s="514">
        <v>0</v>
      </c>
      <c r="DH29" s="514">
        <v>0</v>
      </c>
      <c r="DI29" s="514">
        <v>0</v>
      </c>
      <c r="DJ29" s="514">
        <v>0</v>
      </c>
      <c r="DK29" s="514">
        <v>0</v>
      </c>
      <c r="DL29" s="514">
        <v>0</v>
      </c>
      <c r="DM29" s="514">
        <v>0</v>
      </c>
      <c r="DN29" s="514">
        <v>0</v>
      </c>
      <c r="DO29" s="514">
        <v>0</v>
      </c>
      <c r="DP29" s="514">
        <v>0</v>
      </c>
      <c r="DQ29" s="514">
        <v>0</v>
      </c>
      <c r="DR29" s="514">
        <v>0</v>
      </c>
      <c r="DS29" s="514">
        <v>0</v>
      </c>
      <c r="DT29" s="514">
        <v>0</v>
      </c>
      <c r="DU29" s="514">
        <v>0</v>
      </c>
      <c r="DV29" s="514">
        <v>0</v>
      </c>
      <c r="DW29" s="514">
        <v>0</v>
      </c>
      <c r="DX29" s="514">
        <v>0</v>
      </c>
      <c r="DY29" s="514">
        <v>0</v>
      </c>
      <c r="DZ29" s="514">
        <v>0</v>
      </c>
      <c r="EA29" s="514">
        <v>0</v>
      </c>
      <c r="EB29" s="514">
        <v>0</v>
      </c>
      <c r="EC29" s="514">
        <v>0</v>
      </c>
      <c r="ED29" s="514">
        <v>0</v>
      </c>
      <c r="EE29" s="514">
        <v>0</v>
      </c>
      <c r="EF29" s="514">
        <v>0</v>
      </c>
      <c r="EG29" s="514">
        <v>0</v>
      </c>
      <c r="EH29" s="514">
        <v>0</v>
      </c>
      <c r="EI29" s="514">
        <v>0</v>
      </c>
      <c r="EJ29" s="514">
        <v>0</v>
      </c>
      <c r="EK29" s="514">
        <v>0</v>
      </c>
      <c r="EL29" s="514">
        <v>0</v>
      </c>
      <c r="EM29" s="514">
        <v>0</v>
      </c>
      <c r="EN29" s="514">
        <v>0</v>
      </c>
      <c r="EO29" s="514">
        <v>0</v>
      </c>
      <c r="EP29" s="514">
        <v>0</v>
      </c>
      <c r="EQ29" s="514">
        <v>0</v>
      </c>
      <c r="ER29" s="514">
        <v>0</v>
      </c>
      <c r="ES29" s="514">
        <v>0</v>
      </c>
      <c r="ET29" s="514">
        <v>0</v>
      </c>
      <c r="EU29" s="514">
        <v>0</v>
      </c>
      <c r="EV29" s="514">
        <v>0</v>
      </c>
      <c r="EW29" s="514">
        <v>0</v>
      </c>
      <c r="EX29" s="514">
        <v>0</v>
      </c>
      <c r="EY29" s="514">
        <v>0</v>
      </c>
      <c r="EZ29" s="514">
        <v>0</v>
      </c>
      <c r="FA29" s="514">
        <v>0</v>
      </c>
      <c r="FB29" s="514">
        <v>0</v>
      </c>
      <c r="FC29" s="514">
        <v>0</v>
      </c>
      <c r="FD29" s="514">
        <v>0</v>
      </c>
      <c r="FE29" s="514">
        <v>0</v>
      </c>
      <c r="FF29" s="514">
        <v>0</v>
      </c>
      <c r="FG29" s="514">
        <v>0</v>
      </c>
      <c r="FH29" s="514">
        <v>0</v>
      </c>
      <c r="FI29" s="514">
        <v>0</v>
      </c>
      <c r="FJ29" s="514">
        <v>0</v>
      </c>
      <c r="FK29" s="514">
        <v>0</v>
      </c>
      <c r="FL29" s="514">
        <v>0</v>
      </c>
      <c r="FM29" s="514">
        <v>0</v>
      </c>
      <c r="FN29" s="514">
        <v>0</v>
      </c>
      <c r="FO29" s="514">
        <v>0</v>
      </c>
      <c r="FP29" s="514">
        <v>0</v>
      </c>
      <c r="FQ29" s="514">
        <v>0</v>
      </c>
    </row>
    <row r="30" spans="1:173" ht="16.5" hidden="1">
      <c r="A30" s="512" t="s">
        <v>658</v>
      </c>
      <c r="B30" s="512" t="s">
        <v>732</v>
      </c>
      <c r="C30" s="512" t="s">
        <v>721</v>
      </c>
      <c r="D30" s="513"/>
      <c r="E30" s="512" t="s">
        <v>721</v>
      </c>
      <c r="F30" s="512" t="s">
        <v>26</v>
      </c>
      <c r="G30" s="513"/>
      <c r="H30" s="514">
        <v>39</v>
      </c>
      <c r="I30" s="298" t="str">
        <f t="shared" si="0"/>
        <v>AOR100239</v>
      </c>
      <c r="J30" s="514">
        <v>3</v>
      </c>
      <c r="L30" s="512" t="s">
        <v>720</v>
      </c>
      <c r="M30" s="512" t="s">
        <v>739</v>
      </c>
      <c r="N30" s="512" t="s">
        <v>721</v>
      </c>
      <c r="O30" s="513"/>
      <c r="P30" s="512" t="s">
        <v>721</v>
      </c>
      <c r="Q30" s="512" t="s">
        <v>26</v>
      </c>
      <c r="R30" s="513"/>
      <c r="S30" s="514">
        <v>21</v>
      </c>
      <c r="T30" s="298" t="str">
        <f t="shared" si="1"/>
        <v>HSGA0221</v>
      </c>
      <c r="U30" s="514">
        <v>3736</v>
      </c>
      <c r="W30" s="512" t="s">
        <v>269</v>
      </c>
      <c r="X30" s="512" t="s">
        <v>843</v>
      </c>
      <c r="Y30" s="512" t="s">
        <v>721</v>
      </c>
      <c r="Z30" s="514">
        <v>10</v>
      </c>
      <c r="AA30" s="512" t="s">
        <v>721</v>
      </c>
      <c r="AB30" s="512" t="s">
        <v>25</v>
      </c>
      <c r="AC30" s="514">
        <v>0</v>
      </c>
      <c r="AD30" s="514">
        <v>42</v>
      </c>
      <c r="AE30" s="298" t="str">
        <f t="shared" si="2"/>
        <v>HNR100142</v>
      </c>
      <c r="AF30" s="514">
        <v>511</v>
      </c>
      <c r="AH30" s="512" t="s">
        <v>721</v>
      </c>
      <c r="AI30" s="512" t="s">
        <v>1030</v>
      </c>
      <c r="AJ30" s="512" t="s">
        <v>721</v>
      </c>
      <c r="AK30" s="513"/>
      <c r="AL30" s="512" t="s">
        <v>721</v>
      </c>
      <c r="AM30" s="512" t="s">
        <v>25</v>
      </c>
      <c r="AN30" s="513"/>
      <c r="AO30" s="514">
        <v>42</v>
      </c>
      <c r="AP30" s="513"/>
      <c r="AQ30" s="298" t="str">
        <f t="shared" si="3"/>
        <v>HOR100142</v>
      </c>
      <c r="AR30" s="514">
        <v>690</v>
      </c>
      <c r="AT30" s="512" t="s">
        <v>743</v>
      </c>
      <c r="AU30" s="512" t="s">
        <v>744</v>
      </c>
      <c r="AV30" s="512" t="s">
        <v>721</v>
      </c>
      <c r="AW30" s="513"/>
      <c r="AX30" s="512" t="s">
        <v>721</v>
      </c>
      <c r="AY30" s="512" t="s">
        <v>26</v>
      </c>
      <c r="AZ30" s="513"/>
      <c r="BA30" s="514">
        <v>35</v>
      </c>
      <c r="BB30" s="298" t="str">
        <f t="shared" si="4"/>
        <v>CLR100235</v>
      </c>
      <c r="BC30" s="514">
        <v>186</v>
      </c>
      <c r="BF30" s="512" t="s">
        <v>658</v>
      </c>
      <c r="BG30" s="512" t="s">
        <v>732</v>
      </c>
      <c r="BH30" s="512" t="s">
        <v>25</v>
      </c>
      <c r="BI30" s="514">
        <v>42</v>
      </c>
      <c r="BJ30" s="298" t="str">
        <f t="shared" si="5"/>
        <v>AOR100142</v>
      </c>
      <c r="BK30" s="514">
        <v>0</v>
      </c>
      <c r="BL30" s="514">
        <v>1</v>
      </c>
      <c r="BM30" s="514">
        <v>1</v>
      </c>
      <c r="BN30" s="514">
        <v>1</v>
      </c>
      <c r="BO30" s="514">
        <v>1</v>
      </c>
      <c r="BP30" s="514">
        <v>2</v>
      </c>
      <c r="BQ30" s="514">
        <v>2</v>
      </c>
      <c r="BR30" s="514">
        <v>2</v>
      </c>
      <c r="BS30" s="514">
        <v>3</v>
      </c>
      <c r="BT30" s="514">
        <v>0</v>
      </c>
      <c r="BU30" s="514">
        <v>0</v>
      </c>
      <c r="BV30" s="514">
        <v>0</v>
      </c>
      <c r="BW30" s="514">
        <v>0</v>
      </c>
      <c r="BX30" s="514">
        <v>0</v>
      </c>
      <c r="BY30" s="514">
        <v>0</v>
      </c>
      <c r="BZ30" s="514">
        <v>0</v>
      </c>
      <c r="CA30" s="514">
        <v>0</v>
      </c>
      <c r="CB30" s="514">
        <v>0</v>
      </c>
      <c r="CC30" s="514">
        <v>0</v>
      </c>
      <c r="CD30" s="514">
        <v>0</v>
      </c>
      <c r="CE30" s="514">
        <v>0</v>
      </c>
      <c r="CF30" s="514">
        <v>0</v>
      </c>
      <c r="CG30" s="514">
        <v>0</v>
      </c>
      <c r="CH30" s="514">
        <v>0</v>
      </c>
      <c r="CI30" s="514">
        <v>0</v>
      </c>
      <c r="CJ30" s="514">
        <v>0</v>
      </c>
      <c r="CK30" s="514">
        <v>0</v>
      </c>
      <c r="CL30" s="514">
        <v>0</v>
      </c>
      <c r="CM30" s="514">
        <v>0</v>
      </c>
      <c r="CN30" s="514">
        <v>0</v>
      </c>
      <c r="CO30" s="514">
        <v>0</v>
      </c>
      <c r="CP30" s="514">
        <v>0</v>
      </c>
      <c r="CQ30" s="514">
        <v>0</v>
      </c>
      <c r="CR30" s="514">
        <v>0</v>
      </c>
      <c r="CS30" s="514">
        <v>0</v>
      </c>
      <c r="CT30" s="514">
        <v>0</v>
      </c>
      <c r="CU30" s="514">
        <v>0</v>
      </c>
      <c r="CV30" s="514">
        <v>0</v>
      </c>
      <c r="CW30" s="514">
        <v>0</v>
      </c>
      <c r="CX30" s="514">
        <v>0</v>
      </c>
      <c r="CY30" s="514">
        <v>0</v>
      </c>
      <c r="CZ30" s="514">
        <v>0</v>
      </c>
      <c r="DA30" s="514">
        <v>0</v>
      </c>
      <c r="DB30" s="514">
        <v>0</v>
      </c>
      <c r="DC30" s="514">
        <v>0</v>
      </c>
      <c r="DD30" s="514">
        <v>0</v>
      </c>
      <c r="DE30" s="514">
        <v>0</v>
      </c>
      <c r="DF30" s="514">
        <v>0</v>
      </c>
      <c r="DG30" s="514">
        <v>0</v>
      </c>
      <c r="DH30" s="514">
        <v>0</v>
      </c>
      <c r="DI30" s="514">
        <v>0</v>
      </c>
      <c r="DJ30" s="514">
        <v>0</v>
      </c>
      <c r="DK30" s="514">
        <v>0</v>
      </c>
      <c r="DL30" s="514">
        <v>0</v>
      </c>
      <c r="DM30" s="514">
        <v>0</v>
      </c>
      <c r="DN30" s="514">
        <v>0</v>
      </c>
      <c r="DO30" s="514">
        <v>0</v>
      </c>
      <c r="DP30" s="514">
        <v>0</v>
      </c>
      <c r="DQ30" s="514">
        <v>0</v>
      </c>
      <c r="DR30" s="514">
        <v>0</v>
      </c>
      <c r="DS30" s="514">
        <v>0</v>
      </c>
      <c r="DT30" s="514">
        <v>0</v>
      </c>
      <c r="DU30" s="514">
        <v>0</v>
      </c>
      <c r="DV30" s="514">
        <v>0</v>
      </c>
      <c r="DW30" s="514">
        <v>0</v>
      </c>
      <c r="DX30" s="514">
        <v>0</v>
      </c>
      <c r="DY30" s="514">
        <v>0</v>
      </c>
      <c r="DZ30" s="514">
        <v>0</v>
      </c>
      <c r="EA30" s="514">
        <v>0</v>
      </c>
      <c r="EB30" s="514">
        <v>0</v>
      </c>
      <c r="EC30" s="514">
        <v>0</v>
      </c>
      <c r="ED30" s="514">
        <v>0</v>
      </c>
      <c r="EE30" s="514">
        <v>0</v>
      </c>
      <c r="EF30" s="514">
        <v>0</v>
      </c>
      <c r="EG30" s="514">
        <v>0</v>
      </c>
      <c r="EH30" s="514">
        <v>0</v>
      </c>
      <c r="EI30" s="514">
        <v>0</v>
      </c>
      <c r="EJ30" s="514">
        <v>0</v>
      </c>
      <c r="EK30" s="514">
        <v>0</v>
      </c>
      <c r="EL30" s="514">
        <v>0</v>
      </c>
      <c r="EM30" s="514">
        <v>0</v>
      </c>
      <c r="EN30" s="514">
        <v>0</v>
      </c>
      <c r="EO30" s="514">
        <v>0</v>
      </c>
      <c r="EP30" s="514">
        <v>0</v>
      </c>
      <c r="EQ30" s="514">
        <v>0</v>
      </c>
      <c r="ER30" s="514">
        <v>0</v>
      </c>
      <c r="ES30" s="514">
        <v>0</v>
      </c>
      <c r="ET30" s="514">
        <v>0</v>
      </c>
      <c r="EU30" s="514">
        <v>0</v>
      </c>
      <c r="EV30" s="514">
        <v>0</v>
      </c>
      <c r="EW30" s="514">
        <v>0</v>
      </c>
      <c r="EX30" s="514">
        <v>0</v>
      </c>
      <c r="EY30" s="514">
        <v>0</v>
      </c>
      <c r="EZ30" s="514">
        <v>0</v>
      </c>
      <c r="FA30" s="514">
        <v>0</v>
      </c>
      <c r="FB30" s="514">
        <v>0</v>
      </c>
      <c r="FC30" s="514">
        <v>0</v>
      </c>
      <c r="FD30" s="514">
        <v>0</v>
      </c>
      <c r="FE30" s="514">
        <v>0</v>
      </c>
      <c r="FF30" s="514">
        <v>0</v>
      </c>
      <c r="FG30" s="514">
        <v>0</v>
      </c>
      <c r="FH30" s="514">
        <v>0</v>
      </c>
      <c r="FI30" s="514">
        <v>0</v>
      </c>
      <c r="FJ30" s="514">
        <v>0</v>
      </c>
      <c r="FK30" s="514">
        <v>0</v>
      </c>
      <c r="FL30" s="514">
        <v>0</v>
      </c>
      <c r="FM30" s="514">
        <v>0</v>
      </c>
      <c r="FN30" s="514">
        <v>0</v>
      </c>
      <c r="FO30" s="514">
        <v>0</v>
      </c>
      <c r="FP30" s="514">
        <v>0</v>
      </c>
      <c r="FQ30" s="514">
        <v>0</v>
      </c>
    </row>
    <row r="31" spans="1:173" ht="16.5" hidden="1">
      <c r="A31" s="512" t="s">
        <v>658</v>
      </c>
      <c r="B31" s="512" t="s">
        <v>732</v>
      </c>
      <c r="C31" s="512" t="s">
        <v>721</v>
      </c>
      <c r="D31" s="513"/>
      <c r="E31" s="512" t="s">
        <v>721</v>
      </c>
      <c r="F31" s="512" t="s">
        <v>26</v>
      </c>
      <c r="G31" s="513"/>
      <c r="H31" s="514">
        <v>40</v>
      </c>
      <c r="I31" s="298" t="str">
        <f t="shared" si="0"/>
        <v>AOR100240</v>
      </c>
      <c r="J31" s="514">
        <v>3</v>
      </c>
      <c r="L31" s="512" t="s">
        <v>720</v>
      </c>
      <c r="M31" s="512" t="s">
        <v>739</v>
      </c>
      <c r="N31" s="512" t="s">
        <v>721</v>
      </c>
      <c r="O31" s="513"/>
      <c r="P31" s="512" t="s">
        <v>721</v>
      </c>
      <c r="Q31" s="512" t="s">
        <v>26</v>
      </c>
      <c r="R31" s="513"/>
      <c r="S31" s="514">
        <v>22</v>
      </c>
      <c r="T31" s="298" t="str">
        <f t="shared" si="1"/>
        <v>HSGA0222</v>
      </c>
      <c r="U31" s="514">
        <v>3784</v>
      </c>
      <c r="W31" s="512" t="s">
        <v>269</v>
      </c>
      <c r="X31" s="512" t="s">
        <v>843</v>
      </c>
      <c r="Y31" s="512" t="s">
        <v>721</v>
      </c>
      <c r="Z31" s="514">
        <v>10</v>
      </c>
      <c r="AA31" s="512" t="s">
        <v>721</v>
      </c>
      <c r="AB31" s="512" t="s">
        <v>25</v>
      </c>
      <c r="AC31" s="514">
        <v>0</v>
      </c>
      <c r="AD31" s="514">
        <v>43</v>
      </c>
      <c r="AE31" s="298" t="str">
        <f t="shared" si="2"/>
        <v>HNR100143</v>
      </c>
      <c r="AF31" s="514">
        <v>527</v>
      </c>
      <c r="AH31" s="512" t="s">
        <v>721</v>
      </c>
      <c r="AI31" s="512" t="s">
        <v>1030</v>
      </c>
      <c r="AJ31" s="512" t="s">
        <v>721</v>
      </c>
      <c r="AK31" s="513"/>
      <c r="AL31" s="512" t="s">
        <v>721</v>
      </c>
      <c r="AM31" s="512" t="s">
        <v>25</v>
      </c>
      <c r="AN31" s="513"/>
      <c r="AO31" s="514">
        <v>43</v>
      </c>
      <c r="AP31" s="513"/>
      <c r="AQ31" s="298" t="str">
        <f t="shared" si="3"/>
        <v>HOR100143</v>
      </c>
      <c r="AR31" s="514">
        <v>720</v>
      </c>
      <c r="AT31" s="512" t="s">
        <v>743</v>
      </c>
      <c r="AU31" s="512" t="s">
        <v>744</v>
      </c>
      <c r="AV31" s="512" t="s">
        <v>721</v>
      </c>
      <c r="AW31" s="513"/>
      <c r="AX31" s="512" t="s">
        <v>721</v>
      </c>
      <c r="AY31" s="512" t="s">
        <v>25</v>
      </c>
      <c r="AZ31" s="513"/>
      <c r="BA31" s="514">
        <v>36</v>
      </c>
      <c r="BB31" s="298" t="str">
        <f t="shared" si="4"/>
        <v>CLR100136</v>
      </c>
      <c r="BC31" s="514">
        <v>136</v>
      </c>
      <c r="BF31" s="512" t="s">
        <v>658</v>
      </c>
      <c r="BG31" s="512" t="s">
        <v>732</v>
      </c>
      <c r="BH31" s="512" t="s">
        <v>25</v>
      </c>
      <c r="BI31" s="514">
        <v>43</v>
      </c>
      <c r="BJ31" s="298" t="str">
        <f t="shared" si="5"/>
        <v>AOR100143</v>
      </c>
      <c r="BK31" s="514">
        <v>0</v>
      </c>
      <c r="BL31" s="514">
        <v>1</v>
      </c>
      <c r="BM31" s="514">
        <v>1</v>
      </c>
      <c r="BN31" s="514">
        <v>1</v>
      </c>
      <c r="BO31" s="514">
        <v>1</v>
      </c>
      <c r="BP31" s="514">
        <v>2</v>
      </c>
      <c r="BQ31" s="514">
        <v>2</v>
      </c>
      <c r="BR31" s="514">
        <v>2</v>
      </c>
      <c r="BS31" s="514">
        <v>3</v>
      </c>
      <c r="BT31" s="514">
        <v>0</v>
      </c>
      <c r="BU31" s="514">
        <v>0</v>
      </c>
      <c r="BV31" s="514">
        <v>0</v>
      </c>
      <c r="BW31" s="514">
        <v>0</v>
      </c>
      <c r="BX31" s="514">
        <v>0</v>
      </c>
      <c r="BY31" s="514">
        <v>0</v>
      </c>
      <c r="BZ31" s="514">
        <v>0</v>
      </c>
      <c r="CA31" s="514">
        <v>0</v>
      </c>
      <c r="CB31" s="514">
        <v>0</v>
      </c>
      <c r="CC31" s="514">
        <v>0</v>
      </c>
      <c r="CD31" s="514">
        <v>0</v>
      </c>
      <c r="CE31" s="514">
        <v>0</v>
      </c>
      <c r="CF31" s="514">
        <v>0</v>
      </c>
      <c r="CG31" s="514">
        <v>0</v>
      </c>
      <c r="CH31" s="514">
        <v>0</v>
      </c>
      <c r="CI31" s="514">
        <v>0</v>
      </c>
      <c r="CJ31" s="514">
        <v>0</v>
      </c>
      <c r="CK31" s="514">
        <v>0</v>
      </c>
      <c r="CL31" s="514">
        <v>0</v>
      </c>
      <c r="CM31" s="514">
        <v>0</v>
      </c>
      <c r="CN31" s="514">
        <v>0</v>
      </c>
      <c r="CO31" s="514">
        <v>0</v>
      </c>
      <c r="CP31" s="514">
        <v>0</v>
      </c>
      <c r="CQ31" s="514">
        <v>0</v>
      </c>
      <c r="CR31" s="514">
        <v>0</v>
      </c>
      <c r="CS31" s="514">
        <v>0</v>
      </c>
      <c r="CT31" s="514">
        <v>0</v>
      </c>
      <c r="CU31" s="514">
        <v>0</v>
      </c>
      <c r="CV31" s="514">
        <v>0</v>
      </c>
      <c r="CW31" s="514">
        <v>0</v>
      </c>
      <c r="CX31" s="514">
        <v>0</v>
      </c>
      <c r="CY31" s="514">
        <v>0</v>
      </c>
      <c r="CZ31" s="514">
        <v>0</v>
      </c>
      <c r="DA31" s="514">
        <v>0</v>
      </c>
      <c r="DB31" s="514">
        <v>0</v>
      </c>
      <c r="DC31" s="514">
        <v>0</v>
      </c>
      <c r="DD31" s="514">
        <v>0</v>
      </c>
      <c r="DE31" s="514">
        <v>0</v>
      </c>
      <c r="DF31" s="514">
        <v>0</v>
      </c>
      <c r="DG31" s="514">
        <v>0</v>
      </c>
      <c r="DH31" s="514">
        <v>0</v>
      </c>
      <c r="DI31" s="514">
        <v>0</v>
      </c>
      <c r="DJ31" s="514">
        <v>0</v>
      </c>
      <c r="DK31" s="514">
        <v>0</v>
      </c>
      <c r="DL31" s="514">
        <v>0</v>
      </c>
      <c r="DM31" s="514">
        <v>0</v>
      </c>
      <c r="DN31" s="514">
        <v>0</v>
      </c>
      <c r="DO31" s="514">
        <v>0</v>
      </c>
      <c r="DP31" s="514">
        <v>0</v>
      </c>
      <c r="DQ31" s="514">
        <v>0</v>
      </c>
      <c r="DR31" s="514">
        <v>0</v>
      </c>
      <c r="DS31" s="514">
        <v>0</v>
      </c>
      <c r="DT31" s="514">
        <v>0</v>
      </c>
      <c r="DU31" s="514">
        <v>0</v>
      </c>
      <c r="DV31" s="514">
        <v>0</v>
      </c>
      <c r="DW31" s="514">
        <v>0</v>
      </c>
      <c r="DX31" s="514">
        <v>0</v>
      </c>
      <c r="DY31" s="514">
        <v>0</v>
      </c>
      <c r="DZ31" s="514">
        <v>0</v>
      </c>
      <c r="EA31" s="514">
        <v>0</v>
      </c>
      <c r="EB31" s="514">
        <v>0</v>
      </c>
      <c r="EC31" s="514">
        <v>0</v>
      </c>
      <c r="ED31" s="514">
        <v>0</v>
      </c>
      <c r="EE31" s="514">
        <v>0</v>
      </c>
      <c r="EF31" s="514">
        <v>0</v>
      </c>
      <c r="EG31" s="514">
        <v>0</v>
      </c>
      <c r="EH31" s="514">
        <v>0</v>
      </c>
      <c r="EI31" s="514">
        <v>0</v>
      </c>
      <c r="EJ31" s="514">
        <v>0</v>
      </c>
      <c r="EK31" s="514">
        <v>0</v>
      </c>
      <c r="EL31" s="514">
        <v>0</v>
      </c>
      <c r="EM31" s="514">
        <v>0</v>
      </c>
      <c r="EN31" s="514">
        <v>0</v>
      </c>
      <c r="EO31" s="514">
        <v>0</v>
      </c>
      <c r="EP31" s="514">
        <v>0</v>
      </c>
      <c r="EQ31" s="514">
        <v>0</v>
      </c>
      <c r="ER31" s="514">
        <v>0</v>
      </c>
      <c r="ES31" s="514">
        <v>0</v>
      </c>
      <c r="ET31" s="514">
        <v>0</v>
      </c>
      <c r="EU31" s="514">
        <v>0</v>
      </c>
      <c r="EV31" s="514">
        <v>0</v>
      </c>
      <c r="EW31" s="514">
        <v>0</v>
      </c>
      <c r="EX31" s="514">
        <v>0</v>
      </c>
      <c r="EY31" s="514">
        <v>0</v>
      </c>
      <c r="EZ31" s="514">
        <v>0</v>
      </c>
      <c r="FA31" s="514">
        <v>0</v>
      </c>
      <c r="FB31" s="514">
        <v>0</v>
      </c>
      <c r="FC31" s="514">
        <v>0</v>
      </c>
      <c r="FD31" s="514">
        <v>0</v>
      </c>
      <c r="FE31" s="514">
        <v>0</v>
      </c>
      <c r="FF31" s="514">
        <v>0</v>
      </c>
      <c r="FG31" s="514">
        <v>0</v>
      </c>
      <c r="FH31" s="514">
        <v>0</v>
      </c>
      <c r="FI31" s="514">
        <v>0</v>
      </c>
      <c r="FJ31" s="514">
        <v>0</v>
      </c>
      <c r="FK31" s="514">
        <v>0</v>
      </c>
      <c r="FL31" s="514">
        <v>0</v>
      </c>
      <c r="FM31" s="514">
        <v>0</v>
      </c>
      <c r="FN31" s="514">
        <v>0</v>
      </c>
      <c r="FO31" s="514">
        <v>0</v>
      </c>
      <c r="FP31" s="514">
        <v>0</v>
      </c>
      <c r="FQ31" s="514">
        <v>0</v>
      </c>
    </row>
    <row r="32" spans="1:173" ht="16.5" hidden="1">
      <c r="A32" s="512" t="s">
        <v>658</v>
      </c>
      <c r="B32" s="512" t="s">
        <v>732</v>
      </c>
      <c r="C32" s="512" t="s">
        <v>721</v>
      </c>
      <c r="D32" s="513"/>
      <c r="E32" s="512" t="s">
        <v>721</v>
      </c>
      <c r="F32" s="512" t="s">
        <v>26</v>
      </c>
      <c r="G32" s="513"/>
      <c r="H32" s="514">
        <v>41</v>
      </c>
      <c r="I32" s="298" t="str">
        <f t="shared" si="0"/>
        <v>AOR100241</v>
      </c>
      <c r="J32" s="514">
        <v>3</v>
      </c>
      <c r="L32" s="512" t="s">
        <v>720</v>
      </c>
      <c r="M32" s="512" t="s">
        <v>739</v>
      </c>
      <c r="N32" s="512" t="s">
        <v>721</v>
      </c>
      <c r="O32" s="513"/>
      <c r="P32" s="512" t="s">
        <v>721</v>
      </c>
      <c r="Q32" s="512" t="s">
        <v>26</v>
      </c>
      <c r="R32" s="513"/>
      <c r="S32" s="514">
        <v>23</v>
      </c>
      <c r="T32" s="298" t="str">
        <f t="shared" si="1"/>
        <v>HSGA0223</v>
      </c>
      <c r="U32" s="514">
        <v>3849</v>
      </c>
      <c r="W32" s="512" t="s">
        <v>269</v>
      </c>
      <c r="X32" s="512" t="s">
        <v>843</v>
      </c>
      <c r="Y32" s="512" t="s">
        <v>721</v>
      </c>
      <c r="Z32" s="514">
        <v>10</v>
      </c>
      <c r="AA32" s="512" t="s">
        <v>721</v>
      </c>
      <c r="AB32" s="512" t="s">
        <v>25</v>
      </c>
      <c r="AC32" s="514">
        <v>0</v>
      </c>
      <c r="AD32" s="514">
        <v>44</v>
      </c>
      <c r="AE32" s="298" t="str">
        <f t="shared" si="2"/>
        <v>HNR100144</v>
      </c>
      <c r="AF32" s="514">
        <v>545</v>
      </c>
      <c r="AH32" s="512" t="s">
        <v>721</v>
      </c>
      <c r="AI32" s="512" t="s">
        <v>1030</v>
      </c>
      <c r="AJ32" s="512" t="s">
        <v>721</v>
      </c>
      <c r="AK32" s="513"/>
      <c r="AL32" s="512" t="s">
        <v>721</v>
      </c>
      <c r="AM32" s="512" t="s">
        <v>25</v>
      </c>
      <c r="AN32" s="513"/>
      <c r="AO32" s="514">
        <v>44</v>
      </c>
      <c r="AP32" s="513"/>
      <c r="AQ32" s="298" t="str">
        <f t="shared" si="3"/>
        <v>HOR100144</v>
      </c>
      <c r="AR32" s="514">
        <v>755</v>
      </c>
      <c r="AT32" s="512" t="s">
        <v>743</v>
      </c>
      <c r="AU32" s="512" t="s">
        <v>744</v>
      </c>
      <c r="AV32" s="512" t="s">
        <v>721</v>
      </c>
      <c r="AW32" s="513"/>
      <c r="AX32" s="512" t="s">
        <v>721</v>
      </c>
      <c r="AY32" s="512" t="s">
        <v>26</v>
      </c>
      <c r="AZ32" s="513"/>
      <c r="BA32" s="514">
        <v>36</v>
      </c>
      <c r="BB32" s="298" t="str">
        <f t="shared" si="4"/>
        <v>CLR100236</v>
      </c>
      <c r="BC32" s="514">
        <v>206</v>
      </c>
      <c r="BF32" s="512" t="s">
        <v>658</v>
      </c>
      <c r="BG32" s="512" t="s">
        <v>732</v>
      </c>
      <c r="BH32" s="512" t="s">
        <v>25</v>
      </c>
      <c r="BI32" s="514">
        <v>44</v>
      </c>
      <c r="BJ32" s="298" t="str">
        <f t="shared" si="5"/>
        <v>AOR100144</v>
      </c>
      <c r="BK32" s="514">
        <v>0</v>
      </c>
      <c r="BL32" s="514">
        <v>1</v>
      </c>
      <c r="BM32" s="514">
        <v>1</v>
      </c>
      <c r="BN32" s="514">
        <v>1</v>
      </c>
      <c r="BO32" s="514">
        <v>1</v>
      </c>
      <c r="BP32" s="514">
        <v>2</v>
      </c>
      <c r="BQ32" s="514">
        <v>2</v>
      </c>
      <c r="BR32" s="514">
        <v>2</v>
      </c>
      <c r="BS32" s="514">
        <v>3</v>
      </c>
      <c r="BT32" s="514">
        <v>0</v>
      </c>
      <c r="BU32" s="514">
        <v>0</v>
      </c>
      <c r="BV32" s="514">
        <v>0</v>
      </c>
      <c r="BW32" s="514">
        <v>0</v>
      </c>
      <c r="BX32" s="514">
        <v>0</v>
      </c>
      <c r="BY32" s="514">
        <v>0</v>
      </c>
      <c r="BZ32" s="514">
        <v>0</v>
      </c>
      <c r="CA32" s="514">
        <v>0</v>
      </c>
      <c r="CB32" s="514">
        <v>0</v>
      </c>
      <c r="CC32" s="514">
        <v>0</v>
      </c>
      <c r="CD32" s="514">
        <v>0</v>
      </c>
      <c r="CE32" s="514">
        <v>0</v>
      </c>
      <c r="CF32" s="514">
        <v>0</v>
      </c>
      <c r="CG32" s="514">
        <v>0</v>
      </c>
      <c r="CH32" s="514">
        <v>0</v>
      </c>
      <c r="CI32" s="514">
        <v>0</v>
      </c>
      <c r="CJ32" s="514">
        <v>0</v>
      </c>
      <c r="CK32" s="514">
        <v>0</v>
      </c>
      <c r="CL32" s="514">
        <v>0</v>
      </c>
      <c r="CM32" s="514">
        <v>0</v>
      </c>
      <c r="CN32" s="514">
        <v>0</v>
      </c>
      <c r="CO32" s="514">
        <v>0</v>
      </c>
      <c r="CP32" s="514">
        <v>0</v>
      </c>
      <c r="CQ32" s="514">
        <v>0</v>
      </c>
      <c r="CR32" s="514">
        <v>0</v>
      </c>
      <c r="CS32" s="514">
        <v>0</v>
      </c>
      <c r="CT32" s="514">
        <v>0</v>
      </c>
      <c r="CU32" s="514">
        <v>0</v>
      </c>
      <c r="CV32" s="514">
        <v>0</v>
      </c>
      <c r="CW32" s="514">
        <v>0</v>
      </c>
      <c r="CX32" s="514">
        <v>0</v>
      </c>
      <c r="CY32" s="514">
        <v>0</v>
      </c>
      <c r="CZ32" s="514">
        <v>0</v>
      </c>
      <c r="DA32" s="514">
        <v>0</v>
      </c>
      <c r="DB32" s="514">
        <v>0</v>
      </c>
      <c r="DC32" s="514">
        <v>0</v>
      </c>
      <c r="DD32" s="514">
        <v>0</v>
      </c>
      <c r="DE32" s="514">
        <v>0</v>
      </c>
      <c r="DF32" s="514">
        <v>0</v>
      </c>
      <c r="DG32" s="514">
        <v>0</v>
      </c>
      <c r="DH32" s="514">
        <v>0</v>
      </c>
      <c r="DI32" s="514">
        <v>0</v>
      </c>
      <c r="DJ32" s="514">
        <v>0</v>
      </c>
      <c r="DK32" s="514">
        <v>0</v>
      </c>
      <c r="DL32" s="514">
        <v>0</v>
      </c>
      <c r="DM32" s="514">
        <v>0</v>
      </c>
      <c r="DN32" s="514">
        <v>0</v>
      </c>
      <c r="DO32" s="514">
        <v>0</v>
      </c>
      <c r="DP32" s="514">
        <v>0</v>
      </c>
      <c r="DQ32" s="514">
        <v>0</v>
      </c>
      <c r="DR32" s="514">
        <v>0</v>
      </c>
      <c r="DS32" s="514">
        <v>0</v>
      </c>
      <c r="DT32" s="514">
        <v>0</v>
      </c>
      <c r="DU32" s="514">
        <v>0</v>
      </c>
      <c r="DV32" s="514">
        <v>0</v>
      </c>
      <c r="DW32" s="514">
        <v>0</v>
      </c>
      <c r="DX32" s="514">
        <v>0</v>
      </c>
      <c r="DY32" s="514">
        <v>0</v>
      </c>
      <c r="DZ32" s="514">
        <v>0</v>
      </c>
      <c r="EA32" s="514">
        <v>0</v>
      </c>
      <c r="EB32" s="514">
        <v>0</v>
      </c>
      <c r="EC32" s="514">
        <v>0</v>
      </c>
      <c r="ED32" s="514">
        <v>0</v>
      </c>
      <c r="EE32" s="514">
        <v>0</v>
      </c>
      <c r="EF32" s="514">
        <v>0</v>
      </c>
      <c r="EG32" s="514">
        <v>0</v>
      </c>
      <c r="EH32" s="514">
        <v>0</v>
      </c>
      <c r="EI32" s="514">
        <v>0</v>
      </c>
      <c r="EJ32" s="514">
        <v>0</v>
      </c>
      <c r="EK32" s="514">
        <v>0</v>
      </c>
      <c r="EL32" s="514">
        <v>0</v>
      </c>
      <c r="EM32" s="514">
        <v>0</v>
      </c>
      <c r="EN32" s="514">
        <v>0</v>
      </c>
      <c r="EO32" s="514">
        <v>0</v>
      </c>
      <c r="EP32" s="514">
        <v>0</v>
      </c>
      <c r="EQ32" s="514">
        <v>0</v>
      </c>
      <c r="ER32" s="514">
        <v>0</v>
      </c>
      <c r="ES32" s="514">
        <v>0</v>
      </c>
      <c r="ET32" s="514">
        <v>0</v>
      </c>
      <c r="EU32" s="514">
        <v>0</v>
      </c>
      <c r="EV32" s="514">
        <v>0</v>
      </c>
      <c r="EW32" s="514">
        <v>0</v>
      </c>
      <c r="EX32" s="514">
        <v>0</v>
      </c>
      <c r="EY32" s="514">
        <v>0</v>
      </c>
      <c r="EZ32" s="514">
        <v>0</v>
      </c>
      <c r="FA32" s="514">
        <v>0</v>
      </c>
      <c r="FB32" s="514">
        <v>0</v>
      </c>
      <c r="FC32" s="514">
        <v>0</v>
      </c>
      <c r="FD32" s="514">
        <v>0</v>
      </c>
      <c r="FE32" s="514">
        <v>0</v>
      </c>
      <c r="FF32" s="514">
        <v>0</v>
      </c>
      <c r="FG32" s="514">
        <v>0</v>
      </c>
      <c r="FH32" s="514">
        <v>0</v>
      </c>
      <c r="FI32" s="514">
        <v>0</v>
      </c>
      <c r="FJ32" s="514">
        <v>0</v>
      </c>
      <c r="FK32" s="514">
        <v>0</v>
      </c>
      <c r="FL32" s="514">
        <v>0</v>
      </c>
      <c r="FM32" s="514">
        <v>0</v>
      </c>
      <c r="FN32" s="514">
        <v>0</v>
      </c>
      <c r="FO32" s="514">
        <v>0</v>
      </c>
      <c r="FP32" s="514">
        <v>0</v>
      </c>
      <c r="FQ32" s="514">
        <v>0</v>
      </c>
    </row>
    <row r="33" spans="1:173" ht="16.5" hidden="1">
      <c r="A33" s="512" t="s">
        <v>658</v>
      </c>
      <c r="B33" s="512" t="s">
        <v>732</v>
      </c>
      <c r="C33" s="512" t="s">
        <v>721</v>
      </c>
      <c r="D33" s="513"/>
      <c r="E33" s="512" t="s">
        <v>721</v>
      </c>
      <c r="F33" s="512" t="s">
        <v>26</v>
      </c>
      <c r="G33" s="513"/>
      <c r="H33" s="514">
        <v>42</v>
      </c>
      <c r="I33" s="298" t="str">
        <f t="shared" si="0"/>
        <v>AOR100242</v>
      </c>
      <c r="J33" s="514">
        <v>3</v>
      </c>
      <c r="L33" s="512" t="s">
        <v>720</v>
      </c>
      <c r="M33" s="512" t="s">
        <v>739</v>
      </c>
      <c r="N33" s="512" t="s">
        <v>721</v>
      </c>
      <c r="O33" s="513"/>
      <c r="P33" s="512" t="s">
        <v>721</v>
      </c>
      <c r="Q33" s="512" t="s">
        <v>26</v>
      </c>
      <c r="R33" s="513"/>
      <c r="S33" s="514">
        <v>24</v>
      </c>
      <c r="T33" s="298" t="str">
        <f t="shared" si="1"/>
        <v>HSGA0224</v>
      </c>
      <c r="U33" s="514">
        <v>3936</v>
      </c>
      <c r="W33" s="512" t="s">
        <v>269</v>
      </c>
      <c r="X33" s="512" t="s">
        <v>843</v>
      </c>
      <c r="Y33" s="512" t="s">
        <v>721</v>
      </c>
      <c r="Z33" s="514">
        <v>10</v>
      </c>
      <c r="AA33" s="512" t="s">
        <v>721</v>
      </c>
      <c r="AB33" s="512" t="s">
        <v>25</v>
      </c>
      <c r="AC33" s="514">
        <v>0</v>
      </c>
      <c r="AD33" s="514">
        <v>45</v>
      </c>
      <c r="AE33" s="298" t="str">
        <f t="shared" si="2"/>
        <v>HNR100145</v>
      </c>
      <c r="AF33" s="514">
        <v>563</v>
      </c>
      <c r="AH33" s="512" t="s">
        <v>721</v>
      </c>
      <c r="AI33" s="512" t="s">
        <v>1030</v>
      </c>
      <c r="AJ33" s="512" t="s">
        <v>721</v>
      </c>
      <c r="AK33" s="513"/>
      <c r="AL33" s="512" t="s">
        <v>721</v>
      </c>
      <c r="AM33" s="512" t="s">
        <v>25</v>
      </c>
      <c r="AN33" s="513"/>
      <c r="AO33" s="514">
        <v>45</v>
      </c>
      <c r="AP33" s="513"/>
      <c r="AQ33" s="298" t="str">
        <f t="shared" si="3"/>
        <v>HOR100145</v>
      </c>
      <c r="AR33" s="514">
        <v>790</v>
      </c>
      <c r="AT33" s="512" t="s">
        <v>743</v>
      </c>
      <c r="AU33" s="512" t="s">
        <v>744</v>
      </c>
      <c r="AV33" s="512" t="s">
        <v>721</v>
      </c>
      <c r="AW33" s="513"/>
      <c r="AX33" s="512" t="s">
        <v>721</v>
      </c>
      <c r="AY33" s="512" t="s">
        <v>25</v>
      </c>
      <c r="AZ33" s="513"/>
      <c r="BA33" s="514">
        <v>37</v>
      </c>
      <c r="BB33" s="298" t="str">
        <f t="shared" si="4"/>
        <v>CLR100137</v>
      </c>
      <c r="BC33" s="514">
        <v>152</v>
      </c>
      <c r="BF33" s="512" t="s">
        <v>658</v>
      </c>
      <c r="BG33" s="512" t="s">
        <v>732</v>
      </c>
      <c r="BH33" s="512" t="s">
        <v>25</v>
      </c>
      <c r="BI33" s="514">
        <v>45</v>
      </c>
      <c r="BJ33" s="298" t="str">
        <f t="shared" si="5"/>
        <v>AOR100145</v>
      </c>
      <c r="BK33" s="514">
        <v>0</v>
      </c>
      <c r="BL33" s="514">
        <v>1</v>
      </c>
      <c r="BM33" s="514">
        <v>1</v>
      </c>
      <c r="BN33" s="514">
        <v>1</v>
      </c>
      <c r="BO33" s="514">
        <v>1</v>
      </c>
      <c r="BP33" s="514">
        <v>2</v>
      </c>
      <c r="BQ33" s="514">
        <v>2</v>
      </c>
      <c r="BR33" s="514">
        <v>2</v>
      </c>
      <c r="BS33" s="514">
        <v>3</v>
      </c>
      <c r="BT33" s="514">
        <v>0</v>
      </c>
      <c r="BU33" s="514">
        <v>0</v>
      </c>
      <c r="BV33" s="514">
        <v>0</v>
      </c>
      <c r="BW33" s="514">
        <v>0</v>
      </c>
      <c r="BX33" s="514">
        <v>0</v>
      </c>
      <c r="BY33" s="514">
        <v>0</v>
      </c>
      <c r="BZ33" s="514">
        <v>0</v>
      </c>
      <c r="CA33" s="514">
        <v>0</v>
      </c>
      <c r="CB33" s="514">
        <v>0</v>
      </c>
      <c r="CC33" s="514">
        <v>0</v>
      </c>
      <c r="CD33" s="514">
        <v>0</v>
      </c>
      <c r="CE33" s="514">
        <v>0</v>
      </c>
      <c r="CF33" s="514">
        <v>0</v>
      </c>
      <c r="CG33" s="514">
        <v>0</v>
      </c>
      <c r="CH33" s="514">
        <v>0</v>
      </c>
      <c r="CI33" s="514">
        <v>0</v>
      </c>
      <c r="CJ33" s="514">
        <v>0</v>
      </c>
      <c r="CK33" s="514">
        <v>0</v>
      </c>
      <c r="CL33" s="514">
        <v>0</v>
      </c>
      <c r="CM33" s="514">
        <v>0</v>
      </c>
      <c r="CN33" s="514">
        <v>0</v>
      </c>
      <c r="CO33" s="514">
        <v>0</v>
      </c>
      <c r="CP33" s="514">
        <v>0</v>
      </c>
      <c r="CQ33" s="514">
        <v>0</v>
      </c>
      <c r="CR33" s="514">
        <v>0</v>
      </c>
      <c r="CS33" s="514">
        <v>0</v>
      </c>
      <c r="CT33" s="514">
        <v>0</v>
      </c>
      <c r="CU33" s="514">
        <v>0</v>
      </c>
      <c r="CV33" s="514">
        <v>0</v>
      </c>
      <c r="CW33" s="514">
        <v>0</v>
      </c>
      <c r="CX33" s="514">
        <v>0</v>
      </c>
      <c r="CY33" s="514">
        <v>0</v>
      </c>
      <c r="CZ33" s="514">
        <v>0</v>
      </c>
      <c r="DA33" s="514">
        <v>0</v>
      </c>
      <c r="DB33" s="514">
        <v>0</v>
      </c>
      <c r="DC33" s="514">
        <v>0</v>
      </c>
      <c r="DD33" s="514">
        <v>0</v>
      </c>
      <c r="DE33" s="514">
        <v>0</v>
      </c>
      <c r="DF33" s="514">
        <v>0</v>
      </c>
      <c r="DG33" s="514">
        <v>0</v>
      </c>
      <c r="DH33" s="514">
        <v>0</v>
      </c>
      <c r="DI33" s="514">
        <v>0</v>
      </c>
      <c r="DJ33" s="514">
        <v>0</v>
      </c>
      <c r="DK33" s="514">
        <v>0</v>
      </c>
      <c r="DL33" s="514">
        <v>0</v>
      </c>
      <c r="DM33" s="514">
        <v>0</v>
      </c>
      <c r="DN33" s="514">
        <v>0</v>
      </c>
      <c r="DO33" s="514">
        <v>0</v>
      </c>
      <c r="DP33" s="514">
        <v>0</v>
      </c>
      <c r="DQ33" s="514">
        <v>0</v>
      </c>
      <c r="DR33" s="514">
        <v>0</v>
      </c>
      <c r="DS33" s="514">
        <v>0</v>
      </c>
      <c r="DT33" s="514">
        <v>0</v>
      </c>
      <c r="DU33" s="514">
        <v>0</v>
      </c>
      <c r="DV33" s="514">
        <v>0</v>
      </c>
      <c r="DW33" s="514">
        <v>0</v>
      </c>
      <c r="DX33" s="514">
        <v>0</v>
      </c>
      <c r="DY33" s="514">
        <v>0</v>
      </c>
      <c r="DZ33" s="514">
        <v>0</v>
      </c>
      <c r="EA33" s="514">
        <v>0</v>
      </c>
      <c r="EB33" s="514">
        <v>0</v>
      </c>
      <c r="EC33" s="514">
        <v>0</v>
      </c>
      <c r="ED33" s="514">
        <v>0</v>
      </c>
      <c r="EE33" s="514">
        <v>0</v>
      </c>
      <c r="EF33" s="514">
        <v>0</v>
      </c>
      <c r="EG33" s="514">
        <v>0</v>
      </c>
      <c r="EH33" s="514">
        <v>0</v>
      </c>
      <c r="EI33" s="514">
        <v>0</v>
      </c>
      <c r="EJ33" s="514">
        <v>0</v>
      </c>
      <c r="EK33" s="514">
        <v>0</v>
      </c>
      <c r="EL33" s="514">
        <v>0</v>
      </c>
      <c r="EM33" s="514">
        <v>0</v>
      </c>
      <c r="EN33" s="514">
        <v>0</v>
      </c>
      <c r="EO33" s="514">
        <v>0</v>
      </c>
      <c r="EP33" s="514">
        <v>0</v>
      </c>
      <c r="EQ33" s="514">
        <v>0</v>
      </c>
      <c r="ER33" s="514">
        <v>0</v>
      </c>
      <c r="ES33" s="514">
        <v>0</v>
      </c>
      <c r="ET33" s="514">
        <v>0</v>
      </c>
      <c r="EU33" s="514">
        <v>0</v>
      </c>
      <c r="EV33" s="514">
        <v>0</v>
      </c>
      <c r="EW33" s="514">
        <v>0</v>
      </c>
      <c r="EX33" s="514">
        <v>0</v>
      </c>
      <c r="EY33" s="514">
        <v>0</v>
      </c>
      <c r="EZ33" s="514">
        <v>0</v>
      </c>
      <c r="FA33" s="514">
        <v>0</v>
      </c>
      <c r="FB33" s="514">
        <v>0</v>
      </c>
      <c r="FC33" s="514">
        <v>0</v>
      </c>
      <c r="FD33" s="514">
        <v>0</v>
      </c>
      <c r="FE33" s="514">
        <v>0</v>
      </c>
      <c r="FF33" s="514">
        <v>0</v>
      </c>
      <c r="FG33" s="514">
        <v>0</v>
      </c>
      <c r="FH33" s="514">
        <v>0</v>
      </c>
      <c r="FI33" s="514">
        <v>0</v>
      </c>
      <c r="FJ33" s="514">
        <v>0</v>
      </c>
      <c r="FK33" s="514">
        <v>0</v>
      </c>
      <c r="FL33" s="514">
        <v>0</v>
      </c>
      <c r="FM33" s="514">
        <v>0</v>
      </c>
      <c r="FN33" s="514">
        <v>0</v>
      </c>
      <c r="FO33" s="514">
        <v>0</v>
      </c>
      <c r="FP33" s="514">
        <v>0</v>
      </c>
      <c r="FQ33" s="514">
        <v>0</v>
      </c>
    </row>
    <row r="34" spans="1:173" ht="16.5" hidden="1">
      <c r="A34" s="512" t="s">
        <v>658</v>
      </c>
      <c r="B34" s="512" t="s">
        <v>732</v>
      </c>
      <c r="C34" s="512" t="s">
        <v>721</v>
      </c>
      <c r="D34" s="513"/>
      <c r="E34" s="512" t="s">
        <v>721</v>
      </c>
      <c r="F34" s="512" t="s">
        <v>26</v>
      </c>
      <c r="G34" s="513"/>
      <c r="H34" s="514">
        <v>43</v>
      </c>
      <c r="I34" s="298" t="str">
        <f t="shared" si="0"/>
        <v>AOR100243</v>
      </c>
      <c r="J34" s="514">
        <v>3</v>
      </c>
      <c r="L34" s="512" t="s">
        <v>720</v>
      </c>
      <c r="M34" s="512" t="s">
        <v>739</v>
      </c>
      <c r="N34" s="512" t="s">
        <v>721</v>
      </c>
      <c r="O34" s="513"/>
      <c r="P34" s="512" t="s">
        <v>721</v>
      </c>
      <c r="Q34" s="512" t="s">
        <v>26</v>
      </c>
      <c r="R34" s="513"/>
      <c r="S34" s="514">
        <v>25</v>
      </c>
      <c r="T34" s="298" t="str">
        <f t="shared" si="1"/>
        <v>HSGA0225</v>
      </c>
      <c r="U34" s="514">
        <v>4047</v>
      </c>
      <c r="W34" s="512" t="s">
        <v>269</v>
      </c>
      <c r="X34" s="512" t="s">
        <v>843</v>
      </c>
      <c r="Y34" s="512" t="s">
        <v>721</v>
      </c>
      <c r="Z34" s="514">
        <v>10</v>
      </c>
      <c r="AA34" s="512" t="s">
        <v>721</v>
      </c>
      <c r="AB34" s="512" t="s">
        <v>25</v>
      </c>
      <c r="AC34" s="514">
        <v>0</v>
      </c>
      <c r="AD34" s="514">
        <v>46</v>
      </c>
      <c r="AE34" s="298" t="str">
        <f t="shared" si="2"/>
        <v>HNR100146</v>
      </c>
      <c r="AF34" s="514">
        <v>571</v>
      </c>
      <c r="AH34" s="512" t="s">
        <v>721</v>
      </c>
      <c r="AI34" s="512" t="s">
        <v>1030</v>
      </c>
      <c r="AJ34" s="512" t="s">
        <v>721</v>
      </c>
      <c r="AK34" s="513"/>
      <c r="AL34" s="512" t="s">
        <v>721</v>
      </c>
      <c r="AM34" s="512" t="s">
        <v>25</v>
      </c>
      <c r="AN34" s="513"/>
      <c r="AO34" s="514">
        <v>46</v>
      </c>
      <c r="AP34" s="513"/>
      <c r="AQ34" s="298" t="str">
        <f t="shared" si="3"/>
        <v>HOR100146</v>
      </c>
      <c r="AR34" s="514">
        <v>810</v>
      </c>
      <c r="AT34" s="512" t="s">
        <v>743</v>
      </c>
      <c r="AU34" s="512" t="s">
        <v>744</v>
      </c>
      <c r="AV34" s="512" t="s">
        <v>721</v>
      </c>
      <c r="AW34" s="513"/>
      <c r="AX34" s="512" t="s">
        <v>721</v>
      </c>
      <c r="AY34" s="512" t="s">
        <v>26</v>
      </c>
      <c r="AZ34" s="513"/>
      <c r="BA34" s="514">
        <v>37</v>
      </c>
      <c r="BB34" s="298" t="str">
        <f t="shared" si="4"/>
        <v>CLR100237</v>
      </c>
      <c r="BC34" s="514">
        <v>228</v>
      </c>
      <c r="BF34" s="512" t="s">
        <v>658</v>
      </c>
      <c r="BG34" s="512" t="s">
        <v>732</v>
      </c>
      <c r="BH34" s="512" t="s">
        <v>25</v>
      </c>
      <c r="BI34" s="514">
        <v>46</v>
      </c>
      <c r="BJ34" s="298" t="str">
        <f t="shared" si="5"/>
        <v>AOR100146</v>
      </c>
      <c r="BK34" s="514">
        <v>0</v>
      </c>
      <c r="BL34" s="514">
        <v>1</v>
      </c>
      <c r="BM34" s="514">
        <v>1</v>
      </c>
      <c r="BN34" s="514">
        <v>1</v>
      </c>
      <c r="BO34" s="514">
        <v>1</v>
      </c>
      <c r="BP34" s="514">
        <v>2</v>
      </c>
      <c r="BQ34" s="514">
        <v>2</v>
      </c>
      <c r="BR34" s="514">
        <v>2</v>
      </c>
      <c r="BS34" s="514">
        <v>3</v>
      </c>
      <c r="BT34" s="514">
        <v>0</v>
      </c>
      <c r="BU34" s="514">
        <v>0</v>
      </c>
      <c r="BV34" s="514">
        <v>0</v>
      </c>
      <c r="BW34" s="514">
        <v>0</v>
      </c>
      <c r="BX34" s="514">
        <v>0</v>
      </c>
      <c r="BY34" s="514">
        <v>0</v>
      </c>
      <c r="BZ34" s="514">
        <v>0</v>
      </c>
      <c r="CA34" s="514">
        <v>0</v>
      </c>
      <c r="CB34" s="514">
        <v>0</v>
      </c>
      <c r="CC34" s="514">
        <v>0</v>
      </c>
      <c r="CD34" s="514">
        <v>0</v>
      </c>
      <c r="CE34" s="514">
        <v>0</v>
      </c>
      <c r="CF34" s="514">
        <v>0</v>
      </c>
      <c r="CG34" s="514">
        <v>0</v>
      </c>
      <c r="CH34" s="514">
        <v>0</v>
      </c>
      <c r="CI34" s="514">
        <v>0</v>
      </c>
      <c r="CJ34" s="514">
        <v>0</v>
      </c>
      <c r="CK34" s="514">
        <v>0</v>
      </c>
      <c r="CL34" s="514">
        <v>0</v>
      </c>
      <c r="CM34" s="514">
        <v>0</v>
      </c>
      <c r="CN34" s="514">
        <v>0</v>
      </c>
      <c r="CO34" s="514">
        <v>0</v>
      </c>
      <c r="CP34" s="514">
        <v>0</v>
      </c>
      <c r="CQ34" s="514">
        <v>0</v>
      </c>
      <c r="CR34" s="514">
        <v>0</v>
      </c>
      <c r="CS34" s="514">
        <v>0</v>
      </c>
      <c r="CT34" s="514">
        <v>0</v>
      </c>
      <c r="CU34" s="514">
        <v>0</v>
      </c>
      <c r="CV34" s="514">
        <v>0</v>
      </c>
      <c r="CW34" s="514">
        <v>0</v>
      </c>
      <c r="CX34" s="514">
        <v>0</v>
      </c>
      <c r="CY34" s="514">
        <v>0</v>
      </c>
      <c r="CZ34" s="514">
        <v>0</v>
      </c>
      <c r="DA34" s="514">
        <v>0</v>
      </c>
      <c r="DB34" s="514">
        <v>0</v>
      </c>
      <c r="DC34" s="514">
        <v>0</v>
      </c>
      <c r="DD34" s="514">
        <v>0</v>
      </c>
      <c r="DE34" s="514">
        <v>0</v>
      </c>
      <c r="DF34" s="514">
        <v>0</v>
      </c>
      <c r="DG34" s="514">
        <v>0</v>
      </c>
      <c r="DH34" s="514">
        <v>0</v>
      </c>
      <c r="DI34" s="514">
        <v>0</v>
      </c>
      <c r="DJ34" s="514">
        <v>0</v>
      </c>
      <c r="DK34" s="514">
        <v>0</v>
      </c>
      <c r="DL34" s="514">
        <v>0</v>
      </c>
      <c r="DM34" s="514">
        <v>0</v>
      </c>
      <c r="DN34" s="514">
        <v>0</v>
      </c>
      <c r="DO34" s="514">
        <v>0</v>
      </c>
      <c r="DP34" s="514">
        <v>0</v>
      </c>
      <c r="DQ34" s="514">
        <v>0</v>
      </c>
      <c r="DR34" s="514">
        <v>0</v>
      </c>
      <c r="DS34" s="514">
        <v>0</v>
      </c>
      <c r="DT34" s="514">
        <v>0</v>
      </c>
      <c r="DU34" s="514">
        <v>0</v>
      </c>
      <c r="DV34" s="514">
        <v>0</v>
      </c>
      <c r="DW34" s="514">
        <v>0</v>
      </c>
      <c r="DX34" s="514">
        <v>0</v>
      </c>
      <c r="DY34" s="514">
        <v>0</v>
      </c>
      <c r="DZ34" s="514">
        <v>0</v>
      </c>
      <c r="EA34" s="514">
        <v>0</v>
      </c>
      <c r="EB34" s="514">
        <v>0</v>
      </c>
      <c r="EC34" s="514">
        <v>0</v>
      </c>
      <c r="ED34" s="514">
        <v>0</v>
      </c>
      <c r="EE34" s="514">
        <v>0</v>
      </c>
      <c r="EF34" s="514">
        <v>0</v>
      </c>
      <c r="EG34" s="514">
        <v>0</v>
      </c>
      <c r="EH34" s="514">
        <v>0</v>
      </c>
      <c r="EI34" s="514">
        <v>0</v>
      </c>
      <c r="EJ34" s="514">
        <v>0</v>
      </c>
      <c r="EK34" s="514">
        <v>0</v>
      </c>
      <c r="EL34" s="514">
        <v>0</v>
      </c>
      <c r="EM34" s="514">
        <v>0</v>
      </c>
      <c r="EN34" s="514">
        <v>0</v>
      </c>
      <c r="EO34" s="514">
        <v>0</v>
      </c>
      <c r="EP34" s="514">
        <v>0</v>
      </c>
      <c r="EQ34" s="514">
        <v>0</v>
      </c>
      <c r="ER34" s="514">
        <v>0</v>
      </c>
      <c r="ES34" s="514">
        <v>0</v>
      </c>
      <c r="ET34" s="514">
        <v>0</v>
      </c>
      <c r="EU34" s="514">
        <v>0</v>
      </c>
      <c r="EV34" s="514">
        <v>0</v>
      </c>
      <c r="EW34" s="514">
        <v>0</v>
      </c>
      <c r="EX34" s="514">
        <v>0</v>
      </c>
      <c r="EY34" s="514">
        <v>0</v>
      </c>
      <c r="EZ34" s="514">
        <v>0</v>
      </c>
      <c r="FA34" s="514">
        <v>0</v>
      </c>
      <c r="FB34" s="514">
        <v>0</v>
      </c>
      <c r="FC34" s="514">
        <v>0</v>
      </c>
      <c r="FD34" s="514">
        <v>0</v>
      </c>
      <c r="FE34" s="514">
        <v>0</v>
      </c>
      <c r="FF34" s="514">
        <v>0</v>
      </c>
      <c r="FG34" s="514">
        <v>0</v>
      </c>
      <c r="FH34" s="514">
        <v>0</v>
      </c>
      <c r="FI34" s="514">
        <v>0</v>
      </c>
      <c r="FJ34" s="514">
        <v>0</v>
      </c>
      <c r="FK34" s="514">
        <v>0</v>
      </c>
      <c r="FL34" s="514">
        <v>0</v>
      </c>
      <c r="FM34" s="514">
        <v>0</v>
      </c>
      <c r="FN34" s="514">
        <v>0</v>
      </c>
      <c r="FO34" s="514">
        <v>0</v>
      </c>
      <c r="FP34" s="514">
        <v>0</v>
      </c>
      <c r="FQ34" s="514">
        <v>0</v>
      </c>
    </row>
    <row r="35" spans="1:173" ht="16.5" hidden="1">
      <c r="A35" s="512" t="s">
        <v>658</v>
      </c>
      <c r="B35" s="512" t="s">
        <v>732</v>
      </c>
      <c r="C35" s="512" t="s">
        <v>721</v>
      </c>
      <c r="D35" s="513"/>
      <c r="E35" s="512" t="s">
        <v>721</v>
      </c>
      <c r="F35" s="512" t="s">
        <v>26</v>
      </c>
      <c r="G35" s="513"/>
      <c r="H35" s="514">
        <v>44</v>
      </c>
      <c r="I35" s="298" t="str">
        <f t="shared" si="0"/>
        <v>AOR100244</v>
      </c>
      <c r="J35" s="514">
        <v>3</v>
      </c>
      <c r="L35" s="512" t="s">
        <v>720</v>
      </c>
      <c r="M35" s="512" t="s">
        <v>739</v>
      </c>
      <c r="N35" s="512" t="s">
        <v>721</v>
      </c>
      <c r="O35" s="513"/>
      <c r="P35" s="512" t="s">
        <v>721</v>
      </c>
      <c r="Q35" s="512" t="s">
        <v>26</v>
      </c>
      <c r="R35" s="513"/>
      <c r="S35" s="514">
        <v>26</v>
      </c>
      <c r="T35" s="298" t="str">
        <f t="shared" si="1"/>
        <v>HSGA0226</v>
      </c>
      <c r="U35" s="514">
        <v>4183</v>
      </c>
      <c r="W35" s="512" t="s">
        <v>269</v>
      </c>
      <c r="X35" s="512" t="s">
        <v>843</v>
      </c>
      <c r="Y35" s="512" t="s">
        <v>721</v>
      </c>
      <c r="Z35" s="514">
        <v>10</v>
      </c>
      <c r="AA35" s="512" t="s">
        <v>721</v>
      </c>
      <c r="AB35" s="512" t="s">
        <v>25</v>
      </c>
      <c r="AC35" s="514">
        <v>0</v>
      </c>
      <c r="AD35" s="514">
        <v>47</v>
      </c>
      <c r="AE35" s="298" t="str">
        <f t="shared" si="2"/>
        <v>HNR100147</v>
      </c>
      <c r="AF35" s="514">
        <v>579</v>
      </c>
      <c r="AH35" s="512" t="s">
        <v>721</v>
      </c>
      <c r="AI35" s="512" t="s">
        <v>1030</v>
      </c>
      <c r="AJ35" s="512" t="s">
        <v>721</v>
      </c>
      <c r="AK35" s="513"/>
      <c r="AL35" s="512" t="s">
        <v>721</v>
      </c>
      <c r="AM35" s="512" t="s">
        <v>25</v>
      </c>
      <c r="AN35" s="513"/>
      <c r="AO35" s="514">
        <v>47</v>
      </c>
      <c r="AP35" s="513"/>
      <c r="AQ35" s="298" t="str">
        <f t="shared" si="3"/>
        <v>HOR100147</v>
      </c>
      <c r="AR35" s="514">
        <v>840</v>
      </c>
      <c r="AT35" s="512" t="s">
        <v>743</v>
      </c>
      <c r="AU35" s="512" t="s">
        <v>744</v>
      </c>
      <c r="AV35" s="512" t="s">
        <v>721</v>
      </c>
      <c r="AW35" s="513"/>
      <c r="AX35" s="512" t="s">
        <v>721</v>
      </c>
      <c r="AY35" s="512" t="s">
        <v>25</v>
      </c>
      <c r="AZ35" s="513"/>
      <c r="BA35" s="514">
        <v>38</v>
      </c>
      <c r="BB35" s="298" t="str">
        <f t="shared" si="4"/>
        <v>CLR100138</v>
      </c>
      <c r="BC35" s="514">
        <v>170</v>
      </c>
      <c r="BF35" s="512" t="s">
        <v>658</v>
      </c>
      <c r="BG35" s="512" t="s">
        <v>732</v>
      </c>
      <c r="BH35" s="512" t="s">
        <v>25</v>
      </c>
      <c r="BI35" s="514">
        <v>47</v>
      </c>
      <c r="BJ35" s="298" t="str">
        <f t="shared" si="5"/>
        <v>AOR100147</v>
      </c>
      <c r="BK35" s="514">
        <v>0</v>
      </c>
      <c r="BL35" s="514">
        <v>1</v>
      </c>
      <c r="BM35" s="514">
        <v>1</v>
      </c>
      <c r="BN35" s="514">
        <v>1</v>
      </c>
      <c r="BO35" s="514">
        <v>1</v>
      </c>
      <c r="BP35" s="514">
        <v>2</v>
      </c>
      <c r="BQ35" s="514">
        <v>2</v>
      </c>
      <c r="BR35" s="514">
        <v>2</v>
      </c>
      <c r="BS35" s="514">
        <v>3</v>
      </c>
      <c r="BT35" s="514">
        <v>0</v>
      </c>
      <c r="BU35" s="514">
        <v>0</v>
      </c>
      <c r="BV35" s="514">
        <v>0</v>
      </c>
      <c r="BW35" s="514">
        <v>0</v>
      </c>
      <c r="BX35" s="514">
        <v>0</v>
      </c>
      <c r="BY35" s="514">
        <v>0</v>
      </c>
      <c r="BZ35" s="514">
        <v>0</v>
      </c>
      <c r="CA35" s="514">
        <v>0</v>
      </c>
      <c r="CB35" s="514">
        <v>0</v>
      </c>
      <c r="CC35" s="514">
        <v>0</v>
      </c>
      <c r="CD35" s="514">
        <v>0</v>
      </c>
      <c r="CE35" s="514">
        <v>0</v>
      </c>
      <c r="CF35" s="514">
        <v>0</v>
      </c>
      <c r="CG35" s="514">
        <v>0</v>
      </c>
      <c r="CH35" s="514">
        <v>0</v>
      </c>
      <c r="CI35" s="514">
        <v>0</v>
      </c>
      <c r="CJ35" s="514">
        <v>0</v>
      </c>
      <c r="CK35" s="514">
        <v>0</v>
      </c>
      <c r="CL35" s="514">
        <v>0</v>
      </c>
      <c r="CM35" s="514">
        <v>0</v>
      </c>
      <c r="CN35" s="514">
        <v>0</v>
      </c>
      <c r="CO35" s="514">
        <v>0</v>
      </c>
      <c r="CP35" s="514">
        <v>0</v>
      </c>
      <c r="CQ35" s="514">
        <v>0</v>
      </c>
      <c r="CR35" s="514">
        <v>0</v>
      </c>
      <c r="CS35" s="514">
        <v>0</v>
      </c>
      <c r="CT35" s="514">
        <v>0</v>
      </c>
      <c r="CU35" s="514">
        <v>0</v>
      </c>
      <c r="CV35" s="514">
        <v>0</v>
      </c>
      <c r="CW35" s="514">
        <v>0</v>
      </c>
      <c r="CX35" s="514">
        <v>0</v>
      </c>
      <c r="CY35" s="514">
        <v>0</v>
      </c>
      <c r="CZ35" s="514">
        <v>0</v>
      </c>
      <c r="DA35" s="514">
        <v>0</v>
      </c>
      <c r="DB35" s="514">
        <v>0</v>
      </c>
      <c r="DC35" s="514">
        <v>0</v>
      </c>
      <c r="DD35" s="514">
        <v>0</v>
      </c>
      <c r="DE35" s="514">
        <v>0</v>
      </c>
      <c r="DF35" s="514">
        <v>0</v>
      </c>
      <c r="DG35" s="514">
        <v>0</v>
      </c>
      <c r="DH35" s="514">
        <v>0</v>
      </c>
      <c r="DI35" s="514">
        <v>0</v>
      </c>
      <c r="DJ35" s="514">
        <v>0</v>
      </c>
      <c r="DK35" s="514">
        <v>0</v>
      </c>
      <c r="DL35" s="514">
        <v>0</v>
      </c>
      <c r="DM35" s="514">
        <v>0</v>
      </c>
      <c r="DN35" s="514">
        <v>0</v>
      </c>
      <c r="DO35" s="514">
        <v>0</v>
      </c>
      <c r="DP35" s="514">
        <v>0</v>
      </c>
      <c r="DQ35" s="514">
        <v>0</v>
      </c>
      <c r="DR35" s="514">
        <v>0</v>
      </c>
      <c r="DS35" s="514">
        <v>0</v>
      </c>
      <c r="DT35" s="514">
        <v>0</v>
      </c>
      <c r="DU35" s="514">
        <v>0</v>
      </c>
      <c r="DV35" s="514">
        <v>0</v>
      </c>
      <c r="DW35" s="514">
        <v>0</v>
      </c>
      <c r="DX35" s="514">
        <v>0</v>
      </c>
      <c r="DY35" s="514">
        <v>0</v>
      </c>
      <c r="DZ35" s="514">
        <v>0</v>
      </c>
      <c r="EA35" s="514">
        <v>0</v>
      </c>
      <c r="EB35" s="514">
        <v>0</v>
      </c>
      <c r="EC35" s="514">
        <v>0</v>
      </c>
      <c r="ED35" s="514">
        <v>0</v>
      </c>
      <c r="EE35" s="514">
        <v>0</v>
      </c>
      <c r="EF35" s="514">
        <v>0</v>
      </c>
      <c r="EG35" s="514">
        <v>0</v>
      </c>
      <c r="EH35" s="514">
        <v>0</v>
      </c>
      <c r="EI35" s="514">
        <v>0</v>
      </c>
      <c r="EJ35" s="514">
        <v>0</v>
      </c>
      <c r="EK35" s="514">
        <v>0</v>
      </c>
      <c r="EL35" s="514">
        <v>0</v>
      </c>
      <c r="EM35" s="514">
        <v>0</v>
      </c>
      <c r="EN35" s="514">
        <v>0</v>
      </c>
      <c r="EO35" s="514">
        <v>0</v>
      </c>
      <c r="EP35" s="514">
        <v>0</v>
      </c>
      <c r="EQ35" s="514">
        <v>0</v>
      </c>
      <c r="ER35" s="514">
        <v>0</v>
      </c>
      <c r="ES35" s="514">
        <v>0</v>
      </c>
      <c r="ET35" s="514">
        <v>0</v>
      </c>
      <c r="EU35" s="514">
        <v>0</v>
      </c>
      <c r="EV35" s="514">
        <v>0</v>
      </c>
      <c r="EW35" s="514">
        <v>0</v>
      </c>
      <c r="EX35" s="514">
        <v>0</v>
      </c>
      <c r="EY35" s="514">
        <v>0</v>
      </c>
      <c r="EZ35" s="514">
        <v>0</v>
      </c>
      <c r="FA35" s="514">
        <v>0</v>
      </c>
      <c r="FB35" s="514">
        <v>0</v>
      </c>
      <c r="FC35" s="514">
        <v>0</v>
      </c>
      <c r="FD35" s="514">
        <v>0</v>
      </c>
      <c r="FE35" s="514">
        <v>0</v>
      </c>
      <c r="FF35" s="514">
        <v>0</v>
      </c>
      <c r="FG35" s="514">
        <v>0</v>
      </c>
      <c r="FH35" s="514">
        <v>0</v>
      </c>
      <c r="FI35" s="514">
        <v>0</v>
      </c>
      <c r="FJ35" s="514">
        <v>0</v>
      </c>
      <c r="FK35" s="514">
        <v>0</v>
      </c>
      <c r="FL35" s="514">
        <v>0</v>
      </c>
      <c r="FM35" s="514">
        <v>0</v>
      </c>
      <c r="FN35" s="514">
        <v>0</v>
      </c>
      <c r="FO35" s="514">
        <v>0</v>
      </c>
      <c r="FP35" s="514">
        <v>0</v>
      </c>
      <c r="FQ35" s="514">
        <v>0</v>
      </c>
    </row>
    <row r="36" spans="1:173" ht="16.5" hidden="1">
      <c r="A36" s="512" t="s">
        <v>658</v>
      </c>
      <c r="B36" s="512" t="s">
        <v>732</v>
      </c>
      <c r="C36" s="512" t="s">
        <v>721</v>
      </c>
      <c r="D36" s="513"/>
      <c r="E36" s="512" t="s">
        <v>721</v>
      </c>
      <c r="F36" s="512" t="s">
        <v>26</v>
      </c>
      <c r="G36" s="513"/>
      <c r="H36" s="514">
        <v>45</v>
      </c>
      <c r="I36" s="298" t="str">
        <f t="shared" si="0"/>
        <v>AOR100245</v>
      </c>
      <c r="J36" s="514">
        <v>3</v>
      </c>
      <c r="L36" s="512" t="s">
        <v>720</v>
      </c>
      <c r="M36" s="512" t="s">
        <v>739</v>
      </c>
      <c r="N36" s="512" t="s">
        <v>721</v>
      </c>
      <c r="O36" s="513"/>
      <c r="P36" s="512" t="s">
        <v>721</v>
      </c>
      <c r="Q36" s="512" t="s">
        <v>26</v>
      </c>
      <c r="R36" s="513"/>
      <c r="S36" s="514">
        <v>27</v>
      </c>
      <c r="T36" s="298" t="str">
        <f t="shared" si="1"/>
        <v>HSGA0227</v>
      </c>
      <c r="U36" s="514">
        <v>4344</v>
      </c>
      <c r="W36" s="512" t="s">
        <v>269</v>
      </c>
      <c r="X36" s="512" t="s">
        <v>843</v>
      </c>
      <c r="Y36" s="512" t="s">
        <v>721</v>
      </c>
      <c r="Z36" s="514">
        <v>10</v>
      </c>
      <c r="AA36" s="512" t="s">
        <v>721</v>
      </c>
      <c r="AB36" s="512" t="s">
        <v>25</v>
      </c>
      <c r="AC36" s="514">
        <v>0</v>
      </c>
      <c r="AD36" s="514">
        <v>48</v>
      </c>
      <c r="AE36" s="298" t="str">
        <f t="shared" si="2"/>
        <v>HNR100148</v>
      </c>
      <c r="AF36" s="514">
        <v>587</v>
      </c>
      <c r="AH36" s="512" t="s">
        <v>721</v>
      </c>
      <c r="AI36" s="512" t="s">
        <v>1030</v>
      </c>
      <c r="AJ36" s="512" t="s">
        <v>721</v>
      </c>
      <c r="AK36" s="513"/>
      <c r="AL36" s="512" t="s">
        <v>721</v>
      </c>
      <c r="AM36" s="512" t="s">
        <v>25</v>
      </c>
      <c r="AN36" s="513"/>
      <c r="AO36" s="514">
        <v>48</v>
      </c>
      <c r="AP36" s="513"/>
      <c r="AQ36" s="298" t="str">
        <f t="shared" si="3"/>
        <v>HOR100148</v>
      </c>
      <c r="AR36" s="514">
        <v>870</v>
      </c>
      <c r="AT36" s="512" t="s">
        <v>743</v>
      </c>
      <c r="AU36" s="512" t="s">
        <v>744</v>
      </c>
      <c r="AV36" s="512" t="s">
        <v>721</v>
      </c>
      <c r="AW36" s="513"/>
      <c r="AX36" s="512" t="s">
        <v>721</v>
      </c>
      <c r="AY36" s="512" t="s">
        <v>26</v>
      </c>
      <c r="AZ36" s="513"/>
      <c r="BA36" s="514">
        <v>38</v>
      </c>
      <c r="BB36" s="298" t="str">
        <f t="shared" si="4"/>
        <v>CLR100238</v>
      </c>
      <c r="BC36" s="514">
        <v>250</v>
      </c>
      <c r="BF36" s="512" t="s">
        <v>658</v>
      </c>
      <c r="BG36" s="512" t="s">
        <v>732</v>
      </c>
      <c r="BH36" s="512" t="s">
        <v>25</v>
      </c>
      <c r="BI36" s="514">
        <v>48</v>
      </c>
      <c r="BJ36" s="298" t="str">
        <f t="shared" si="5"/>
        <v>AOR100148</v>
      </c>
      <c r="BK36" s="514">
        <v>0</v>
      </c>
      <c r="BL36" s="514">
        <v>1</v>
      </c>
      <c r="BM36" s="514">
        <v>1</v>
      </c>
      <c r="BN36" s="514">
        <v>1</v>
      </c>
      <c r="BO36" s="514">
        <v>1</v>
      </c>
      <c r="BP36" s="514">
        <v>2</v>
      </c>
      <c r="BQ36" s="514">
        <v>2</v>
      </c>
      <c r="BR36" s="514">
        <v>2</v>
      </c>
      <c r="BS36" s="514">
        <v>3</v>
      </c>
      <c r="BT36" s="514">
        <v>0</v>
      </c>
      <c r="BU36" s="514">
        <v>0</v>
      </c>
      <c r="BV36" s="514">
        <v>0</v>
      </c>
      <c r="BW36" s="514">
        <v>0</v>
      </c>
      <c r="BX36" s="514">
        <v>0</v>
      </c>
      <c r="BY36" s="514">
        <v>0</v>
      </c>
      <c r="BZ36" s="514">
        <v>0</v>
      </c>
      <c r="CA36" s="514">
        <v>0</v>
      </c>
      <c r="CB36" s="514">
        <v>0</v>
      </c>
      <c r="CC36" s="514">
        <v>0</v>
      </c>
      <c r="CD36" s="514">
        <v>0</v>
      </c>
      <c r="CE36" s="514">
        <v>0</v>
      </c>
      <c r="CF36" s="514">
        <v>0</v>
      </c>
      <c r="CG36" s="514">
        <v>0</v>
      </c>
      <c r="CH36" s="514">
        <v>0</v>
      </c>
      <c r="CI36" s="514">
        <v>0</v>
      </c>
      <c r="CJ36" s="514">
        <v>0</v>
      </c>
      <c r="CK36" s="514">
        <v>0</v>
      </c>
      <c r="CL36" s="514">
        <v>0</v>
      </c>
      <c r="CM36" s="514">
        <v>0</v>
      </c>
      <c r="CN36" s="514">
        <v>0</v>
      </c>
      <c r="CO36" s="514">
        <v>0</v>
      </c>
      <c r="CP36" s="514">
        <v>0</v>
      </c>
      <c r="CQ36" s="514">
        <v>0</v>
      </c>
      <c r="CR36" s="514">
        <v>0</v>
      </c>
      <c r="CS36" s="514">
        <v>0</v>
      </c>
      <c r="CT36" s="514">
        <v>0</v>
      </c>
      <c r="CU36" s="514">
        <v>0</v>
      </c>
      <c r="CV36" s="514">
        <v>0</v>
      </c>
      <c r="CW36" s="514">
        <v>0</v>
      </c>
      <c r="CX36" s="514">
        <v>0</v>
      </c>
      <c r="CY36" s="514">
        <v>0</v>
      </c>
      <c r="CZ36" s="514">
        <v>0</v>
      </c>
      <c r="DA36" s="514">
        <v>0</v>
      </c>
      <c r="DB36" s="514">
        <v>0</v>
      </c>
      <c r="DC36" s="514">
        <v>0</v>
      </c>
      <c r="DD36" s="514">
        <v>0</v>
      </c>
      <c r="DE36" s="514">
        <v>0</v>
      </c>
      <c r="DF36" s="514">
        <v>0</v>
      </c>
      <c r="DG36" s="514">
        <v>0</v>
      </c>
      <c r="DH36" s="514">
        <v>0</v>
      </c>
      <c r="DI36" s="514">
        <v>0</v>
      </c>
      <c r="DJ36" s="514">
        <v>0</v>
      </c>
      <c r="DK36" s="514">
        <v>0</v>
      </c>
      <c r="DL36" s="514">
        <v>0</v>
      </c>
      <c r="DM36" s="514">
        <v>0</v>
      </c>
      <c r="DN36" s="514">
        <v>0</v>
      </c>
      <c r="DO36" s="514">
        <v>0</v>
      </c>
      <c r="DP36" s="514">
        <v>0</v>
      </c>
      <c r="DQ36" s="514">
        <v>0</v>
      </c>
      <c r="DR36" s="514">
        <v>0</v>
      </c>
      <c r="DS36" s="514">
        <v>0</v>
      </c>
      <c r="DT36" s="514">
        <v>0</v>
      </c>
      <c r="DU36" s="514">
        <v>0</v>
      </c>
      <c r="DV36" s="514">
        <v>0</v>
      </c>
      <c r="DW36" s="514">
        <v>0</v>
      </c>
      <c r="DX36" s="514">
        <v>0</v>
      </c>
      <c r="DY36" s="514">
        <v>0</v>
      </c>
      <c r="DZ36" s="514">
        <v>0</v>
      </c>
      <c r="EA36" s="514">
        <v>0</v>
      </c>
      <c r="EB36" s="514">
        <v>0</v>
      </c>
      <c r="EC36" s="514">
        <v>0</v>
      </c>
      <c r="ED36" s="514">
        <v>0</v>
      </c>
      <c r="EE36" s="514">
        <v>0</v>
      </c>
      <c r="EF36" s="514">
        <v>0</v>
      </c>
      <c r="EG36" s="514">
        <v>0</v>
      </c>
      <c r="EH36" s="514">
        <v>0</v>
      </c>
      <c r="EI36" s="514">
        <v>0</v>
      </c>
      <c r="EJ36" s="514">
        <v>0</v>
      </c>
      <c r="EK36" s="514">
        <v>0</v>
      </c>
      <c r="EL36" s="514">
        <v>0</v>
      </c>
      <c r="EM36" s="514">
        <v>0</v>
      </c>
      <c r="EN36" s="514">
        <v>0</v>
      </c>
      <c r="EO36" s="514">
        <v>0</v>
      </c>
      <c r="EP36" s="514">
        <v>0</v>
      </c>
      <c r="EQ36" s="514">
        <v>0</v>
      </c>
      <c r="ER36" s="514">
        <v>0</v>
      </c>
      <c r="ES36" s="514">
        <v>0</v>
      </c>
      <c r="ET36" s="514">
        <v>0</v>
      </c>
      <c r="EU36" s="514">
        <v>0</v>
      </c>
      <c r="EV36" s="514">
        <v>0</v>
      </c>
      <c r="EW36" s="514">
        <v>0</v>
      </c>
      <c r="EX36" s="514">
        <v>0</v>
      </c>
      <c r="EY36" s="514">
        <v>0</v>
      </c>
      <c r="EZ36" s="514">
        <v>0</v>
      </c>
      <c r="FA36" s="514">
        <v>0</v>
      </c>
      <c r="FB36" s="514">
        <v>0</v>
      </c>
      <c r="FC36" s="514">
        <v>0</v>
      </c>
      <c r="FD36" s="514">
        <v>0</v>
      </c>
      <c r="FE36" s="514">
        <v>0</v>
      </c>
      <c r="FF36" s="514">
        <v>0</v>
      </c>
      <c r="FG36" s="514">
        <v>0</v>
      </c>
      <c r="FH36" s="514">
        <v>0</v>
      </c>
      <c r="FI36" s="514">
        <v>0</v>
      </c>
      <c r="FJ36" s="514">
        <v>0</v>
      </c>
      <c r="FK36" s="514">
        <v>0</v>
      </c>
      <c r="FL36" s="514">
        <v>0</v>
      </c>
      <c r="FM36" s="514">
        <v>0</v>
      </c>
      <c r="FN36" s="514">
        <v>0</v>
      </c>
      <c r="FO36" s="514">
        <v>0</v>
      </c>
      <c r="FP36" s="514">
        <v>0</v>
      </c>
      <c r="FQ36" s="514">
        <v>0</v>
      </c>
    </row>
    <row r="37" spans="1:173" ht="16.5" hidden="1">
      <c r="A37" s="512" t="s">
        <v>658</v>
      </c>
      <c r="B37" s="512" t="s">
        <v>732</v>
      </c>
      <c r="C37" s="512" t="s">
        <v>721</v>
      </c>
      <c r="D37" s="513"/>
      <c r="E37" s="512" t="s">
        <v>721</v>
      </c>
      <c r="F37" s="512" t="s">
        <v>26</v>
      </c>
      <c r="G37" s="513"/>
      <c r="H37" s="514">
        <v>46</v>
      </c>
      <c r="I37" s="298" t="str">
        <f t="shared" si="0"/>
        <v>AOR100246</v>
      </c>
      <c r="J37" s="514">
        <v>3</v>
      </c>
      <c r="L37" s="512" t="s">
        <v>720</v>
      </c>
      <c r="M37" s="512" t="s">
        <v>739</v>
      </c>
      <c r="N37" s="512" t="s">
        <v>721</v>
      </c>
      <c r="O37" s="513"/>
      <c r="P37" s="512" t="s">
        <v>721</v>
      </c>
      <c r="Q37" s="512" t="s">
        <v>26</v>
      </c>
      <c r="R37" s="513"/>
      <c r="S37" s="514">
        <v>28</v>
      </c>
      <c r="T37" s="298" t="str">
        <f t="shared" si="1"/>
        <v>HSGA0228</v>
      </c>
      <c r="U37" s="514">
        <v>4533</v>
      </c>
      <c r="W37" s="512" t="s">
        <v>269</v>
      </c>
      <c r="X37" s="512" t="s">
        <v>843</v>
      </c>
      <c r="Y37" s="512" t="s">
        <v>721</v>
      </c>
      <c r="Z37" s="514">
        <v>10</v>
      </c>
      <c r="AA37" s="512" t="s">
        <v>721</v>
      </c>
      <c r="AB37" s="512" t="s">
        <v>25</v>
      </c>
      <c r="AC37" s="514">
        <v>0</v>
      </c>
      <c r="AD37" s="514">
        <v>49</v>
      </c>
      <c r="AE37" s="298" t="str">
        <f t="shared" si="2"/>
        <v>HNR100149</v>
      </c>
      <c r="AF37" s="514">
        <v>595</v>
      </c>
      <c r="AH37" s="512" t="s">
        <v>721</v>
      </c>
      <c r="AI37" s="512" t="s">
        <v>1030</v>
      </c>
      <c r="AJ37" s="512" t="s">
        <v>721</v>
      </c>
      <c r="AK37" s="513"/>
      <c r="AL37" s="512" t="s">
        <v>721</v>
      </c>
      <c r="AM37" s="512" t="s">
        <v>25</v>
      </c>
      <c r="AN37" s="513"/>
      <c r="AO37" s="514">
        <v>49</v>
      </c>
      <c r="AP37" s="513"/>
      <c r="AQ37" s="298" t="str">
        <f t="shared" si="3"/>
        <v>HOR100149</v>
      </c>
      <c r="AR37" s="514">
        <v>890</v>
      </c>
      <c r="AT37" s="512" t="s">
        <v>743</v>
      </c>
      <c r="AU37" s="512" t="s">
        <v>744</v>
      </c>
      <c r="AV37" s="512" t="s">
        <v>721</v>
      </c>
      <c r="AW37" s="513"/>
      <c r="AX37" s="512" t="s">
        <v>721</v>
      </c>
      <c r="AY37" s="512" t="s">
        <v>25</v>
      </c>
      <c r="AZ37" s="513"/>
      <c r="BA37" s="514">
        <v>39</v>
      </c>
      <c r="BB37" s="298" t="str">
        <f t="shared" si="4"/>
        <v>CLR100139</v>
      </c>
      <c r="BC37" s="514">
        <v>189</v>
      </c>
      <c r="BF37" s="512" t="s">
        <v>658</v>
      </c>
      <c r="BG37" s="512" t="s">
        <v>732</v>
      </c>
      <c r="BH37" s="512" t="s">
        <v>25</v>
      </c>
      <c r="BI37" s="514">
        <v>49</v>
      </c>
      <c r="BJ37" s="298" t="str">
        <f t="shared" si="5"/>
        <v>AOR100149</v>
      </c>
      <c r="BK37" s="514">
        <v>0</v>
      </c>
      <c r="BL37" s="514">
        <v>1</v>
      </c>
      <c r="BM37" s="514">
        <v>1</v>
      </c>
      <c r="BN37" s="514">
        <v>1</v>
      </c>
      <c r="BO37" s="514">
        <v>1</v>
      </c>
      <c r="BP37" s="514">
        <v>2</v>
      </c>
      <c r="BQ37" s="514">
        <v>2</v>
      </c>
      <c r="BR37" s="514">
        <v>2</v>
      </c>
      <c r="BS37" s="514">
        <v>3</v>
      </c>
      <c r="BT37" s="514">
        <v>0</v>
      </c>
      <c r="BU37" s="514">
        <v>0</v>
      </c>
      <c r="BV37" s="514">
        <v>0</v>
      </c>
      <c r="BW37" s="514">
        <v>0</v>
      </c>
      <c r="BX37" s="514">
        <v>0</v>
      </c>
      <c r="BY37" s="514">
        <v>0</v>
      </c>
      <c r="BZ37" s="514">
        <v>0</v>
      </c>
      <c r="CA37" s="514">
        <v>0</v>
      </c>
      <c r="CB37" s="514">
        <v>0</v>
      </c>
      <c r="CC37" s="514">
        <v>0</v>
      </c>
      <c r="CD37" s="514">
        <v>0</v>
      </c>
      <c r="CE37" s="514">
        <v>0</v>
      </c>
      <c r="CF37" s="514">
        <v>0</v>
      </c>
      <c r="CG37" s="514">
        <v>0</v>
      </c>
      <c r="CH37" s="514">
        <v>0</v>
      </c>
      <c r="CI37" s="514">
        <v>0</v>
      </c>
      <c r="CJ37" s="514">
        <v>0</v>
      </c>
      <c r="CK37" s="514">
        <v>0</v>
      </c>
      <c r="CL37" s="514">
        <v>0</v>
      </c>
      <c r="CM37" s="514">
        <v>0</v>
      </c>
      <c r="CN37" s="514">
        <v>0</v>
      </c>
      <c r="CO37" s="514">
        <v>0</v>
      </c>
      <c r="CP37" s="514">
        <v>0</v>
      </c>
      <c r="CQ37" s="514">
        <v>0</v>
      </c>
      <c r="CR37" s="514">
        <v>0</v>
      </c>
      <c r="CS37" s="514">
        <v>0</v>
      </c>
      <c r="CT37" s="514">
        <v>0</v>
      </c>
      <c r="CU37" s="514">
        <v>0</v>
      </c>
      <c r="CV37" s="514">
        <v>0</v>
      </c>
      <c r="CW37" s="514">
        <v>0</v>
      </c>
      <c r="CX37" s="514">
        <v>0</v>
      </c>
      <c r="CY37" s="514">
        <v>0</v>
      </c>
      <c r="CZ37" s="514">
        <v>0</v>
      </c>
      <c r="DA37" s="514">
        <v>0</v>
      </c>
      <c r="DB37" s="514">
        <v>0</v>
      </c>
      <c r="DC37" s="514">
        <v>0</v>
      </c>
      <c r="DD37" s="514">
        <v>0</v>
      </c>
      <c r="DE37" s="514">
        <v>0</v>
      </c>
      <c r="DF37" s="514">
        <v>0</v>
      </c>
      <c r="DG37" s="514">
        <v>0</v>
      </c>
      <c r="DH37" s="514">
        <v>0</v>
      </c>
      <c r="DI37" s="514">
        <v>0</v>
      </c>
      <c r="DJ37" s="514">
        <v>0</v>
      </c>
      <c r="DK37" s="514">
        <v>0</v>
      </c>
      <c r="DL37" s="514">
        <v>0</v>
      </c>
      <c r="DM37" s="514">
        <v>0</v>
      </c>
      <c r="DN37" s="514">
        <v>0</v>
      </c>
      <c r="DO37" s="514">
        <v>0</v>
      </c>
      <c r="DP37" s="514">
        <v>0</v>
      </c>
      <c r="DQ37" s="514">
        <v>0</v>
      </c>
      <c r="DR37" s="514">
        <v>0</v>
      </c>
      <c r="DS37" s="514">
        <v>0</v>
      </c>
      <c r="DT37" s="514">
        <v>0</v>
      </c>
      <c r="DU37" s="514">
        <v>0</v>
      </c>
      <c r="DV37" s="514">
        <v>0</v>
      </c>
      <c r="DW37" s="514">
        <v>0</v>
      </c>
      <c r="DX37" s="514">
        <v>0</v>
      </c>
      <c r="DY37" s="514">
        <v>0</v>
      </c>
      <c r="DZ37" s="514">
        <v>0</v>
      </c>
      <c r="EA37" s="514">
        <v>0</v>
      </c>
      <c r="EB37" s="514">
        <v>0</v>
      </c>
      <c r="EC37" s="514">
        <v>0</v>
      </c>
      <c r="ED37" s="514">
        <v>0</v>
      </c>
      <c r="EE37" s="514">
        <v>0</v>
      </c>
      <c r="EF37" s="514">
        <v>0</v>
      </c>
      <c r="EG37" s="514">
        <v>0</v>
      </c>
      <c r="EH37" s="514">
        <v>0</v>
      </c>
      <c r="EI37" s="514">
        <v>0</v>
      </c>
      <c r="EJ37" s="514">
        <v>0</v>
      </c>
      <c r="EK37" s="514">
        <v>0</v>
      </c>
      <c r="EL37" s="514">
        <v>0</v>
      </c>
      <c r="EM37" s="514">
        <v>0</v>
      </c>
      <c r="EN37" s="514">
        <v>0</v>
      </c>
      <c r="EO37" s="514">
        <v>0</v>
      </c>
      <c r="EP37" s="514">
        <v>0</v>
      </c>
      <c r="EQ37" s="514">
        <v>0</v>
      </c>
      <c r="ER37" s="514">
        <v>0</v>
      </c>
      <c r="ES37" s="514">
        <v>0</v>
      </c>
      <c r="ET37" s="514">
        <v>0</v>
      </c>
      <c r="EU37" s="514">
        <v>0</v>
      </c>
      <c r="EV37" s="514">
        <v>0</v>
      </c>
      <c r="EW37" s="514">
        <v>0</v>
      </c>
      <c r="EX37" s="514">
        <v>0</v>
      </c>
      <c r="EY37" s="514">
        <v>0</v>
      </c>
      <c r="EZ37" s="514">
        <v>0</v>
      </c>
      <c r="FA37" s="514">
        <v>0</v>
      </c>
      <c r="FB37" s="514">
        <v>0</v>
      </c>
      <c r="FC37" s="514">
        <v>0</v>
      </c>
      <c r="FD37" s="514">
        <v>0</v>
      </c>
      <c r="FE37" s="514">
        <v>0</v>
      </c>
      <c r="FF37" s="514">
        <v>0</v>
      </c>
      <c r="FG37" s="514">
        <v>0</v>
      </c>
      <c r="FH37" s="514">
        <v>0</v>
      </c>
      <c r="FI37" s="514">
        <v>0</v>
      </c>
      <c r="FJ37" s="514">
        <v>0</v>
      </c>
      <c r="FK37" s="514">
        <v>0</v>
      </c>
      <c r="FL37" s="514">
        <v>0</v>
      </c>
      <c r="FM37" s="514">
        <v>0</v>
      </c>
      <c r="FN37" s="514">
        <v>0</v>
      </c>
      <c r="FO37" s="514">
        <v>0</v>
      </c>
      <c r="FP37" s="514">
        <v>0</v>
      </c>
      <c r="FQ37" s="514">
        <v>0</v>
      </c>
    </row>
    <row r="38" spans="1:173" ht="16.5" hidden="1">
      <c r="A38" s="512" t="s">
        <v>658</v>
      </c>
      <c r="B38" s="512" t="s">
        <v>732</v>
      </c>
      <c r="C38" s="512" t="s">
        <v>721</v>
      </c>
      <c r="D38" s="513"/>
      <c r="E38" s="512" t="s">
        <v>721</v>
      </c>
      <c r="F38" s="512" t="s">
        <v>26</v>
      </c>
      <c r="G38" s="513"/>
      <c r="H38" s="514">
        <v>47</v>
      </c>
      <c r="I38" s="298" t="str">
        <f t="shared" si="0"/>
        <v>AOR100247</v>
      </c>
      <c r="J38" s="514">
        <v>3</v>
      </c>
      <c r="L38" s="512" t="s">
        <v>720</v>
      </c>
      <c r="M38" s="512" t="s">
        <v>739</v>
      </c>
      <c r="N38" s="512" t="s">
        <v>721</v>
      </c>
      <c r="O38" s="513"/>
      <c r="P38" s="512" t="s">
        <v>721</v>
      </c>
      <c r="Q38" s="512" t="s">
        <v>26</v>
      </c>
      <c r="R38" s="513"/>
      <c r="S38" s="514">
        <v>29</v>
      </c>
      <c r="T38" s="298" t="str">
        <f t="shared" si="1"/>
        <v>HSGA0229</v>
      </c>
      <c r="U38" s="514">
        <v>4733</v>
      </c>
      <c r="W38" s="512" t="s">
        <v>269</v>
      </c>
      <c r="X38" s="512" t="s">
        <v>843</v>
      </c>
      <c r="Y38" s="512" t="s">
        <v>721</v>
      </c>
      <c r="Z38" s="514">
        <v>10</v>
      </c>
      <c r="AA38" s="512" t="s">
        <v>721</v>
      </c>
      <c r="AB38" s="512" t="s">
        <v>25</v>
      </c>
      <c r="AC38" s="514">
        <v>0</v>
      </c>
      <c r="AD38" s="514">
        <v>50</v>
      </c>
      <c r="AE38" s="298" t="str">
        <f t="shared" si="2"/>
        <v>HNR100150</v>
      </c>
      <c r="AF38" s="514">
        <v>603</v>
      </c>
      <c r="AH38" s="512" t="s">
        <v>721</v>
      </c>
      <c r="AI38" s="512" t="s">
        <v>1030</v>
      </c>
      <c r="AJ38" s="512" t="s">
        <v>721</v>
      </c>
      <c r="AK38" s="513"/>
      <c r="AL38" s="512" t="s">
        <v>721</v>
      </c>
      <c r="AM38" s="512" t="s">
        <v>25</v>
      </c>
      <c r="AN38" s="513"/>
      <c r="AO38" s="514">
        <v>50</v>
      </c>
      <c r="AP38" s="513"/>
      <c r="AQ38" s="298" t="str">
        <f t="shared" si="3"/>
        <v>HOR100150</v>
      </c>
      <c r="AR38" s="514">
        <v>920</v>
      </c>
      <c r="AT38" s="512" t="s">
        <v>743</v>
      </c>
      <c r="AU38" s="512" t="s">
        <v>744</v>
      </c>
      <c r="AV38" s="512" t="s">
        <v>721</v>
      </c>
      <c r="AW38" s="513"/>
      <c r="AX38" s="512" t="s">
        <v>721</v>
      </c>
      <c r="AY38" s="512" t="s">
        <v>26</v>
      </c>
      <c r="AZ38" s="513"/>
      <c r="BA38" s="514">
        <v>39</v>
      </c>
      <c r="BB38" s="298" t="str">
        <f t="shared" si="4"/>
        <v>CLR100239</v>
      </c>
      <c r="BC38" s="514">
        <v>273</v>
      </c>
      <c r="BF38" s="512" t="s">
        <v>658</v>
      </c>
      <c r="BG38" s="512" t="s">
        <v>732</v>
      </c>
      <c r="BH38" s="512" t="s">
        <v>25</v>
      </c>
      <c r="BI38" s="514">
        <v>50</v>
      </c>
      <c r="BJ38" s="298" t="str">
        <f t="shared" si="5"/>
        <v>AOR100150</v>
      </c>
      <c r="BK38" s="514">
        <v>0</v>
      </c>
      <c r="BL38" s="514">
        <v>1</v>
      </c>
      <c r="BM38" s="514">
        <v>1</v>
      </c>
      <c r="BN38" s="514">
        <v>1</v>
      </c>
      <c r="BO38" s="514">
        <v>1</v>
      </c>
      <c r="BP38" s="514">
        <v>2</v>
      </c>
      <c r="BQ38" s="514">
        <v>2</v>
      </c>
      <c r="BR38" s="514">
        <v>2</v>
      </c>
      <c r="BS38" s="514">
        <v>3</v>
      </c>
      <c r="BT38" s="514">
        <v>0</v>
      </c>
      <c r="BU38" s="514">
        <v>0</v>
      </c>
      <c r="BV38" s="514">
        <v>0</v>
      </c>
      <c r="BW38" s="514">
        <v>0</v>
      </c>
      <c r="BX38" s="514">
        <v>0</v>
      </c>
      <c r="BY38" s="514">
        <v>0</v>
      </c>
      <c r="BZ38" s="514">
        <v>0</v>
      </c>
      <c r="CA38" s="514">
        <v>0</v>
      </c>
      <c r="CB38" s="514">
        <v>0</v>
      </c>
      <c r="CC38" s="514">
        <v>0</v>
      </c>
      <c r="CD38" s="514">
        <v>0</v>
      </c>
      <c r="CE38" s="514">
        <v>0</v>
      </c>
      <c r="CF38" s="514">
        <v>0</v>
      </c>
      <c r="CG38" s="514">
        <v>0</v>
      </c>
      <c r="CH38" s="514">
        <v>0</v>
      </c>
      <c r="CI38" s="514">
        <v>0</v>
      </c>
      <c r="CJ38" s="514">
        <v>0</v>
      </c>
      <c r="CK38" s="514">
        <v>0</v>
      </c>
      <c r="CL38" s="514">
        <v>0</v>
      </c>
      <c r="CM38" s="514">
        <v>0</v>
      </c>
      <c r="CN38" s="514">
        <v>0</v>
      </c>
      <c r="CO38" s="514">
        <v>0</v>
      </c>
      <c r="CP38" s="514">
        <v>0</v>
      </c>
      <c r="CQ38" s="514">
        <v>0</v>
      </c>
      <c r="CR38" s="514">
        <v>0</v>
      </c>
      <c r="CS38" s="514">
        <v>0</v>
      </c>
      <c r="CT38" s="514">
        <v>0</v>
      </c>
      <c r="CU38" s="514">
        <v>0</v>
      </c>
      <c r="CV38" s="514">
        <v>0</v>
      </c>
      <c r="CW38" s="514">
        <v>0</v>
      </c>
      <c r="CX38" s="514">
        <v>0</v>
      </c>
      <c r="CY38" s="514">
        <v>0</v>
      </c>
      <c r="CZ38" s="514">
        <v>0</v>
      </c>
      <c r="DA38" s="514">
        <v>0</v>
      </c>
      <c r="DB38" s="514">
        <v>0</v>
      </c>
      <c r="DC38" s="514">
        <v>0</v>
      </c>
      <c r="DD38" s="514">
        <v>0</v>
      </c>
      <c r="DE38" s="514">
        <v>0</v>
      </c>
      <c r="DF38" s="514">
        <v>0</v>
      </c>
      <c r="DG38" s="514">
        <v>0</v>
      </c>
      <c r="DH38" s="514">
        <v>0</v>
      </c>
      <c r="DI38" s="514">
        <v>0</v>
      </c>
      <c r="DJ38" s="514">
        <v>0</v>
      </c>
      <c r="DK38" s="514">
        <v>0</v>
      </c>
      <c r="DL38" s="514">
        <v>0</v>
      </c>
      <c r="DM38" s="514">
        <v>0</v>
      </c>
      <c r="DN38" s="514">
        <v>0</v>
      </c>
      <c r="DO38" s="514">
        <v>0</v>
      </c>
      <c r="DP38" s="514">
        <v>0</v>
      </c>
      <c r="DQ38" s="514">
        <v>0</v>
      </c>
      <c r="DR38" s="514">
        <v>0</v>
      </c>
      <c r="DS38" s="514">
        <v>0</v>
      </c>
      <c r="DT38" s="514">
        <v>0</v>
      </c>
      <c r="DU38" s="514">
        <v>0</v>
      </c>
      <c r="DV38" s="514">
        <v>0</v>
      </c>
      <c r="DW38" s="514">
        <v>0</v>
      </c>
      <c r="DX38" s="514">
        <v>0</v>
      </c>
      <c r="DY38" s="514">
        <v>0</v>
      </c>
      <c r="DZ38" s="514">
        <v>0</v>
      </c>
      <c r="EA38" s="514">
        <v>0</v>
      </c>
      <c r="EB38" s="514">
        <v>0</v>
      </c>
      <c r="EC38" s="514">
        <v>0</v>
      </c>
      <c r="ED38" s="514">
        <v>0</v>
      </c>
      <c r="EE38" s="514">
        <v>0</v>
      </c>
      <c r="EF38" s="514">
        <v>0</v>
      </c>
      <c r="EG38" s="514">
        <v>0</v>
      </c>
      <c r="EH38" s="514">
        <v>0</v>
      </c>
      <c r="EI38" s="514">
        <v>0</v>
      </c>
      <c r="EJ38" s="514">
        <v>0</v>
      </c>
      <c r="EK38" s="514">
        <v>0</v>
      </c>
      <c r="EL38" s="514">
        <v>0</v>
      </c>
      <c r="EM38" s="514">
        <v>0</v>
      </c>
      <c r="EN38" s="514">
        <v>0</v>
      </c>
      <c r="EO38" s="514">
        <v>0</v>
      </c>
      <c r="EP38" s="514">
        <v>0</v>
      </c>
      <c r="EQ38" s="514">
        <v>0</v>
      </c>
      <c r="ER38" s="514">
        <v>0</v>
      </c>
      <c r="ES38" s="514">
        <v>0</v>
      </c>
      <c r="ET38" s="514">
        <v>0</v>
      </c>
      <c r="EU38" s="514">
        <v>0</v>
      </c>
      <c r="EV38" s="514">
        <v>0</v>
      </c>
      <c r="EW38" s="514">
        <v>0</v>
      </c>
      <c r="EX38" s="514">
        <v>0</v>
      </c>
      <c r="EY38" s="514">
        <v>0</v>
      </c>
      <c r="EZ38" s="514">
        <v>0</v>
      </c>
      <c r="FA38" s="514">
        <v>0</v>
      </c>
      <c r="FB38" s="514">
        <v>0</v>
      </c>
      <c r="FC38" s="514">
        <v>0</v>
      </c>
      <c r="FD38" s="514">
        <v>0</v>
      </c>
      <c r="FE38" s="514">
        <v>0</v>
      </c>
      <c r="FF38" s="514">
        <v>0</v>
      </c>
      <c r="FG38" s="514">
        <v>0</v>
      </c>
      <c r="FH38" s="514">
        <v>0</v>
      </c>
      <c r="FI38" s="514">
        <v>0</v>
      </c>
      <c r="FJ38" s="514">
        <v>0</v>
      </c>
      <c r="FK38" s="514">
        <v>0</v>
      </c>
      <c r="FL38" s="514">
        <v>0</v>
      </c>
      <c r="FM38" s="514">
        <v>0</v>
      </c>
      <c r="FN38" s="514">
        <v>0</v>
      </c>
      <c r="FO38" s="514">
        <v>0</v>
      </c>
      <c r="FP38" s="514">
        <v>0</v>
      </c>
      <c r="FQ38" s="514">
        <v>0</v>
      </c>
    </row>
    <row r="39" spans="1:173" ht="16.5" hidden="1">
      <c r="A39" s="512" t="s">
        <v>658</v>
      </c>
      <c r="B39" s="512" t="s">
        <v>732</v>
      </c>
      <c r="C39" s="512" t="s">
        <v>721</v>
      </c>
      <c r="D39" s="513"/>
      <c r="E39" s="512" t="s">
        <v>721</v>
      </c>
      <c r="F39" s="512" t="s">
        <v>26</v>
      </c>
      <c r="G39" s="513"/>
      <c r="H39" s="514">
        <v>48</v>
      </c>
      <c r="I39" s="298" t="str">
        <f t="shared" si="0"/>
        <v>AOR100248</v>
      </c>
      <c r="J39" s="514">
        <v>3</v>
      </c>
      <c r="L39" s="512" t="s">
        <v>720</v>
      </c>
      <c r="M39" s="512" t="s">
        <v>739</v>
      </c>
      <c r="N39" s="512" t="s">
        <v>721</v>
      </c>
      <c r="O39" s="513"/>
      <c r="P39" s="512" t="s">
        <v>721</v>
      </c>
      <c r="Q39" s="512" t="s">
        <v>26</v>
      </c>
      <c r="R39" s="513"/>
      <c r="S39" s="514">
        <v>30</v>
      </c>
      <c r="T39" s="298" t="str">
        <f t="shared" si="1"/>
        <v>HSGA0230</v>
      </c>
      <c r="U39" s="514">
        <v>4942</v>
      </c>
      <c r="W39" s="512" t="s">
        <v>269</v>
      </c>
      <c r="X39" s="512" t="s">
        <v>843</v>
      </c>
      <c r="Y39" s="512" t="s">
        <v>721</v>
      </c>
      <c r="Z39" s="514">
        <v>10</v>
      </c>
      <c r="AA39" s="512" t="s">
        <v>721</v>
      </c>
      <c r="AB39" s="512" t="s">
        <v>25</v>
      </c>
      <c r="AC39" s="514">
        <v>0</v>
      </c>
      <c r="AD39" s="514">
        <v>51</v>
      </c>
      <c r="AE39" s="298" t="str">
        <f t="shared" si="2"/>
        <v>HNR100151</v>
      </c>
      <c r="AF39" s="514">
        <v>612</v>
      </c>
      <c r="AH39" s="512" t="s">
        <v>721</v>
      </c>
      <c r="AI39" s="512" t="s">
        <v>1030</v>
      </c>
      <c r="AJ39" s="512" t="s">
        <v>721</v>
      </c>
      <c r="AK39" s="513"/>
      <c r="AL39" s="512" t="s">
        <v>721</v>
      </c>
      <c r="AM39" s="512" t="s">
        <v>25</v>
      </c>
      <c r="AN39" s="513"/>
      <c r="AO39" s="514">
        <v>51</v>
      </c>
      <c r="AP39" s="513"/>
      <c r="AQ39" s="298" t="str">
        <f t="shared" si="3"/>
        <v>HOR100151</v>
      </c>
      <c r="AR39" s="514">
        <v>950</v>
      </c>
      <c r="AT39" s="512" t="s">
        <v>743</v>
      </c>
      <c r="AU39" s="512" t="s">
        <v>744</v>
      </c>
      <c r="AV39" s="512" t="s">
        <v>721</v>
      </c>
      <c r="AW39" s="513"/>
      <c r="AX39" s="512" t="s">
        <v>721</v>
      </c>
      <c r="AY39" s="512" t="s">
        <v>25</v>
      </c>
      <c r="AZ39" s="513"/>
      <c r="BA39" s="514">
        <v>40</v>
      </c>
      <c r="BB39" s="298" t="str">
        <f t="shared" si="4"/>
        <v>CLR100140</v>
      </c>
      <c r="BC39" s="514">
        <v>208</v>
      </c>
      <c r="BF39" s="512" t="s">
        <v>658</v>
      </c>
      <c r="BG39" s="512" t="s">
        <v>732</v>
      </c>
      <c r="BH39" s="512" t="s">
        <v>25</v>
      </c>
      <c r="BI39" s="514">
        <v>51</v>
      </c>
      <c r="BJ39" s="298" t="str">
        <f t="shared" si="5"/>
        <v>AOR100151</v>
      </c>
      <c r="BK39" s="514">
        <v>0</v>
      </c>
      <c r="BL39" s="514">
        <v>1</v>
      </c>
      <c r="BM39" s="514">
        <v>1</v>
      </c>
      <c r="BN39" s="514">
        <v>1</v>
      </c>
      <c r="BO39" s="514">
        <v>1</v>
      </c>
      <c r="BP39" s="514">
        <v>2</v>
      </c>
      <c r="BQ39" s="514">
        <v>2</v>
      </c>
      <c r="BR39" s="514">
        <v>2</v>
      </c>
      <c r="BS39" s="514">
        <v>3</v>
      </c>
      <c r="BT39" s="514">
        <v>0</v>
      </c>
      <c r="BU39" s="514">
        <v>0</v>
      </c>
      <c r="BV39" s="514">
        <v>0</v>
      </c>
      <c r="BW39" s="514">
        <v>0</v>
      </c>
      <c r="BX39" s="514">
        <v>0</v>
      </c>
      <c r="BY39" s="514">
        <v>0</v>
      </c>
      <c r="BZ39" s="514">
        <v>0</v>
      </c>
      <c r="CA39" s="514">
        <v>0</v>
      </c>
      <c r="CB39" s="514">
        <v>0</v>
      </c>
      <c r="CC39" s="514">
        <v>0</v>
      </c>
      <c r="CD39" s="514">
        <v>0</v>
      </c>
      <c r="CE39" s="514">
        <v>0</v>
      </c>
      <c r="CF39" s="514">
        <v>0</v>
      </c>
      <c r="CG39" s="514">
        <v>0</v>
      </c>
      <c r="CH39" s="514">
        <v>0</v>
      </c>
      <c r="CI39" s="514">
        <v>0</v>
      </c>
      <c r="CJ39" s="514">
        <v>0</v>
      </c>
      <c r="CK39" s="514">
        <v>0</v>
      </c>
      <c r="CL39" s="514">
        <v>0</v>
      </c>
      <c r="CM39" s="514">
        <v>0</v>
      </c>
      <c r="CN39" s="514">
        <v>0</v>
      </c>
      <c r="CO39" s="514">
        <v>0</v>
      </c>
      <c r="CP39" s="514">
        <v>0</v>
      </c>
      <c r="CQ39" s="514">
        <v>0</v>
      </c>
      <c r="CR39" s="514">
        <v>0</v>
      </c>
      <c r="CS39" s="514">
        <v>0</v>
      </c>
      <c r="CT39" s="514">
        <v>0</v>
      </c>
      <c r="CU39" s="514">
        <v>0</v>
      </c>
      <c r="CV39" s="514">
        <v>0</v>
      </c>
      <c r="CW39" s="514">
        <v>0</v>
      </c>
      <c r="CX39" s="514">
        <v>0</v>
      </c>
      <c r="CY39" s="514">
        <v>0</v>
      </c>
      <c r="CZ39" s="514">
        <v>0</v>
      </c>
      <c r="DA39" s="514">
        <v>0</v>
      </c>
      <c r="DB39" s="514">
        <v>0</v>
      </c>
      <c r="DC39" s="514">
        <v>0</v>
      </c>
      <c r="DD39" s="514">
        <v>0</v>
      </c>
      <c r="DE39" s="514">
        <v>0</v>
      </c>
      <c r="DF39" s="514">
        <v>0</v>
      </c>
      <c r="DG39" s="514">
        <v>0</v>
      </c>
      <c r="DH39" s="514">
        <v>0</v>
      </c>
      <c r="DI39" s="514">
        <v>0</v>
      </c>
      <c r="DJ39" s="514">
        <v>0</v>
      </c>
      <c r="DK39" s="514">
        <v>0</v>
      </c>
      <c r="DL39" s="514">
        <v>0</v>
      </c>
      <c r="DM39" s="514">
        <v>0</v>
      </c>
      <c r="DN39" s="514">
        <v>0</v>
      </c>
      <c r="DO39" s="514">
        <v>0</v>
      </c>
      <c r="DP39" s="514">
        <v>0</v>
      </c>
      <c r="DQ39" s="514">
        <v>0</v>
      </c>
      <c r="DR39" s="514">
        <v>0</v>
      </c>
      <c r="DS39" s="514">
        <v>0</v>
      </c>
      <c r="DT39" s="514">
        <v>0</v>
      </c>
      <c r="DU39" s="514">
        <v>0</v>
      </c>
      <c r="DV39" s="514">
        <v>0</v>
      </c>
      <c r="DW39" s="514">
        <v>0</v>
      </c>
      <c r="DX39" s="514">
        <v>0</v>
      </c>
      <c r="DY39" s="514">
        <v>0</v>
      </c>
      <c r="DZ39" s="514">
        <v>0</v>
      </c>
      <c r="EA39" s="514">
        <v>0</v>
      </c>
      <c r="EB39" s="514">
        <v>0</v>
      </c>
      <c r="EC39" s="514">
        <v>0</v>
      </c>
      <c r="ED39" s="514">
        <v>0</v>
      </c>
      <c r="EE39" s="514">
        <v>0</v>
      </c>
      <c r="EF39" s="514">
        <v>0</v>
      </c>
      <c r="EG39" s="514">
        <v>0</v>
      </c>
      <c r="EH39" s="514">
        <v>0</v>
      </c>
      <c r="EI39" s="514">
        <v>0</v>
      </c>
      <c r="EJ39" s="514">
        <v>0</v>
      </c>
      <c r="EK39" s="514">
        <v>0</v>
      </c>
      <c r="EL39" s="514">
        <v>0</v>
      </c>
      <c r="EM39" s="514">
        <v>0</v>
      </c>
      <c r="EN39" s="514">
        <v>0</v>
      </c>
      <c r="EO39" s="514">
        <v>0</v>
      </c>
      <c r="EP39" s="514">
        <v>0</v>
      </c>
      <c r="EQ39" s="514">
        <v>0</v>
      </c>
      <c r="ER39" s="514">
        <v>0</v>
      </c>
      <c r="ES39" s="514">
        <v>0</v>
      </c>
      <c r="ET39" s="514">
        <v>0</v>
      </c>
      <c r="EU39" s="514">
        <v>0</v>
      </c>
      <c r="EV39" s="514">
        <v>0</v>
      </c>
      <c r="EW39" s="514">
        <v>0</v>
      </c>
      <c r="EX39" s="514">
        <v>0</v>
      </c>
      <c r="EY39" s="514">
        <v>0</v>
      </c>
      <c r="EZ39" s="514">
        <v>0</v>
      </c>
      <c r="FA39" s="514">
        <v>0</v>
      </c>
      <c r="FB39" s="514">
        <v>0</v>
      </c>
      <c r="FC39" s="514">
        <v>0</v>
      </c>
      <c r="FD39" s="514">
        <v>0</v>
      </c>
      <c r="FE39" s="514">
        <v>0</v>
      </c>
      <c r="FF39" s="514">
        <v>0</v>
      </c>
      <c r="FG39" s="514">
        <v>0</v>
      </c>
      <c r="FH39" s="514">
        <v>0</v>
      </c>
      <c r="FI39" s="514">
        <v>0</v>
      </c>
      <c r="FJ39" s="514">
        <v>0</v>
      </c>
      <c r="FK39" s="514">
        <v>0</v>
      </c>
      <c r="FL39" s="514">
        <v>0</v>
      </c>
      <c r="FM39" s="514">
        <v>0</v>
      </c>
      <c r="FN39" s="514">
        <v>0</v>
      </c>
      <c r="FO39" s="514">
        <v>0</v>
      </c>
      <c r="FP39" s="514">
        <v>0</v>
      </c>
      <c r="FQ39" s="514">
        <v>0</v>
      </c>
    </row>
    <row r="40" spans="1:173" ht="16.5" hidden="1">
      <c r="A40" s="512" t="s">
        <v>658</v>
      </c>
      <c r="B40" s="512" t="s">
        <v>732</v>
      </c>
      <c r="C40" s="512" t="s">
        <v>721</v>
      </c>
      <c r="D40" s="513"/>
      <c r="E40" s="512" t="s">
        <v>721</v>
      </c>
      <c r="F40" s="512" t="s">
        <v>26</v>
      </c>
      <c r="G40" s="513"/>
      <c r="H40" s="514">
        <v>49</v>
      </c>
      <c r="I40" s="298" t="str">
        <f t="shared" si="0"/>
        <v>AOR100249</v>
      </c>
      <c r="J40" s="514">
        <v>3</v>
      </c>
      <c r="L40" s="512" t="s">
        <v>720</v>
      </c>
      <c r="M40" s="512" t="s">
        <v>739</v>
      </c>
      <c r="N40" s="512" t="s">
        <v>721</v>
      </c>
      <c r="O40" s="513"/>
      <c r="P40" s="512" t="s">
        <v>721</v>
      </c>
      <c r="Q40" s="512" t="s">
        <v>26</v>
      </c>
      <c r="R40" s="513"/>
      <c r="S40" s="514">
        <v>31</v>
      </c>
      <c r="T40" s="298" t="str">
        <f t="shared" si="1"/>
        <v>HSGA0231</v>
      </c>
      <c r="U40" s="514">
        <v>5163</v>
      </c>
      <c r="W40" s="512" t="s">
        <v>269</v>
      </c>
      <c r="X40" s="512" t="s">
        <v>843</v>
      </c>
      <c r="Y40" s="512" t="s">
        <v>721</v>
      </c>
      <c r="Z40" s="514">
        <v>10</v>
      </c>
      <c r="AA40" s="512" t="s">
        <v>721</v>
      </c>
      <c r="AB40" s="512" t="s">
        <v>25</v>
      </c>
      <c r="AC40" s="514">
        <v>0</v>
      </c>
      <c r="AD40" s="514">
        <v>52</v>
      </c>
      <c r="AE40" s="298" t="str">
        <f t="shared" si="2"/>
        <v>HNR100152</v>
      </c>
      <c r="AF40" s="514">
        <v>622</v>
      </c>
      <c r="AH40" s="512" t="s">
        <v>721</v>
      </c>
      <c r="AI40" s="512" t="s">
        <v>1030</v>
      </c>
      <c r="AJ40" s="512" t="s">
        <v>721</v>
      </c>
      <c r="AK40" s="513"/>
      <c r="AL40" s="512" t="s">
        <v>721</v>
      </c>
      <c r="AM40" s="512" t="s">
        <v>25</v>
      </c>
      <c r="AN40" s="513"/>
      <c r="AO40" s="514">
        <v>52</v>
      </c>
      <c r="AP40" s="513"/>
      <c r="AQ40" s="298" t="str">
        <f t="shared" si="3"/>
        <v>HOR100152</v>
      </c>
      <c r="AR40" s="514">
        <v>980</v>
      </c>
      <c r="AT40" s="512" t="s">
        <v>743</v>
      </c>
      <c r="AU40" s="512" t="s">
        <v>744</v>
      </c>
      <c r="AV40" s="512" t="s">
        <v>721</v>
      </c>
      <c r="AW40" s="513"/>
      <c r="AX40" s="512" t="s">
        <v>721</v>
      </c>
      <c r="AY40" s="512" t="s">
        <v>26</v>
      </c>
      <c r="AZ40" s="513"/>
      <c r="BA40" s="514">
        <v>40</v>
      </c>
      <c r="BB40" s="298" t="str">
        <f t="shared" si="4"/>
        <v>CLR100240</v>
      </c>
      <c r="BC40" s="514">
        <v>296</v>
      </c>
      <c r="BF40" s="512" t="s">
        <v>658</v>
      </c>
      <c r="BG40" s="512" t="s">
        <v>732</v>
      </c>
      <c r="BH40" s="512" t="s">
        <v>25</v>
      </c>
      <c r="BI40" s="514">
        <v>52</v>
      </c>
      <c r="BJ40" s="298" t="str">
        <f t="shared" si="5"/>
        <v>AOR100152</v>
      </c>
      <c r="BK40" s="514">
        <v>0</v>
      </c>
      <c r="BL40" s="514">
        <v>1</v>
      </c>
      <c r="BM40" s="514">
        <v>1</v>
      </c>
      <c r="BN40" s="514">
        <v>1</v>
      </c>
      <c r="BO40" s="514">
        <v>1</v>
      </c>
      <c r="BP40" s="514">
        <v>2</v>
      </c>
      <c r="BQ40" s="514">
        <v>2</v>
      </c>
      <c r="BR40" s="514">
        <v>2</v>
      </c>
      <c r="BS40" s="514">
        <v>3</v>
      </c>
      <c r="BT40" s="514">
        <v>0</v>
      </c>
      <c r="BU40" s="514">
        <v>0</v>
      </c>
      <c r="BV40" s="514">
        <v>0</v>
      </c>
      <c r="BW40" s="514">
        <v>0</v>
      </c>
      <c r="BX40" s="514">
        <v>0</v>
      </c>
      <c r="BY40" s="514">
        <v>0</v>
      </c>
      <c r="BZ40" s="514">
        <v>0</v>
      </c>
      <c r="CA40" s="514">
        <v>0</v>
      </c>
      <c r="CB40" s="514">
        <v>0</v>
      </c>
      <c r="CC40" s="514">
        <v>0</v>
      </c>
      <c r="CD40" s="514">
        <v>0</v>
      </c>
      <c r="CE40" s="514">
        <v>0</v>
      </c>
      <c r="CF40" s="514">
        <v>0</v>
      </c>
      <c r="CG40" s="514">
        <v>0</v>
      </c>
      <c r="CH40" s="514">
        <v>0</v>
      </c>
      <c r="CI40" s="514">
        <v>0</v>
      </c>
      <c r="CJ40" s="514">
        <v>0</v>
      </c>
      <c r="CK40" s="514">
        <v>0</v>
      </c>
      <c r="CL40" s="514">
        <v>0</v>
      </c>
      <c r="CM40" s="514">
        <v>0</v>
      </c>
      <c r="CN40" s="514">
        <v>0</v>
      </c>
      <c r="CO40" s="514">
        <v>0</v>
      </c>
      <c r="CP40" s="514">
        <v>0</v>
      </c>
      <c r="CQ40" s="514">
        <v>0</v>
      </c>
      <c r="CR40" s="514">
        <v>0</v>
      </c>
      <c r="CS40" s="514">
        <v>0</v>
      </c>
      <c r="CT40" s="514">
        <v>0</v>
      </c>
      <c r="CU40" s="514">
        <v>0</v>
      </c>
      <c r="CV40" s="514">
        <v>0</v>
      </c>
      <c r="CW40" s="514">
        <v>0</v>
      </c>
      <c r="CX40" s="514">
        <v>0</v>
      </c>
      <c r="CY40" s="514">
        <v>0</v>
      </c>
      <c r="CZ40" s="514">
        <v>0</v>
      </c>
      <c r="DA40" s="514">
        <v>0</v>
      </c>
      <c r="DB40" s="514">
        <v>0</v>
      </c>
      <c r="DC40" s="514">
        <v>0</v>
      </c>
      <c r="DD40" s="514">
        <v>0</v>
      </c>
      <c r="DE40" s="514">
        <v>0</v>
      </c>
      <c r="DF40" s="514">
        <v>0</v>
      </c>
      <c r="DG40" s="514">
        <v>0</v>
      </c>
      <c r="DH40" s="514">
        <v>0</v>
      </c>
      <c r="DI40" s="514">
        <v>0</v>
      </c>
      <c r="DJ40" s="514">
        <v>0</v>
      </c>
      <c r="DK40" s="514">
        <v>0</v>
      </c>
      <c r="DL40" s="514">
        <v>0</v>
      </c>
      <c r="DM40" s="514">
        <v>0</v>
      </c>
      <c r="DN40" s="514">
        <v>0</v>
      </c>
      <c r="DO40" s="514">
        <v>0</v>
      </c>
      <c r="DP40" s="514">
        <v>0</v>
      </c>
      <c r="DQ40" s="514">
        <v>0</v>
      </c>
      <c r="DR40" s="514">
        <v>0</v>
      </c>
      <c r="DS40" s="514">
        <v>0</v>
      </c>
      <c r="DT40" s="514">
        <v>0</v>
      </c>
      <c r="DU40" s="514">
        <v>0</v>
      </c>
      <c r="DV40" s="514">
        <v>0</v>
      </c>
      <c r="DW40" s="514">
        <v>0</v>
      </c>
      <c r="DX40" s="514">
        <v>0</v>
      </c>
      <c r="DY40" s="514">
        <v>0</v>
      </c>
      <c r="DZ40" s="514">
        <v>0</v>
      </c>
      <c r="EA40" s="514">
        <v>0</v>
      </c>
      <c r="EB40" s="514">
        <v>0</v>
      </c>
      <c r="EC40" s="514">
        <v>0</v>
      </c>
      <c r="ED40" s="514">
        <v>0</v>
      </c>
      <c r="EE40" s="514">
        <v>0</v>
      </c>
      <c r="EF40" s="514">
        <v>0</v>
      </c>
      <c r="EG40" s="514">
        <v>0</v>
      </c>
      <c r="EH40" s="514">
        <v>0</v>
      </c>
      <c r="EI40" s="514">
        <v>0</v>
      </c>
      <c r="EJ40" s="514">
        <v>0</v>
      </c>
      <c r="EK40" s="514">
        <v>0</v>
      </c>
      <c r="EL40" s="514">
        <v>0</v>
      </c>
      <c r="EM40" s="514">
        <v>0</v>
      </c>
      <c r="EN40" s="514">
        <v>0</v>
      </c>
      <c r="EO40" s="514">
        <v>0</v>
      </c>
      <c r="EP40" s="514">
        <v>0</v>
      </c>
      <c r="EQ40" s="514">
        <v>0</v>
      </c>
      <c r="ER40" s="514">
        <v>0</v>
      </c>
      <c r="ES40" s="514">
        <v>0</v>
      </c>
      <c r="ET40" s="514">
        <v>0</v>
      </c>
      <c r="EU40" s="514">
        <v>0</v>
      </c>
      <c r="EV40" s="514">
        <v>0</v>
      </c>
      <c r="EW40" s="514">
        <v>0</v>
      </c>
      <c r="EX40" s="514">
        <v>0</v>
      </c>
      <c r="EY40" s="514">
        <v>0</v>
      </c>
      <c r="EZ40" s="514">
        <v>0</v>
      </c>
      <c r="FA40" s="514">
        <v>0</v>
      </c>
      <c r="FB40" s="514">
        <v>0</v>
      </c>
      <c r="FC40" s="514">
        <v>0</v>
      </c>
      <c r="FD40" s="514">
        <v>0</v>
      </c>
      <c r="FE40" s="514">
        <v>0</v>
      </c>
      <c r="FF40" s="514">
        <v>0</v>
      </c>
      <c r="FG40" s="514">
        <v>0</v>
      </c>
      <c r="FH40" s="514">
        <v>0</v>
      </c>
      <c r="FI40" s="514">
        <v>0</v>
      </c>
      <c r="FJ40" s="514">
        <v>0</v>
      </c>
      <c r="FK40" s="514">
        <v>0</v>
      </c>
      <c r="FL40" s="514">
        <v>0</v>
      </c>
      <c r="FM40" s="514">
        <v>0</v>
      </c>
      <c r="FN40" s="514">
        <v>0</v>
      </c>
      <c r="FO40" s="514">
        <v>0</v>
      </c>
      <c r="FP40" s="514">
        <v>0</v>
      </c>
      <c r="FQ40" s="514">
        <v>0</v>
      </c>
    </row>
    <row r="41" spans="1:173" ht="16.5" hidden="1">
      <c r="A41" s="512" t="s">
        <v>658</v>
      </c>
      <c r="B41" s="512" t="s">
        <v>732</v>
      </c>
      <c r="C41" s="512" t="s">
        <v>721</v>
      </c>
      <c r="D41" s="513"/>
      <c r="E41" s="512" t="s">
        <v>721</v>
      </c>
      <c r="F41" s="512" t="s">
        <v>26</v>
      </c>
      <c r="G41" s="513"/>
      <c r="H41" s="514">
        <v>50</v>
      </c>
      <c r="I41" s="298" t="str">
        <f t="shared" si="0"/>
        <v>AOR100250</v>
      </c>
      <c r="J41" s="514">
        <v>3</v>
      </c>
      <c r="L41" s="512" t="s">
        <v>720</v>
      </c>
      <c r="M41" s="512" t="s">
        <v>739</v>
      </c>
      <c r="N41" s="512" t="s">
        <v>721</v>
      </c>
      <c r="O41" s="513"/>
      <c r="P41" s="512" t="s">
        <v>721</v>
      </c>
      <c r="Q41" s="512" t="s">
        <v>26</v>
      </c>
      <c r="R41" s="513"/>
      <c r="S41" s="514">
        <v>32</v>
      </c>
      <c r="T41" s="298" t="str">
        <f t="shared" si="1"/>
        <v>HSGA0232</v>
      </c>
      <c r="U41" s="514">
        <v>5395</v>
      </c>
      <c r="W41" s="512" t="s">
        <v>269</v>
      </c>
      <c r="X41" s="512" t="s">
        <v>843</v>
      </c>
      <c r="Y41" s="512" t="s">
        <v>721</v>
      </c>
      <c r="Z41" s="514">
        <v>10</v>
      </c>
      <c r="AA41" s="512" t="s">
        <v>721</v>
      </c>
      <c r="AB41" s="512" t="s">
        <v>25</v>
      </c>
      <c r="AC41" s="514">
        <v>0</v>
      </c>
      <c r="AD41" s="514">
        <v>53</v>
      </c>
      <c r="AE41" s="298" t="str">
        <f t="shared" si="2"/>
        <v>HNR100153</v>
      </c>
      <c r="AF41" s="514">
        <v>633</v>
      </c>
      <c r="AH41" s="512" t="s">
        <v>721</v>
      </c>
      <c r="AI41" s="512" t="s">
        <v>1030</v>
      </c>
      <c r="AJ41" s="512" t="s">
        <v>721</v>
      </c>
      <c r="AK41" s="513"/>
      <c r="AL41" s="512" t="s">
        <v>721</v>
      </c>
      <c r="AM41" s="512" t="s">
        <v>25</v>
      </c>
      <c r="AN41" s="513"/>
      <c r="AO41" s="514">
        <v>53</v>
      </c>
      <c r="AP41" s="513"/>
      <c r="AQ41" s="298" t="str">
        <f t="shared" si="3"/>
        <v>HOR100153</v>
      </c>
      <c r="AR41" s="514">
        <v>1000</v>
      </c>
      <c r="AT41" s="512" t="s">
        <v>743</v>
      </c>
      <c r="AU41" s="512" t="s">
        <v>744</v>
      </c>
      <c r="AV41" s="512" t="s">
        <v>721</v>
      </c>
      <c r="AW41" s="513"/>
      <c r="AX41" s="512" t="s">
        <v>721</v>
      </c>
      <c r="AY41" s="512" t="s">
        <v>25</v>
      </c>
      <c r="AZ41" s="513"/>
      <c r="BA41" s="514">
        <v>41</v>
      </c>
      <c r="BB41" s="298" t="str">
        <f t="shared" si="4"/>
        <v>CLR100141</v>
      </c>
      <c r="BC41" s="514">
        <v>226</v>
      </c>
      <c r="BF41" s="512" t="s">
        <v>658</v>
      </c>
      <c r="BG41" s="512" t="s">
        <v>732</v>
      </c>
      <c r="BH41" s="512" t="s">
        <v>25</v>
      </c>
      <c r="BI41" s="514">
        <v>53</v>
      </c>
      <c r="BJ41" s="298" t="str">
        <f t="shared" si="5"/>
        <v>AOR100153</v>
      </c>
      <c r="BK41" s="514">
        <v>0</v>
      </c>
      <c r="BL41" s="514">
        <v>1</v>
      </c>
      <c r="BM41" s="514">
        <v>1</v>
      </c>
      <c r="BN41" s="514">
        <v>1</v>
      </c>
      <c r="BO41" s="514">
        <v>1</v>
      </c>
      <c r="BP41" s="514">
        <v>2</v>
      </c>
      <c r="BQ41" s="514">
        <v>2</v>
      </c>
      <c r="BR41" s="514">
        <v>2</v>
      </c>
      <c r="BS41" s="514">
        <v>3</v>
      </c>
      <c r="BT41" s="514">
        <v>0</v>
      </c>
      <c r="BU41" s="514">
        <v>0</v>
      </c>
      <c r="BV41" s="514">
        <v>0</v>
      </c>
      <c r="BW41" s="514">
        <v>0</v>
      </c>
      <c r="BX41" s="514">
        <v>0</v>
      </c>
      <c r="BY41" s="514">
        <v>0</v>
      </c>
      <c r="BZ41" s="514">
        <v>0</v>
      </c>
      <c r="CA41" s="514">
        <v>0</v>
      </c>
      <c r="CB41" s="514">
        <v>0</v>
      </c>
      <c r="CC41" s="514">
        <v>0</v>
      </c>
      <c r="CD41" s="514">
        <v>0</v>
      </c>
      <c r="CE41" s="514">
        <v>0</v>
      </c>
      <c r="CF41" s="514">
        <v>0</v>
      </c>
      <c r="CG41" s="514">
        <v>0</v>
      </c>
      <c r="CH41" s="514">
        <v>0</v>
      </c>
      <c r="CI41" s="514">
        <v>0</v>
      </c>
      <c r="CJ41" s="514">
        <v>0</v>
      </c>
      <c r="CK41" s="514">
        <v>0</v>
      </c>
      <c r="CL41" s="514">
        <v>0</v>
      </c>
      <c r="CM41" s="514">
        <v>0</v>
      </c>
      <c r="CN41" s="514">
        <v>0</v>
      </c>
      <c r="CO41" s="514">
        <v>0</v>
      </c>
      <c r="CP41" s="514">
        <v>0</v>
      </c>
      <c r="CQ41" s="514">
        <v>0</v>
      </c>
      <c r="CR41" s="514">
        <v>0</v>
      </c>
      <c r="CS41" s="514">
        <v>0</v>
      </c>
      <c r="CT41" s="514">
        <v>0</v>
      </c>
      <c r="CU41" s="514">
        <v>0</v>
      </c>
      <c r="CV41" s="514">
        <v>0</v>
      </c>
      <c r="CW41" s="514">
        <v>0</v>
      </c>
      <c r="CX41" s="514">
        <v>0</v>
      </c>
      <c r="CY41" s="514">
        <v>0</v>
      </c>
      <c r="CZ41" s="514">
        <v>0</v>
      </c>
      <c r="DA41" s="514">
        <v>0</v>
      </c>
      <c r="DB41" s="514">
        <v>0</v>
      </c>
      <c r="DC41" s="514">
        <v>0</v>
      </c>
      <c r="DD41" s="514">
        <v>0</v>
      </c>
      <c r="DE41" s="514">
        <v>0</v>
      </c>
      <c r="DF41" s="514">
        <v>0</v>
      </c>
      <c r="DG41" s="514">
        <v>0</v>
      </c>
      <c r="DH41" s="514">
        <v>0</v>
      </c>
      <c r="DI41" s="514">
        <v>0</v>
      </c>
      <c r="DJ41" s="514">
        <v>0</v>
      </c>
      <c r="DK41" s="514">
        <v>0</v>
      </c>
      <c r="DL41" s="514">
        <v>0</v>
      </c>
      <c r="DM41" s="514">
        <v>0</v>
      </c>
      <c r="DN41" s="514">
        <v>0</v>
      </c>
      <c r="DO41" s="514">
        <v>0</v>
      </c>
      <c r="DP41" s="514">
        <v>0</v>
      </c>
      <c r="DQ41" s="514">
        <v>0</v>
      </c>
      <c r="DR41" s="514">
        <v>0</v>
      </c>
      <c r="DS41" s="514">
        <v>0</v>
      </c>
      <c r="DT41" s="514">
        <v>0</v>
      </c>
      <c r="DU41" s="514">
        <v>0</v>
      </c>
      <c r="DV41" s="514">
        <v>0</v>
      </c>
      <c r="DW41" s="514">
        <v>0</v>
      </c>
      <c r="DX41" s="514">
        <v>0</v>
      </c>
      <c r="DY41" s="514">
        <v>0</v>
      </c>
      <c r="DZ41" s="514">
        <v>0</v>
      </c>
      <c r="EA41" s="514">
        <v>0</v>
      </c>
      <c r="EB41" s="514">
        <v>0</v>
      </c>
      <c r="EC41" s="514">
        <v>0</v>
      </c>
      <c r="ED41" s="514">
        <v>0</v>
      </c>
      <c r="EE41" s="514">
        <v>0</v>
      </c>
      <c r="EF41" s="514">
        <v>0</v>
      </c>
      <c r="EG41" s="514">
        <v>0</v>
      </c>
      <c r="EH41" s="514">
        <v>0</v>
      </c>
      <c r="EI41" s="514">
        <v>0</v>
      </c>
      <c r="EJ41" s="514">
        <v>0</v>
      </c>
      <c r="EK41" s="514">
        <v>0</v>
      </c>
      <c r="EL41" s="514">
        <v>0</v>
      </c>
      <c r="EM41" s="514">
        <v>0</v>
      </c>
      <c r="EN41" s="514">
        <v>0</v>
      </c>
      <c r="EO41" s="514">
        <v>0</v>
      </c>
      <c r="EP41" s="514">
        <v>0</v>
      </c>
      <c r="EQ41" s="514">
        <v>0</v>
      </c>
      <c r="ER41" s="514">
        <v>0</v>
      </c>
      <c r="ES41" s="514">
        <v>0</v>
      </c>
      <c r="ET41" s="514">
        <v>0</v>
      </c>
      <c r="EU41" s="514">
        <v>0</v>
      </c>
      <c r="EV41" s="514">
        <v>0</v>
      </c>
      <c r="EW41" s="514">
        <v>0</v>
      </c>
      <c r="EX41" s="514">
        <v>0</v>
      </c>
      <c r="EY41" s="514">
        <v>0</v>
      </c>
      <c r="EZ41" s="514">
        <v>0</v>
      </c>
      <c r="FA41" s="514">
        <v>0</v>
      </c>
      <c r="FB41" s="514">
        <v>0</v>
      </c>
      <c r="FC41" s="514">
        <v>0</v>
      </c>
      <c r="FD41" s="514">
        <v>0</v>
      </c>
      <c r="FE41" s="514">
        <v>0</v>
      </c>
      <c r="FF41" s="514">
        <v>0</v>
      </c>
      <c r="FG41" s="514">
        <v>0</v>
      </c>
      <c r="FH41" s="514">
        <v>0</v>
      </c>
      <c r="FI41" s="514">
        <v>0</v>
      </c>
      <c r="FJ41" s="514">
        <v>0</v>
      </c>
      <c r="FK41" s="514">
        <v>0</v>
      </c>
      <c r="FL41" s="514">
        <v>0</v>
      </c>
      <c r="FM41" s="514">
        <v>0</v>
      </c>
      <c r="FN41" s="514">
        <v>0</v>
      </c>
      <c r="FO41" s="514">
        <v>0</v>
      </c>
      <c r="FP41" s="514">
        <v>0</v>
      </c>
      <c r="FQ41" s="514">
        <v>0</v>
      </c>
    </row>
    <row r="42" spans="1:173" ht="16.5" hidden="1">
      <c r="A42" s="512" t="s">
        <v>658</v>
      </c>
      <c r="B42" s="512" t="s">
        <v>732</v>
      </c>
      <c r="C42" s="512" t="s">
        <v>721</v>
      </c>
      <c r="D42" s="513"/>
      <c r="E42" s="512" t="s">
        <v>721</v>
      </c>
      <c r="F42" s="512" t="s">
        <v>26</v>
      </c>
      <c r="G42" s="513"/>
      <c r="H42" s="514">
        <v>51</v>
      </c>
      <c r="I42" s="298" t="str">
        <f t="shared" si="0"/>
        <v>AOR100251</v>
      </c>
      <c r="J42" s="514">
        <v>3</v>
      </c>
      <c r="L42" s="512" t="s">
        <v>720</v>
      </c>
      <c r="M42" s="512" t="s">
        <v>739</v>
      </c>
      <c r="N42" s="512" t="s">
        <v>721</v>
      </c>
      <c r="O42" s="513"/>
      <c r="P42" s="512" t="s">
        <v>721</v>
      </c>
      <c r="Q42" s="512" t="s">
        <v>26</v>
      </c>
      <c r="R42" s="513"/>
      <c r="S42" s="514">
        <v>33</v>
      </c>
      <c r="T42" s="298" t="str">
        <f t="shared" si="1"/>
        <v>HSGA0233</v>
      </c>
      <c r="U42" s="514">
        <v>5640</v>
      </c>
      <c r="W42" s="512" t="s">
        <v>269</v>
      </c>
      <c r="X42" s="512" t="s">
        <v>843</v>
      </c>
      <c r="Y42" s="512" t="s">
        <v>721</v>
      </c>
      <c r="Z42" s="514">
        <v>10</v>
      </c>
      <c r="AA42" s="512" t="s">
        <v>721</v>
      </c>
      <c r="AB42" s="512" t="s">
        <v>25</v>
      </c>
      <c r="AC42" s="514">
        <v>0</v>
      </c>
      <c r="AD42" s="514">
        <v>54</v>
      </c>
      <c r="AE42" s="298" t="str">
        <f t="shared" si="2"/>
        <v>HNR100154</v>
      </c>
      <c r="AF42" s="514">
        <v>644</v>
      </c>
      <c r="AH42" s="512" t="s">
        <v>721</v>
      </c>
      <c r="AI42" s="512" t="s">
        <v>1030</v>
      </c>
      <c r="AJ42" s="512" t="s">
        <v>721</v>
      </c>
      <c r="AK42" s="513"/>
      <c r="AL42" s="512" t="s">
        <v>721</v>
      </c>
      <c r="AM42" s="512" t="s">
        <v>25</v>
      </c>
      <c r="AN42" s="513"/>
      <c r="AO42" s="514">
        <v>54</v>
      </c>
      <c r="AP42" s="513"/>
      <c r="AQ42" s="298" t="str">
        <f t="shared" si="3"/>
        <v>HOR100154</v>
      </c>
      <c r="AR42" s="514">
        <v>1030</v>
      </c>
      <c r="AT42" s="512" t="s">
        <v>743</v>
      </c>
      <c r="AU42" s="512" t="s">
        <v>744</v>
      </c>
      <c r="AV42" s="512" t="s">
        <v>721</v>
      </c>
      <c r="AW42" s="513"/>
      <c r="AX42" s="512" t="s">
        <v>721</v>
      </c>
      <c r="AY42" s="512" t="s">
        <v>26</v>
      </c>
      <c r="AZ42" s="513"/>
      <c r="BA42" s="514">
        <v>41</v>
      </c>
      <c r="BB42" s="298" t="str">
        <f t="shared" si="4"/>
        <v>CLR100241</v>
      </c>
      <c r="BC42" s="514">
        <v>315</v>
      </c>
      <c r="BF42" s="512" t="s">
        <v>658</v>
      </c>
      <c r="BG42" s="512" t="s">
        <v>732</v>
      </c>
      <c r="BH42" s="512" t="s">
        <v>25</v>
      </c>
      <c r="BI42" s="514">
        <v>54</v>
      </c>
      <c r="BJ42" s="298" t="str">
        <f t="shared" si="5"/>
        <v>AOR100154</v>
      </c>
      <c r="BK42" s="514">
        <v>0</v>
      </c>
      <c r="BL42" s="514">
        <v>1</v>
      </c>
      <c r="BM42" s="514">
        <v>1</v>
      </c>
      <c r="BN42" s="514">
        <v>1</v>
      </c>
      <c r="BO42" s="514">
        <v>1</v>
      </c>
      <c r="BP42" s="514">
        <v>2</v>
      </c>
      <c r="BQ42" s="514">
        <v>2</v>
      </c>
      <c r="BR42" s="514">
        <v>2</v>
      </c>
      <c r="BS42" s="514">
        <v>3</v>
      </c>
      <c r="BT42" s="514">
        <v>0</v>
      </c>
      <c r="BU42" s="514">
        <v>0</v>
      </c>
      <c r="BV42" s="514">
        <v>0</v>
      </c>
      <c r="BW42" s="514">
        <v>0</v>
      </c>
      <c r="BX42" s="514">
        <v>0</v>
      </c>
      <c r="BY42" s="514">
        <v>0</v>
      </c>
      <c r="BZ42" s="514">
        <v>0</v>
      </c>
      <c r="CA42" s="514">
        <v>0</v>
      </c>
      <c r="CB42" s="514">
        <v>0</v>
      </c>
      <c r="CC42" s="514">
        <v>0</v>
      </c>
      <c r="CD42" s="514">
        <v>0</v>
      </c>
      <c r="CE42" s="514">
        <v>0</v>
      </c>
      <c r="CF42" s="514">
        <v>0</v>
      </c>
      <c r="CG42" s="514">
        <v>0</v>
      </c>
      <c r="CH42" s="514">
        <v>0</v>
      </c>
      <c r="CI42" s="514">
        <v>0</v>
      </c>
      <c r="CJ42" s="514">
        <v>0</v>
      </c>
      <c r="CK42" s="514">
        <v>0</v>
      </c>
      <c r="CL42" s="514">
        <v>0</v>
      </c>
      <c r="CM42" s="514">
        <v>0</v>
      </c>
      <c r="CN42" s="514">
        <v>0</v>
      </c>
      <c r="CO42" s="514">
        <v>0</v>
      </c>
      <c r="CP42" s="514">
        <v>0</v>
      </c>
      <c r="CQ42" s="514">
        <v>0</v>
      </c>
      <c r="CR42" s="514">
        <v>0</v>
      </c>
      <c r="CS42" s="514">
        <v>0</v>
      </c>
      <c r="CT42" s="514">
        <v>0</v>
      </c>
      <c r="CU42" s="514">
        <v>0</v>
      </c>
      <c r="CV42" s="514">
        <v>0</v>
      </c>
      <c r="CW42" s="514">
        <v>0</v>
      </c>
      <c r="CX42" s="514">
        <v>0</v>
      </c>
      <c r="CY42" s="514">
        <v>0</v>
      </c>
      <c r="CZ42" s="514">
        <v>0</v>
      </c>
      <c r="DA42" s="514">
        <v>0</v>
      </c>
      <c r="DB42" s="514">
        <v>0</v>
      </c>
      <c r="DC42" s="514">
        <v>0</v>
      </c>
      <c r="DD42" s="514">
        <v>0</v>
      </c>
      <c r="DE42" s="514">
        <v>0</v>
      </c>
      <c r="DF42" s="514">
        <v>0</v>
      </c>
      <c r="DG42" s="514">
        <v>0</v>
      </c>
      <c r="DH42" s="514">
        <v>0</v>
      </c>
      <c r="DI42" s="514">
        <v>0</v>
      </c>
      <c r="DJ42" s="514">
        <v>0</v>
      </c>
      <c r="DK42" s="514">
        <v>0</v>
      </c>
      <c r="DL42" s="514">
        <v>0</v>
      </c>
      <c r="DM42" s="514">
        <v>0</v>
      </c>
      <c r="DN42" s="514">
        <v>0</v>
      </c>
      <c r="DO42" s="514">
        <v>0</v>
      </c>
      <c r="DP42" s="514">
        <v>0</v>
      </c>
      <c r="DQ42" s="514">
        <v>0</v>
      </c>
      <c r="DR42" s="514">
        <v>0</v>
      </c>
      <c r="DS42" s="514">
        <v>0</v>
      </c>
      <c r="DT42" s="514">
        <v>0</v>
      </c>
      <c r="DU42" s="514">
        <v>0</v>
      </c>
      <c r="DV42" s="514">
        <v>0</v>
      </c>
      <c r="DW42" s="514">
        <v>0</v>
      </c>
      <c r="DX42" s="514">
        <v>0</v>
      </c>
      <c r="DY42" s="514">
        <v>0</v>
      </c>
      <c r="DZ42" s="514">
        <v>0</v>
      </c>
      <c r="EA42" s="514">
        <v>0</v>
      </c>
      <c r="EB42" s="514">
        <v>0</v>
      </c>
      <c r="EC42" s="514">
        <v>0</v>
      </c>
      <c r="ED42" s="514">
        <v>0</v>
      </c>
      <c r="EE42" s="514">
        <v>0</v>
      </c>
      <c r="EF42" s="514">
        <v>0</v>
      </c>
      <c r="EG42" s="514">
        <v>0</v>
      </c>
      <c r="EH42" s="514">
        <v>0</v>
      </c>
      <c r="EI42" s="514">
        <v>0</v>
      </c>
      <c r="EJ42" s="514">
        <v>0</v>
      </c>
      <c r="EK42" s="514">
        <v>0</v>
      </c>
      <c r="EL42" s="514">
        <v>0</v>
      </c>
      <c r="EM42" s="514">
        <v>0</v>
      </c>
      <c r="EN42" s="514">
        <v>0</v>
      </c>
      <c r="EO42" s="514">
        <v>0</v>
      </c>
      <c r="EP42" s="514">
        <v>0</v>
      </c>
      <c r="EQ42" s="514">
        <v>0</v>
      </c>
      <c r="ER42" s="514">
        <v>0</v>
      </c>
      <c r="ES42" s="514">
        <v>0</v>
      </c>
      <c r="ET42" s="514">
        <v>0</v>
      </c>
      <c r="EU42" s="514">
        <v>0</v>
      </c>
      <c r="EV42" s="514">
        <v>0</v>
      </c>
      <c r="EW42" s="514">
        <v>0</v>
      </c>
      <c r="EX42" s="514">
        <v>0</v>
      </c>
      <c r="EY42" s="514">
        <v>0</v>
      </c>
      <c r="EZ42" s="514">
        <v>0</v>
      </c>
      <c r="FA42" s="514">
        <v>0</v>
      </c>
      <c r="FB42" s="514">
        <v>0</v>
      </c>
      <c r="FC42" s="514">
        <v>0</v>
      </c>
      <c r="FD42" s="514">
        <v>0</v>
      </c>
      <c r="FE42" s="514">
        <v>0</v>
      </c>
      <c r="FF42" s="514">
        <v>0</v>
      </c>
      <c r="FG42" s="514">
        <v>0</v>
      </c>
      <c r="FH42" s="514">
        <v>0</v>
      </c>
      <c r="FI42" s="514">
        <v>0</v>
      </c>
      <c r="FJ42" s="514">
        <v>0</v>
      </c>
      <c r="FK42" s="514">
        <v>0</v>
      </c>
      <c r="FL42" s="514">
        <v>0</v>
      </c>
      <c r="FM42" s="514">
        <v>0</v>
      </c>
      <c r="FN42" s="514">
        <v>0</v>
      </c>
      <c r="FO42" s="514">
        <v>0</v>
      </c>
      <c r="FP42" s="514">
        <v>0</v>
      </c>
      <c r="FQ42" s="514">
        <v>0</v>
      </c>
    </row>
    <row r="43" spans="1:173" ht="16.5" hidden="1">
      <c r="A43" s="512" t="s">
        <v>658</v>
      </c>
      <c r="B43" s="512" t="s">
        <v>732</v>
      </c>
      <c r="C43" s="512" t="s">
        <v>721</v>
      </c>
      <c r="D43" s="513"/>
      <c r="E43" s="512" t="s">
        <v>721</v>
      </c>
      <c r="F43" s="512" t="s">
        <v>26</v>
      </c>
      <c r="G43" s="513"/>
      <c r="H43" s="514">
        <v>52</v>
      </c>
      <c r="I43" s="298" t="str">
        <f t="shared" si="0"/>
        <v>AOR100252</v>
      </c>
      <c r="J43" s="514">
        <v>3</v>
      </c>
      <c r="L43" s="512" t="s">
        <v>720</v>
      </c>
      <c r="M43" s="512" t="s">
        <v>739</v>
      </c>
      <c r="N43" s="512" t="s">
        <v>721</v>
      </c>
      <c r="O43" s="513"/>
      <c r="P43" s="512" t="s">
        <v>721</v>
      </c>
      <c r="Q43" s="512" t="s">
        <v>26</v>
      </c>
      <c r="R43" s="513"/>
      <c r="S43" s="514">
        <v>34</v>
      </c>
      <c r="T43" s="298" t="str">
        <f t="shared" si="1"/>
        <v>HSGA0234</v>
      </c>
      <c r="U43" s="514">
        <v>5894</v>
      </c>
      <c r="W43" s="512" t="s">
        <v>269</v>
      </c>
      <c r="X43" s="512" t="s">
        <v>843</v>
      </c>
      <c r="Y43" s="512" t="s">
        <v>721</v>
      </c>
      <c r="Z43" s="514">
        <v>10</v>
      </c>
      <c r="AA43" s="512" t="s">
        <v>721</v>
      </c>
      <c r="AB43" s="512" t="s">
        <v>25</v>
      </c>
      <c r="AC43" s="514">
        <v>0</v>
      </c>
      <c r="AD43" s="514">
        <v>55</v>
      </c>
      <c r="AE43" s="298" t="str">
        <f t="shared" si="2"/>
        <v>HNR100155</v>
      </c>
      <c r="AF43" s="514">
        <v>655</v>
      </c>
      <c r="AH43" s="512" t="s">
        <v>721</v>
      </c>
      <c r="AI43" s="512" t="s">
        <v>1030</v>
      </c>
      <c r="AJ43" s="512" t="s">
        <v>721</v>
      </c>
      <c r="AK43" s="513"/>
      <c r="AL43" s="512" t="s">
        <v>721</v>
      </c>
      <c r="AM43" s="512" t="s">
        <v>25</v>
      </c>
      <c r="AN43" s="513"/>
      <c r="AO43" s="514">
        <v>55</v>
      </c>
      <c r="AP43" s="513"/>
      <c r="AQ43" s="298" t="str">
        <f t="shared" si="3"/>
        <v>HOR100155</v>
      </c>
      <c r="AR43" s="514">
        <v>1065</v>
      </c>
      <c r="AT43" s="512" t="s">
        <v>743</v>
      </c>
      <c r="AU43" s="512" t="s">
        <v>744</v>
      </c>
      <c r="AV43" s="512" t="s">
        <v>721</v>
      </c>
      <c r="AW43" s="513"/>
      <c r="AX43" s="512" t="s">
        <v>721</v>
      </c>
      <c r="AY43" s="512" t="s">
        <v>25</v>
      </c>
      <c r="AZ43" s="513"/>
      <c r="BA43" s="514">
        <v>42</v>
      </c>
      <c r="BB43" s="298" t="str">
        <f t="shared" si="4"/>
        <v>CLR100142</v>
      </c>
      <c r="BC43" s="514">
        <v>243</v>
      </c>
      <c r="BF43" s="512" t="s">
        <v>658</v>
      </c>
      <c r="BG43" s="512" t="s">
        <v>732</v>
      </c>
      <c r="BH43" s="512" t="s">
        <v>25</v>
      </c>
      <c r="BI43" s="514">
        <v>55</v>
      </c>
      <c r="BJ43" s="298" t="str">
        <f t="shared" si="5"/>
        <v>AOR100155</v>
      </c>
      <c r="BK43" s="514">
        <v>0</v>
      </c>
      <c r="BL43" s="514">
        <v>1</v>
      </c>
      <c r="BM43" s="514">
        <v>1</v>
      </c>
      <c r="BN43" s="514">
        <v>1</v>
      </c>
      <c r="BO43" s="514">
        <v>1</v>
      </c>
      <c r="BP43" s="514">
        <v>2</v>
      </c>
      <c r="BQ43" s="514">
        <v>2</v>
      </c>
      <c r="BR43" s="514">
        <v>2</v>
      </c>
      <c r="BS43" s="514">
        <v>3</v>
      </c>
      <c r="BT43" s="514">
        <v>0</v>
      </c>
      <c r="BU43" s="514">
        <v>0</v>
      </c>
      <c r="BV43" s="514">
        <v>0</v>
      </c>
      <c r="BW43" s="514">
        <v>0</v>
      </c>
      <c r="BX43" s="514">
        <v>0</v>
      </c>
      <c r="BY43" s="514">
        <v>0</v>
      </c>
      <c r="BZ43" s="514">
        <v>0</v>
      </c>
      <c r="CA43" s="514">
        <v>0</v>
      </c>
      <c r="CB43" s="514">
        <v>0</v>
      </c>
      <c r="CC43" s="514">
        <v>0</v>
      </c>
      <c r="CD43" s="514">
        <v>0</v>
      </c>
      <c r="CE43" s="514">
        <v>0</v>
      </c>
      <c r="CF43" s="514">
        <v>0</v>
      </c>
      <c r="CG43" s="514">
        <v>0</v>
      </c>
      <c r="CH43" s="514">
        <v>0</v>
      </c>
      <c r="CI43" s="514">
        <v>0</v>
      </c>
      <c r="CJ43" s="514">
        <v>0</v>
      </c>
      <c r="CK43" s="514">
        <v>0</v>
      </c>
      <c r="CL43" s="514">
        <v>0</v>
      </c>
      <c r="CM43" s="514">
        <v>0</v>
      </c>
      <c r="CN43" s="514">
        <v>0</v>
      </c>
      <c r="CO43" s="514">
        <v>0</v>
      </c>
      <c r="CP43" s="514">
        <v>0</v>
      </c>
      <c r="CQ43" s="514">
        <v>0</v>
      </c>
      <c r="CR43" s="514">
        <v>0</v>
      </c>
      <c r="CS43" s="514">
        <v>0</v>
      </c>
      <c r="CT43" s="514">
        <v>0</v>
      </c>
      <c r="CU43" s="514">
        <v>0</v>
      </c>
      <c r="CV43" s="514">
        <v>0</v>
      </c>
      <c r="CW43" s="514">
        <v>0</v>
      </c>
      <c r="CX43" s="514">
        <v>0</v>
      </c>
      <c r="CY43" s="514">
        <v>0</v>
      </c>
      <c r="CZ43" s="514">
        <v>0</v>
      </c>
      <c r="DA43" s="514">
        <v>0</v>
      </c>
      <c r="DB43" s="514">
        <v>0</v>
      </c>
      <c r="DC43" s="514">
        <v>0</v>
      </c>
      <c r="DD43" s="514">
        <v>0</v>
      </c>
      <c r="DE43" s="514">
        <v>0</v>
      </c>
      <c r="DF43" s="514">
        <v>0</v>
      </c>
      <c r="DG43" s="514">
        <v>0</v>
      </c>
      <c r="DH43" s="514">
        <v>0</v>
      </c>
      <c r="DI43" s="514">
        <v>0</v>
      </c>
      <c r="DJ43" s="514">
        <v>0</v>
      </c>
      <c r="DK43" s="514">
        <v>0</v>
      </c>
      <c r="DL43" s="514">
        <v>0</v>
      </c>
      <c r="DM43" s="514">
        <v>0</v>
      </c>
      <c r="DN43" s="514">
        <v>0</v>
      </c>
      <c r="DO43" s="514">
        <v>0</v>
      </c>
      <c r="DP43" s="514">
        <v>0</v>
      </c>
      <c r="DQ43" s="514">
        <v>0</v>
      </c>
      <c r="DR43" s="514">
        <v>0</v>
      </c>
      <c r="DS43" s="514">
        <v>0</v>
      </c>
      <c r="DT43" s="514">
        <v>0</v>
      </c>
      <c r="DU43" s="514">
        <v>0</v>
      </c>
      <c r="DV43" s="514">
        <v>0</v>
      </c>
      <c r="DW43" s="514">
        <v>0</v>
      </c>
      <c r="DX43" s="514">
        <v>0</v>
      </c>
      <c r="DY43" s="514">
        <v>0</v>
      </c>
      <c r="DZ43" s="514">
        <v>0</v>
      </c>
      <c r="EA43" s="514">
        <v>0</v>
      </c>
      <c r="EB43" s="514">
        <v>0</v>
      </c>
      <c r="EC43" s="514">
        <v>0</v>
      </c>
      <c r="ED43" s="514">
        <v>0</v>
      </c>
      <c r="EE43" s="514">
        <v>0</v>
      </c>
      <c r="EF43" s="514">
        <v>0</v>
      </c>
      <c r="EG43" s="514">
        <v>0</v>
      </c>
      <c r="EH43" s="514">
        <v>0</v>
      </c>
      <c r="EI43" s="514">
        <v>0</v>
      </c>
      <c r="EJ43" s="514">
        <v>0</v>
      </c>
      <c r="EK43" s="514">
        <v>0</v>
      </c>
      <c r="EL43" s="514">
        <v>0</v>
      </c>
      <c r="EM43" s="514">
        <v>0</v>
      </c>
      <c r="EN43" s="514">
        <v>0</v>
      </c>
      <c r="EO43" s="514">
        <v>0</v>
      </c>
      <c r="EP43" s="514">
        <v>0</v>
      </c>
      <c r="EQ43" s="514">
        <v>0</v>
      </c>
      <c r="ER43" s="514">
        <v>0</v>
      </c>
      <c r="ES43" s="514">
        <v>0</v>
      </c>
      <c r="ET43" s="514">
        <v>0</v>
      </c>
      <c r="EU43" s="514">
        <v>0</v>
      </c>
      <c r="EV43" s="514">
        <v>0</v>
      </c>
      <c r="EW43" s="514">
        <v>0</v>
      </c>
      <c r="EX43" s="514">
        <v>0</v>
      </c>
      <c r="EY43" s="514">
        <v>0</v>
      </c>
      <c r="EZ43" s="514">
        <v>0</v>
      </c>
      <c r="FA43" s="514">
        <v>0</v>
      </c>
      <c r="FB43" s="514">
        <v>0</v>
      </c>
      <c r="FC43" s="514">
        <v>0</v>
      </c>
      <c r="FD43" s="514">
        <v>0</v>
      </c>
      <c r="FE43" s="514">
        <v>0</v>
      </c>
      <c r="FF43" s="514">
        <v>0</v>
      </c>
      <c r="FG43" s="514">
        <v>0</v>
      </c>
      <c r="FH43" s="514">
        <v>0</v>
      </c>
      <c r="FI43" s="514">
        <v>0</v>
      </c>
      <c r="FJ43" s="514">
        <v>0</v>
      </c>
      <c r="FK43" s="514">
        <v>0</v>
      </c>
      <c r="FL43" s="514">
        <v>0</v>
      </c>
      <c r="FM43" s="514">
        <v>0</v>
      </c>
      <c r="FN43" s="514">
        <v>0</v>
      </c>
      <c r="FO43" s="514">
        <v>0</v>
      </c>
      <c r="FP43" s="514">
        <v>0</v>
      </c>
      <c r="FQ43" s="514">
        <v>0</v>
      </c>
    </row>
    <row r="44" spans="1:173" ht="16.5" hidden="1">
      <c r="A44" s="512" t="s">
        <v>658</v>
      </c>
      <c r="B44" s="512" t="s">
        <v>732</v>
      </c>
      <c r="C44" s="512" t="s">
        <v>721</v>
      </c>
      <c r="D44" s="513"/>
      <c r="E44" s="512" t="s">
        <v>721</v>
      </c>
      <c r="F44" s="512" t="s">
        <v>26</v>
      </c>
      <c r="G44" s="513"/>
      <c r="H44" s="514">
        <v>53</v>
      </c>
      <c r="I44" s="298" t="str">
        <f t="shared" si="0"/>
        <v>AOR100253</v>
      </c>
      <c r="J44" s="514">
        <v>3</v>
      </c>
      <c r="L44" s="512" t="s">
        <v>720</v>
      </c>
      <c r="M44" s="512" t="s">
        <v>739</v>
      </c>
      <c r="N44" s="512" t="s">
        <v>721</v>
      </c>
      <c r="O44" s="513"/>
      <c r="P44" s="512" t="s">
        <v>721</v>
      </c>
      <c r="Q44" s="512" t="s">
        <v>26</v>
      </c>
      <c r="R44" s="513"/>
      <c r="S44" s="514">
        <v>35</v>
      </c>
      <c r="T44" s="298" t="str">
        <f t="shared" si="1"/>
        <v>HSGA0235</v>
      </c>
      <c r="U44" s="514">
        <v>6159</v>
      </c>
      <c r="W44" s="512" t="s">
        <v>269</v>
      </c>
      <c r="X44" s="512" t="s">
        <v>843</v>
      </c>
      <c r="Y44" s="512" t="s">
        <v>721</v>
      </c>
      <c r="Z44" s="514">
        <v>10</v>
      </c>
      <c r="AA44" s="512" t="s">
        <v>721</v>
      </c>
      <c r="AB44" s="512" t="s">
        <v>25</v>
      </c>
      <c r="AC44" s="514">
        <v>0</v>
      </c>
      <c r="AD44" s="514">
        <v>56</v>
      </c>
      <c r="AE44" s="298" t="str">
        <f t="shared" si="2"/>
        <v>HNR100156</v>
      </c>
      <c r="AF44" s="514">
        <v>677</v>
      </c>
      <c r="AH44" s="512" t="s">
        <v>721</v>
      </c>
      <c r="AI44" s="512" t="s">
        <v>1030</v>
      </c>
      <c r="AJ44" s="512" t="s">
        <v>721</v>
      </c>
      <c r="AK44" s="513"/>
      <c r="AL44" s="512" t="s">
        <v>721</v>
      </c>
      <c r="AM44" s="512" t="s">
        <v>25</v>
      </c>
      <c r="AN44" s="513"/>
      <c r="AO44" s="514">
        <v>56</v>
      </c>
      <c r="AP44" s="513"/>
      <c r="AQ44" s="298" t="str">
        <f t="shared" si="3"/>
        <v>HOR100156</v>
      </c>
      <c r="AR44" s="514">
        <v>1100</v>
      </c>
      <c r="AT44" s="512" t="s">
        <v>743</v>
      </c>
      <c r="AU44" s="512" t="s">
        <v>744</v>
      </c>
      <c r="AV44" s="512" t="s">
        <v>721</v>
      </c>
      <c r="AW44" s="513"/>
      <c r="AX44" s="512" t="s">
        <v>721</v>
      </c>
      <c r="AY44" s="512" t="s">
        <v>26</v>
      </c>
      <c r="AZ44" s="513"/>
      <c r="BA44" s="514">
        <v>42</v>
      </c>
      <c r="BB44" s="298" t="str">
        <f t="shared" si="4"/>
        <v>CLR100242</v>
      </c>
      <c r="BC44" s="514">
        <v>334</v>
      </c>
      <c r="BF44" s="512" t="s">
        <v>658</v>
      </c>
      <c r="BG44" s="512" t="s">
        <v>732</v>
      </c>
      <c r="BH44" s="512" t="s">
        <v>25</v>
      </c>
      <c r="BI44" s="514">
        <v>56</v>
      </c>
      <c r="BJ44" s="298" t="str">
        <f t="shared" si="5"/>
        <v>AOR100156</v>
      </c>
      <c r="BK44" s="514">
        <v>0</v>
      </c>
      <c r="BL44" s="514">
        <v>1</v>
      </c>
      <c r="BM44" s="514">
        <v>1</v>
      </c>
      <c r="BN44" s="514">
        <v>1</v>
      </c>
      <c r="BO44" s="514">
        <v>1</v>
      </c>
      <c r="BP44" s="514">
        <v>2</v>
      </c>
      <c r="BQ44" s="514">
        <v>2</v>
      </c>
      <c r="BR44" s="514">
        <v>2</v>
      </c>
      <c r="BS44" s="514">
        <v>3</v>
      </c>
      <c r="BT44" s="514">
        <v>0</v>
      </c>
      <c r="BU44" s="514">
        <v>0</v>
      </c>
      <c r="BV44" s="514">
        <v>0</v>
      </c>
      <c r="BW44" s="514">
        <v>0</v>
      </c>
      <c r="BX44" s="514">
        <v>0</v>
      </c>
      <c r="BY44" s="514">
        <v>0</v>
      </c>
      <c r="BZ44" s="514">
        <v>0</v>
      </c>
      <c r="CA44" s="514">
        <v>0</v>
      </c>
      <c r="CB44" s="514">
        <v>0</v>
      </c>
      <c r="CC44" s="514">
        <v>0</v>
      </c>
      <c r="CD44" s="514">
        <v>0</v>
      </c>
      <c r="CE44" s="514">
        <v>0</v>
      </c>
      <c r="CF44" s="514">
        <v>0</v>
      </c>
      <c r="CG44" s="514">
        <v>0</v>
      </c>
      <c r="CH44" s="514">
        <v>0</v>
      </c>
      <c r="CI44" s="514">
        <v>0</v>
      </c>
      <c r="CJ44" s="514">
        <v>0</v>
      </c>
      <c r="CK44" s="514">
        <v>0</v>
      </c>
      <c r="CL44" s="514">
        <v>0</v>
      </c>
      <c r="CM44" s="514">
        <v>0</v>
      </c>
      <c r="CN44" s="514">
        <v>0</v>
      </c>
      <c r="CO44" s="514">
        <v>0</v>
      </c>
      <c r="CP44" s="514">
        <v>0</v>
      </c>
      <c r="CQ44" s="514">
        <v>0</v>
      </c>
      <c r="CR44" s="514">
        <v>0</v>
      </c>
      <c r="CS44" s="514">
        <v>0</v>
      </c>
      <c r="CT44" s="514">
        <v>0</v>
      </c>
      <c r="CU44" s="514">
        <v>0</v>
      </c>
      <c r="CV44" s="514">
        <v>0</v>
      </c>
      <c r="CW44" s="514">
        <v>0</v>
      </c>
      <c r="CX44" s="514">
        <v>0</v>
      </c>
      <c r="CY44" s="514">
        <v>0</v>
      </c>
      <c r="CZ44" s="514">
        <v>0</v>
      </c>
      <c r="DA44" s="514">
        <v>0</v>
      </c>
      <c r="DB44" s="514">
        <v>0</v>
      </c>
      <c r="DC44" s="514">
        <v>0</v>
      </c>
      <c r="DD44" s="514">
        <v>0</v>
      </c>
      <c r="DE44" s="514">
        <v>0</v>
      </c>
      <c r="DF44" s="514">
        <v>0</v>
      </c>
      <c r="DG44" s="514">
        <v>0</v>
      </c>
      <c r="DH44" s="514">
        <v>0</v>
      </c>
      <c r="DI44" s="514">
        <v>0</v>
      </c>
      <c r="DJ44" s="514">
        <v>0</v>
      </c>
      <c r="DK44" s="514">
        <v>0</v>
      </c>
      <c r="DL44" s="514">
        <v>0</v>
      </c>
      <c r="DM44" s="514">
        <v>0</v>
      </c>
      <c r="DN44" s="514">
        <v>0</v>
      </c>
      <c r="DO44" s="514">
        <v>0</v>
      </c>
      <c r="DP44" s="514">
        <v>0</v>
      </c>
      <c r="DQ44" s="514">
        <v>0</v>
      </c>
      <c r="DR44" s="514">
        <v>0</v>
      </c>
      <c r="DS44" s="514">
        <v>0</v>
      </c>
      <c r="DT44" s="514">
        <v>0</v>
      </c>
      <c r="DU44" s="514">
        <v>0</v>
      </c>
      <c r="DV44" s="514">
        <v>0</v>
      </c>
      <c r="DW44" s="514">
        <v>0</v>
      </c>
      <c r="DX44" s="514">
        <v>0</v>
      </c>
      <c r="DY44" s="514">
        <v>0</v>
      </c>
      <c r="DZ44" s="514">
        <v>0</v>
      </c>
      <c r="EA44" s="514">
        <v>0</v>
      </c>
      <c r="EB44" s="514">
        <v>0</v>
      </c>
      <c r="EC44" s="514">
        <v>0</v>
      </c>
      <c r="ED44" s="514">
        <v>0</v>
      </c>
      <c r="EE44" s="514">
        <v>0</v>
      </c>
      <c r="EF44" s="514">
        <v>0</v>
      </c>
      <c r="EG44" s="514">
        <v>0</v>
      </c>
      <c r="EH44" s="514">
        <v>0</v>
      </c>
      <c r="EI44" s="514">
        <v>0</v>
      </c>
      <c r="EJ44" s="514">
        <v>0</v>
      </c>
      <c r="EK44" s="514">
        <v>0</v>
      </c>
      <c r="EL44" s="514">
        <v>0</v>
      </c>
      <c r="EM44" s="514">
        <v>0</v>
      </c>
      <c r="EN44" s="514">
        <v>0</v>
      </c>
      <c r="EO44" s="514">
        <v>0</v>
      </c>
      <c r="EP44" s="514">
        <v>0</v>
      </c>
      <c r="EQ44" s="514">
        <v>0</v>
      </c>
      <c r="ER44" s="514">
        <v>0</v>
      </c>
      <c r="ES44" s="514">
        <v>0</v>
      </c>
      <c r="ET44" s="514">
        <v>0</v>
      </c>
      <c r="EU44" s="514">
        <v>0</v>
      </c>
      <c r="EV44" s="514">
        <v>0</v>
      </c>
      <c r="EW44" s="514">
        <v>0</v>
      </c>
      <c r="EX44" s="514">
        <v>0</v>
      </c>
      <c r="EY44" s="514">
        <v>0</v>
      </c>
      <c r="EZ44" s="514">
        <v>0</v>
      </c>
      <c r="FA44" s="514">
        <v>0</v>
      </c>
      <c r="FB44" s="514">
        <v>0</v>
      </c>
      <c r="FC44" s="514">
        <v>0</v>
      </c>
      <c r="FD44" s="514">
        <v>0</v>
      </c>
      <c r="FE44" s="514">
        <v>0</v>
      </c>
      <c r="FF44" s="514">
        <v>0</v>
      </c>
      <c r="FG44" s="514">
        <v>0</v>
      </c>
      <c r="FH44" s="514">
        <v>0</v>
      </c>
      <c r="FI44" s="514">
        <v>0</v>
      </c>
      <c r="FJ44" s="514">
        <v>0</v>
      </c>
      <c r="FK44" s="514">
        <v>0</v>
      </c>
      <c r="FL44" s="514">
        <v>0</v>
      </c>
      <c r="FM44" s="514">
        <v>0</v>
      </c>
      <c r="FN44" s="514">
        <v>0</v>
      </c>
      <c r="FO44" s="514">
        <v>0</v>
      </c>
      <c r="FP44" s="514">
        <v>0</v>
      </c>
      <c r="FQ44" s="514">
        <v>0</v>
      </c>
    </row>
    <row r="45" spans="1:173" ht="16.5" hidden="1">
      <c r="A45" s="512" t="s">
        <v>658</v>
      </c>
      <c r="B45" s="512" t="s">
        <v>732</v>
      </c>
      <c r="C45" s="512" t="s">
        <v>721</v>
      </c>
      <c r="D45" s="513"/>
      <c r="E45" s="512" t="s">
        <v>721</v>
      </c>
      <c r="F45" s="512" t="s">
        <v>26</v>
      </c>
      <c r="G45" s="513"/>
      <c r="H45" s="514">
        <v>54</v>
      </c>
      <c r="I45" s="298" t="str">
        <f t="shared" si="0"/>
        <v>AOR100254</v>
      </c>
      <c r="J45" s="514">
        <v>3</v>
      </c>
      <c r="L45" s="512" t="s">
        <v>720</v>
      </c>
      <c r="M45" s="512" t="s">
        <v>739</v>
      </c>
      <c r="N45" s="512" t="s">
        <v>721</v>
      </c>
      <c r="O45" s="513"/>
      <c r="P45" s="512" t="s">
        <v>721</v>
      </c>
      <c r="Q45" s="512" t="s">
        <v>26</v>
      </c>
      <c r="R45" s="513"/>
      <c r="S45" s="514">
        <v>36</v>
      </c>
      <c r="T45" s="298" t="str">
        <f t="shared" si="1"/>
        <v>HSGA0236</v>
      </c>
      <c r="U45" s="514">
        <v>6434</v>
      </c>
      <c r="W45" s="512" t="s">
        <v>269</v>
      </c>
      <c r="X45" s="512" t="s">
        <v>843</v>
      </c>
      <c r="Y45" s="512" t="s">
        <v>721</v>
      </c>
      <c r="Z45" s="514">
        <v>10</v>
      </c>
      <c r="AA45" s="512" t="s">
        <v>721</v>
      </c>
      <c r="AB45" s="512" t="s">
        <v>25</v>
      </c>
      <c r="AC45" s="514">
        <v>0</v>
      </c>
      <c r="AD45" s="514">
        <v>57</v>
      </c>
      <c r="AE45" s="298" t="str">
        <f t="shared" si="2"/>
        <v>HNR100157</v>
      </c>
      <c r="AF45" s="514">
        <v>700</v>
      </c>
      <c r="AH45" s="512" t="s">
        <v>721</v>
      </c>
      <c r="AI45" s="512" t="s">
        <v>1030</v>
      </c>
      <c r="AJ45" s="512" t="s">
        <v>721</v>
      </c>
      <c r="AK45" s="513"/>
      <c r="AL45" s="512" t="s">
        <v>721</v>
      </c>
      <c r="AM45" s="512" t="s">
        <v>25</v>
      </c>
      <c r="AN45" s="513"/>
      <c r="AO45" s="514">
        <v>57</v>
      </c>
      <c r="AP45" s="513"/>
      <c r="AQ45" s="298" t="str">
        <f t="shared" si="3"/>
        <v>HOR100157</v>
      </c>
      <c r="AR45" s="514">
        <v>1130</v>
      </c>
      <c r="AT45" s="512" t="s">
        <v>743</v>
      </c>
      <c r="AU45" s="512" t="s">
        <v>744</v>
      </c>
      <c r="AV45" s="512" t="s">
        <v>721</v>
      </c>
      <c r="AW45" s="513"/>
      <c r="AX45" s="512" t="s">
        <v>721</v>
      </c>
      <c r="AY45" s="512" t="s">
        <v>25</v>
      </c>
      <c r="AZ45" s="513"/>
      <c r="BA45" s="514">
        <v>43</v>
      </c>
      <c r="BB45" s="298" t="str">
        <f t="shared" si="4"/>
        <v>CLR100143</v>
      </c>
      <c r="BC45" s="514">
        <v>263</v>
      </c>
      <c r="BF45" s="512" t="s">
        <v>658</v>
      </c>
      <c r="BG45" s="512" t="s">
        <v>732</v>
      </c>
      <c r="BH45" s="512" t="s">
        <v>25</v>
      </c>
      <c r="BI45" s="514">
        <v>57</v>
      </c>
      <c r="BJ45" s="298" t="str">
        <f t="shared" si="5"/>
        <v>AOR100157</v>
      </c>
      <c r="BK45" s="514">
        <v>0</v>
      </c>
      <c r="BL45" s="514">
        <v>1</v>
      </c>
      <c r="BM45" s="514">
        <v>1</v>
      </c>
      <c r="BN45" s="514">
        <v>1</v>
      </c>
      <c r="BO45" s="514">
        <v>1</v>
      </c>
      <c r="BP45" s="514">
        <v>2</v>
      </c>
      <c r="BQ45" s="514">
        <v>2</v>
      </c>
      <c r="BR45" s="514">
        <v>2</v>
      </c>
      <c r="BS45" s="514">
        <v>3</v>
      </c>
      <c r="BT45" s="514">
        <v>0</v>
      </c>
      <c r="BU45" s="514">
        <v>0</v>
      </c>
      <c r="BV45" s="514">
        <v>0</v>
      </c>
      <c r="BW45" s="514">
        <v>0</v>
      </c>
      <c r="BX45" s="514">
        <v>0</v>
      </c>
      <c r="BY45" s="514">
        <v>0</v>
      </c>
      <c r="BZ45" s="514">
        <v>0</v>
      </c>
      <c r="CA45" s="514">
        <v>0</v>
      </c>
      <c r="CB45" s="514">
        <v>0</v>
      </c>
      <c r="CC45" s="514">
        <v>0</v>
      </c>
      <c r="CD45" s="514">
        <v>0</v>
      </c>
      <c r="CE45" s="514">
        <v>0</v>
      </c>
      <c r="CF45" s="514">
        <v>0</v>
      </c>
      <c r="CG45" s="514">
        <v>0</v>
      </c>
      <c r="CH45" s="514">
        <v>0</v>
      </c>
      <c r="CI45" s="514">
        <v>0</v>
      </c>
      <c r="CJ45" s="514">
        <v>0</v>
      </c>
      <c r="CK45" s="514">
        <v>0</v>
      </c>
      <c r="CL45" s="514">
        <v>0</v>
      </c>
      <c r="CM45" s="514">
        <v>0</v>
      </c>
      <c r="CN45" s="514">
        <v>0</v>
      </c>
      <c r="CO45" s="514">
        <v>0</v>
      </c>
      <c r="CP45" s="514">
        <v>0</v>
      </c>
      <c r="CQ45" s="514">
        <v>0</v>
      </c>
      <c r="CR45" s="514">
        <v>0</v>
      </c>
      <c r="CS45" s="514">
        <v>0</v>
      </c>
      <c r="CT45" s="514">
        <v>0</v>
      </c>
      <c r="CU45" s="514">
        <v>0</v>
      </c>
      <c r="CV45" s="514">
        <v>0</v>
      </c>
      <c r="CW45" s="514">
        <v>0</v>
      </c>
      <c r="CX45" s="514">
        <v>0</v>
      </c>
      <c r="CY45" s="514">
        <v>0</v>
      </c>
      <c r="CZ45" s="514">
        <v>0</v>
      </c>
      <c r="DA45" s="514">
        <v>0</v>
      </c>
      <c r="DB45" s="514">
        <v>0</v>
      </c>
      <c r="DC45" s="514">
        <v>0</v>
      </c>
      <c r="DD45" s="514">
        <v>0</v>
      </c>
      <c r="DE45" s="514">
        <v>0</v>
      </c>
      <c r="DF45" s="514">
        <v>0</v>
      </c>
      <c r="DG45" s="514">
        <v>0</v>
      </c>
      <c r="DH45" s="514">
        <v>0</v>
      </c>
      <c r="DI45" s="514">
        <v>0</v>
      </c>
      <c r="DJ45" s="514">
        <v>0</v>
      </c>
      <c r="DK45" s="514">
        <v>0</v>
      </c>
      <c r="DL45" s="514">
        <v>0</v>
      </c>
      <c r="DM45" s="514">
        <v>0</v>
      </c>
      <c r="DN45" s="514">
        <v>0</v>
      </c>
      <c r="DO45" s="514">
        <v>0</v>
      </c>
      <c r="DP45" s="514">
        <v>0</v>
      </c>
      <c r="DQ45" s="514">
        <v>0</v>
      </c>
      <c r="DR45" s="514">
        <v>0</v>
      </c>
      <c r="DS45" s="514">
        <v>0</v>
      </c>
      <c r="DT45" s="514">
        <v>0</v>
      </c>
      <c r="DU45" s="514">
        <v>0</v>
      </c>
      <c r="DV45" s="514">
        <v>0</v>
      </c>
      <c r="DW45" s="514">
        <v>0</v>
      </c>
      <c r="DX45" s="514">
        <v>0</v>
      </c>
      <c r="DY45" s="514">
        <v>0</v>
      </c>
      <c r="DZ45" s="514">
        <v>0</v>
      </c>
      <c r="EA45" s="514">
        <v>0</v>
      </c>
      <c r="EB45" s="514">
        <v>0</v>
      </c>
      <c r="EC45" s="514">
        <v>0</v>
      </c>
      <c r="ED45" s="514">
        <v>0</v>
      </c>
      <c r="EE45" s="514">
        <v>0</v>
      </c>
      <c r="EF45" s="514">
        <v>0</v>
      </c>
      <c r="EG45" s="514">
        <v>0</v>
      </c>
      <c r="EH45" s="514">
        <v>0</v>
      </c>
      <c r="EI45" s="514">
        <v>0</v>
      </c>
      <c r="EJ45" s="514">
        <v>0</v>
      </c>
      <c r="EK45" s="514">
        <v>0</v>
      </c>
      <c r="EL45" s="514">
        <v>0</v>
      </c>
      <c r="EM45" s="514">
        <v>0</v>
      </c>
      <c r="EN45" s="514">
        <v>0</v>
      </c>
      <c r="EO45" s="514">
        <v>0</v>
      </c>
      <c r="EP45" s="514">
        <v>0</v>
      </c>
      <c r="EQ45" s="514">
        <v>0</v>
      </c>
      <c r="ER45" s="514">
        <v>0</v>
      </c>
      <c r="ES45" s="514">
        <v>0</v>
      </c>
      <c r="ET45" s="514">
        <v>0</v>
      </c>
      <c r="EU45" s="514">
        <v>0</v>
      </c>
      <c r="EV45" s="514">
        <v>0</v>
      </c>
      <c r="EW45" s="514">
        <v>0</v>
      </c>
      <c r="EX45" s="514">
        <v>0</v>
      </c>
      <c r="EY45" s="514">
        <v>0</v>
      </c>
      <c r="EZ45" s="514">
        <v>0</v>
      </c>
      <c r="FA45" s="514">
        <v>0</v>
      </c>
      <c r="FB45" s="514">
        <v>0</v>
      </c>
      <c r="FC45" s="514">
        <v>0</v>
      </c>
      <c r="FD45" s="514">
        <v>0</v>
      </c>
      <c r="FE45" s="514">
        <v>0</v>
      </c>
      <c r="FF45" s="514">
        <v>0</v>
      </c>
      <c r="FG45" s="514">
        <v>0</v>
      </c>
      <c r="FH45" s="514">
        <v>0</v>
      </c>
      <c r="FI45" s="514">
        <v>0</v>
      </c>
      <c r="FJ45" s="514">
        <v>0</v>
      </c>
      <c r="FK45" s="514">
        <v>0</v>
      </c>
      <c r="FL45" s="514">
        <v>0</v>
      </c>
      <c r="FM45" s="514">
        <v>0</v>
      </c>
      <c r="FN45" s="514">
        <v>0</v>
      </c>
      <c r="FO45" s="514">
        <v>0</v>
      </c>
      <c r="FP45" s="514">
        <v>0</v>
      </c>
      <c r="FQ45" s="514">
        <v>0</v>
      </c>
    </row>
    <row r="46" spans="1:173" ht="16.5" hidden="1">
      <c r="A46" s="512" t="s">
        <v>658</v>
      </c>
      <c r="B46" s="512" t="s">
        <v>732</v>
      </c>
      <c r="C46" s="512" t="s">
        <v>721</v>
      </c>
      <c r="D46" s="513"/>
      <c r="E46" s="512" t="s">
        <v>721</v>
      </c>
      <c r="F46" s="512" t="s">
        <v>26</v>
      </c>
      <c r="G46" s="513"/>
      <c r="H46" s="514">
        <v>55</v>
      </c>
      <c r="I46" s="298" t="str">
        <f t="shared" si="0"/>
        <v>AOR100255</v>
      </c>
      <c r="J46" s="514">
        <v>3</v>
      </c>
      <c r="L46" s="512" t="s">
        <v>720</v>
      </c>
      <c r="M46" s="512" t="s">
        <v>739</v>
      </c>
      <c r="N46" s="512" t="s">
        <v>721</v>
      </c>
      <c r="O46" s="513"/>
      <c r="P46" s="512" t="s">
        <v>721</v>
      </c>
      <c r="Q46" s="512" t="s">
        <v>26</v>
      </c>
      <c r="R46" s="513"/>
      <c r="S46" s="514">
        <v>37</v>
      </c>
      <c r="T46" s="298" t="str">
        <f t="shared" si="1"/>
        <v>HSGA0237</v>
      </c>
      <c r="U46" s="514">
        <v>6719</v>
      </c>
      <c r="W46" s="512" t="s">
        <v>269</v>
      </c>
      <c r="X46" s="512" t="s">
        <v>843</v>
      </c>
      <c r="Y46" s="512" t="s">
        <v>721</v>
      </c>
      <c r="Z46" s="514">
        <v>10</v>
      </c>
      <c r="AA46" s="512" t="s">
        <v>721</v>
      </c>
      <c r="AB46" s="512" t="s">
        <v>25</v>
      </c>
      <c r="AC46" s="514">
        <v>0</v>
      </c>
      <c r="AD46" s="514">
        <v>58</v>
      </c>
      <c r="AE46" s="298" t="str">
        <f t="shared" si="2"/>
        <v>HNR100158</v>
      </c>
      <c r="AF46" s="514">
        <v>726</v>
      </c>
      <c r="AH46" s="512" t="s">
        <v>721</v>
      </c>
      <c r="AI46" s="512" t="s">
        <v>1030</v>
      </c>
      <c r="AJ46" s="512" t="s">
        <v>721</v>
      </c>
      <c r="AK46" s="513"/>
      <c r="AL46" s="512" t="s">
        <v>721</v>
      </c>
      <c r="AM46" s="512" t="s">
        <v>25</v>
      </c>
      <c r="AN46" s="513"/>
      <c r="AO46" s="514">
        <v>58</v>
      </c>
      <c r="AP46" s="513"/>
      <c r="AQ46" s="298" t="str">
        <f t="shared" si="3"/>
        <v>HOR100158</v>
      </c>
      <c r="AR46" s="514">
        <v>1170</v>
      </c>
      <c r="AT46" s="512" t="s">
        <v>743</v>
      </c>
      <c r="AU46" s="512" t="s">
        <v>744</v>
      </c>
      <c r="AV46" s="512" t="s">
        <v>721</v>
      </c>
      <c r="AW46" s="513"/>
      <c r="AX46" s="512" t="s">
        <v>721</v>
      </c>
      <c r="AY46" s="512" t="s">
        <v>26</v>
      </c>
      <c r="AZ46" s="513"/>
      <c r="BA46" s="514">
        <v>43</v>
      </c>
      <c r="BB46" s="298" t="str">
        <f t="shared" si="4"/>
        <v>CLR100243</v>
      </c>
      <c r="BC46" s="514">
        <v>353</v>
      </c>
      <c r="BF46" s="512" t="s">
        <v>658</v>
      </c>
      <c r="BG46" s="512" t="s">
        <v>732</v>
      </c>
      <c r="BH46" s="512" t="s">
        <v>25</v>
      </c>
      <c r="BI46" s="514">
        <v>58</v>
      </c>
      <c r="BJ46" s="298" t="str">
        <f t="shared" si="5"/>
        <v>AOR100158</v>
      </c>
      <c r="BK46" s="514">
        <v>0</v>
      </c>
      <c r="BL46" s="514">
        <v>1</v>
      </c>
      <c r="BM46" s="514">
        <v>1</v>
      </c>
      <c r="BN46" s="514">
        <v>1</v>
      </c>
      <c r="BO46" s="514">
        <v>1</v>
      </c>
      <c r="BP46" s="514">
        <v>2</v>
      </c>
      <c r="BQ46" s="514">
        <v>2</v>
      </c>
      <c r="BR46" s="514">
        <v>2</v>
      </c>
      <c r="BS46" s="514">
        <v>3</v>
      </c>
      <c r="BT46" s="514">
        <v>0</v>
      </c>
      <c r="BU46" s="514">
        <v>0</v>
      </c>
      <c r="BV46" s="514">
        <v>0</v>
      </c>
      <c r="BW46" s="514">
        <v>0</v>
      </c>
      <c r="BX46" s="514">
        <v>0</v>
      </c>
      <c r="BY46" s="514">
        <v>0</v>
      </c>
      <c r="BZ46" s="514">
        <v>0</v>
      </c>
      <c r="CA46" s="514">
        <v>0</v>
      </c>
      <c r="CB46" s="514">
        <v>0</v>
      </c>
      <c r="CC46" s="514">
        <v>0</v>
      </c>
      <c r="CD46" s="514">
        <v>0</v>
      </c>
      <c r="CE46" s="514">
        <v>0</v>
      </c>
      <c r="CF46" s="514">
        <v>0</v>
      </c>
      <c r="CG46" s="514">
        <v>0</v>
      </c>
      <c r="CH46" s="514">
        <v>0</v>
      </c>
      <c r="CI46" s="514">
        <v>0</v>
      </c>
      <c r="CJ46" s="514">
        <v>0</v>
      </c>
      <c r="CK46" s="514">
        <v>0</v>
      </c>
      <c r="CL46" s="514">
        <v>0</v>
      </c>
      <c r="CM46" s="514">
        <v>0</v>
      </c>
      <c r="CN46" s="514">
        <v>0</v>
      </c>
      <c r="CO46" s="514">
        <v>0</v>
      </c>
      <c r="CP46" s="514">
        <v>0</v>
      </c>
      <c r="CQ46" s="514">
        <v>0</v>
      </c>
      <c r="CR46" s="514">
        <v>0</v>
      </c>
      <c r="CS46" s="514">
        <v>0</v>
      </c>
      <c r="CT46" s="514">
        <v>0</v>
      </c>
      <c r="CU46" s="514">
        <v>0</v>
      </c>
      <c r="CV46" s="514">
        <v>0</v>
      </c>
      <c r="CW46" s="514">
        <v>0</v>
      </c>
      <c r="CX46" s="514">
        <v>0</v>
      </c>
      <c r="CY46" s="514">
        <v>0</v>
      </c>
      <c r="CZ46" s="514">
        <v>0</v>
      </c>
      <c r="DA46" s="514">
        <v>0</v>
      </c>
      <c r="DB46" s="514">
        <v>0</v>
      </c>
      <c r="DC46" s="514">
        <v>0</v>
      </c>
      <c r="DD46" s="514">
        <v>0</v>
      </c>
      <c r="DE46" s="514">
        <v>0</v>
      </c>
      <c r="DF46" s="514">
        <v>0</v>
      </c>
      <c r="DG46" s="514">
        <v>0</v>
      </c>
      <c r="DH46" s="514">
        <v>0</v>
      </c>
      <c r="DI46" s="514">
        <v>0</v>
      </c>
      <c r="DJ46" s="514">
        <v>0</v>
      </c>
      <c r="DK46" s="514">
        <v>0</v>
      </c>
      <c r="DL46" s="514">
        <v>0</v>
      </c>
      <c r="DM46" s="514">
        <v>0</v>
      </c>
      <c r="DN46" s="514">
        <v>0</v>
      </c>
      <c r="DO46" s="514">
        <v>0</v>
      </c>
      <c r="DP46" s="514">
        <v>0</v>
      </c>
      <c r="DQ46" s="514">
        <v>0</v>
      </c>
      <c r="DR46" s="514">
        <v>0</v>
      </c>
      <c r="DS46" s="514">
        <v>0</v>
      </c>
      <c r="DT46" s="514">
        <v>0</v>
      </c>
      <c r="DU46" s="514">
        <v>0</v>
      </c>
      <c r="DV46" s="514">
        <v>0</v>
      </c>
      <c r="DW46" s="514">
        <v>0</v>
      </c>
      <c r="DX46" s="514">
        <v>0</v>
      </c>
      <c r="DY46" s="514">
        <v>0</v>
      </c>
      <c r="DZ46" s="514">
        <v>0</v>
      </c>
      <c r="EA46" s="514">
        <v>0</v>
      </c>
      <c r="EB46" s="514">
        <v>0</v>
      </c>
      <c r="EC46" s="514">
        <v>0</v>
      </c>
      <c r="ED46" s="514">
        <v>0</v>
      </c>
      <c r="EE46" s="514">
        <v>0</v>
      </c>
      <c r="EF46" s="514">
        <v>0</v>
      </c>
      <c r="EG46" s="514">
        <v>0</v>
      </c>
      <c r="EH46" s="514">
        <v>0</v>
      </c>
      <c r="EI46" s="514">
        <v>0</v>
      </c>
      <c r="EJ46" s="514">
        <v>0</v>
      </c>
      <c r="EK46" s="514">
        <v>0</v>
      </c>
      <c r="EL46" s="514">
        <v>0</v>
      </c>
      <c r="EM46" s="514">
        <v>0</v>
      </c>
      <c r="EN46" s="514">
        <v>0</v>
      </c>
      <c r="EO46" s="514">
        <v>0</v>
      </c>
      <c r="EP46" s="514">
        <v>0</v>
      </c>
      <c r="EQ46" s="514">
        <v>0</v>
      </c>
      <c r="ER46" s="514">
        <v>0</v>
      </c>
      <c r="ES46" s="514">
        <v>0</v>
      </c>
      <c r="ET46" s="514">
        <v>0</v>
      </c>
      <c r="EU46" s="514">
        <v>0</v>
      </c>
      <c r="EV46" s="514">
        <v>0</v>
      </c>
      <c r="EW46" s="514">
        <v>0</v>
      </c>
      <c r="EX46" s="514">
        <v>0</v>
      </c>
      <c r="EY46" s="514">
        <v>0</v>
      </c>
      <c r="EZ46" s="514">
        <v>0</v>
      </c>
      <c r="FA46" s="514">
        <v>0</v>
      </c>
      <c r="FB46" s="514">
        <v>0</v>
      </c>
      <c r="FC46" s="514">
        <v>0</v>
      </c>
      <c r="FD46" s="514">
        <v>0</v>
      </c>
      <c r="FE46" s="514">
        <v>0</v>
      </c>
      <c r="FF46" s="514">
        <v>0</v>
      </c>
      <c r="FG46" s="514">
        <v>0</v>
      </c>
      <c r="FH46" s="514">
        <v>0</v>
      </c>
      <c r="FI46" s="514">
        <v>0</v>
      </c>
      <c r="FJ46" s="514">
        <v>0</v>
      </c>
      <c r="FK46" s="514">
        <v>0</v>
      </c>
      <c r="FL46" s="514">
        <v>0</v>
      </c>
      <c r="FM46" s="514">
        <v>0</v>
      </c>
      <c r="FN46" s="514">
        <v>0</v>
      </c>
      <c r="FO46" s="514">
        <v>0</v>
      </c>
      <c r="FP46" s="514">
        <v>0</v>
      </c>
      <c r="FQ46" s="514">
        <v>0</v>
      </c>
    </row>
    <row r="47" spans="1:173" ht="16.5" hidden="1">
      <c r="A47" s="512" t="s">
        <v>658</v>
      </c>
      <c r="B47" s="512" t="s">
        <v>732</v>
      </c>
      <c r="C47" s="512" t="s">
        <v>721</v>
      </c>
      <c r="D47" s="513"/>
      <c r="E47" s="512" t="s">
        <v>721</v>
      </c>
      <c r="F47" s="512" t="s">
        <v>26</v>
      </c>
      <c r="G47" s="513"/>
      <c r="H47" s="514">
        <v>56</v>
      </c>
      <c r="I47" s="298" t="str">
        <f t="shared" si="0"/>
        <v>AOR100256</v>
      </c>
      <c r="J47" s="514">
        <v>3</v>
      </c>
      <c r="L47" s="512" t="s">
        <v>720</v>
      </c>
      <c r="M47" s="512" t="s">
        <v>739</v>
      </c>
      <c r="N47" s="512" t="s">
        <v>721</v>
      </c>
      <c r="O47" s="513"/>
      <c r="P47" s="512" t="s">
        <v>721</v>
      </c>
      <c r="Q47" s="512" t="s">
        <v>26</v>
      </c>
      <c r="R47" s="513"/>
      <c r="S47" s="514">
        <v>38</v>
      </c>
      <c r="T47" s="298" t="str">
        <f t="shared" si="1"/>
        <v>HSGA0238</v>
      </c>
      <c r="U47" s="514">
        <v>7015</v>
      </c>
      <c r="W47" s="512" t="s">
        <v>269</v>
      </c>
      <c r="X47" s="512" t="s">
        <v>843</v>
      </c>
      <c r="Y47" s="512" t="s">
        <v>721</v>
      </c>
      <c r="Z47" s="514">
        <v>10</v>
      </c>
      <c r="AA47" s="512" t="s">
        <v>721</v>
      </c>
      <c r="AB47" s="512" t="s">
        <v>25</v>
      </c>
      <c r="AC47" s="514">
        <v>0</v>
      </c>
      <c r="AD47" s="514">
        <v>59</v>
      </c>
      <c r="AE47" s="298" t="str">
        <f t="shared" si="2"/>
        <v>HNR100159</v>
      </c>
      <c r="AF47" s="514">
        <v>753</v>
      </c>
      <c r="AH47" s="512" t="s">
        <v>721</v>
      </c>
      <c r="AI47" s="512" t="s">
        <v>1030</v>
      </c>
      <c r="AJ47" s="512" t="s">
        <v>721</v>
      </c>
      <c r="AK47" s="513"/>
      <c r="AL47" s="512" t="s">
        <v>721</v>
      </c>
      <c r="AM47" s="512" t="s">
        <v>25</v>
      </c>
      <c r="AN47" s="513"/>
      <c r="AO47" s="514">
        <v>59</v>
      </c>
      <c r="AP47" s="513"/>
      <c r="AQ47" s="298" t="str">
        <f t="shared" si="3"/>
        <v>HOR100159</v>
      </c>
      <c r="AR47" s="514">
        <v>1210</v>
      </c>
      <c r="AT47" s="512" t="s">
        <v>743</v>
      </c>
      <c r="AU47" s="512" t="s">
        <v>744</v>
      </c>
      <c r="AV47" s="512" t="s">
        <v>721</v>
      </c>
      <c r="AW47" s="513"/>
      <c r="AX47" s="512" t="s">
        <v>721</v>
      </c>
      <c r="AY47" s="512" t="s">
        <v>25</v>
      </c>
      <c r="AZ47" s="513"/>
      <c r="BA47" s="514">
        <v>44</v>
      </c>
      <c r="BB47" s="298" t="str">
        <f t="shared" si="4"/>
        <v>CLR100144</v>
      </c>
      <c r="BC47" s="514">
        <v>283</v>
      </c>
      <c r="BF47" s="512" t="s">
        <v>658</v>
      </c>
      <c r="BG47" s="512" t="s">
        <v>732</v>
      </c>
      <c r="BH47" s="512" t="s">
        <v>25</v>
      </c>
      <c r="BI47" s="514">
        <v>59</v>
      </c>
      <c r="BJ47" s="298" t="str">
        <f t="shared" si="5"/>
        <v>AOR100159</v>
      </c>
      <c r="BK47" s="514">
        <v>0</v>
      </c>
      <c r="BL47" s="514">
        <v>1</v>
      </c>
      <c r="BM47" s="514">
        <v>1</v>
      </c>
      <c r="BN47" s="514">
        <v>1</v>
      </c>
      <c r="BO47" s="514">
        <v>1</v>
      </c>
      <c r="BP47" s="514">
        <v>2</v>
      </c>
      <c r="BQ47" s="514">
        <v>2</v>
      </c>
      <c r="BR47" s="514">
        <v>2</v>
      </c>
      <c r="BS47" s="514">
        <v>3</v>
      </c>
      <c r="BT47" s="514">
        <v>0</v>
      </c>
      <c r="BU47" s="514">
        <v>0</v>
      </c>
      <c r="BV47" s="514">
        <v>0</v>
      </c>
      <c r="BW47" s="514">
        <v>0</v>
      </c>
      <c r="BX47" s="514">
        <v>0</v>
      </c>
      <c r="BY47" s="514">
        <v>0</v>
      </c>
      <c r="BZ47" s="514">
        <v>0</v>
      </c>
      <c r="CA47" s="514">
        <v>0</v>
      </c>
      <c r="CB47" s="514">
        <v>0</v>
      </c>
      <c r="CC47" s="514">
        <v>0</v>
      </c>
      <c r="CD47" s="514">
        <v>0</v>
      </c>
      <c r="CE47" s="514">
        <v>0</v>
      </c>
      <c r="CF47" s="514">
        <v>0</v>
      </c>
      <c r="CG47" s="514">
        <v>0</v>
      </c>
      <c r="CH47" s="514">
        <v>0</v>
      </c>
      <c r="CI47" s="514">
        <v>0</v>
      </c>
      <c r="CJ47" s="514">
        <v>0</v>
      </c>
      <c r="CK47" s="514">
        <v>0</v>
      </c>
      <c r="CL47" s="514">
        <v>0</v>
      </c>
      <c r="CM47" s="514">
        <v>0</v>
      </c>
      <c r="CN47" s="514">
        <v>0</v>
      </c>
      <c r="CO47" s="514">
        <v>0</v>
      </c>
      <c r="CP47" s="514">
        <v>0</v>
      </c>
      <c r="CQ47" s="514">
        <v>0</v>
      </c>
      <c r="CR47" s="514">
        <v>0</v>
      </c>
      <c r="CS47" s="514">
        <v>0</v>
      </c>
      <c r="CT47" s="514">
        <v>0</v>
      </c>
      <c r="CU47" s="514">
        <v>0</v>
      </c>
      <c r="CV47" s="514">
        <v>0</v>
      </c>
      <c r="CW47" s="514">
        <v>0</v>
      </c>
      <c r="CX47" s="514">
        <v>0</v>
      </c>
      <c r="CY47" s="514">
        <v>0</v>
      </c>
      <c r="CZ47" s="514">
        <v>0</v>
      </c>
      <c r="DA47" s="514">
        <v>0</v>
      </c>
      <c r="DB47" s="514">
        <v>0</v>
      </c>
      <c r="DC47" s="514">
        <v>0</v>
      </c>
      <c r="DD47" s="514">
        <v>0</v>
      </c>
      <c r="DE47" s="514">
        <v>0</v>
      </c>
      <c r="DF47" s="514">
        <v>0</v>
      </c>
      <c r="DG47" s="514">
        <v>0</v>
      </c>
      <c r="DH47" s="514">
        <v>0</v>
      </c>
      <c r="DI47" s="514">
        <v>0</v>
      </c>
      <c r="DJ47" s="514">
        <v>0</v>
      </c>
      <c r="DK47" s="514">
        <v>0</v>
      </c>
      <c r="DL47" s="514">
        <v>0</v>
      </c>
      <c r="DM47" s="514">
        <v>0</v>
      </c>
      <c r="DN47" s="514">
        <v>0</v>
      </c>
      <c r="DO47" s="514">
        <v>0</v>
      </c>
      <c r="DP47" s="514">
        <v>0</v>
      </c>
      <c r="DQ47" s="514">
        <v>0</v>
      </c>
      <c r="DR47" s="514">
        <v>0</v>
      </c>
      <c r="DS47" s="514">
        <v>0</v>
      </c>
      <c r="DT47" s="514">
        <v>0</v>
      </c>
      <c r="DU47" s="514">
        <v>0</v>
      </c>
      <c r="DV47" s="514">
        <v>0</v>
      </c>
      <c r="DW47" s="514">
        <v>0</v>
      </c>
      <c r="DX47" s="514">
        <v>0</v>
      </c>
      <c r="DY47" s="514">
        <v>0</v>
      </c>
      <c r="DZ47" s="514">
        <v>0</v>
      </c>
      <c r="EA47" s="514">
        <v>0</v>
      </c>
      <c r="EB47" s="514">
        <v>0</v>
      </c>
      <c r="EC47" s="514">
        <v>0</v>
      </c>
      <c r="ED47" s="514">
        <v>0</v>
      </c>
      <c r="EE47" s="514">
        <v>0</v>
      </c>
      <c r="EF47" s="514">
        <v>0</v>
      </c>
      <c r="EG47" s="514">
        <v>0</v>
      </c>
      <c r="EH47" s="514">
        <v>0</v>
      </c>
      <c r="EI47" s="514">
        <v>0</v>
      </c>
      <c r="EJ47" s="514">
        <v>0</v>
      </c>
      <c r="EK47" s="514">
        <v>0</v>
      </c>
      <c r="EL47" s="514">
        <v>0</v>
      </c>
      <c r="EM47" s="514">
        <v>0</v>
      </c>
      <c r="EN47" s="514">
        <v>0</v>
      </c>
      <c r="EO47" s="514">
        <v>0</v>
      </c>
      <c r="EP47" s="514">
        <v>0</v>
      </c>
      <c r="EQ47" s="514">
        <v>0</v>
      </c>
      <c r="ER47" s="514">
        <v>0</v>
      </c>
      <c r="ES47" s="514">
        <v>0</v>
      </c>
      <c r="ET47" s="514">
        <v>0</v>
      </c>
      <c r="EU47" s="514">
        <v>0</v>
      </c>
      <c r="EV47" s="514">
        <v>0</v>
      </c>
      <c r="EW47" s="514">
        <v>0</v>
      </c>
      <c r="EX47" s="514">
        <v>0</v>
      </c>
      <c r="EY47" s="514">
        <v>0</v>
      </c>
      <c r="EZ47" s="514">
        <v>0</v>
      </c>
      <c r="FA47" s="514">
        <v>0</v>
      </c>
      <c r="FB47" s="514">
        <v>0</v>
      </c>
      <c r="FC47" s="514">
        <v>0</v>
      </c>
      <c r="FD47" s="514">
        <v>0</v>
      </c>
      <c r="FE47" s="514">
        <v>0</v>
      </c>
      <c r="FF47" s="514">
        <v>0</v>
      </c>
      <c r="FG47" s="514">
        <v>0</v>
      </c>
      <c r="FH47" s="514">
        <v>0</v>
      </c>
      <c r="FI47" s="514">
        <v>0</v>
      </c>
      <c r="FJ47" s="514">
        <v>0</v>
      </c>
      <c r="FK47" s="514">
        <v>0</v>
      </c>
      <c r="FL47" s="514">
        <v>0</v>
      </c>
      <c r="FM47" s="514">
        <v>0</v>
      </c>
      <c r="FN47" s="514">
        <v>0</v>
      </c>
      <c r="FO47" s="514">
        <v>0</v>
      </c>
      <c r="FP47" s="514">
        <v>0</v>
      </c>
      <c r="FQ47" s="514">
        <v>0</v>
      </c>
    </row>
    <row r="48" spans="1:173" ht="16.5" hidden="1">
      <c r="A48" s="512" t="s">
        <v>658</v>
      </c>
      <c r="B48" s="512" t="s">
        <v>732</v>
      </c>
      <c r="C48" s="512" t="s">
        <v>721</v>
      </c>
      <c r="D48" s="513"/>
      <c r="E48" s="512" t="s">
        <v>721</v>
      </c>
      <c r="F48" s="512" t="s">
        <v>26</v>
      </c>
      <c r="G48" s="513"/>
      <c r="H48" s="514">
        <v>57</v>
      </c>
      <c r="I48" s="298" t="str">
        <f t="shared" si="0"/>
        <v>AOR100257</v>
      </c>
      <c r="J48" s="514">
        <v>3</v>
      </c>
      <c r="L48" s="512" t="s">
        <v>720</v>
      </c>
      <c r="M48" s="512" t="s">
        <v>739</v>
      </c>
      <c r="N48" s="512" t="s">
        <v>721</v>
      </c>
      <c r="O48" s="513"/>
      <c r="P48" s="512" t="s">
        <v>721</v>
      </c>
      <c r="Q48" s="512" t="s">
        <v>26</v>
      </c>
      <c r="R48" s="513"/>
      <c r="S48" s="514">
        <v>39</v>
      </c>
      <c r="T48" s="298" t="str">
        <f t="shared" si="1"/>
        <v>HSGA0239</v>
      </c>
      <c r="U48" s="514">
        <v>7306</v>
      </c>
      <c r="W48" s="512" t="s">
        <v>269</v>
      </c>
      <c r="X48" s="512" t="s">
        <v>843</v>
      </c>
      <c r="Y48" s="512" t="s">
        <v>721</v>
      </c>
      <c r="Z48" s="514">
        <v>10</v>
      </c>
      <c r="AA48" s="512" t="s">
        <v>721</v>
      </c>
      <c r="AB48" s="512" t="s">
        <v>25</v>
      </c>
      <c r="AC48" s="514">
        <v>0</v>
      </c>
      <c r="AD48" s="514">
        <v>60</v>
      </c>
      <c r="AE48" s="298" t="str">
        <f t="shared" si="2"/>
        <v>HNR100160</v>
      </c>
      <c r="AF48" s="514">
        <v>780</v>
      </c>
      <c r="AH48" s="512" t="s">
        <v>721</v>
      </c>
      <c r="AI48" s="512" t="s">
        <v>1030</v>
      </c>
      <c r="AJ48" s="512" t="s">
        <v>721</v>
      </c>
      <c r="AK48" s="513"/>
      <c r="AL48" s="512" t="s">
        <v>721</v>
      </c>
      <c r="AM48" s="512" t="s">
        <v>25</v>
      </c>
      <c r="AN48" s="513"/>
      <c r="AO48" s="514">
        <v>60</v>
      </c>
      <c r="AP48" s="513"/>
      <c r="AQ48" s="298" t="str">
        <f t="shared" si="3"/>
        <v>HOR100160</v>
      </c>
      <c r="AR48" s="514">
        <v>1250</v>
      </c>
      <c r="AT48" s="512" t="s">
        <v>743</v>
      </c>
      <c r="AU48" s="512" t="s">
        <v>744</v>
      </c>
      <c r="AV48" s="512" t="s">
        <v>721</v>
      </c>
      <c r="AW48" s="513"/>
      <c r="AX48" s="512" t="s">
        <v>721</v>
      </c>
      <c r="AY48" s="512" t="s">
        <v>26</v>
      </c>
      <c r="AZ48" s="513"/>
      <c r="BA48" s="514">
        <v>44</v>
      </c>
      <c r="BB48" s="298" t="str">
        <f t="shared" si="4"/>
        <v>CLR100244</v>
      </c>
      <c r="BC48" s="514">
        <v>371</v>
      </c>
      <c r="BF48" s="512" t="s">
        <v>658</v>
      </c>
      <c r="BG48" s="512" t="s">
        <v>732</v>
      </c>
      <c r="BH48" s="512" t="s">
        <v>25</v>
      </c>
      <c r="BI48" s="514">
        <v>60</v>
      </c>
      <c r="BJ48" s="298" t="str">
        <f t="shared" si="5"/>
        <v>AOR100160</v>
      </c>
      <c r="BK48" s="514">
        <v>0</v>
      </c>
      <c r="BL48" s="514">
        <v>1</v>
      </c>
      <c r="BM48" s="514">
        <v>1</v>
      </c>
      <c r="BN48" s="514">
        <v>1</v>
      </c>
      <c r="BO48" s="514">
        <v>1</v>
      </c>
      <c r="BP48" s="514">
        <v>2</v>
      </c>
      <c r="BQ48" s="514">
        <v>2</v>
      </c>
      <c r="BR48" s="514">
        <v>2</v>
      </c>
      <c r="BS48" s="514">
        <v>3</v>
      </c>
      <c r="BT48" s="514">
        <v>0</v>
      </c>
      <c r="BU48" s="514">
        <v>0</v>
      </c>
      <c r="BV48" s="514">
        <v>0</v>
      </c>
      <c r="BW48" s="514">
        <v>0</v>
      </c>
      <c r="BX48" s="514">
        <v>0</v>
      </c>
      <c r="BY48" s="514">
        <v>0</v>
      </c>
      <c r="BZ48" s="514">
        <v>0</v>
      </c>
      <c r="CA48" s="514">
        <v>0</v>
      </c>
      <c r="CB48" s="514">
        <v>0</v>
      </c>
      <c r="CC48" s="514">
        <v>0</v>
      </c>
      <c r="CD48" s="514">
        <v>0</v>
      </c>
      <c r="CE48" s="514">
        <v>0</v>
      </c>
      <c r="CF48" s="514">
        <v>0</v>
      </c>
      <c r="CG48" s="514">
        <v>0</v>
      </c>
      <c r="CH48" s="514">
        <v>0</v>
      </c>
      <c r="CI48" s="514">
        <v>0</v>
      </c>
      <c r="CJ48" s="514">
        <v>0</v>
      </c>
      <c r="CK48" s="514">
        <v>0</v>
      </c>
      <c r="CL48" s="514">
        <v>0</v>
      </c>
      <c r="CM48" s="514">
        <v>0</v>
      </c>
      <c r="CN48" s="514">
        <v>0</v>
      </c>
      <c r="CO48" s="514">
        <v>0</v>
      </c>
      <c r="CP48" s="514">
        <v>0</v>
      </c>
      <c r="CQ48" s="514">
        <v>0</v>
      </c>
      <c r="CR48" s="514">
        <v>0</v>
      </c>
      <c r="CS48" s="514">
        <v>0</v>
      </c>
      <c r="CT48" s="514">
        <v>0</v>
      </c>
      <c r="CU48" s="514">
        <v>0</v>
      </c>
      <c r="CV48" s="514">
        <v>0</v>
      </c>
      <c r="CW48" s="514">
        <v>0</v>
      </c>
      <c r="CX48" s="514">
        <v>0</v>
      </c>
      <c r="CY48" s="514">
        <v>0</v>
      </c>
      <c r="CZ48" s="514">
        <v>0</v>
      </c>
      <c r="DA48" s="514">
        <v>0</v>
      </c>
      <c r="DB48" s="514">
        <v>0</v>
      </c>
      <c r="DC48" s="514">
        <v>0</v>
      </c>
      <c r="DD48" s="514">
        <v>0</v>
      </c>
      <c r="DE48" s="514">
        <v>0</v>
      </c>
      <c r="DF48" s="514">
        <v>0</v>
      </c>
      <c r="DG48" s="514">
        <v>0</v>
      </c>
      <c r="DH48" s="514">
        <v>0</v>
      </c>
      <c r="DI48" s="514">
        <v>0</v>
      </c>
      <c r="DJ48" s="514">
        <v>0</v>
      </c>
      <c r="DK48" s="514">
        <v>0</v>
      </c>
      <c r="DL48" s="514">
        <v>0</v>
      </c>
      <c r="DM48" s="514">
        <v>0</v>
      </c>
      <c r="DN48" s="514">
        <v>0</v>
      </c>
      <c r="DO48" s="514">
        <v>0</v>
      </c>
      <c r="DP48" s="514">
        <v>0</v>
      </c>
      <c r="DQ48" s="514">
        <v>0</v>
      </c>
      <c r="DR48" s="514">
        <v>0</v>
      </c>
      <c r="DS48" s="514">
        <v>0</v>
      </c>
      <c r="DT48" s="514">
        <v>0</v>
      </c>
      <c r="DU48" s="514">
        <v>0</v>
      </c>
      <c r="DV48" s="514">
        <v>0</v>
      </c>
      <c r="DW48" s="514">
        <v>0</v>
      </c>
      <c r="DX48" s="514">
        <v>0</v>
      </c>
      <c r="DY48" s="514">
        <v>0</v>
      </c>
      <c r="DZ48" s="514">
        <v>0</v>
      </c>
      <c r="EA48" s="514">
        <v>0</v>
      </c>
      <c r="EB48" s="514">
        <v>0</v>
      </c>
      <c r="EC48" s="514">
        <v>0</v>
      </c>
      <c r="ED48" s="514">
        <v>0</v>
      </c>
      <c r="EE48" s="514">
        <v>0</v>
      </c>
      <c r="EF48" s="514">
        <v>0</v>
      </c>
      <c r="EG48" s="514">
        <v>0</v>
      </c>
      <c r="EH48" s="514">
        <v>0</v>
      </c>
      <c r="EI48" s="514">
        <v>0</v>
      </c>
      <c r="EJ48" s="514">
        <v>0</v>
      </c>
      <c r="EK48" s="514">
        <v>0</v>
      </c>
      <c r="EL48" s="514">
        <v>0</v>
      </c>
      <c r="EM48" s="514">
        <v>0</v>
      </c>
      <c r="EN48" s="514">
        <v>0</v>
      </c>
      <c r="EO48" s="514">
        <v>0</v>
      </c>
      <c r="EP48" s="514">
        <v>0</v>
      </c>
      <c r="EQ48" s="514">
        <v>0</v>
      </c>
      <c r="ER48" s="514">
        <v>0</v>
      </c>
      <c r="ES48" s="514">
        <v>0</v>
      </c>
      <c r="ET48" s="514">
        <v>0</v>
      </c>
      <c r="EU48" s="514">
        <v>0</v>
      </c>
      <c r="EV48" s="514">
        <v>0</v>
      </c>
      <c r="EW48" s="514">
        <v>0</v>
      </c>
      <c r="EX48" s="514">
        <v>0</v>
      </c>
      <c r="EY48" s="514">
        <v>0</v>
      </c>
      <c r="EZ48" s="514">
        <v>0</v>
      </c>
      <c r="FA48" s="514">
        <v>0</v>
      </c>
      <c r="FB48" s="514">
        <v>0</v>
      </c>
      <c r="FC48" s="514">
        <v>0</v>
      </c>
      <c r="FD48" s="514">
        <v>0</v>
      </c>
      <c r="FE48" s="514">
        <v>0</v>
      </c>
      <c r="FF48" s="514">
        <v>0</v>
      </c>
      <c r="FG48" s="514">
        <v>0</v>
      </c>
      <c r="FH48" s="514">
        <v>0</v>
      </c>
      <c r="FI48" s="514">
        <v>0</v>
      </c>
      <c r="FJ48" s="514">
        <v>0</v>
      </c>
      <c r="FK48" s="514">
        <v>0</v>
      </c>
      <c r="FL48" s="514">
        <v>0</v>
      </c>
      <c r="FM48" s="514">
        <v>0</v>
      </c>
      <c r="FN48" s="514">
        <v>0</v>
      </c>
      <c r="FO48" s="514">
        <v>0</v>
      </c>
      <c r="FP48" s="514">
        <v>0</v>
      </c>
      <c r="FQ48" s="514">
        <v>0</v>
      </c>
    </row>
    <row r="49" spans="1:173" ht="16.5" hidden="1">
      <c r="A49" s="512" t="s">
        <v>658</v>
      </c>
      <c r="B49" s="512" t="s">
        <v>732</v>
      </c>
      <c r="C49" s="512" t="s">
        <v>721</v>
      </c>
      <c r="D49" s="513"/>
      <c r="E49" s="512" t="s">
        <v>721</v>
      </c>
      <c r="F49" s="512" t="s">
        <v>26</v>
      </c>
      <c r="G49" s="513"/>
      <c r="H49" s="514">
        <v>58</v>
      </c>
      <c r="I49" s="298" t="str">
        <f t="shared" si="0"/>
        <v>AOR100258</v>
      </c>
      <c r="J49" s="514">
        <v>3</v>
      </c>
      <c r="L49" s="512" t="s">
        <v>720</v>
      </c>
      <c r="M49" s="512" t="s">
        <v>739</v>
      </c>
      <c r="N49" s="512" t="s">
        <v>721</v>
      </c>
      <c r="O49" s="513"/>
      <c r="P49" s="512" t="s">
        <v>721</v>
      </c>
      <c r="Q49" s="512" t="s">
        <v>26</v>
      </c>
      <c r="R49" s="513"/>
      <c r="S49" s="514">
        <v>40</v>
      </c>
      <c r="T49" s="298" t="str">
        <f t="shared" si="1"/>
        <v>HSGA0240</v>
      </c>
      <c r="U49" s="514">
        <v>7593</v>
      </c>
      <c r="W49" s="512" t="s">
        <v>269</v>
      </c>
      <c r="X49" s="512" t="s">
        <v>843</v>
      </c>
      <c r="Y49" s="512" t="s">
        <v>721</v>
      </c>
      <c r="Z49" s="514">
        <v>10</v>
      </c>
      <c r="AA49" s="512" t="s">
        <v>721</v>
      </c>
      <c r="AB49" s="512" t="s">
        <v>25</v>
      </c>
      <c r="AC49" s="514">
        <v>0</v>
      </c>
      <c r="AD49" s="514">
        <v>61</v>
      </c>
      <c r="AE49" s="298" t="str">
        <f t="shared" si="2"/>
        <v>HNR100161</v>
      </c>
      <c r="AF49" s="514">
        <v>819</v>
      </c>
      <c r="AH49" s="512" t="s">
        <v>721</v>
      </c>
      <c r="AI49" s="512" t="s">
        <v>1030</v>
      </c>
      <c r="AJ49" s="512" t="s">
        <v>721</v>
      </c>
      <c r="AK49" s="513"/>
      <c r="AL49" s="512" t="s">
        <v>721</v>
      </c>
      <c r="AM49" s="512" t="s">
        <v>25</v>
      </c>
      <c r="AN49" s="513"/>
      <c r="AO49" s="514">
        <v>61</v>
      </c>
      <c r="AP49" s="513"/>
      <c r="AQ49" s="298" t="str">
        <f t="shared" si="3"/>
        <v>HOR100161</v>
      </c>
      <c r="AR49" s="514">
        <v>1300</v>
      </c>
      <c r="AT49" s="512" t="s">
        <v>743</v>
      </c>
      <c r="AU49" s="512" t="s">
        <v>744</v>
      </c>
      <c r="AV49" s="512" t="s">
        <v>721</v>
      </c>
      <c r="AW49" s="513"/>
      <c r="AX49" s="512" t="s">
        <v>721</v>
      </c>
      <c r="AY49" s="512" t="s">
        <v>25</v>
      </c>
      <c r="AZ49" s="513"/>
      <c r="BA49" s="514">
        <v>45</v>
      </c>
      <c r="BB49" s="298" t="str">
        <f t="shared" si="4"/>
        <v>CLR100145</v>
      </c>
      <c r="BC49" s="514">
        <v>303</v>
      </c>
      <c r="BF49" s="512" t="s">
        <v>658</v>
      </c>
      <c r="BG49" s="512" t="s">
        <v>732</v>
      </c>
      <c r="BH49" s="512" t="s">
        <v>25</v>
      </c>
      <c r="BI49" s="514">
        <v>61</v>
      </c>
      <c r="BJ49" s="298" t="str">
        <f t="shared" si="5"/>
        <v>AOR100161</v>
      </c>
      <c r="BK49" s="514">
        <v>0</v>
      </c>
      <c r="BL49" s="514">
        <v>1</v>
      </c>
      <c r="BM49" s="514">
        <v>1</v>
      </c>
      <c r="BN49" s="514">
        <v>1</v>
      </c>
      <c r="BO49" s="514">
        <v>2</v>
      </c>
      <c r="BP49" s="514">
        <v>2</v>
      </c>
      <c r="BQ49" s="514">
        <v>3</v>
      </c>
      <c r="BR49" s="514">
        <v>3</v>
      </c>
      <c r="BS49" s="514">
        <v>4</v>
      </c>
      <c r="BT49" s="514">
        <v>0</v>
      </c>
      <c r="BU49" s="514">
        <v>0</v>
      </c>
      <c r="BV49" s="514">
        <v>0</v>
      </c>
      <c r="BW49" s="514">
        <v>0</v>
      </c>
      <c r="BX49" s="514">
        <v>0</v>
      </c>
      <c r="BY49" s="514">
        <v>0</v>
      </c>
      <c r="BZ49" s="514">
        <v>0</v>
      </c>
      <c r="CA49" s="514">
        <v>0</v>
      </c>
      <c r="CB49" s="514">
        <v>0</v>
      </c>
      <c r="CC49" s="514">
        <v>0</v>
      </c>
      <c r="CD49" s="514">
        <v>0</v>
      </c>
      <c r="CE49" s="514">
        <v>0</v>
      </c>
      <c r="CF49" s="514">
        <v>0</v>
      </c>
      <c r="CG49" s="514">
        <v>0</v>
      </c>
      <c r="CH49" s="514">
        <v>0</v>
      </c>
      <c r="CI49" s="514">
        <v>0</v>
      </c>
      <c r="CJ49" s="514">
        <v>0</v>
      </c>
      <c r="CK49" s="514">
        <v>0</v>
      </c>
      <c r="CL49" s="514">
        <v>0</v>
      </c>
      <c r="CM49" s="514">
        <v>0</v>
      </c>
      <c r="CN49" s="514">
        <v>0</v>
      </c>
      <c r="CO49" s="514">
        <v>0</v>
      </c>
      <c r="CP49" s="514">
        <v>0</v>
      </c>
      <c r="CQ49" s="514">
        <v>0</v>
      </c>
      <c r="CR49" s="514">
        <v>0</v>
      </c>
      <c r="CS49" s="514">
        <v>0</v>
      </c>
      <c r="CT49" s="514">
        <v>0</v>
      </c>
      <c r="CU49" s="514">
        <v>0</v>
      </c>
      <c r="CV49" s="514">
        <v>0</v>
      </c>
      <c r="CW49" s="514">
        <v>0</v>
      </c>
      <c r="CX49" s="514">
        <v>0</v>
      </c>
      <c r="CY49" s="514">
        <v>0</v>
      </c>
      <c r="CZ49" s="514">
        <v>0</v>
      </c>
      <c r="DA49" s="514">
        <v>0</v>
      </c>
      <c r="DB49" s="514">
        <v>0</v>
      </c>
      <c r="DC49" s="514">
        <v>0</v>
      </c>
      <c r="DD49" s="514">
        <v>0</v>
      </c>
      <c r="DE49" s="514">
        <v>0</v>
      </c>
      <c r="DF49" s="514">
        <v>0</v>
      </c>
      <c r="DG49" s="514">
        <v>0</v>
      </c>
      <c r="DH49" s="514">
        <v>0</v>
      </c>
      <c r="DI49" s="514">
        <v>0</v>
      </c>
      <c r="DJ49" s="514">
        <v>0</v>
      </c>
      <c r="DK49" s="514">
        <v>0</v>
      </c>
      <c r="DL49" s="514">
        <v>0</v>
      </c>
      <c r="DM49" s="514">
        <v>0</v>
      </c>
      <c r="DN49" s="514">
        <v>0</v>
      </c>
      <c r="DO49" s="514">
        <v>0</v>
      </c>
      <c r="DP49" s="514">
        <v>0</v>
      </c>
      <c r="DQ49" s="514">
        <v>0</v>
      </c>
      <c r="DR49" s="514">
        <v>0</v>
      </c>
      <c r="DS49" s="514">
        <v>0</v>
      </c>
      <c r="DT49" s="514">
        <v>0</v>
      </c>
      <c r="DU49" s="514">
        <v>0</v>
      </c>
      <c r="DV49" s="514">
        <v>0</v>
      </c>
      <c r="DW49" s="514">
        <v>0</v>
      </c>
      <c r="DX49" s="514">
        <v>0</v>
      </c>
      <c r="DY49" s="514">
        <v>0</v>
      </c>
      <c r="DZ49" s="514">
        <v>0</v>
      </c>
      <c r="EA49" s="514">
        <v>0</v>
      </c>
      <c r="EB49" s="514">
        <v>0</v>
      </c>
      <c r="EC49" s="514">
        <v>0</v>
      </c>
      <c r="ED49" s="514">
        <v>0</v>
      </c>
      <c r="EE49" s="514">
        <v>0</v>
      </c>
      <c r="EF49" s="514">
        <v>0</v>
      </c>
      <c r="EG49" s="514">
        <v>0</v>
      </c>
      <c r="EH49" s="514">
        <v>0</v>
      </c>
      <c r="EI49" s="514">
        <v>0</v>
      </c>
      <c r="EJ49" s="514">
        <v>0</v>
      </c>
      <c r="EK49" s="514">
        <v>0</v>
      </c>
      <c r="EL49" s="514">
        <v>0</v>
      </c>
      <c r="EM49" s="514">
        <v>0</v>
      </c>
      <c r="EN49" s="514">
        <v>0</v>
      </c>
      <c r="EO49" s="514">
        <v>0</v>
      </c>
      <c r="EP49" s="514">
        <v>0</v>
      </c>
      <c r="EQ49" s="514">
        <v>0</v>
      </c>
      <c r="ER49" s="514">
        <v>0</v>
      </c>
      <c r="ES49" s="514">
        <v>0</v>
      </c>
      <c r="ET49" s="514">
        <v>0</v>
      </c>
      <c r="EU49" s="514">
        <v>0</v>
      </c>
      <c r="EV49" s="514">
        <v>0</v>
      </c>
      <c r="EW49" s="514">
        <v>0</v>
      </c>
      <c r="EX49" s="514">
        <v>0</v>
      </c>
      <c r="EY49" s="514">
        <v>0</v>
      </c>
      <c r="EZ49" s="514">
        <v>0</v>
      </c>
      <c r="FA49" s="514">
        <v>0</v>
      </c>
      <c r="FB49" s="514">
        <v>0</v>
      </c>
      <c r="FC49" s="514">
        <v>0</v>
      </c>
      <c r="FD49" s="514">
        <v>0</v>
      </c>
      <c r="FE49" s="514">
        <v>0</v>
      </c>
      <c r="FF49" s="514">
        <v>0</v>
      </c>
      <c r="FG49" s="514">
        <v>0</v>
      </c>
      <c r="FH49" s="514">
        <v>0</v>
      </c>
      <c r="FI49" s="514">
        <v>0</v>
      </c>
      <c r="FJ49" s="514">
        <v>0</v>
      </c>
      <c r="FK49" s="514">
        <v>0</v>
      </c>
      <c r="FL49" s="514">
        <v>0</v>
      </c>
      <c r="FM49" s="514">
        <v>0</v>
      </c>
      <c r="FN49" s="514">
        <v>0</v>
      </c>
      <c r="FO49" s="514">
        <v>0</v>
      </c>
      <c r="FP49" s="514">
        <v>0</v>
      </c>
      <c r="FQ49" s="514">
        <v>0</v>
      </c>
    </row>
    <row r="50" spans="1:173" ht="16.5" hidden="1">
      <c r="A50" s="512" t="s">
        <v>658</v>
      </c>
      <c r="B50" s="512" t="s">
        <v>732</v>
      </c>
      <c r="C50" s="512" t="s">
        <v>721</v>
      </c>
      <c r="D50" s="513"/>
      <c r="E50" s="512" t="s">
        <v>721</v>
      </c>
      <c r="F50" s="512" t="s">
        <v>26</v>
      </c>
      <c r="G50" s="513"/>
      <c r="H50" s="514">
        <v>59</v>
      </c>
      <c r="I50" s="298" t="str">
        <f t="shared" si="0"/>
        <v>AOR100259</v>
      </c>
      <c r="J50" s="514">
        <v>3</v>
      </c>
      <c r="L50" s="512" t="s">
        <v>720</v>
      </c>
      <c r="M50" s="512" t="s">
        <v>739</v>
      </c>
      <c r="N50" s="512" t="s">
        <v>721</v>
      </c>
      <c r="O50" s="513"/>
      <c r="P50" s="512" t="s">
        <v>721</v>
      </c>
      <c r="Q50" s="512" t="s">
        <v>26</v>
      </c>
      <c r="R50" s="513"/>
      <c r="S50" s="514">
        <v>41</v>
      </c>
      <c r="T50" s="298" t="str">
        <f t="shared" si="1"/>
        <v>HSGA0241</v>
      </c>
      <c r="U50" s="514">
        <v>7876</v>
      </c>
      <c r="W50" s="512" t="s">
        <v>269</v>
      </c>
      <c r="X50" s="512" t="s">
        <v>843</v>
      </c>
      <c r="Y50" s="512" t="s">
        <v>721</v>
      </c>
      <c r="Z50" s="514">
        <v>10</v>
      </c>
      <c r="AA50" s="512" t="s">
        <v>721</v>
      </c>
      <c r="AB50" s="512" t="s">
        <v>25</v>
      </c>
      <c r="AC50" s="514">
        <v>0</v>
      </c>
      <c r="AD50" s="514">
        <v>62</v>
      </c>
      <c r="AE50" s="298" t="str">
        <f t="shared" si="2"/>
        <v>HNR100162</v>
      </c>
      <c r="AF50" s="514">
        <v>861</v>
      </c>
      <c r="AH50" s="512" t="s">
        <v>721</v>
      </c>
      <c r="AI50" s="512" t="s">
        <v>1030</v>
      </c>
      <c r="AJ50" s="512" t="s">
        <v>721</v>
      </c>
      <c r="AK50" s="513"/>
      <c r="AL50" s="512" t="s">
        <v>721</v>
      </c>
      <c r="AM50" s="512" t="s">
        <v>25</v>
      </c>
      <c r="AN50" s="513"/>
      <c r="AO50" s="514">
        <v>62</v>
      </c>
      <c r="AP50" s="513"/>
      <c r="AQ50" s="298" t="str">
        <f t="shared" si="3"/>
        <v>HOR100162</v>
      </c>
      <c r="AR50" s="514">
        <v>1360</v>
      </c>
      <c r="AT50" s="512" t="s">
        <v>743</v>
      </c>
      <c r="AU50" s="512" t="s">
        <v>744</v>
      </c>
      <c r="AV50" s="512" t="s">
        <v>721</v>
      </c>
      <c r="AW50" s="513"/>
      <c r="AX50" s="512" t="s">
        <v>721</v>
      </c>
      <c r="AY50" s="512" t="s">
        <v>26</v>
      </c>
      <c r="AZ50" s="513"/>
      <c r="BA50" s="514">
        <v>45</v>
      </c>
      <c r="BB50" s="298" t="str">
        <f t="shared" si="4"/>
        <v>CLR100245</v>
      </c>
      <c r="BC50" s="514">
        <v>388</v>
      </c>
      <c r="BF50" s="512" t="s">
        <v>658</v>
      </c>
      <c r="BG50" s="512" t="s">
        <v>732</v>
      </c>
      <c r="BH50" s="512" t="s">
        <v>25</v>
      </c>
      <c r="BI50" s="514">
        <v>62</v>
      </c>
      <c r="BJ50" s="298" t="str">
        <f t="shared" si="5"/>
        <v>AOR100162</v>
      </c>
      <c r="BK50" s="514">
        <v>0</v>
      </c>
      <c r="BL50" s="514">
        <v>1</v>
      </c>
      <c r="BM50" s="514">
        <v>2</v>
      </c>
      <c r="BN50" s="514">
        <v>2</v>
      </c>
      <c r="BO50" s="514">
        <v>2</v>
      </c>
      <c r="BP50" s="514">
        <v>3</v>
      </c>
      <c r="BQ50" s="514">
        <v>3</v>
      </c>
      <c r="BR50" s="514">
        <v>4</v>
      </c>
      <c r="BS50" s="514">
        <v>4</v>
      </c>
      <c r="BT50" s="514">
        <v>0</v>
      </c>
      <c r="BU50" s="514">
        <v>0</v>
      </c>
      <c r="BV50" s="514">
        <v>0</v>
      </c>
      <c r="BW50" s="514">
        <v>0</v>
      </c>
      <c r="BX50" s="514">
        <v>0</v>
      </c>
      <c r="BY50" s="514">
        <v>0</v>
      </c>
      <c r="BZ50" s="514">
        <v>0</v>
      </c>
      <c r="CA50" s="514">
        <v>0</v>
      </c>
      <c r="CB50" s="514">
        <v>0</v>
      </c>
      <c r="CC50" s="514">
        <v>0</v>
      </c>
      <c r="CD50" s="514">
        <v>0</v>
      </c>
      <c r="CE50" s="514">
        <v>0</v>
      </c>
      <c r="CF50" s="514">
        <v>0</v>
      </c>
      <c r="CG50" s="514">
        <v>0</v>
      </c>
      <c r="CH50" s="514">
        <v>0</v>
      </c>
      <c r="CI50" s="514">
        <v>0</v>
      </c>
      <c r="CJ50" s="514">
        <v>0</v>
      </c>
      <c r="CK50" s="514">
        <v>0</v>
      </c>
      <c r="CL50" s="514">
        <v>0</v>
      </c>
      <c r="CM50" s="514">
        <v>0</v>
      </c>
      <c r="CN50" s="514">
        <v>0</v>
      </c>
      <c r="CO50" s="514">
        <v>0</v>
      </c>
      <c r="CP50" s="514">
        <v>0</v>
      </c>
      <c r="CQ50" s="514">
        <v>0</v>
      </c>
      <c r="CR50" s="514">
        <v>0</v>
      </c>
      <c r="CS50" s="514">
        <v>0</v>
      </c>
      <c r="CT50" s="514">
        <v>0</v>
      </c>
      <c r="CU50" s="514">
        <v>0</v>
      </c>
      <c r="CV50" s="514">
        <v>0</v>
      </c>
      <c r="CW50" s="514">
        <v>0</v>
      </c>
      <c r="CX50" s="514">
        <v>0</v>
      </c>
      <c r="CY50" s="514">
        <v>0</v>
      </c>
      <c r="CZ50" s="514">
        <v>0</v>
      </c>
      <c r="DA50" s="514">
        <v>0</v>
      </c>
      <c r="DB50" s="514">
        <v>0</v>
      </c>
      <c r="DC50" s="514">
        <v>0</v>
      </c>
      <c r="DD50" s="514">
        <v>0</v>
      </c>
      <c r="DE50" s="514">
        <v>0</v>
      </c>
      <c r="DF50" s="514">
        <v>0</v>
      </c>
      <c r="DG50" s="514">
        <v>0</v>
      </c>
      <c r="DH50" s="514">
        <v>0</v>
      </c>
      <c r="DI50" s="514">
        <v>0</v>
      </c>
      <c r="DJ50" s="514">
        <v>0</v>
      </c>
      <c r="DK50" s="514">
        <v>0</v>
      </c>
      <c r="DL50" s="514">
        <v>0</v>
      </c>
      <c r="DM50" s="514">
        <v>0</v>
      </c>
      <c r="DN50" s="514">
        <v>0</v>
      </c>
      <c r="DO50" s="514">
        <v>0</v>
      </c>
      <c r="DP50" s="514">
        <v>0</v>
      </c>
      <c r="DQ50" s="514">
        <v>0</v>
      </c>
      <c r="DR50" s="514">
        <v>0</v>
      </c>
      <c r="DS50" s="514">
        <v>0</v>
      </c>
      <c r="DT50" s="514">
        <v>0</v>
      </c>
      <c r="DU50" s="514">
        <v>0</v>
      </c>
      <c r="DV50" s="514">
        <v>0</v>
      </c>
      <c r="DW50" s="514">
        <v>0</v>
      </c>
      <c r="DX50" s="514">
        <v>0</v>
      </c>
      <c r="DY50" s="514">
        <v>0</v>
      </c>
      <c r="DZ50" s="514">
        <v>0</v>
      </c>
      <c r="EA50" s="514">
        <v>0</v>
      </c>
      <c r="EB50" s="514">
        <v>0</v>
      </c>
      <c r="EC50" s="514">
        <v>0</v>
      </c>
      <c r="ED50" s="514">
        <v>0</v>
      </c>
      <c r="EE50" s="514">
        <v>0</v>
      </c>
      <c r="EF50" s="514">
        <v>0</v>
      </c>
      <c r="EG50" s="514">
        <v>0</v>
      </c>
      <c r="EH50" s="514">
        <v>0</v>
      </c>
      <c r="EI50" s="514">
        <v>0</v>
      </c>
      <c r="EJ50" s="514">
        <v>0</v>
      </c>
      <c r="EK50" s="514">
        <v>0</v>
      </c>
      <c r="EL50" s="514">
        <v>0</v>
      </c>
      <c r="EM50" s="514">
        <v>0</v>
      </c>
      <c r="EN50" s="514">
        <v>0</v>
      </c>
      <c r="EO50" s="514">
        <v>0</v>
      </c>
      <c r="EP50" s="514">
        <v>0</v>
      </c>
      <c r="EQ50" s="514">
        <v>0</v>
      </c>
      <c r="ER50" s="514">
        <v>0</v>
      </c>
      <c r="ES50" s="514">
        <v>0</v>
      </c>
      <c r="ET50" s="514">
        <v>0</v>
      </c>
      <c r="EU50" s="514">
        <v>0</v>
      </c>
      <c r="EV50" s="514">
        <v>0</v>
      </c>
      <c r="EW50" s="514">
        <v>0</v>
      </c>
      <c r="EX50" s="514">
        <v>0</v>
      </c>
      <c r="EY50" s="514">
        <v>0</v>
      </c>
      <c r="EZ50" s="514">
        <v>0</v>
      </c>
      <c r="FA50" s="514">
        <v>0</v>
      </c>
      <c r="FB50" s="514">
        <v>0</v>
      </c>
      <c r="FC50" s="514">
        <v>0</v>
      </c>
      <c r="FD50" s="514">
        <v>0</v>
      </c>
      <c r="FE50" s="514">
        <v>0</v>
      </c>
      <c r="FF50" s="514">
        <v>0</v>
      </c>
      <c r="FG50" s="514">
        <v>0</v>
      </c>
      <c r="FH50" s="514">
        <v>0</v>
      </c>
      <c r="FI50" s="514">
        <v>0</v>
      </c>
      <c r="FJ50" s="514">
        <v>0</v>
      </c>
      <c r="FK50" s="514">
        <v>0</v>
      </c>
      <c r="FL50" s="514">
        <v>0</v>
      </c>
      <c r="FM50" s="514">
        <v>0</v>
      </c>
      <c r="FN50" s="514">
        <v>0</v>
      </c>
      <c r="FO50" s="514">
        <v>0</v>
      </c>
      <c r="FP50" s="514">
        <v>0</v>
      </c>
      <c r="FQ50" s="514">
        <v>0</v>
      </c>
    </row>
    <row r="51" spans="1:173" ht="16.5" hidden="1">
      <c r="A51" s="512" t="s">
        <v>658</v>
      </c>
      <c r="B51" s="512" t="s">
        <v>732</v>
      </c>
      <c r="C51" s="512" t="s">
        <v>721</v>
      </c>
      <c r="D51" s="513"/>
      <c r="E51" s="512" t="s">
        <v>721</v>
      </c>
      <c r="F51" s="512" t="s">
        <v>26</v>
      </c>
      <c r="G51" s="513"/>
      <c r="H51" s="514">
        <v>60</v>
      </c>
      <c r="I51" s="298" t="str">
        <f t="shared" si="0"/>
        <v>AOR100260</v>
      </c>
      <c r="J51" s="514">
        <v>3</v>
      </c>
      <c r="L51" s="512" t="s">
        <v>720</v>
      </c>
      <c r="M51" s="512" t="s">
        <v>739</v>
      </c>
      <c r="N51" s="512" t="s">
        <v>721</v>
      </c>
      <c r="O51" s="513"/>
      <c r="P51" s="512" t="s">
        <v>721</v>
      </c>
      <c r="Q51" s="512" t="s">
        <v>26</v>
      </c>
      <c r="R51" s="513"/>
      <c r="S51" s="514">
        <v>42</v>
      </c>
      <c r="T51" s="298" t="str">
        <f t="shared" si="1"/>
        <v>HSGA0242</v>
      </c>
      <c r="U51" s="514">
        <v>8155</v>
      </c>
      <c r="W51" s="512" t="s">
        <v>269</v>
      </c>
      <c r="X51" s="512" t="s">
        <v>843</v>
      </c>
      <c r="Y51" s="512" t="s">
        <v>721</v>
      </c>
      <c r="Z51" s="514">
        <v>10</v>
      </c>
      <c r="AA51" s="512" t="s">
        <v>721</v>
      </c>
      <c r="AB51" s="512" t="s">
        <v>25</v>
      </c>
      <c r="AC51" s="514">
        <v>0</v>
      </c>
      <c r="AD51" s="514">
        <v>63</v>
      </c>
      <c r="AE51" s="298" t="str">
        <f t="shared" si="2"/>
        <v>HNR100163</v>
      </c>
      <c r="AF51" s="514">
        <v>906</v>
      </c>
      <c r="AH51" s="512" t="s">
        <v>721</v>
      </c>
      <c r="AI51" s="512" t="s">
        <v>1030</v>
      </c>
      <c r="AJ51" s="512" t="s">
        <v>721</v>
      </c>
      <c r="AK51" s="513"/>
      <c r="AL51" s="512" t="s">
        <v>721</v>
      </c>
      <c r="AM51" s="512" t="s">
        <v>25</v>
      </c>
      <c r="AN51" s="513"/>
      <c r="AO51" s="514">
        <v>63</v>
      </c>
      <c r="AP51" s="513"/>
      <c r="AQ51" s="298" t="str">
        <f t="shared" si="3"/>
        <v>HOR100163</v>
      </c>
      <c r="AR51" s="514">
        <v>1415</v>
      </c>
      <c r="AT51" s="512" t="s">
        <v>743</v>
      </c>
      <c r="AU51" s="512" t="s">
        <v>744</v>
      </c>
      <c r="AV51" s="512" t="s">
        <v>721</v>
      </c>
      <c r="AW51" s="513"/>
      <c r="AX51" s="512" t="s">
        <v>721</v>
      </c>
      <c r="AY51" s="512" t="s">
        <v>25</v>
      </c>
      <c r="AZ51" s="513"/>
      <c r="BA51" s="514">
        <v>46</v>
      </c>
      <c r="BB51" s="298" t="str">
        <f t="shared" si="4"/>
        <v>CLR100146</v>
      </c>
      <c r="BC51" s="514">
        <v>320</v>
      </c>
      <c r="BF51" s="512" t="s">
        <v>658</v>
      </c>
      <c r="BG51" s="512" t="s">
        <v>732</v>
      </c>
      <c r="BH51" s="512" t="s">
        <v>25</v>
      </c>
      <c r="BI51" s="514">
        <v>63</v>
      </c>
      <c r="BJ51" s="298" t="str">
        <f t="shared" si="5"/>
        <v>AOR100163</v>
      </c>
      <c r="BK51" s="514">
        <v>0</v>
      </c>
      <c r="BL51" s="514">
        <v>2</v>
      </c>
      <c r="BM51" s="514">
        <v>2</v>
      </c>
      <c r="BN51" s="514">
        <v>2</v>
      </c>
      <c r="BO51" s="514">
        <v>2</v>
      </c>
      <c r="BP51" s="514">
        <v>3</v>
      </c>
      <c r="BQ51" s="514">
        <v>4</v>
      </c>
      <c r="BR51" s="514">
        <v>4</v>
      </c>
      <c r="BS51" s="514">
        <v>4</v>
      </c>
      <c r="BT51" s="514">
        <v>0</v>
      </c>
      <c r="BU51" s="514">
        <v>0</v>
      </c>
      <c r="BV51" s="514">
        <v>0</v>
      </c>
      <c r="BW51" s="514">
        <v>0</v>
      </c>
      <c r="BX51" s="514">
        <v>0</v>
      </c>
      <c r="BY51" s="514">
        <v>0</v>
      </c>
      <c r="BZ51" s="514">
        <v>0</v>
      </c>
      <c r="CA51" s="514">
        <v>0</v>
      </c>
      <c r="CB51" s="514">
        <v>0</v>
      </c>
      <c r="CC51" s="514">
        <v>0</v>
      </c>
      <c r="CD51" s="514">
        <v>0</v>
      </c>
      <c r="CE51" s="514">
        <v>0</v>
      </c>
      <c r="CF51" s="514">
        <v>0</v>
      </c>
      <c r="CG51" s="514">
        <v>0</v>
      </c>
      <c r="CH51" s="514">
        <v>0</v>
      </c>
      <c r="CI51" s="514">
        <v>0</v>
      </c>
      <c r="CJ51" s="514">
        <v>0</v>
      </c>
      <c r="CK51" s="514">
        <v>0</v>
      </c>
      <c r="CL51" s="514">
        <v>0</v>
      </c>
      <c r="CM51" s="514">
        <v>0</v>
      </c>
      <c r="CN51" s="514">
        <v>0</v>
      </c>
      <c r="CO51" s="514">
        <v>0</v>
      </c>
      <c r="CP51" s="514">
        <v>0</v>
      </c>
      <c r="CQ51" s="514">
        <v>0</v>
      </c>
      <c r="CR51" s="514">
        <v>0</v>
      </c>
      <c r="CS51" s="514">
        <v>0</v>
      </c>
      <c r="CT51" s="514">
        <v>0</v>
      </c>
      <c r="CU51" s="514">
        <v>0</v>
      </c>
      <c r="CV51" s="514">
        <v>0</v>
      </c>
      <c r="CW51" s="514">
        <v>0</v>
      </c>
      <c r="CX51" s="514">
        <v>0</v>
      </c>
      <c r="CY51" s="514">
        <v>0</v>
      </c>
      <c r="CZ51" s="514">
        <v>0</v>
      </c>
      <c r="DA51" s="514">
        <v>0</v>
      </c>
      <c r="DB51" s="514">
        <v>0</v>
      </c>
      <c r="DC51" s="514">
        <v>0</v>
      </c>
      <c r="DD51" s="514">
        <v>0</v>
      </c>
      <c r="DE51" s="514">
        <v>0</v>
      </c>
      <c r="DF51" s="514">
        <v>0</v>
      </c>
      <c r="DG51" s="514">
        <v>0</v>
      </c>
      <c r="DH51" s="514">
        <v>0</v>
      </c>
      <c r="DI51" s="514">
        <v>0</v>
      </c>
      <c r="DJ51" s="514">
        <v>0</v>
      </c>
      <c r="DK51" s="514">
        <v>0</v>
      </c>
      <c r="DL51" s="514">
        <v>0</v>
      </c>
      <c r="DM51" s="514">
        <v>0</v>
      </c>
      <c r="DN51" s="514">
        <v>0</v>
      </c>
      <c r="DO51" s="514">
        <v>0</v>
      </c>
      <c r="DP51" s="514">
        <v>0</v>
      </c>
      <c r="DQ51" s="514">
        <v>0</v>
      </c>
      <c r="DR51" s="514">
        <v>0</v>
      </c>
      <c r="DS51" s="514">
        <v>0</v>
      </c>
      <c r="DT51" s="514">
        <v>0</v>
      </c>
      <c r="DU51" s="514">
        <v>0</v>
      </c>
      <c r="DV51" s="514">
        <v>0</v>
      </c>
      <c r="DW51" s="514">
        <v>0</v>
      </c>
      <c r="DX51" s="514">
        <v>0</v>
      </c>
      <c r="DY51" s="514">
        <v>0</v>
      </c>
      <c r="DZ51" s="514">
        <v>0</v>
      </c>
      <c r="EA51" s="514">
        <v>0</v>
      </c>
      <c r="EB51" s="514">
        <v>0</v>
      </c>
      <c r="EC51" s="514">
        <v>0</v>
      </c>
      <c r="ED51" s="514">
        <v>0</v>
      </c>
      <c r="EE51" s="514">
        <v>0</v>
      </c>
      <c r="EF51" s="514">
        <v>0</v>
      </c>
      <c r="EG51" s="514">
        <v>0</v>
      </c>
      <c r="EH51" s="514">
        <v>0</v>
      </c>
      <c r="EI51" s="514">
        <v>0</v>
      </c>
      <c r="EJ51" s="514">
        <v>0</v>
      </c>
      <c r="EK51" s="514">
        <v>0</v>
      </c>
      <c r="EL51" s="514">
        <v>0</v>
      </c>
      <c r="EM51" s="514">
        <v>0</v>
      </c>
      <c r="EN51" s="514">
        <v>0</v>
      </c>
      <c r="EO51" s="514">
        <v>0</v>
      </c>
      <c r="EP51" s="514">
        <v>0</v>
      </c>
      <c r="EQ51" s="514">
        <v>0</v>
      </c>
      <c r="ER51" s="514">
        <v>0</v>
      </c>
      <c r="ES51" s="514">
        <v>0</v>
      </c>
      <c r="ET51" s="514">
        <v>0</v>
      </c>
      <c r="EU51" s="514">
        <v>0</v>
      </c>
      <c r="EV51" s="514">
        <v>0</v>
      </c>
      <c r="EW51" s="514">
        <v>0</v>
      </c>
      <c r="EX51" s="514">
        <v>0</v>
      </c>
      <c r="EY51" s="514">
        <v>0</v>
      </c>
      <c r="EZ51" s="514">
        <v>0</v>
      </c>
      <c r="FA51" s="514">
        <v>0</v>
      </c>
      <c r="FB51" s="514">
        <v>0</v>
      </c>
      <c r="FC51" s="514">
        <v>0</v>
      </c>
      <c r="FD51" s="514">
        <v>0</v>
      </c>
      <c r="FE51" s="514">
        <v>0</v>
      </c>
      <c r="FF51" s="514">
        <v>0</v>
      </c>
      <c r="FG51" s="514">
        <v>0</v>
      </c>
      <c r="FH51" s="514">
        <v>0</v>
      </c>
      <c r="FI51" s="514">
        <v>0</v>
      </c>
      <c r="FJ51" s="514">
        <v>0</v>
      </c>
      <c r="FK51" s="514">
        <v>0</v>
      </c>
      <c r="FL51" s="514">
        <v>0</v>
      </c>
      <c r="FM51" s="514">
        <v>0</v>
      </c>
      <c r="FN51" s="514">
        <v>0</v>
      </c>
      <c r="FO51" s="514">
        <v>0</v>
      </c>
      <c r="FP51" s="514">
        <v>0</v>
      </c>
      <c r="FQ51" s="514">
        <v>0</v>
      </c>
    </row>
    <row r="52" spans="1:173" ht="16.5" hidden="1">
      <c r="A52" s="512" t="s">
        <v>658</v>
      </c>
      <c r="B52" s="512" t="s">
        <v>732</v>
      </c>
      <c r="C52" s="512" t="s">
        <v>721</v>
      </c>
      <c r="D52" s="513"/>
      <c r="E52" s="512" t="s">
        <v>721</v>
      </c>
      <c r="F52" s="512" t="s">
        <v>26</v>
      </c>
      <c r="G52" s="513"/>
      <c r="H52" s="514">
        <v>61</v>
      </c>
      <c r="I52" s="298" t="str">
        <f t="shared" si="0"/>
        <v>AOR100261</v>
      </c>
      <c r="J52" s="514">
        <v>3</v>
      </c>
      <c r="L52" s="512" t="s">
        <v>720</v>
      </c>
      <c r="M52" s="512" t="s">
        <v>739</v>
      </c>
      <c r="N52" s="512" t="s">
        <v>721</v>
      </c>
      <c r="O52" s="513"/>
      <c r="P52" s="512" t="s">
        <v>721</v>
      </c>
      <c r="Q52" s="512" t="s">
        <v>26</v>
      </c>
      <c r="R52" s="513"/>
      <c r="S52" s="514">
        <v>43</v>
      </c>
      <c r="T52" s="298" t="str">
        <f t="shared" si="1"/>
        <v>HSGA0243</v>
      </c>
      <c r="U52" s="514">
        <v>8429</v>
      </c>
      <c r="W52" s="512" t="s">
        <v>269</v>
      </c>
      <c r="X52" s="512" t="s">
        <v>843</v>
      </c>
      <c r="Y52" s="512" t="s">
        <v>721</v>
      </c>
      <c r="Z52" s="514">
        <v>10</v>
      </c>
      <c r="AA52" s="512" t="s">
        <v>721</v>
      </c>
      <c r="AB52" s="512" t="s">
        <v>25</v>
      </c>
      <c r="AC52" s="514">
        <v>0</v>
      </c>
      <c r="AD52" s="514">
        <v>64</v>
      </c>
      <c r="AE52" s="298" t="str">
        <f t="shared" si="2"/>
        <v>HNR100164</v>
      </c>
      <c r="AF52" s="514">
        <v>954</v>
      </c>
      <c r="AH52" s="512" t="s">
        <v>721</v>
      </c>
      <c r="AI52" s="512" t="s">
        <v>1030</v>
      </c>
      <c r="AJ52" s="512" t="s">
        <v>721</v>
      </c>
      <c r="AK52" s="513"/>
      <c r="AL52" s="512" t="s">
        <v>721</v>
      </c>
      <c r="AM52" s="512" t="s">
        <v>25</v>
      </c>
      <c r="AN52" s="513"/>
      <c r="AO52" s="514">
        <v>64</v>
      </c>
      <c r="AP52" s="513"/>
      <c r="AQ52" s="298" t="str">
        <f t="shared" si="3"/>
        <v>HOR100164</v>
      </c>
      <c r="AR52" s="514">
        <v>1470</v>
      </c>
      <c r="AT52" s="512" t="s">
        <v>743</v>
      </c>
      <c r="AU52" s="512" t="s">
        <v>744</v>
      </c>
      <c r="AV52" s="512" t="s">
        <v>721</v>
      </c>
      <c r="AW52" s="513"/>
      <c r="AX52" s="512" t="s">
        <v>721</v>
      </c>
      <c r="AY52" s="512" t="s">
        <v>26</v>
      </c>
      <c r="AZ52" s="513"/>
      <c r="BA52" s="514">
        <v>46</v>
      </c>
      <c r="BB52" s="298" t="str">
        <f t="shared" si="4"/>
        <v>CLR100246</v>
      </c>
      <c r="BC52" s="514">
        <v>400</v>
      </c>
      <c r="BF52" s="512" t="s">
        <v>658</v>
      </c>
      <c r="BG52" s="512" t="s">
        <v>732</v>
      </c>
      <c r="BH52" s="512" t="s">
        <v>25</v>
      </c>
      <c r="BI52" s="514">
        <v>64</v>
      </c>
      <c r="BJ52" s="298" t="str">
        <f t="shared" si="5"/>
        <v>AOR100164</v>
      </c>
      <c r="BK52" s="514">
        <v>0</v>
      </c>
      <c r="BL52" s="514">
        <v>2</v>
      </c>
      <c r="BM52" s="514">
        <v>2</v>
      </c>
      <c r="BN52" s="514">
        <v>2</v>
      </c>
      <c r="BO52" s="514">
        <v>3</v>
      </c>
      <c r="BP52" s="514">
        <v>4</v>
      </c>
      <c r="BQ52" s="514">
        <v>3</v>
      </c>
      <c r="BR52" s="514">
        <v>4</v>
      </c>
      <c r="BS52" s="514">
        <v>4</v>
      </c>
      <c r="BT52" s="514">
        <v>0</v>
      </c>
      <c r="BU52" s="514">
        <v>0</v>
      </c>
      <c r="BV52" s="514">
        <v>0</v>
      </c>
      <c r="BW52" s="514">
        <v>0</v>
      </c>
      <c r="BX52" s="514">
        <v>0</v>
      </c>
      <c r="BY52" s="514">
        <v>0</v>
      </c>
      <c r="BZ52" s="514">
        <v>0</v>
      </c>
      <c r="CA52" s="514">
        <v>0</v>
      </c>
      <c r="CB52" s="514">
        <v>0</v>
      </c>
      <c r="CC52" s="514">
        <v>0</v>
      </c>
      <c r="CD52" s="514">
        <v>0</v>
      </c>
      <c r="CE52" s="514">
        <v>0</v>
      </c>
      <c r="CF52" s="514">
        <v>0</v>
      </c>
      <c r="CG52" s="514">
        <v>0</v>
      </c>
      <c r="CH52" s="514">
        <v>0</v>
      </c>
      <c r="CI52" s="514">
        <v>0</v>
      </c>
      <c r="CJ52" s="514">
        <v>0</v>
      </c>
      <c r="CK52" s="514">
        <v>0</v>
      </c>
      <c r="CL52" s="514">
        <v>0</v>
      </c>
      <c r="CM52" s="514">
        <v>0</v>
      </c>
      <c r="CN52" s="514">
        <v>0</v>
      </c>
      <c r="CO52" s="514">
        <v>0</v>
      </c>
      <c r="CP52" s="514">
        <v>0</v>
      </c>
      <c r="CQ52" s="514">
        <v>0</v>
      </c>
      <c r="CR52" s="514">
        <v>0</v>
      </c>
      <c r="CS52" s="514">
        <v>0</v>
      </c>
      <c r="CT52" s="514">
        <v>0</v>
      </c>
      <c r="CU52" s="514">
        <v>0</v>
      </c>
      <c r="CV52" s="514">
        <v>0</v>
      </c>
      <c r="CW52" s="514">
        <v>0</v>
      </c>
      <c r="CX52" s="514">
        <v>0</v>
      </c>
      <c r="CY52" s="514">
        <v>0</v>
      </c>
      <c r="CZ52" s="514">
        <v>0</v>
      </c>
      <c r="DA52" s="514">
        <v>0</v>
      </c>
      <c r="DB52" s="514">
        <v>0</v>
      </c>
      <c r="DC52" s="514">
        <v>0</v>
      </c>
      <c r="DD52" s="514">
        <v>0</v>
      </c>
      <c r="DE52" s="514">
        <v>0</v>
      </c>
      <c r="DF52" s="514">
        <v>0</v>
      </c>
      <c r="DG52" s="514">
        <v>0</v>
      </c>
      <c r="DH52" s="514">
        <v>0</v>
      </c>
      <c r="DI52" s="514">
        <v>0</v>
      </c>
      <c r="DJ52" s="514">
        <v>0</v>
      </c>
      <c r="DK52" s="514">
        <v>0</v>
      </c>
      <c r="DL52" s="514">
        <v>0</v>
      </c>
      <c r="DM52" s="514">
        <v>0</v>
      </c>
      <c r="DN52" s="514">
        <v>0</v>
      </c>
      <c r="DO52" s="514">
        <v>0</v>
      </c>
      <c r="DP52" s="514">
        <v>0</v>
      </c>
      <c r="DQ52" s="514">
        <v>0</v>
      </c>
      <c r="DR52" s="514">
        <v>0</v>
      </c>
      <c r="DS52" s="514">
        <v>0</v>
      </c>
      <c r="DT52" s="514">
        <v>0</v>
      </c>
      <c r="DU52" s="514">
        <v>0</v>
      </c>
      <c r="DV52" s="514">
        <v>0</v>
      </c>
      <c r="DW52" s="514">
        <v>0</v>
      </c>
      <c r="DX52" s="514">
        <v>0</v>
      </c>
      <c r="DY52" s="514">
        <v>0</v>
      </c>
      <c r="DZ52" s="514">
        <v>0</v>
      </c>
      <c r="EA52" s="514">
        <v>0</v>
      </c>
      <c r="EB52" s="514">
        <v>0</v>
      </c>
      <c r="EC52" s="514">
        <v>0</v>
      </c>
      <c r="ED52" s="514">
        <v>0</v>
      </c>
      <c r="EE52" s="514">
        <v>0</v>
      </c>
      <c r="EF52" s="514">
        <v>0</v>
      </c>
      <c r="EG52" s="514">
        <v>0</v>
      </c>
      <c r="EH52" s="514">
        <v>0</v>
      </c>
      <c r="EI52" s="514">
        <v>0</v>
      </c>
      <c r="EJ52" s="514">
        <v>0</v>
      </c>
      <c r="EK52" s="514">
        <v>0</v>
      </c>
      <c r="EL52" s="514">
        <v>0</v>
      </c>
      <c r="EM52" s="514">
        <v>0</v>
      </c>
      <c r="EN52" s="514">
        <v>0</v>
      </c>
      <c r="EO52" s="514">
        <v>0</v>
      </c>
      <c r="EP52" s="514">
        <v>0</v>
      </c>
      <c r="EQ52" s="514">
        <v>0</v>
      </c>
      <c r="ER52" s="514">
        <v>0</v>
      </c>
      <c r="ES52" s="514">
        <v>0</v>
      </c>
      <c r="ET52" s="514">
        <v>0</v>
      </c>
      <c r="EU52" s="514">
        <v>0</v>
      </c>
      <c r="EV52" s="514">
        <v>0</v>
      </c>
      <c r="EW52" s="514">
        <v>0</v>
      </c>
      <c r="EX52" s="514">
        <v>0</v>
      </c>
      <c r="EY52" s="514">
        <v>0</v>
      </c>
      <c r="EZ52" s="514">
        <v>0</v>
      </c>
      <c r="FA52" s="514">
        <v>0</v>
      </c>
      <c r="FB52" s="514">
        <v>0</v>
      </c>
      <c r="FC52" s="514">
        <v>0</v>
      </c>
      <c r="FD52" s="514">
        <v>0</v>
      </c>
      <c r="FE52" s="514">
        <v>0</v>
      </c>
      <c r="FF52" s="514">
        <v>0</v>
      </c>
      <c r="FG52" s="514">
        <v>0</v>
      </c>
      <c r="FH52" s="514">
        <v>0</v>
      </c>
      <c r="FI52" s="514">
        <v>0</v>
      </c>
      <c r="FJ52" s="514">
        <v>0</v>
      </c>
      <c r="FK52" s="514">
        <v>0</v>
      </c>
      <c r="FL52" s="514">
        <v>0</v>
      </c>
      <c r="FM52" s="514">
        <v>0</v>
      </c>
      <c r="FN52" s="514">
        <v>0</v>
      </c>
      <c r="FO52" s="514">
        <v>0</v>
      </c>
      <c r="FP52" s="514">
        <v>0</v>
      </c>
      <c r="FQ52" s="514">
        <v>0</v>
      </c>
    </row>
    <row r="53" spans="1:173" ht="16.5" hidden="1">
      <c r="A53" s="512" t="s">
        <v>658</v>
      </c>
      <c r="B53" s="512" t="s">
        <v>732</v>
      </c>
      <c r="C53" s="512" t="s">
        <v>721</v>
      </c>
      <c r="D53" s="513"/>
      <c r="E53" s="512" t="s">
        <v>721</v>
      </c>
      <c r="F53" s="512" t="s">
        <v>26</v>
      </c>
      <c r="G53" s="513"/>
      <c r="H53" s="514">
        <v>62</v>
      </c>
      <c r="I53" s="298" t="str">
        <f t="shared" si="0"/>
        <v>AOR100262</v>
      </c>
      <c r="J53" s="514">
        <v>3</v>
      </c>
      <c r="L53" s="512" t="s">
        <v>720</v>
      </c>
      <c r="M53" s="512" t="s">
        <v>739</v>
      </c>
      <c r="N53" s="512" t="s">
        <v>721</v>
      </c>
      <c r="O53" s="513"/>
      <c r="P53" s="512" t="s">
        <v>721</v>
      </c>
      <c r="Q53" s="512" t="s">
        <v>26</v>
      </c>
      <c r="R53" s="513"/>
      <c r="S53" s="514">
        <v>44</v>
      </c>
      <c r="T53" s="298" t="str">
        <f t="shared" si="1"/>
        <v>HSGA0244</v>
      </c>
      <c r="U53" s="514">
        <v>8694</v>
      </c>
      <c r="W53" s="512" t="s">
        <v>269</v>
      </c>
      <c r="X53" s="512" t="s">
        <v>843</v>
      </c>
      <c r="Y53" s="512" t="s">
        <v>721</v>
      </c>
      <c r="Z53" s="514">
        <v>10</v>
      </c>
      <c r="AA53" s="512" t="s">
        <v>721</v>
      </c>
      <c r="AB53" s="512" t="s">
        <v>25</v>
      </c>
      <c r="AC53" s="514">
        <v>0</v>
      </c>
      <c r="AD53" s="514">
        <v>65</v>
      </c>
      <c r="AE53" s="298" t="str">
        <f t="shared" si="2"/>
        <v>HNR100165</v>
      </c>
      <c r="AF53" s="514">
        <v>1004</v>
      </c>
      <c r="AH53" s="512" t="s">
        <v>721</v>
      </c>
      <c r="AI53" s="512" t="s">
        <v>1030</v>
      </c>
      <c r="AJ53" s="512" t="s">
        <v>721</v>
      </c>
      <c r="AK53" s="513"/>
      <c r="AL53" s="512" t="s">
        <v>721</v>
      </c>
      <c r="AM53" s="512" t="s">
        <v>25</v>
      </c>
      <c r="AN53" s="513"/>
      <c r="AO53" s="514">
        <v>65</v>
      </c>
      <c r="AP53" s="513"/>
      <c r="AQ53" s="298" t="str">
        <f t="shared" si="3"/>
        <v>HOR100165</v>
      </c>
      <c r="AR53" s="514">
        <v>1540</v>
      </c>
      <c r="AT53" s="512" t="s">
        <v>743</v>
      </c>
      <c r="AU53" s="512" t="s">
        <v>744</v>
      </c>
      <c r="AV53" s="512" t="s">
        <v>721</v>
      </c>
      <c r="AW53" s="513"/>
      <c r="AX53" s="512" t="s">
        <v>721</v>
      </c>
      <c r="AY53" s="512" t="s">
        <v>25</v>
      </c>
      <c r="AZ53" s="513"/>
      <c r="BA53" s="514">
        <v>47</v>
      </c>
      <c r="BB53" s="298" t="str">
        <f t="shared" si="4"/>
        <v>CLR100147</v>
      </c>
      <c r="BC53" s="514">
        <v>337</v>
      </c>
      <c r="BF53" s="512" t="s">
        <v>658</v>
      </c>
      <c r="BG53" s="512" t="s">
        <v>732</v>
      </c>
      <c r="BH53" s="512" t="s">
        <v>25</v>
      </c>
      <c r="BI53" s="514">
        <v>65</v>
      </c>
      <c r="BJ53" s="298" t="str">
        <f t="shared" si="5"/>
        <v>AOR100165</v>
      </c>
      <c r="BK53" s="514">
        <v>1</v>
      </c>
      <c r="BL53" s="514">
        <v>1</v>
      </c>
      <c r="BM53" s="514">
        <v>2</v>
      </c>
      <c r="BN53" s="514">
        <v>3</v>
      </c>
      <c r="BO53" s="514">
        <v>3</v>
      </c>
      <c r="BP53" s="514">
        <v>4</v>
      </c>
      <c r="BQ53" s="514">
        <v>3</v>
      </c>
      <c r="BR53" s="514">
        <v>3</v>
      </c>
      <c r="BS53" s="514">
        <v>4</v>
      </c>
      <c r="BT53" s="514">
        <v>0</v>
      </c>
      <c r="BU53" s="514">
        <v>0</v>
      </c>
      <c r="BV53" s="514">
        <v>0</v>
      </c>
      <c r="BW53" s="514">
        <v>0</v>
      </c>
      <c r="BX53" s="514">
        <v>0</v>
      </c>
      <c r="BY53" s="514">
        <v>0</v>
      </c>
      <c r="BZ53" s="514">
        <v>0</v>
      </c>
      <c r="CA53" s="514">
        <v>0</v>
      </c>
      <c r="CB53" s="514">
        <v>0</v>
      </c>
      <c r="CC53" s="514">
        <v>0</v>
      </c>
      <c r="CD53" s="514">
        <v>0</v>
      </c>
      <c r="CE53" s="514">
        <v>0</v>
      </c>
      <c r="CF53" s="514">
        <v>0</v>
      </c>
      <c r="CG53" s="514">
        <v>0</v>
      </c>
      <c r="CH53" s="514">
        <v>0</v>
      </c>
      <c r="CI53" s="514">
        <v>0</v>
      </c>
      <c r="CJ53" s="514">
        <v>0</v>
      </c>
      <c r="CK53" s="514">
        <v>0</v>
      </c>
      <c r="CL53" s="514">
        <v>0</v>
      </c>
      <c r="CM53" s="514">
        <v>0</v>
      </c>
      <c r="CN53" s="514">
        <v>0</v>
      </c>
      <c r="CO53" s="514">
        <v>0</v>
      </c>
      <c r="CP53" s="514">
        <v>0</v>
      </c>
      <c r="CQ53" s="514">
        <v>0</v>
      </c>
      <c r="CR53" s="514">
        <v>0</v>
      </c>
      <c r="CS53" s="514">
        <v>0</v>
      </c>
      <c r="CT53" s="514">
        <v>0</v>
      </c>
      <c r="CU53" s="514">
        <v>0</v>
      </c>
      <c r="CV53" s="514">
        <v>0</v>
      </c>
      <c r="CW53" s="514">
        <v>0</v>
      </c>
      <c r="CX53" s="514">
        <v>0</v>
      </c>
      <c r="CY53" s="514">
        <v>0</v>
      </c>
      <c r="CZ53" s="514">
        <v>0</v>
      </c>
      <c r="DA53" s="514">
        <v>0</v>
      </c>
      <c r="DB53" s="514">
        <v>0</v>
      </c>
      <c r="DC53" s="514">
        <v>0</v>
      </c>
      <c r="DD53" s="514">
        <v>0</v>
      </c>
      <c r="DE53" s="514">
        <v>0</v>
      </c>
      <c r="DF53" s="514">
        <v>0</v>
      </c>
      <c r="DG53" s="514">
        <v>0</v>
      </c>
      <c r="DH53" s="514">
        <v>0</v>
      </c>
      <c r="DI53" s="514">
        <v>0</v>
      </c>
      <c r="DJ53" s="514">
        <v>0</v>
      </c>
      <c r="DK53" s="514">
        <v>0</v>
      </c>
      <c r="DL53" s="514">
        <v>0</v>
      </c>
      <c r="DM53" s="514">
        <v>0</v>
      </c>
      <c r="DN53" s="514">
        <v>0</v>
      </c>
      <c r="DO53" s="514">
        <v>0</v>
      </c>
      <c r="DP53" s="514">
        <v>0</v>
      </c>
      <c r="DQ53" s="514">
        <v>0</v>
      </c>
      <c r="DR53" s="514">
        <v>0</v>
      </c>
      <c r="DS53" s="514">
        <v>0</v>
      </c>
      <c r="DT53" s="514">
        <v>0</v>
      </c>
      <c r="DU53" s="514">
        <v>0</v>
      </c>
      <c r="DV53" s="514">
        <v>0</v>
      </c>
      <c r="DW53" s="514">
        <v>0</v>
      </c>
      <c r="DX53" s="514">
        <v>0</v>
      </c>
      <c r="DY53" s="514">
        <v>0</v>
      </c>
      <c r="DZ53" s="514">
        <v>0</v>
      </c>
      <c r="EA53" s="514">
        <v>0</v>
      </c>
      <c r="EB53" s="514">
        <v>0</v>
      </c>
      <c r="EC53" s="514">
        <v>0</v>
      </c>
      <c r="ED53" s="514">
        <v>0</v>
      </c>
      <c r="EE53" s="514">
        <v>0</v>
      </c>
      <c r="EF53" s="514">
        <v>0</v>
      </c>
      <c r="EG53" s="514">
        <v>0</v>
      </c>
      <c r="EH53" s="514">
        <v>0</v>
      </c>
      <c r="EI53" s="514">
        <v>0</v>
      </c>
      <c r="EJ53" s="514">
        <v>0</v>
      </c>
      <c r="EK53" s="514">
        <v>0</v>
      </c>
      <c r="EL53" s="514">
        <v>0</v>
      </c>
      <c r="EM53" s="514">
        <v>0</v>
      </c>
      <c r="EN53" s="514">
        <v>0</v>
      </c>
      <c r="EO53" s="514">
        <v>0</v>
      </c>
      <c r="EP53" s="514">
        <v>0</v>
      </c>
      <c r="EQ53" s="514">
        <v>0</v>
      </c>
      <c r="ER53" s="514">
        <v>0</v>
      </c>
      <c r="ES53" s="514">
        <v>0</v>
      </c>
      <c r="ET53" s="514">
        <v>0</v>
      </c>
      <c r="EU53" s="514">
        <v>0</v>
      </c>
      <c r="EV53" s="514">
        <v>0</v>
      </c>
      <c r="EW53" s="514">
        <v>0</v>
      </c>
      <c r="EX53" s="514">
        <v>0</v>
      </c>
      <c r="EY53" s="514">
        <v>0</v>
      </c>
      <c r="EZ53" s="514">
        <v>0</v>
      </c>
      <c r="FA53" s="514">
        <v>0</v>
      </c>
      <c r="FB53" s="514">
        <v>0</v>
      </c>
      <c r="FC53" s="514">
        <v>0</v>
      </c>
      <c r="FD53" s="514">
        <v>0</v>
      </c>
      <c r="FE53" s="514">
        <v>0</v>
      </c>
      <c r="FF53" s="514">
        <v>0</v>
      </c>
      <c r="FG53" s="514">
        <v>0</v>
      </c>
      <c r="FH53" s="514">
        <v>0</v>
      </c>
      <c r="FI53" s="514">
        <v>0</v>
      </c>
      <c r="FJ53" s="514">
        <v>0</v>
      </c>
      <c r="FK53" s="514">
        <v>0</v>
      </c>
      <c r="FL53" s="514">
        <v>0</v>
      </c>
      <c r="FM53" s="514">
        <v>0</v>
      </c>
      <c r="FN53" s="514">
        <v>0</v>
      </c>
      <c r="FO53" s="514">
        <v>0</v>
      </c>
      <c r="FP53" s="514">
        <v>0</v>
      </c>
      <c r="FQ53" s="514">
        <v>0</v>
      </c>
    </row>
    <row r="54" spans="1:173" ht="16.5" hidden="1">
      <c r="A54" s="512" t="s">
        <v>658</v>
      </c>
      <c r="B54" s="512" t="s">
        <v>732</v>
      </c>
      <c r="C54" s="512" t="s">
        <v>721</v>
      </c>
      <c r="D54" s="513"/>
      <c r="E54" s="512" t="s">
        <v>721</v>
      </c>
      <c r="F54" s="512" t="s">
        <v>26</v>
      </c>
      <c r="G54" s="513"/>
      <c r="H54" s="514">
        <v>63</v>
      </c>
      <c r="I54" s="298" t="str">
        <f t="shared" si="0"/>
        <v>AOR100263</v>
      </c>
      <c r="J54" s="514">
        <v>3</v>
      </c>
      <c r="L54" s="512" t="s">
        <v>720</v>
      </c>
      <c r="M54" s="512" t="s">
        <v>739</v>
      </c>
      <c r="N54" s="512" t="s">
        <v>721</v>
      </c>
      <c r="O54" s="513"/>
      <c r="P54" s="512" t="s">
        <v>721</v>
      </c>
      <c r="Q54" s="512" t="s">
        <v>26</v>
      </c>
      <c r="R54" s="513"/>
      <c r="S54" s="514">
        <v>45</v>
      </c>
      <c r="T54" s="298" t="str">
        <f t="shared" si="1"/>
        <v>HSGA0245</v>
      </c>
      <c r="U54" s="514">
        <v>8950</v>
      </c>
      <c r="W54" s="512" t="s">
        <v>269</v>
      </c>
      <c r="X54" s="512" t="s">
        <v>843</v>
      </c>
      <c r="Y54" s="512" t="s">
        <v>721</v>
      </c>
      <c r="Z54" s="514">
        <v>10</v>
      </c>
      <c r="AA54" s="512" t="s">
        <v>721</v>
      </c>
      <c r="AB54" s="512" t="s">
        <v>25</v>
      </c>
      <c r="AC54" s="514">
        <v>0</v>
      </c>
      <c r="AD54" s="514">
        <v>66</v>
      </c>
      <c r="AE54" s="298" t="str">
        <f t="shared" si="2"/>
        <v>HNR100166</v>
      </c>
      <c r="AF54" s="514">
        <v>1064</v>
      </c>
      <c r="AH54" s="512" t="s">
        <v>721</v>
      </c>
      <c r="AI54" s="512" t="s">
        <v>1030</v>
      </c>
      <c r="AJ54" s="512" t="s">
        <v>721</v>
      </c>
      <c r="AK54" s="513"/>
      <c r="AL54" s="512" t="s">
        <v>721</v>
      </c>
      <c r="AM54" s="512" t="s">
        <v>25</v>
      </c>
      <c r="AN54" s="513"/>
      <c r="AO54" s="514">
        <v>66</v>
      </c>
      <c r="AP54" s="513"/>
      <c r="AQ54" s="298" t="str">
        <f t="shared" si="3"/>
        <v>HOR100166</v>
      </c>
      <c r="AR54" s="514">
        <v>1600</v>
      </c>
      <c r="AT54" s="512" t="s">
        <v>743</v>
      </c>
      <c r="AU54" s="512" t="s">
        <v>744</v>
      </c>
      <c r="AV54" s="512" t="s">
        <v>721</v>
      </c>
      <c r="AW54" s="513"/>
      <c r="AX54" s="512" t="s">
        <v>721</v>
      </c>
      <c r="AY54" s="512" t="s">
        <v>26</v>
      </c>
      <c r="AZ54" s="513"/>
      <c r="BA54" s="514">
        <v>47</v>
      </c>
      <c r="BB54" s="298" t="str">
        <f t="shared" si="4"/>
        <v>CLR100247</v>
      </c>
      <c r="BC54" s="514">
        <v>412</v>
      </c>
      <c r="BF54" s="512" t="s">
        <v>658</v>
      </c>
      <c r="BG54" s="512" t="s">
        <v>732</v>
      </c>
      <c r="BH54" s="512" t="s">
        <v>25</v>
      </c>
      <c r="BI54" s="514">
        <v>66</v>
      </c>
      <c r="BJ54" s="298" t="str">
        <f t="shared" si="5"/>
        <v>AOR100166</v>
      </c>
      <c r="BK54" s="514">
        <v>1</v>
      </c>
      <c r="BL54" s="514">
        <v>2</v>
      </c>
      <c r="BM54" s="514">
        <v>2</v>
      </c>
      <c r="BN54" s="514">
        <v>3</v>
      </c>
      <c r="BO54" s="514">
        <v>3</v>
      </c>
      <c r="BP54" s="514">
        <v>3</v>
      </c>
      <c r="BQ54" s="514">
        <v>3</v>
      </c>
      <c r="BR54" s="514">
        <v>3</v>
      </c>
      <c r="BS54" s="514">
        <v>4</v>
      </c>
      <c r="BT54" s="514">
        <v>0</v>
      </c>
      <c r="BU54" s="514">
        <v>0</v>
      </c>
      <c r="BV54" s="514">
        <v>0</v>
      </c>
      <c r="BW54" s="514">
        <v>0</v>
      </c>
      <c r="BX54" s="514">
        <v>0</v>
      </c>
      <c r="BY54" s="514">
        <v>0</v>
      </c>
      <c r="BZ54" s="514">
        <v>0</v>
      </c>
      <c r="CA54" s="514">
        <v>0</v>
      </c>
      <c r="CB54" s="514">
        <v>0</v>
      </c>
      <c r="CC54" s="514">
        <v>0</v>
      </c>
      <c r="CD54" s="514">
        <v>0</v>
      </c>
      <c r="CE54" s="514">
        <v>0</v>
      </c>
      <c r="CF54" s="514">
        <v>0</v>
      </c>
      <c r="CG54" s="514">
        <v>0</v>
      </c>
      <c r="CH54" s="514">
        <v>0</v>
      </c>
      <c r="CI54" s="514">
        <v>0</v>
      </c>
      <c r="CJ54" s="514">
        <v>0</v>
      </c>
      <c r="CK54" s="514">
        <v>0</v>
      </c>
      <c r="CL54" s="514">
        <v>0</v>
      </c>
      <c r="CM54" s="514">
        <v>0</v>
      </c>
      <c r="CN54" s="514">
        <v>0</v>
      </c>
      <c r="CO54" s="514">
        <v>0</v>
      </c>
      <c r="CP54" s="514">
        <v>0</v>
      </c>
      <c r="CQ54" s="514">
        <v>0</v>
      </c>
      <c r="CR54" s="514">
        <v>0</v>
      </c>
      <c r="CS54" s="514">
        <v>0</v>
      </c>
      <c r="CT54" s="514">
        <v>0</v>
      </c>
      <c r="CU54" s="514">
        <v>0</v>
      </c>
      <c r="CV54" s="514">
        <v>0</v>
      </c>
      <c r="CW54" s="514">
        <v>0</v>
      </c>
      <c r="CX54" s="514">
        <v>0</v>
      </c>
      <c r="CY54" s="514">
        <v>0</v>
      </c>
      <c r="CZ54" s="514">
        <v>0</v>
      </c>
      <c r="DA54" s="514">
        <v>0</v>
      </c>
      <c r="DB54" s="514">
        <v>0</v>
      </c>
      <c r="DC54" s="514">
        <v>0</v>
      </c>
      <c r="DD54" s="514">
        <v>0</v>
      </c>
      <c r="DE54" s="514">
        <v>0</v>
      </c>
      <c r="DF54" s="514">
        <v>0</v>
      </c>
      <c r="DG54" s="514">
        <v>0</v>
      </c>
      <c r="DH54" s="514">
        <v>0</v>
      </c>
      <c r="DI54" s="514">
        <v>0</v>
      </c>
      <c r="DJ54" s="514">
        <v>0</v>
      </c>
      <c r="DK54" s="514">
        <v>0</v>
      </c>
      <c r="DL54" s="514">
        <v>0</v>
      </c>
      <c r="DM54" s="514">
        <v>0</v>
      </c>
      <c r="DN54" s="514">
        <v>0</v>
      </c>
      <c r="DO54" s="514">
        <v>0</v>
      </c>
      <c r="DP54" s="514">
        <v>0</v>
      </c>
      <c r="DQ54" s="514">
        <v>0</v>
      </c>
      <c r="DR54" s="514">
        <v>0</v>
      </c>
      <c r="DS54" s="514">
        <v>0</v>
      </c>
      <c r="DT54" s="514">
        <v>0</v>
      </c>
      <c r="DU54" s="514">
        <v>0</v>
      </c>
      <c r="DV54" s="514">
        <v>0</v>
      </c>
      <c r="DW54" s="514">
        <v>0</v>
      </c>
      <c r="DX54" s="514">
        <v>0</v>
      </c>
      <c r="DY54" s="514">
        <v>0</v>
      </c>
      <c r="DZ54" s="514">
        <v>0</v>
      </c>
      <c r="EA54" s="514">
        <v>0</v>
      </c>
      <c r="EB54" s="514">
        <v>0</v>
      </c>
      <c r="EC54" s="514">
        <v>0</v>
      </c>
      <c r="ED54" s="514">
        <v>0</v>
      </c>
      <c r="EE54" s="514">
        <v>0</v>
      </c>
      <c r="EF54" s="514">
        <v>0</v>
      </c>
      <c r="EG54" s="514">
        <v>0</v>
      </c>
      <c r="EH54" s="514">
        <v>0</v>
      </c>
      <c r="EI54" s="514">
        <v>0</v>
      </c>
      <c r="EJ54" s="514">
        <v>0</v>
      </c>
      <c r="EK54" s="514">
        <v>0</v>
      </c>
      <c r="EL54" s="514">
        <v>0</v>
      </c>
      <c r="EM54" s="514">
        <v>0</v>
      </c>
      <c r="EN54" s="514">
        <v>0</v>
      </c>
      <c r="EO54" s="514">
        <v>0</v>
      </c>
      <c r="EP54" s="514">
        <v>0</v>
      </c>
      <c r="EQ54" s="514">
        <v>0</v>
      </c>
      <c r="ER54" s="514">
        <v>0</v>
      </c>
      <c r="ES54" s="514">
        <v>0</v>
      </c>
      <c r="ET54" s="514">
        <v>0</v>
      </c>
      <c r="EU54" s="514">
        <v>0</v>
      </c>
      <c r="EV54" s="514">
        <v>0</v>
      </c>
      <c r="EW54" s="514">
        <v>0</v>
      </c>
      <c r="EX54" s="514">
        <v>0</v>
      </c>
      <c r="EY54" s="514">
        <v>0</v>
      </c>
      <c r="EZ54" s="514">
        <v>0</v>
      </c>
      <c r="FA54" s="514">
        <v>0</v>
      </c>
      <c r="FB54" s="514">
        <v>0</v>
      </c>
      <c r="FC54" s="514">
        <v>0</v>
      </c>
      <c r="FD54" s="514">
        <v>0</v>
      </c>
      <c r="FE54" s="514">
        <v>0</v>
      </c>
      <c r="FF54" s="514">
        <v>0</v>
      </c>
      <c r="FG54" s="514">
        <v>0</v>
      </c>
      <c r="FH54" s="514">
        <v>0</v>
      </c>
      <c r="FI54" s="514">
        <v>0</v>
      </c>
      <c r="FJ54" s="514">
        <v>0</v>
      </c>
      <c r="FK54" s="514">
        <v>0</v>
      </c>
      <c r="FL54" s="514">
        <v>0</v>
      </c>
      <c r="FM54" s="514">
        <v>0</v>
      </c>
      <c r="FN54" s="514">
        <v>0</v>
      </c>
      <c r="FO54" s="514">
        <v>0</v>
      </c>
      <c r="FP54" s="514">
        <v>0</v>
      </c>
      <c r="FQ54" s="514">
        <v>0</v>
      </c>
    </row>
    <row r="55" spans="1:173" ht="16.5" hidden="1">
      <c r="A55" s="512" t="s">
        <v>658</v>
      </c>
      <c r="B55" s="512" t="s">
        <v>732</v>
      </c>
      <c r="C55" s="512" t="s">
        <v>721</v>
      </c>
      <c r="D55" s="513"/>
      <c r="E55" s="512" t="s">
        <v>721</v>
      </c>
      <c r="F55" s="512" t="s">
        <v>26</v>
      </c>
      <c r="G55" s="513"/>
      <c r="H55" s="514">
        <v>64</v>
      </c>
      <c r="I55" s="298" t="str">
        <f t="shared" si="0"/>
        <v>AOR100264</v>
      </c>
      <c r="J55" s="514">
        <v>3</v>
      </c>
      <c r="L55" s="512" t="s">
        <v>720</v>
      </c>
      <c r="M55" s="512" t="s">
        <v>739</v>
      </c>
      <c r="N55" s="512" t="s">
        <v>721</v>
      </c>
      <c r="O55" s="513"/>
      <c r="P55" s="512" t="s">
        <v>721</v>
      </c>
      <c r="Q55" s="512" t="s">
        <v>26</v>
      </c>
      <c r="R55" s="513"/>
      <c r="S55" s="514">
        <v>46</v>
      </c>
      <c r="T55" s="298" t="str">
        <f t="shared" si="1"/>
        <v>HSGA0246</v>
      </c>
      <c r="U55" s="514">
        <v>9195</v>
      </c>
      <c r="W55" s="512" t="s">
        <v>269</v>
      </c>
      <c r="X55" s="512" t="s">
        <v>843</v>
      </c>
      <c r="Y55" s="512" t="s">
        <v>721</v>
      </c>
      <c r="Z55" s="514">
        <v>10</v>
      </c>
      <c r="AA55" s="512" t="s">
        <v>721</v>
      </c>
      <c r="AB55" s="512" t="s">
        <v>25</v>
      </c>
      <c r="AC55" s="514">
        <v>0</v>
      </c>
      <c r="AD55" s="514">
        <v>67</v>
      </c>
      <c r="AE55" s="298" t="str">
        <f t="shared" si="2"/>
        <v>HNR100167</v>
      </c>
      <c r="AF55" s="514">
        <v>1128</v>
      </c>
      <c r="AH55" s="512" t="s">
        <v>721</v>
      </c>
      <c r="AI55" s="512" t="s">
        <v>1030</v>
      </c>
      <c r="AJ55" s="512" t="s">
        <v>721</v>
      </c>
      <c r="AK55" s="513"/>
      <c r="AL55" s="512" t="s">
        <v>721</v>
      </c>
      <c r="AM55" s="512" t="s">
        <v>25</v>
      </c>
      <c r="AN55" s="513"/>
      <c r="AO55" s="514">
        <v>67</v>
      </c>
      <c r="AP55" s="513"/>
      <c r="AQ55" s="298" t="str">
        <f t="shared" si="3"/>
        <v>HOR100167</v>
      </c>
      <c r="AR55" s="514">
        <v>1660</v>
      </c>
      <c r="AT55" s="512" t="s">
        <v>743</v>
      </c>
      <c r="AU55" s="512" t="s">
        <v>744</v>
      </c>
      <c r="AV55" s="512" t="s">
        <v>721</v>
      </c>
      <c r="AW55" s="513"/>
      <c r="AX55" s="512" t="s">
        <v>721</v>
      </c>
      <c r="AY55" s="512" t="s">
        <v>25</v>
      </c>
      <c r="AZ55" s="513"/>
      <c r="BA55" s="514">
        <v>48</v>
      </c>
      <c r="BB55" s="298" t="str">
        <f t="shared" si="4"/>
        <v>CLR100148</v>
      </c>
      <c r="BC55" s="514">
        <v>355</v>
      </c>
      <c r="BF55" s="512" t="s">
        <v>658</v>
      </c>
      <c r="BG55" s="512" t="s">
        <v>732</v>
      </c>
      <c r="BH55" s="512" t="s">
        <v>25</v>
      </c>
      <c r="BI55" s="514">
        <v>67</v>
      </c>
      <c r="BJ55" s="298" t="str">
        <f t="shared" si="5"/>
        <v>AOR100167</v>
      </c>
      <c r="BK55" s="514">
        <v>1</v>
      </c>
      <c r="BL55" s="514">
        <v>2</v>
      </c>
      <c r="BM55" s="514">
        <v>3</v>
      </c>
      <c r="BN55" s="514">
        <v>4</v>
      </c>
      <c r="BO55" s="514">
        <v>3</v>
      </c>
      <c r="BP55" s="514">
        <v>4</v>
      </c>
      <c r="BQ55" s="514">
        <v>3</v>
      </c>
      <c r="BR55" s="514">
        <v>5</v>
      </c>
      <c r="BS55" s="514">
        <v>5</v>
      </c>
      <c r="BT55" s="514">
        <v>0</v>
      </c>
      <c r="BU55" s="514">
        <v>0</v>
      </c>
      <c r="BV55" s="514">
        <v>0</v>
      </c>
      <c r="BW55" s="514">
        <v>0</v>
      </c>
      <c r="BX55" s="514">
        <v>0</v>
      </c>
      <c r="BY55" s="514">
        <v>0</v>
      </c>
      <c r="BZ55" s="514">
        <v>0</v>
      </c>
      <c r="CA55" s="514">
        <v>0</v>
      </c>
      <c r="CB55" s="514">
        <v>0</v>
      </c>
      <c r="CC55" s="514">
        <v>0</v>
      </c>
      <c r="CD55" s="514">
        <v>0</v>
      </c>
      <c r="CE55" s="514">
        <v>0</v>
      </c>
      <c r="CF55" s="514">
        <v>0</v>
      </c>
      <c r="CG55" s="514">
        <v>0</v>
      </c>
      <c r="CH55" s="514">
        <v>0</v>
      </c>
      <c r="CI55" s="514">
        <v>0</v>
      </c>
      <c r="CJ55" s="514">
        <v>0</v>
      </c>
      <c r="CK55" s="514">
        <v>0</v>
      </c>
      <c r="CL55" s="514">
        <v>0</v>
      </c>
      <c r="CM55" s="514">
        <v>0</v>
      </c>
      <c r="CN55" s="514">
        <v>0</v>
      </c>
      <c r="CO55" s="514">
        <v>0</v>
      </c>
      <c r="CP55" s="514">
        <v>0</v>
      </c>
      <c r="CQ55" s="514">
        <v>0</v>
      </c>
      <c r="CR55" s="514">
        <v>0</v>
      </c>
      <c r="CS55" s="514">
        <v>0</v>
      </c>
      <c r="CT55" s="514">
        <v>0</v>
      </c>
      <c r="CU55" s="514">
        <v>0</v>
      </c>
      <c r="CV55" s="514">
        <v>0</v>
      </c>
      <c r="CW55" s="514">
        <v>0</v>
      </c>
      <c r="CX55" s="514">
        <v>0</v>
      </c>
      <c r="CY55" s="514">
        <v>0</v>
      </c>
      <c r="CZ55" s="514">
        <v>0</v>
      </c>
      <c r="DA55" s="514">
        <v>0</v>
      </c>
      <c r="DB55" s="514">
        <v>0</v>
      </c>
      <c r="DC55" s="514">
        <v>0</v>
      </c>
      <c r="DD55" s="514">
        <v>0</v>
      </c>
      <c r="DE55" s="514">
        <v>0</v>
      </c>
      <c r="DF55" s="514">
        <v>0</v>
      </c>
      <c r="DG55" s="514">
        <v>0</v>
      </c>
      <c r="DH55" s="514">
        <v>0</v>
      </c>
      <c r="DI55" s="514">
        <v>0</v>
      </c>
      <c r="DJ55" s="514">
        <v>0</v>
      </c>
      <c r="DK55" s="514">
        <v>0</v>
      </c>
      <c r="DL55" s="514">
        <v>0</v>
      </c>
      <c r="DM55" s="514">
        <v>0</v>
      </c>
      <c r="DN55" s="514">
        <v>0</v>
      </c>
      <c r="DO55" s="514">
        <v>0</v>
      </c>
      <c r="DP55" s="514">
        <v>0</v>
      </c>
      <c r="DQ55" s="514">
        <v>0</v>
      </c>
      <c r="DR55" s="514">
        <v>0</v>
      </c>
      <c r="DS55" s="514">
        <v>0</v>
      </c>
      <c r="DT55" s="514">
        <v>0</v>
      </c>
      <c r="DU55" s="514">
        <v>0</v>
      </c>
      <c r="DV55" s="514">
        <v>0</v>
      </c>
      <c r="DW55" s="514">
        <v>0</v>
      </c>
      <c r="DX55" s="514">
        <v>0</v>
      </c>
      <c r="DY55" s="514">
        <v>0</v>
      </c>
      <c r="DZ55" s="514">
        <v>0</v>
      </c>
      <c r="EA55" s="514">
        <v>0</v>
      </c>
      <c r="EB55" s="514">
        <v>0</v>
      </c>
      <c r="EC55" s="514">
        <v>0</v>
      </c>
      <c r="ED55" s="514">
        <v>0</v>
      </c>
      <c r="EE55" s="514">
        <v>0</v>
      </c>
      <c r="EF55" s="514">
        <v>0</v>
      </c>
      <c r="EG55" s="514">
        <v>0</v>
      </c>
      <c r="EH55" s="514">
        <v>0</v>
      </c>
      <c r="EI55" s="514">
        <v>0</v>
      </c>
      <c r="EJ55" s="514">
        <v>0</v>
      </c>
      <c r="EK55" s="514">
        <v>0</v>
      </c>
      <c r="EL55" s="514">
        <v>0</v>
      </c>
      <c r="EM55" s="514">
        <v>0</v>
      </c>
      <c r="EN55" s="514">
        <v>0</v>
      </c>
      <c r="EO55" s="514">
        <v>0</v>
      </c>
      <c r="EP55" s="514">
        <v>0</v>
      </c>
      <c r="EQ55" s="514">
        <v>0</v>
      </c>
      <c r="ER55" s="514">
        <v>0</v>
      </c>
      <c r="ES55" s="514">
        <v>0</v>
      </c>
      <c r="ET55" s="514">
        <v>0</v>
      </c>
      <c r="EU55" s="514">
        <v>0</v>
      </c>
      <c r="EV55" s="514">
        <v>0</v>
      </c>
      <c r="EW55" s="514">
        <v>0</v>
      </c>
      <c r="EX55" s="514">
        <v>0</v>
      </c>
      <c r="EY55" s="514">
        <v>0</v>
      </c>
      <c r="EZ55" s="514">
        <v>0</v>
      </c>
      <c r="FA55" s="514">
        <v>0</v>
      </c>
      <c r="FB55" s="514">
        <v>0</v>
      </c>
      <c r="FC55" s="514">
        <v>0</v>
      </c>
      <c r="FD55" s="514">
        <v>0</v>
      </c>
      <c r="FE55" s="514">
        <v>0</v>
      </c>
      <c r="FF55" s="514">
        <v>0</v>
      </c>
      <c r="FG55" s="514">
        <v>0</v>
      </c>
      <c r="FH55" s="514">
        <v>0</v>
      </c>
      <c r="FI55" s="514">
        <v>0</v>
      </c>
      <c r="FJ55" s="514">
        <v>0</v>
      </c>
      <c r="FK55" s="514">
        <v>0</v>
      </c>
      <c r="FL55" s="514">
        <v>0</v>
      </c>
      <c r="FM55" s="514">
        <v>0</v>
      </c>
      <c r="FN55" s="514">
        <v>0</v>
      </c>
      <c r="FO55" s="514">
        <v>0</v>
      </c>
      <c r="FP55" s="514">
        <v>0</v>
      </c>
      <c r="FQ55" s="514">
        <v>0</v>
      </c>
    </row>
    <row r="56" spans="1:173" ht="16.5" hidden="1">
      <c r="A56" s="512" t="s">
        <v>658</v>
      </c>
      <c r="B56" s="512" t="s">
        <v>732</v>
      </c>
      <c r="C56" s="512" t="s">
        <v>721</v>
      </c>
      <c r="D56" s="513"/>
      <c r="E56" s="512" t="s">
        <v>721</v>
      </c>
      <c r="F56" s="512" t="s">
        <v>26</v>
      </c>
      <c r="G56" s="513"/>
      <c r="H56" s="514">
        <v>65</v>
      </c>
      <c r="I56" s="298" t="str">
        <f t="shared" si="0"/>
        <v>AOR100265</v>
      </c>
      <c r="J56" s="514">
        <v>3</v>
      </c>
      <c r="L56" s="512" t="s">
        <v>720</v>
      </c>
      <c r="M56" s="512" t="s">
        <v>739</v>
      </c>
      <c r="N56" s="512" t="s">
        <v>721</v>
      </c>
      <c r="O56" s="513"/>
      <c r="P56" s="512" t="s">
        <v>721</v>
      </c>
      <c r="Q56" s="512" t="s">
        <v>26</v>
      </c>
      <c r="R56" s="513"/>
      <c r="S56" s="514">
        <v>47</v>
      </c>
      <c r="T56" s="298" t="str">
        <f t="shared" si="1"/>
        <v>HSGA0247</v>
      </c>
      <c r="U56" s="514">
        <v>9429</v>
      </c>
      <c r="W56" s="512" t="s">
        <v>269</v>
      </c>
      <c r="X56" s="512" t="s">
        <v>843</v>
      </c>
      <c r="Y56" s="512" t="s">
        <v>721</v>
      </c>
      <c r="Z56" s="514">
        <v>10</v>
      </c>
      <c r="AA56" s="512" t="s">
        <v>721</v>
      </c>
      <c r="AB56" s="512" t="s">
        <v>25</v>
      </c>
      <c r="AC56" s="514">
        <v>0</v>
      </c>
      <c r="AD56" s="514">
        <v>68</v>
      </c>
      <c r="AE56" s="298" t="str">
        <f t="shared" si="2"/>
        <v>HNR100168</v>
      </c>
      <c r="AF56" s="514">
        <v>1196</v>
      </c>
      <c r="AH56" s="512" t="s">
        <v>721</v>
      </c>
      <c r="AI56" s="512" t="s">
        <v>1030</v>
      </c>
      <c r="AJ56" s="512" t="s">
        <v>721</v>
      </c>
      <c r="AK56" s="513"/>
      <c r="AL56" s="512" t="s">
        <v>721</v>
      </c>
      <c r="AM56" s="512" t="s">
        <v>25</v>
      </c>
      <c r="AN56" s="513"/>
      <c r="AO56" s="514">
        <v>68</v>
      </c>
      <c r="AP56" s="513"/>
      <c r="AQ56" s="298" t="str">
        <f t="shared" si="3"/>
        <v>HOR100168</v>
      </c>
      <c r="AR56" s="514">
        <v>1725</v>
      </c>
      <c r="AT56" s="512" t="s">
        <v>743</v>
      </c>
      <c r="AU56" s="512" t="s">
        <v>744</v>
      </c>
      <c r="AV56" s="512" t="s">
        <v>721</v>
      </c>
      <c r="AW56" s="513"/>
      <c r="AX56" s="512" t="s">
        <v>721</v>
      </c>
      <c r="AY56" s="512" t="s">
        <v>26</v>
      </c>
      <c r="AZ56" s="513"/>
      <c r="BA56" s="514">
        <v>48</v>
      </c>
      <c r="BB56" s="298" t="str">
        <f t="shared" si="4"/>
        <v>CLR100248</v>
      </c>
      <c r="BC56" s="514">
        <v>423</v>
      </c>
      <c r="BF56" s="512" t="s">
        <v>658</v>
      </c>
      <c r="BG56" s="512" t="s">
        <v>732</v>
      </c>
      <c r="BH56" s="512" t="s">
        <v>25</v>
      </c>
      <c r="BI56" s="514">
        <v>68</v>
      </c>
      <c r="BJ56" s="298" t="str">
        <f t="shared" si="5"/>
        <v>AOR100168</v>
      </c>
      <c r="BK56" s="514">
        <v>1</v>
      </c>
      <c r="BL56" s="514">
        <v>2</v>
      </c>
      <c r="BM56" s="514">
        <v>2</v>
      </c>
      <c r="BN56" s="514">
        <v>3</v>
      </c>
      <c r="BO56" s="514">
        <v>4</v>
      </c>
      <c r="BP56" s="514">
        <v>3</v>
      </c>
      <c r="BQ56" s="514">
        <v>4</v>
      </c>
      <c r="BR56" s="514">
        <v>5</v>
      </c>
      <c r="BS56" s="514">
        <v>5</v>
      </c>
      <c r="BT56" s="514">
        <v>0</v>
      </c>
      <c r="BU56" s="514">
        <v>0</v>
      </c>
      <c r="BV56" s="514">
        <v>0</v>
      </c>
      <c r="BW56" s="514">
        <v>0</v>
      </c>
      <c r="BX56" s="514">
        <v>0</v>
      </c>
      <c r="BY56" s="514">
        <v>0</v>
      </c>
      <c r="BZ56" s="514">
        <v>0</v>
      </c>
      <c r="CA56" s="514">
        <v>0</v>
      </c>
      <c r="CB56" s="514">
        <v>0</v>
      </c>
      <c r="CC56" s="514">
        <v>0</v>
      </c>
      <c r="CD56" s="514">
        <v>0</v>
      </c>
      <c r="CE56" s="514">
        <v>0</v>
      </c>
      <c r="CF56" s="514">
        <v>0</v>
      </c>
      <c r="CG56" s="514">
        <v>0</v>
      </c>
      <c r="CH56" s="514">
        <v>0</v>
      </c>
      <c r="CI56" s="514">
        <v>0</v>
      </c>
      <c r="CJ56" s="514">
        <v>0</v>
      </c>
      <c r="CK56" s="514">
        <v>0</v>
      </c>
      <c r="CL56" s="514">
        <v>0</v>
      </c>
      <c r="CM56" s="514">
        <v>0</v>
      </c>
      <c r="CN56" s="514">
        <v>0</v>
      </c>
      <c r="CO56" s="514">
        <v>0</v>
      </c>
      <c r="CP56" s="514">
        <v>0</v>
      </c>
      <c r="CQ56" s="514">
        <v>0</v>
      </c>
      <c r="CR56" s="514">
        <v>0</v>
      </c>
      <c r="CS56" s="514">
        <v>0</v>
      </c>
      <c r="CT56" s="514">
        <v>0</v>
      </c>
      <c r="CU56" s="514">
        <v>0</v>
      </c>
      <c r="CV56" s="514">
        <v>0</v>
      </c>
      <c r="CW56" s="514">
        <v>0</v>
      </c>
      <c r="CX56" s="514">
        <v>0</v>
      </c>
      <c r="CY56" s="514">
        <v>0</v>
      </c>
      <c r="CZ56" s="514">
        <v>0</v>
      </c>
      <c r="DA56" s="514">
        <v>0</v>
      </c>
      <c r="DB56" s="514">
        <v>0</v>
      </c>
      <c r="DC56" s="514">
        <v>0</v>
      </c>
      <c r="DD56" s="514">
        <v>0</v>
      </c>
      <c r="DE56" s="514">
        <v>0</v>
      </c>
      <c r="DF56" s="514">
        <v>0</v>
      </c>
      <c r="DG56" s="514">
        <v>0</v>
      </c>
      <c r="DH56" s="514">
        <v>0</v>
      </c>
      <c r="DI56" s="514">
        <v>0</v>
      </c>
      <c r="DJ56" s="514">
        <v>0</v>
      </c>
      <c r="DK56" s="514">
        <v>0</v>
      </c>
      <c r="DL56" s="514">
        <v>0</v>
      </c>
      <c r="DM56" s="514">
        <v>0</v>
      </c>
      <c r="DN56" s="514">
        <v>0</v>
      </c>
      <c r="DO56" s="514">
        <v>0</v>
      </c>
      <c r="DP56" s="514">
        <v>0</v>
      </c>
      <c r="DQ56" s="514">
        <v>0</v>
      </c>
      <c r="DR56" s="514">
        <v>0</v>
      </c>
      <c r="DS56" s="514">
        <v>0</v>
      </c>
      <c r="DT56" s="514">
        <v>0</v>
      </c>
      <c r="DU56" s="514">
        <v>0</v>
      </c>
      <c r="DV56" s="514">
        <v>0</v>
      </c>
      <c r="DW56" s="514">
        <v>0</v>
      </c>
      <c r="DX56" s="514">
        <v>0</v>
      </c>
      <c r="DY56" s="514">
        <v>0</v>
      </c>
      <c r="DZ56" s="514">
        <v>0</v>
      </c>
      <c r="EA56" s="514">
        <v>0</v>
      </c>
      <c r="EB56" s="514">
        <v>0</v>
      </c>
      <c r="EC56" s="514">
        <v>0</v>
      </c>
      <c r="ED56" s="514">
        <v>0</v>
      </c>
      <c r="EE56" s="514">
        <v>0</v>
      </c>
      <c r="EF56" s="514">
        <v>0</v>
      </c>
      <c r="EG56" s="514">
        <v>0</v>
      </c>
      <c r="EH56" s="514">
        <v>0</v>
      </c>
      <c r="EI56" s="514">
        <v>0</v>
      </c>
      <c r="EJ56" s="514">
        <v>0</v>
      </c>
      <c r="EK56" s="514">
        <v>0</v>
      </c>
      <c r="EL56" s="514">
        <v>0</v>
      </c>
      <c r="EM56" s="514">
        <v>0</v>
      </c>
      <c r="EN56" s="514">
        <v>0</v>
      </c>
      <c r="EO56" s="514">
        <v>0</v>
      </c>
      <c r="EP56" s="514">
        <v>0</v>
      </c>
      <c r="EQ56" s="514">
        <v>0</v>
      </c>
      <c r="ER56" s="514">
        <v>0</v>
      </c>
      <c r="ES56" s="514">
        <v>0</v>
      </c>
      <c r="ET56" s="514">
        <v>0</v>
      </c>
      <c r="EU56" s="514">
        <v>0</v>
      </c>
      <c r="EV56" s="514">
        <v>0</v>
      </c>
      <c r="EW56" s="514">
        <v>0</v>
      </c>
      <c r="EX56" s="514">
        <v>0</v>
      </c>
      <c r="EY56" s="514">
        <v>0</v>
      </c>
      <c r="EZ56" s="514">
        <v>0</v>
      </c>
      <c r="FA56" s="514">
        <v>0</v>
      </c>
      <c r="FB56" s="514">
        <v>0</v>
      </c>
      <c r="FC56" s="514">
        <v>0</v>
      </c>
      <c r="FD56" s="514">
        <v>0</v>
      </c>
      <c r="FE56" s="514">
        <v>0</v>
      </c>
      <c r="FF56" s="514">
        <v>0</v>
      </c>
      <c r="FG56" s="514">
        <v>0</v>
      </c>
      <c r="FH56" s="514">
        <v>0</v>
      </c>
      <c r="FI56" s="514">
        <v>0</v>
      </c>
      <c r="FJ56" s="514">
        <v>0</v>
      </c>
      <c r="FK56" s="514">
        <v>0</v>
      </c>
      <c r="FL56" s="514">
        <v>0</v>
      </c>
      <c r="FM56" s="514">
        <v>0</v>
      </c>
      <c r="FN56" s="514">
        <v>0</v>
      </c>
      <c r="FO56" s="514">
        <v>0</v>
      </c>
      <c r="FP56" s="514">
        <v>0</v>
      </c>
      <c r="FQ56" s="514">
        <v>0</v>
      </c>
    </row>
    <row r="57" spans="1:173" ht="16.5" hidden="1">
      <c r="A57" s="512" t="s">
        <v>658</v>
      </c>
      <c r="B57" s="512" t="s">
        <v>732</v>
      </c>
      <c r="C57" s="512" t="s">
        <v>721</v>
      </c>
      <c r="D57" s="513"/>
      <c r="E57" s="512" t="s">
        <v>721</v>
      </c>
      <c r="F57" s="512" t="s">
        <v>26</v>
      </c>
      <c r="G57" s="513"/>
      <c r="H57" s="514">
        <v>66</v>
      </c>
      <c r="I57" s="298" t="str">
        <f t="shared" si="0"/>
        <v>AOR100266</v>
      </c>
      <c r="J57" s="514">
        <v>3</v>
      </c>
      <c r="L57" s="512" t="s">
        <v>720</v>
      </c>
      <c r="M57" s="512" t="s">
        <v>739</v>
      </c>
      <c r="N57" s="512" t="s">
        <v>721</v>
      </c>
      <c r="O57" s="513"/>
      <c r="P57" s="512" t="s">
        <v>721</v>
      </c>
      <c r="Q57" s="512" t="s">
        <v>26</v>
      </c>
      <c r="R57" s="513"/>
      <c r="S57" s="514">
        <v>48</v>
      </c>
      <c r="T57" s="298" t="str">
        <f t="shared" si="1"/>
        <v>HSGA0248</v>
      </c>
      <c r="U57" s="514">
        <v>9652</v>
      </c>
      <c r="W57" s="512" t="s">
        <v>269</v>
      </c>
      <c r="X57" s="512" t="s">
        <v>843</v>
      </c>
      <c r="Y57" s="512" t="s">
        <v>721</v>
      </c>
      <c r="Z57" s="514">
        <v>10</v>
      </c>
      <c r="AA57" s="512" t="s">
        <v>721</v>
      </c>
      <c r="AB57" s="512" t="s">
        <v>25</v>
      </c>
      <c r="AC57" s="514">
        <v>0</v>
      </c>
      <c r="AD57" s="514">
        <v>69</v>
      </c>
      <c r="AE57" s="298" t="str">
        <f t="shared" si="2"/>
        <v>HNR100169</v>
      </c>
      <c r="AF57" s="514">
        <v>1268</v>
      </c>
      <c r="AH57" s="512" t="s">
        <v>721</v>
      </c>
      <c r="AI57" s="512" t="s">
        <v>1030</v>
      </c>
      <c r="AJ57" s="512" t="s">
        <v>721</v>
      </c>
      <c r="AK57" s="513"/>
      <c r="AL57" s="512" t="s">
        <v>721</v>
      </c>
      <c r="AM57" s="512" t="s">
        <v>25</v>
      </c>
      <c r="AN57" s="513"/>
      <c r="AO57" s="514">
        <v>69</v>
      </c>
      <c r="AP57" s="513"/>
      <c r="AQ57" s="298" t="str">
        <f t="shared" si="3"/>
        <v>HOR100169</v>
      </c>
      <c r="AR57" s="514">
        <v>1790</v>
      </c>
      <c r="AT57" s="512" t="s">
        <v>743</v>
      </c>
      <c r="AU57" s="512" t="s">
        <v>744</v>
      </c>
      <c r="AV57" s="512" t="s">
        <v>721</v>
      </c>
      <c r="AW57" s="513"/>
      <c r="AX57" s="512" t="s">
        <v>721</v>
      </c>
      <c r="AY57" s="512" t="s">
        <v>25</v>
      </c>
      <c r="AZ57" s="513"/>
      <c r="BA57" s="514">
        <v>49</v>
      </c>
      <c r="BB57" s="298" t="str">
        <f t="shared" si="4"/>
        <v>CLR100149</v>
      </c>
      <c r="BC57" s="514">
        <v>373</v>
      </c>
      <c r="BF57" s="512" t="s">
        <v>658</v>
      </c>
      <c r="BG57" s="512" t="s">
        <v>732</v>
      </c>
      <c r="BH57" s="512" t="s">
        <v>25</v>
      </c>
      <c r="BI57" s="514">
        <v>69</v>
      </c>
      <c r="BJ57" s="298" t="str">
        <f t="shared" si="5"/>
        <v>AOR100169</v>
      </c>
      <c r="BK57" s="514">
        <v>2</v>
      </c>
      <c r="BL57" s="514">
        <v>2</v>
      </c>
      <c r="BM57" s="514">
        <v>2</v>
      </c>
      <c r="BN57" s="514">
        <v>2</v>
      </c>
      <c r="BO57" s="514">
        <v>3</v>
      </c>
      <c r="BP57" s="514">
        <v>4</v>
      </c>
      <c r="BQ57" s="514">
        <v>4</v>
      </c>
      <c r="BR57" s="514">
        <v>5</v>
      </c>
      <c r="BS57" s="514">
        <v>5</v>
      </c>
      <c r="BT57" s="514">
        <v>0</v>
      </c>
      <c r="BU57" s="514">
        <v>0</v>
      </c>
      <c r="BV57" s="514">
        <v>0</v>
      </c>
      <c r="BW57" s="514">
        <v>0</v>
      </c>
      <c r="BX57" s="514">
        <v>0</v>
      </c>
      <c r="BY57" s="514">
        <v>0</v>
      </c>
      <c r="BZ57" s="514">
        <v>0</v>
      </c>
      <c r="CA57" s="514">
        <v>0</v>
      </c>
      <c r="CB57" s="514">
        <v>0</v>
      </c>
      <c r="CC57" s="514">
        <v>0</v>
      </c>
      <c r="CD57" s="514">
        <v>0</v>
      </c>
      <c r="CE57" s="514">
        <v>0</v>
      </c>
      <c r="CF57" s="514">
        <v>0</v>
      </c>
      <c r="CG57" s="514">
        <v>0</v>
      </c>
      <c r="CH57" s="514">
        <v>0</v>
      </c>
      <c r="CI57" s="514">
        <v>0</v>
      </c>
      <c r="CJ57" s="514">
        <v>0</v>
      </c>
      <c r="CK57" s="514">
        <v>0</v>
      </c>
      <c r="CL57" s="514">
        <v>0</v>
      </c>
      <c r="CM57" s="514">
        <v>0</v>
      </c>
      <c r="CN57" s="514">
        <v>0</v>
      </c>
      <c r="CO57" s="514">
        <v>0</v>
      </c>
      <c r="CP57" s="514">
        <v>0</v>
      </c>
      <c r="CQ57" s="514">
        <v>0</v>
      </c>
      <c r="CR57" s="514">
        <v>0</v>
      </c>
      <c r="CS57" s="514">
        <v>0</v>
      </c>
      <c r="CT57" s="514">
        <v>0</v>
      </c>
      <c r="CU57" s="514">
        <v>0</v>
      </c>
      <c r="CV57" s="514">
        <v>0</v>
      </c>
      <c r="CW57" s="514">
        <v>0</v>
      </c>
      <c r="CX57" s="514">
        <v>0</v>
      </c>
      <c r="CY57" s="514">
        <v>0</v>
      </c>
      <c r="CZ57" s="514">
        <v>0</v>
      </c>
      <c r="DA57" s="514">
        <v>0</v>
      </c>
      <c r="DB57" s="514">
        <v>0</v>
      </c>
      <c r="DC57" s="514">
        <v>0</v>
      </c>
      <c r="DD57" s="514">
        <v>0</v>
      </c>
      <c r="DE57" s="514">
        <v>0</v>
      </c>
      <c r="DF57" s="514">
        <v>0</v>
      </c>
      <c r="DG57" s="514">
        <v>0</v>
      </c>
      <c r="DH57" s="514">
        <v>0</v>
      </c>
      <c r="DI57" s="514">
        <v>0</v>
      </c>
      <c r="DJ57" s="514">
        <v>0</v>
      </c>
      <c r="DK57" s="514">
        <v>0</v>
      </c>
      <c r="DL57" s="514">
        <v>0</v>
      </c>
      <c r="DM57" s="514">
        <v>0</v>
      </c>
      <c r="DN57" s="514">
        <v>0</v>
      </c>
      <c r="DO57" s="514">
        <v>0</v>
      </c>
      <c r="DP57" s="514">
        <v>0</v>
      </c>
      <c r="DQ57" s="514">
        <v>0</v>
      </c>
      <c r="DR57" s="514">
        <v>0</v>
      </c>
      <c r="DS57" s="514">
        <v>0</v>
      </c>
      <c r="DT57" s="514">
        <v>0</v>
      </c>
      <c r="DU57" s="514">
        <v>0</v>
      </c>
      <c r="DV57" s="514">
        <v>0</v>
      </c>
      <c r="DW57" s="514">
        <v>0</v>
      </c>
      <c r="DX57" s="514">
        <v>0</v>
      </c>
      <c r="DY57" s="514">
        <v>0</v>
      </c>
      <c r="DZ57" s="514">
        <v>0</v>
      </c>
      <c r="EA57" s="514">
        <v>0</v>
      </c>
      <c r="EB57" s="514">
        <v>0</v>
      </c>
      <c r="EC57" s="514">
        <v>0</v>
      </c>
      <c r="ED57" s="514">
        <v>0</v>
      </c>
      <c r="EE57" s="514">
        <v>0</v>
      </c>
      <c r="EF57" s="514">
        <v>0</v>
      </c>
      <c r="EG57" s="514">
        <v>0</v>
      </c>
      <c r="EH57" s="514">
        <v>0</v>
      </c>
      <c r="EI57" s="514">
        <v>0</v>
      </c>
      <c r="EJ57" s="514">
        <v>0</v>
      </c>
      <c r="EK57" s="514">
        <v>0</v>
      </c>
      <c r="EL57" s="514">
        <v>0</v>
      </c>
      <c r="EM57" s="514">
        <v>0</v>
      </c>
      <c r="EN57" s="514">
        <v>0</v>
      </c>
      <c r="EO57" s="514">
        <v>0</v>
      </c>
      <c r="EP57" s="514">
        <v>0</v>
      </c>
      <c r="EQ57" s="514">
        <v>0</v>
      </c>
      <c r="ER57" s="514">
        <v>0</v>
      </c>
      <c r="ES57" s="514">
        <v>0</v>
      </c>
      <c r="ET57" s="514">
        <v>0</v>
      </c>
      <c r="EU57" s="514">
        <v>0</v>
      </c>
      <c r="EV57" s="514">
        <v>0</v>
      </c>
      <c r="EW57" s="514">
        <v>0</v>
      </c>
      <c r="EX57" s="514">
        <v>0</v>
      </c>
      <c r="EY57" s="514">
        <v>0</v>
      </c>
      <c r="EZ57" s="514">
        <v>0</v>
      </c>
      <c r="FA57" s="514">
        <v>0</v>
      </c>
      <c r="FB57" s="514">
        <v>0</v>
      </c>
      <c r="FC57" s="514">
        <v>0</v>
      </c>
      <c r="FD57" s="514">
        <v>0</v>
      </c>
      <c r="FE57" s="514">
        <v>0</v>
      </c>
      <c r="FF57" s="514">
        <v>0</v>
      </c>
      <c r="FG57" s="514">
        <v>0</v>
      </c>
      <c r="FH57" s="514">
        <v>0</v>
      </c>
      <c r="FI57" s="514">
        <v>0</v>
      </c>
      <c r="FJ57" s="514">
        <v>0</v>
      </c>
      <c r="FK57" s="514">
        <v>0</v>
      </c>
      <c r="FL57" s="514">
        <v>0</v>
      </c>
      <c r="FM57" s="514">
        <v>0</v>
      </c>
      <c r="FN57" s="514">
        <v>0</v>
      </c>
      <c r="FO57" s="514">
        <v>0</v>
      </c>
      <c r="FP57" s="514">
        <v>0</v>
      </c>
      <c r="FQ57" s="514">
        <v>0</v>
      </c>
    </row>
    <row r="58" spans="1:173" ht="16.5" hidden="1">
      <c r="A58" s="512" t="s">
        <v>658</v>
      </c>
      <c r="B58" s="512" t="s">
        <v>732</v>
      </c>
      <c r="C58" s="512" t="s">
        <v>721</v>
      </c>
      <c r="D58" s="513"/>
      <c r="E58" s="512" t="s">
        <v>721</v>
      </c>
      <c r="F58" s="512" t="s">
        <v>26</v>
      </c>
      <c r="G58" s="513"/>
      <c r="H58" s="514">
        <v>67</v>
      </c>
      <c r="I58" s="298" t="str">
        <f t="shared" si="0"/>
        <v>AOR100267</v>
      </c>
      <c r="J58" s="514">
        <v>5</v>
      </c>
      <c r="L58" s="512" t="s">
        <v>720</v>
      </c>
      <c r="M58" s="512" t="s">
        <v>739</v>
      </c>
      <c r="N58" s="512" t="s">
        <v>721</v>
      </c>
      <c r="O58" s="513"/>
      <c r="P58" s="512" t="s">
        <v>721</v>
      </c>
      <c r="Q58" s="512" t="s">
        <v>26</v>
      </c>
      <c r="R58" s="513"/>
      <c r="S58" s="514">
        <v>49</v>
      </c>
      <c r="T58" s="298" t="str">
        <f t="shared" si="1"/>
        <v>HSGA0249</v>
      </c>
      <c r="U58" s="514">
        <v>9856</v>
      </c>
      <c r="W58" s="512" t="s">
        <v>269</v>
      </c>
      <c r="X58" s="512" t="s">
        <v>843</v>
      </c>
      <c r="Y58" s="512" t="s">
        <v>721</v>
      </c>
      <c r="Z58" s="514">
        <v>10</v>
      </c>
      <c r="AA58" s="512" t="s">
        <v>721</v>
      </c>
      <c r="AB58" s="512" t="s">
        <v>25</v>
      </c>
      <c r="AC58" s="514">
        <v>0</v>
      </c>
      <c r="AD58" s="514">
        <v>70</v>
      </c>
      <c r="AE58" s="298" t="str">
        <f t="shared" si="2"/>
        <v>HNR100170</v>
      </c>
      <c r="AF58" s="514">
        <v>1345</v>
      </c>
      <c r="AH58" s="512" t="s">
        <v>721</v>
      </c>
      <c r="AI58" s="512" t="s">
        <v>1030</v>
      </c>
      <c r="AJ58" s="512" t="s">
        <v>721</v>
      </c>
      <c r="AK58" s="513"/>
      <c r="AL58" s="512" t="s">
        <v>721</v>
      </c>
      <c r="AM58" s="512" t="s">
        <v>25</v>
      </c>
      <c r="AN58" s="513"/>
      <c r="AO58" s="514">
        <v>70</v>
      </c>
      <c r="AP58" s="513"/>
      <c r="AQ58" s="298" t="str">
        <f t="shared" si="3"/>
        <v>HOR100170</v>
      </c>
      <c r="AR58" s="514">
        <v>1870</v>
      </c>
      <c r="AT58" s="512" t="s">
        <v>743</v>
      </c>
      <c r="AU58" s="512" t="s">
        <v>744</v>
      </c>
      <c r="AV58" s="512" t="s">
        <v>721</v>
      </c>
      <c r="AW58" s="513"/>
      <c r="AX58" s="512" t="s">
        <v>721</v>
      </c>
      <c r="AY58" s="512" t="s">
        <v>26</v>
      </c>
      <c r="AZ58" s="513"/>
      <c r="BA58" s="514">
        <v>49</v>
      </c>
      <c r="BB58" s="298" t="str">
        <f t="shared" si="4"/>
        <v>CLR100249</v>
      </c>
      <c r="BC58" s="514">
        <v>433</v>
      </c>
      <c r="BF58" s="512" t="s">
        <v>658</v>
      </c>
      <c r="BG58" s="512" t="s">
        <v>732</v>
      </c>
      <c r="BH58" s="512" t="s">
        <v>25</v>
      </c>
      <c r="BI58" s="514">
        <v>70</v>
      </c>
      <c r="BJ58" s="298" t="str">
        <f t="shared" si="5"/>
        <v>AOR100170</v>
      </c>
      <c r="BK58" s="514">
        <v>1</v>
      </c>
      <c r="BL58" s="514">
        <v>1</v>
      </c>
      <c r="BM58" s="514">
        <v>2</v>
      </c>
      <c r="BN58" s="514">
        <v>2</v>
      </c>
      <c r="BO58" s="514">
        <v>3</v>
      </c>
      <c r="BP58" s="514">
        <v>4</v>
      </c>
      <c r="BQ58" s="514">
        <v>5</v>
      </c>
      <c r="BR58" s="514">
        <v>6</v>
      </c>
      <c r="BS58" s="514">
        <v>7</v>
      </c>
      <c r="BT58" s="514">
        <v>0</v>
      </c>
      <c r="BU58" s="514">
        <v>0</v>
      </c>
      <c r="BV58" s="514">
        <v>0</v>
      </c>
      <c r="BW58" s="514">
        <v>0</v>
      </c>
      <c r="BX58" s="514">
        <v>0</v>
      </c>
      <c r="BY58" s="514">
        <v>0</v>
      </c>
      <c r="BZ58" s="514">
        <v>0</v>
      </c>
      <c r="CA58" s="514">
        <v>0</v>
      </c>
      <c r="CB58" s="514">
        <v>0</v>
      </c>
      <c r="CC58" s="514">
        <v>0</v>
      </c>
      <c r="CD58" s="514">
        <v>0</v>
      </c>
      <c r="CE58" s="514">
        <v>0</v>
      </c>
      <c r="CF58" s="514">
        <v>0</v>
      </c>
      <c r="CG58" s="514">
        <v>0</v>
      </c>
      <c r="CH58" s="514">
        <v>0</v>
      </c>
      <c r="CI58" s="514">
        <v>0</v>
      </c>
      <c r="CJ58" s="514">
        <v>0</v>
      </c>
      <c r="CK58" s="514">
        <v>0</v>
      </c>
      <c r="CL58" s="514">
        <v>0</v>
      </c>
      <c r="CM58" s="514">
        <v>0</v>
      </c>
      <c r="CN58" s="514">
        <v>0</v>
      </c>
      <c r="CO58" s="514">
        <v>0</v>
      </c>
      <c r="CP58" s="514">
        <v>0</v>
      </c>
      <c r="CQ58" s="514">
        <v>0</v>
      </c>
      <c r="CR58" s="514">
        <v>0</v>
      </c>
      <c r="CS58" s="514">
        <v>0</v>
      </c>
      <c r="CT58" s="514">
        <v>0</v>
      </c>
      <c r="CU58" s="514">
        <v>0</v>
      </c>
      <c r="CV58" s="514">
        <v>0</v>
      </c>
      <c r="CW58" s="514">
        <v>0</v>
      </c>
      <c r="CX58" s="514">
        <v>0</v>
      </c>
      <c r="CY58" s="514">
        <v>0</v>
      </c>
      <c r="CZ58" s="514">
        <v>0</v>
      </c>
      <c r="DA58" s="514">
        <v>0</v>
      </c>
      <c r="DB58" s="514">
        <v>0</v>
      </c>
      <c r="DC58" s="514">
        <v>0</v>
      </c>
      <c r="DD58" s="514">
        <v>0</v>
      </c>
      <c r="DE58" s="514">
        <v>0</v>
      </c>
      <c r="DF58" s="514">
        <v>0</v>
      </c>
      <c r="DG58" s="514">
        <v>0</v>
      </c>
      <c r="DH58" s="514">
        <v>0</v>
      </c>
      <c r="DI58" s="514">
        <v>0</v>
      </c>
      <c r="DJ58" s="514">
        <v>0</v>
      </c>
      <c r="DK58" s="514">
        <v>0</v>
      </c>
      <c r="DL58" s="514">
        <v>0</v>
      </c>
      <c r="DM58" s="514">
        <v>0</v>
      </c>
      <c r="DN58" s="514">
        <v>0</v>
      </c>
      <c r="DO58" s="514">
        <v>0</v>
      </c>
      <c r="DP58" s="514">
        <v>0</v>
      </c>
      <c r="DQ58" s="514">
        <v>0</v>
      </c>
      <c r="DR58" s="514">
        <v>0</v>
      </c>
      <c r="DS58" s="514">
        <v>0</v>
      </c>
      <c r="DT58" s="514">
        <v>0</v>
      </c>
      <c r="DU58" s="514">
        <v>0</v>
      </c>
      <c r="DV58" s="514">
        <v>0</v>
      </c>
      <c r="DW58" s="514">
        <v>0</v>
      </c>
      <c r="DX58" s="514">
        <v>0</v>
      </c>
      <c r="DY58" s="514">
        <v>0</v>
      </c>
      <c r="DZ58" s="514">
        <v>0</v>
      </c>
      <c r="EA58" s="514">
        <v>0</v>
      </c>
      <c r="EB58" s="514">
        <v>0</v>
      </c>
      <c r="EC58" s="514">
        <v>0</v>
      </c>
      <c r="ED58" s="514">
        <v>0</v>
      </c>
      <c r="EE58" s="514">
        <v>0</v>
      </c>
      <c r="EF58" s="514">
        <v>0</v>
      </c>
      <c r="EG58" s="514">
        <v>0</v>
      </c>
      <c r="EH58" s="514">
        <v>0</v>
      </c>
      <c r="EI58" s="514">
        <v>0</v>
      </c>
      <c r="EJ58" s="514">
        <v>0</v>
      </c>
      <c r="EK58" s="514">
        <v>0</v>
      </c>
      <c r="EL58" s="514">
        <v>0</v>
      </c>
      <c r="EM58" s="514">
        <v>0</v>
      </c>
      <c r="EN58" s="514">
        <v>0</v>
      </c>
      <c r="EO58" s="514">
        <v>0</v>
      </c>
      <c r="EP58" s="514">
        <v>0</v>
      </c>
      <c r="EQ58" s="514">
        <v>0</v>
      </c>
      <c r="ER58" s="514">
        <v>0</v>
      </c>
      <c r="ES58" s="514">
        <v>0</v>
      </c>
      <c r="ET58" s="514">
        <v>0</v>
      </c>
      <c r="EU58" s="514">
        <v>0</v>
      </c>
      <c r="EV58" s="514">
        <v>0</v>
      </c>
      <c r="EW58" s="514">
        <v>0</v>
      </c>
      <c r="EX58" s="514">
        <v>0</v>
      </c>
      <c r="EY58" s="514">
        <v>0</v>
      </c>
      <c r="EZ58" s="514">
        <v>0</v>
      </c>
      <c r="FA58" s="514">
        <v>0</v>
      </c>
      <c r="FB58" s="514">
        <v>0</v>
      </c>
      <c r="FC58" s="514">
        <v>0</v>
      </c>
      <c r="FD58" s="514">
        <v>0</v>
      </c>
      <c r="FE58" s="514">
        <v>0</v>
      </c>
      <c r="FF58" s="514">
        <v>0</v>
      </c>
      <c r="FG58" s="514">
        <v>0</v>
      </c>
      <c r="FH58" s="514">
        <v>0</v>
      </c>
      <c r="FI58" s="514">
        <v>0</v>
      </c>
      <c r="FJ58" s="514">
        <v>0</v>
      </c>
      <c r="FK58" s="514">
        <v>0</v>
      </c>
      <c r="FL58" s="514">
        <v>0</v>
      </c>
      <c r="FM58" s="514">
        <v>0</v>
      </c>
      <c r="FN58" s="514">
        <v>0</v>
      </c>
      <c r="FO58" s="514">
        <v>0</v>
      </c>
      <c r="FP58" s="514">
        <v>0</v>
      </c>
      <c r="FQ58" s="514">
        <v>0</v>
      </c>
    </row>
    <row r="59" spans="1:173" ht="16.5" hidden="1">
      <c r="A59" s="512" t="s">
        <v>658</v>
      </c>
      <c r="B59" s="512" t="s">
        <v>732</v>
      </c>
      <c r="C59" s="512" t="s">
        <v>721</v>
      </c>
      <c r="D59" s="513"/>
      <c r="E59" s="512" t="s">
        <v>721</v>
      </c>
      <c r="F59" s="512" t="s">
        <v>26</v>
      </c>
      <c r="G59" s="513"/>
      <c r="H59" s="514">
        <v>68</v>
      </c>
      <c r="I59" s="298" t="str">
        <f t="shared" si="0"/>
        <v>AOR100268</v>
      </c>
      <c r="J59" s="514">
        <v>6</v>
      </c>
      <c r="L59" s="512" t="s">
        <v>720</v>
      </c>
      <c r="M59" s="512" t="s">
        <v>739</v>
      </c>
      <c r="N59" s="512" t="s">
        <v>721</v>
      </c>
      <c r="O59" s="513"/>
      <c r="P59" s="512" t="s">
        <v>721</v>
      </c>
      <c r="Q59" s="512" t="s">
        <v>26</v>
      </c>
      <c r="R59" s="513"/>
      <c r="S59" s="514">
        <v>50</v>
      </c>
      <c r="T59" s="298" t="str">
        <f t="shared" si="1"/>
        <v>HSGA0250</v>
      </c>
      <c r="U59" s="514">
        <v>10041</v>
      </c>
      <c r="W59" s="512" t="s">
        <v>269</v>
      </c>
      <c r="X59" s="512" t="s">
        <v>843</v>
      </c>
      <c r="Y59" s="512" t="s">
        <v>721</v>
      </c>
      <c r="Z59" s="514">
        <v>10</v>
      </c>
      <c r="AA59" s="512" t="s">
        <v>721</v>
      </c>
      <c r="AB59" s="512" t="s">
        <v>25</v>
      </c>
      <c r="AC59" s="514">
        <v>0</v>
      </c>
      <c r="AD59" s="514">
        <v>71</v>
      </c>
      <c r="AE59" s="298" t="str">
        <f t="shared" si="2"/>
        <v>HNR100171</v>
      </c>
      <c r="AF59" s="514">
        <v>1436</v>
      </c>
      <c r="AH59" s="512" t="s">
        <v>721</v>
      </c>
      <c r="AI59" s="512" t="s">
        <v>1030</v>
      </c>
      <c r="AJ59" s="512" t="s">
        <v>721</v>
      </c>
      <c r="AK59" s="513"/>
      <c r="AL59" s="512" t="s">
        <v>721</v>
      </c>
      <c r="AM59" s="512" t="s">
        <v>25</v>
      </c>
      <c r="AN59" s="513"/>
      <c r="AO59" s="514">
        <v>71</v>
      </c>
      <c r="AP59" s="513"/>
      <c r="AQ59" s="298" t="str">
        <f t="shared" si="3"/>
        <v>HOR100171</v>
      </c>
      <c r="AR59" s="514">
        <v>1930</v>
      </c>
      <c r="AT59" s="512" t="s">
        <v>743</v>
      </c>
      <c r="AU59" s="512" t="s">
        <v>744</v>
      </c>
      <c r="AV59" s="512" t="s">
        <v>721</v>
      </c>
      <c r="AW59" s="513"/>
      <c r="AX59" s="512" t="s">
        <v>721</v>
      </c>
      <c r="AY59" s="512" t="s">
        <v>25</v>
      </c>
      <c r="AZ59" s="513"/>
      <c r="BA59" s="514">
        <v>50</v>
      </c>
      <c r="BB59" s="298" t="str">
        <f t="shared" si="4"/>
        <v>CLR100150</v>
      </c>
      <c r="BC59" s="514">
        <v>392</v>
      </c>
      <c r="BF59" s="512" t="s">
        <v>658</v>
      </c>
      <c r="BG59" s="512" t="s">
        <v>732</v>
      </c>
      <c r="BH59" s="512" t="s">
        <v>25</v>
      </c>
      <c r="BI59" s="514">
        <v>71</v>
      </c>
      <c r="BJ59" s="298" t="str">
        <f t="shared" si="5"/>
        <v>AOR100171</v>
      </c>
      <c r="BK59" s="514">
        <v>1</v>
      </c>
      <c r="BL59" s="514">
        <v>2</v>
      </c>
      <c r="BM59" s="514">
        <v>2</v>
      </c>
      <c r="BN59" s="514">
        <v>2</v>
      </c>
      <c r="BO59" s="514">
        <v>3</v>
      </c>
      <c r="BP59" s="514">
        <v>4</v>
      </c>
      <c r="BQ59" s="514">
        <v>5</v>
      </c>
      <c r="BR59" s="514">
        <v>6</v>
      </c>
      <c r="BS59" s="514">
        <v>8</v>
      </c>
      <c r="BT59" s="514">
        <v>0</v>
      </c>
      <c r="BU59" s="514">
        <v>0</v>
      </c>
      <c r="BV59" s="514">
        <v>0</v>
      </c>
      <c r="BW59" s="514">
        <v>0</v>
      </c>
      <c r="BX59" s="514">
        <v>0</v>
      </c>
      <c r="BY59" s="514">
        <v>0</v>
      </c>
      <c r="BZ59" s="514">
        <v>0</v>
      </c>
      <c r="CA59" s="514">
        <v>0</v>
      </c>
      <c r="CB59" s="514">
        <v>0</v>
      </c>
      <c r="CC59" s="514">
        <v>0</v>
      </c>
      <c r="CD59" s="514">
        <v>0</v>
      </c>
      <c r="CE59" s="514">
        <v>0</v>
      </c>
      <c r="CF59" s="514">
        <v>0</v>
      </c>
      <c r="CG59" s="514">
        <v>0</v>
      </c>
      <c r="CH59" s="514">
        <v>0</v>
      </c>
      <c r="CI59" s="514">
        <v>0</v>
      </c>
      <c r="CJ59" s="514">
        <v>0</v>
      </c>
      <c r="CK59" s="514">
        <v>0</v>
      </c>
      <c r="CL59" s="514">
        <v>0</v>
      </c>
      <c r="CM59" s="514">
        <v>0</v>
      </c>
      <c r="CN59" s="514">
        <v>0</v>
      </c>
      <c r="CO59" s="514">
        <v>0</v>
      </c>
      <c r="CP59" s="514">
        <v>0</v>
      </c>
      <c r="CQ59" s="514">
        <v>0</v>
      </c>
      <c r="CR59" s="514">
        <v>0</v>
      </c>
      <c r="CS59" s="514">
        <v>0</v>
      </c>
      <c r="CT59" s="514">
        <v>0</v>
      </c>
      <c r="CU59" s="514">
        <v>0</v>
      </c>
      <c r="CV59" s="514">
        <v>0</v>
      </c>
      <c r="CW59" s="514">
        <v>0</v>
      </c>
      <c r="CX59" s="514">
        <v>0</v>
      </c>
      <c r="CY59" s="514">
        <v>0</v>
      </c>
      <c r="CZ59" s="514">
        <v>0</v>
      </c>
      <c r="DA59" s="514">
        <v>0</v>
      </c>
      <c r="DB59" s="514">
        <v>0</v>
      </c>
      <c r="DC59" s="514">
        <v>0</v>
      </c>
      <c r="DD59" s="514">
        <v>0</v>
      </c>
      <c r="DE59" s="514">
        <v>0</v>
      </c>
      <c r="DF59" s="514">
        <v>0</v>
      </c>
      <c r="DG59" s="514">
        <v>0</v>
      </c>
      <c r="DH59" s="514">
        <v>0</v>
      </c>
      <c r="DI59" s="514">
        <v>0</v>
      </c>
      <c r="DJ59" s="514">
        <v>0</v>
      </c>
      <c r="DK59" s="514">
        <v>0</v>
      </c>
      <c r="DL59" s="514">
        <v>0</v>
      </c>
      <c r="DM59" s="514">
        <v>0</v>
      </c>
      <c r="DN59" s="514">
        <v>0</v>
      </c>
      <c r="DO59" s="514">
        <v>0</v>
      </c>
      <c r="DP59" s="514">
        <v>0</v>
      </c>
      <c r="DQ59" s="514">
        <v>0</v>
      </c>
      <c r="DR59" s="514">
        <v>0</v>
      </c>
      <c r="DS59" s="514">
        <v>0</v>
      </c>
      <c r="DT59" s="514">
        <v>0</v>
      </c>
      <c r="DU59" s="514">
        <v>0</v>
      </c>
      <c r="DV59" s="514">
        <v>0</v>
      </c>
      <c r="DW59" s="514">
        <v>0</v>
      </c>
      <c r="DX59" s="514">
        <v>0</v>
      </c>
      <c r="DY59" s="514">
        <v>0</v>
      </c>
      <c r="DZ59" s="514">
        <v>0</v>
      </c>
      <c r="EA59" s="514">
        <v>0</v>
      </c>
      <c r="EB59" s="514">
        <v>0</v>
      </c>
      <c r="EC59" s="514">
        <v>0</v>
      </c>
      <c r="ED59" s="514">
        <v>0</v>
      </c>
      <c r="EE59" s="514">
        <v>0</v>
      </c>
      <c r="EF59" s="514">
        <v>0</v>
      </c>
      <c r="EG59" s="514">
        <v>0</v>
      </c>
      <c r="EH59" s="514">
        <v>0</v>
      </c>
      <c r="EI59" s="514">
        <v>0</v>
      </c>
      <c r="EJ59" s="514">
        <v>0</v>
      </c>
      <c r="EK59" s="514">
        <v>0</v>
      </c>
      <c r="EL59" s="514">
        <v>0</v>
      </c>
      <c r="EM59" s="514">
        <v>0</v>
      </c>
      <c r="EN59" s="514">
        <v>0</v>
      </c>
      <c r="EO59" s="514">
        <v>0</v>
      </c>
      <c r="EP59" s="514">
        <v>0</v>
      </c>
      <c r="EQ59" s="514">
        <v>0</v>
      </c>
      <c r="ER59" s="514">
        <v>0</v>
      </c>
      <c r="ES59" s="514">
        <v>0</v>
      </c>
      <c r="ET59" s="514">
        <v>0</v>
      </c>
      <c r="EU59" s="514">
        <v>0</v>
      </c>
      <c r="EV59" s="514">
        <v>0</v>
      </c>
      <c r="EW59" s="514">
        <v>0</v>
      </c>
      <c r="EX59" s="514">
        <v>0</v>
      </c>
      <c r="EY59" s="514">
        <v>0</v>
      </c>
      <c r="EZ59" s="514">
        <v>0</v>
      </c>
      <c r="FA59" s="514">
        <v>0</v>
      </c>
      <c r="FB59" s="514">
        <v>0</v>
      </c>
      <c r="FC59" s="514">
        <v>0</v>
      </c>
      <c r="FD59" s="514">
        <v>0</v>
      </c>
      <c r="FE59" s="514">
        <v>0</v>
      </c>
      <c r="FF59" s="514">
        <v>0</v>
      </c>
      <c r="FG59" s="514">
        <v>0</v>
      </c>
      <c r="FH59" s="514">
        <v>0</v>
      </c>
      <c r="FI59" s="514">
        <v>0</v>
      </c>
      <c r="FJ59" s="514">
        <v>0</v>
      </c>
      <c r="FK59" s="514">
        <v>0</v>
      </c>
      <c r="FL59" s="514">
        <v>0</v>
      </c>
      <c r="FM59" s="514">
        <v>0</v>
      </c>
      <c r="FN59" s="514">
        <v>0</v>
      </c>
      <c r="FO59" s="514">
        <v>0</v>
      </c>
      <c r="FP59" s="514">
        <v>0</v>
      </c>
      <c r="FQ59" s="514">
        <v>0</v>
      </c>
    </row>
    <row r="60" spans="1:173" ht="16.5" hidden="1">
      <c r="A60" s="512" t="s">
        <v>658</v>
      </c>
      <c r="B60" s="512" t="s">
        <v>732</v>
      </c>
      <c r="C60" s="512" t="s">
        <v>721</v>
      </c>
      <c r="D60" s="513"/>
      <c r="E60" s="512" t="s">
        <v>721</v>
      </c>
      <c r="F60" s="512" t="s">
        <v>26</v>
      </c>
      <c r="G60" s="513"/>
      <c r="H60" s="514">
        <v>69</v>
      </c>
      <c r="I60" s="298" t="str">
        <f t="shared" si="0"/>
        <v>AOR100269</v>
      </c>
      <c r="J60" s="514">
        <v>7</v>
      </c>
      <c r="L60" s="512" t="s">
        <v>720</v>
      </c>
      <c r="M60" s="512" t="s">
        <v>739</v>
      </c>
      <c r="N60" s="512" t="s">
        <v>721</v>
      </c>
      <c r="O60" s="513"/>
      <c r="P60" s="512" t="s">
        <v>721</v>
      </c>
      <c r="Q60" s="512" t="s">
        <v>26</v>
      </c>
      <c r="R60" s="513"/>
      <c r="S60" s="514">
        <v>51</v>
      </c>
      <c r="T60" s="298" t="str">
        <f t="shared" si="1"/>
        <v>HSGA0251</v>
      </c>
      <c r="U60" s="514">
        <v>10207</v>
      </c>
      <c r="W60" s="512" t="s">
        <v>269</v>
      </c>
      <c r="X60" s="512" t="s">
        <v>843</v>
      </c>
      <c r="Y60" s="512" t="s">
        <v>721</v>
      </c>
      <c r="Z60" s="514">
        <v>10</v>
      </c>
      <c r="AA60" s="512" t="s">
        <v>721</v>
      </c>
      <c r="AB60" s="512" t="s">
        <v>26</v>
      </c>
      <c r="AC60" s="514">
        <v>0</v>
      </c>
      <c r="AD60" s="514">
        <v>15</v>
      </c>
      <c r="AE60" s="298" t="str">
        <f t="shared" si="2"/>
        <v>HNR100215</v>
      </c>
      <c r="AF60" s="514">
        <v>302</v>
      </c>
      <c r="AH60" s="512" t="s">
        <v>721</v>
      </c>
      <c r="AI60" s="512" t="s">
        <v>1030</v>
      </c>
      <c r="AJ60" s="512" t="s">
        <v>721</v>
      </c>
      <c r="AK60" s="513"/>
      <c r="AL60" s="512" t="s">
        <v>721</v>
      </c>
      <c r="AM60" s="512" t="s">
        <v>26</v>
      </c>
      <c r="AN60" s="513"/>
      <c r="AO60" s="514">
        <v>15</v>
      </c>
      <c r="AP60" s="513"/>
      <c r="AQ60" s="298" t="str">
        <f t="shared" si="3"/>
        <v>HOR100215</v>
      </c>
      <c r="AR60" s="514">
        <v>345</v>
      </c>
      <c r="AT60" s="512" t="s">
        <v>743</v>
      </c>
      <c r="AU60" s="512" t="s">
        <v>744</v>
      </c>
      <c r="AV60" s="512" t="s">
        <v>721</v>
      </c>
      <c r="AW60" s="513"/>
      <c r="AX60" s="512" t="s">
        <v>721</v>
      </c>
      <c r="AY60" s="512" t="s">
        <v>26</v>
      </c>
      <c r="AZ60" s="513"/>
      <c r="BA60" s="514">
        <v>50</v>
      </c>
      <c r="BB60" s="298" t="str">
        <f t="shared" si="4"/>
        <v>CLR100250</v>
      </c>
      <c r="BC60" s="514">
        <v>442</v>
      </c>
      <c r="BF60" s="512" t="s">
        <v>658</v>
      </c>
      <c r="BG60" s="512" t="s">
        <v>732</v>
      </c>
      <c r="BH60" s="512" t="s">
        <v>26</v>
      </c>
      <c r="BI60" s="514">
        <v>15</v>
      </c>
      <c r="BJ60" s="298" t="str">
        <f t="shared" si="5"/>
        <v>AOR100215</v>
      </c>
      <c r="BK60" s="514">
        <v>0</v>
      </c>
      <c r="BL60" s="514">
        <v>1</v>
      </c>
      <c r="BM60" s="514">
        <v>1</v>
      </c>
      <c r="BN60" s="514">
        <v>1</v>
      </c>
      <c r="BO60" s="514">
        <v>1</v>
      </c>
      <c r="BP60" s="514">
        <v>2</v>
      </c>
      <c r="BQ60" s="514">
        <v>2</v>
      </c>
      <c r="BR60" s="514">
        <v>2</v>
      </c>
      <c r="BS60" s="514">
        <v>3</v>
      </c>
      <c r="BT60" s="514">
        <v>0</v>
      </c>
      <c r="BU60" s="514">
        <v>0</v>
      </c>
      <c r="BV60" s="514">
        <v>0</v>
      </c>
      <c r="BW60" s="514">
        <v>0</v>
      </c>
      <c r="BX60" s="514">
        <v>0</v>
      </c>
      <c r="BY60" s="514">
        <v>0</v>
      </c>
      <c r="BZ60" s="514">
        <v>0</v>
      </c>
      <c r="CA60" s="514">
        <v>0</v>
      </c>
      <c r="CB60" s="514">
        <v>0</v>
      </c>
      <c r="CC60" s="514">
        <v>0</v>
      </c>
      <c r="CD60" s="514">
        <v>0</v>
      </c>
      <c r="CE60" s="514">
        <v>0</v>
      </c>
      <c r="CF60" s="514">
        <v>0</v>
      </c>
      <c r="CG60" s="514">
        <v>0</v>
      </c>
      <c r="CH60" s="514">
        <v>0</v>
      </c>
      <c r="CI60" s="514">
        <v>0</v>
      </c>
      <c r="CJ60" s="514">
        <v>0</v>
      </c>
      <c r="CK60" s="514">
        <v>0</v>
      </c>
      <c r="CL60" s="514">
        <v>0</v>
      </c>
      <c r="CM60" s="514">
        <v>0</v>
      </c>
      <c r="CN60" s="514">
        <v>0</v>
      </c>
      <c r="CO60" s="514">
        <v>0</v>
      </c>
      <c r="CP60" s="514">
        <v>0</v>
      </c>
      <c r="CQ60" s="514">
        <v>0</v>
      </c>
      <c r="CR60" s="514">
        <v>0</v>
      </c>
      <c r="CS60" s="514">
        <v>0</v>
      </c>
      <c r="CT60" s="514">
        <v>0</v>
      </c>
      <c r="CU60" s="514">
        <v>0</v>
      </c>
      <c r="CV60" s="514">
        <v>0</v>
      </c>
      <c r="CW60" s="514">
        <v>0</v>
      </c>
      <c r="CX60" s="514">
        <v>0</v>
      </c>
      <c r="CY60" s="514">
        <v>0</v>
      </c>
      <c r="CZ60" s="514">
        <v>0</v>
      </c>
      <c r="DA60" s="514">
        <v>0</v>
      </c>
      <c r="DB60" s="514">
        <v>0</v>
      </c>
      <c r="DC60" s="514">
        <v>0</v>
      </c>
      <c r="DD60" s="514">
        <v>0</v>
      </c>
      <c r="DE60" s="514">
        <v>0</v>
      </c>
      <c r="DF60" s="514">
        <v>0</v>
      </c>
      <c r="DG60" s="514">
        <v>0</v>
      </c>
      <c r="DH60" s="514">
        <v>0</v>
      </c>
      <c r="DI60" s="514">
        <v>0</v>
      </c>
      <c r="DJ60" s="514">
        <v>0</v>
      </c>
      <c r="DK60" s="514">
        <v>0</v>
      </c>
      <c r="DL60" s="514">
        <v>0</v>
      </c>
      <c r="DM60" s="514">
        <v>0</v>
      </c>
      <c r="DN60" s="514">
        <v>0</v>
      </c>
      <c r="DO60" s="514">
        <v>0</v>
      </c>
      <c r="DP60" s="514">
        <v>0</v>
      </c>
      <c r="DQ60" s="514">
        <v>0</v>
      </c>
      <c r="DR60" s="514">
        <v>0</v>
      </c>
      <c r="DS60" s="514">
        <v>0</v>
      </c>
      <c r="DT60" s="514">
        <v>0</v>
      </c>
      <c r="DU60" s="514">
        <v>0</v>
      </c>
      <c r="DV60" s="514">
        <v>0</v>
      </c>
      <c r="DW60" s="514">
        <v>0</v>
      </c>
      <c r="DX60" s="514">
        <v>0</v>
      </c>
      <c r="DY60" s="514">
        <v>0</v>
      </c>
      <c r="DZ60" s="514">
        <v>0</v>
      </c>
      <c r="EA60" s="514">
        <v>0</v>
      </c>
      <c r="EB60" s="514">
        <v>0</v>
      </c>
      <c r="EC60" s="514">
        <v>0</v>
      </c>
      <c r="ED60" s="514">
        <v>0</v>
      </c>
      <c r="EE60" s="514">
        <v>0</v>
      </c>
      <c r="EF60" s="514">
        <v>0</v>
      </c>
      <c r="EG60" s="514">
        <v>0</v>
      </c>
      <c r="EH60" s="514">
        <v>0</v>
      </c>
      <c r="EI60" s="514">
        <v>0</v>
      </c>
      <c r="EJ60" s="514">
        <v>0</v>
      </c>
      <c r="EK60" s="514">
        <v>0</v>
      </c>
      <c r="EL60" s="514">
        <v>0</v>
      </c>
      <c r="EM60" s="514">
        <v>0</v>
      </c>
      <c r="EN60" s="514">
        <v>0</v>
      </c>
      <c r="EO60" s="514">
        <v>0</v>
      </c>
      <c r="EP60" s="514">
        <v>0</v>
      </c>
      <c r="EQ60" s="514">
        <v>0</v>
      </c>
      <c r="ER60" s="514">
        <v>0</v>
      </c>
      <c r="ES60" s="514">
        <v>0</v>
      </c>
      <c r="ET60" s="514">
        <v>0</v>
      </c>
      <c r="EU60" s="514">
        <v>0</v>
      </c>
      <c r="EV60" s="514">
        <v>0</v>
      </c>
      <c r="EW60" s="514">
        <v>0</v>
      </c>
      <c r="EX60" s="514">
        <v>0</v>
      </c>
      <c r="EY60" s="514">
        <v>0</v>
      </c>
      <c r="EZ60" s="514">
        <v>0</v>
      </c>
      <c r="FA60" s="514">
        <v>0</v>
      </c>
      <c r="FB60" s="514">
        <v>0</v>
      </c>
      <c r="FC60" s="514">
        <v>0</v>
      </c>
      <c r="FD60" s="514">
        <v>0</v>
      </c>
      <c r="FE60" s="514">
        <v>0</v>
      </c>
      <c r="FF60" s="514">
        <v>0</v>
      </c>
      <c r="FG60" s="514">
        <v>0</v>
      </c>
      <c r="FH60" s="514">
        <v>0</v>
      </c>
      <c r="FI60" s="514">
        <v>0</v>
      </c>
      <c r="FJ60" s="514">
        <v>0</v>
      </c>
      <c r="FK60" s="514">
        <v>0</v>
      </c>
      <c r="FL60" s="514">
        <v>0</v>
      </c>
      <c r="FM60" s="514">
        <v>0</v>
      </c>
      <c r="FN60" s="514">
        <v>0</v>
      </c>
      <c r="FO60" s="514">
        <v>0</v>
      </c>
      <c r="FP60" s="514">
        <v>0</v>
      </c>
      <c r="FQ60" s="514">
        <v>0</v>
      </c>
    </row>
    <row r="61" spans="1:173" ht="16.5" hidden="1">
      <c r="A61" s="512" t="s">
        <v>658</v>
      </c>
      <c r="B61" s="512" t="s">
        <v>732</v>
      </c>
      <c r="C61" s="512" t="s">
        <v>721</v>
      </c>
      <c r="D61" s="513"/>
      <c r="E61" s="512" t="s">
        <v>721</v>
      </c>
      <c r="F61" s="512" t="s">
        <v>26</v>
      </c>
      <c r="G61" s="513"/>
      <c r="H61" s="514">
        <v>70</v>
      </c>
      <c r="I61" s="298" t="str">
        <f t="shared" si="0"/>
        <v>AOR100270</v>
      </c>
      <c r="J61" s="514">
        <v>9</v>
      </c>
      <c r="L61" s="512" t="s">
        <v>720</v>
      </c>
      <c r="M61" s="512" t="s">
        <v>739</v>
      </c>
      <c r="N61" s="512" t="s">
        <v>721</v>
      </c>
      <c r="O61" s="513"/>
      <c r="P61" s="512" t="s">
        <v>721</v>
      </c>
      <c r="Q61" s="512" t="s">
        <v>26</v>
      </c>
      <c r="R61" s="513"/>
      <c r="S61" s="514">
        <v>52</v>
      </c>
      <c r="T61" s="298" t="str">
        <f t="shared" si="1"/>
        <v>HSGA0252</v>
      </c>
      <c r="U61" s="514">
        <v>10353</v>
      </c>
      <c r="W61" s="512" t="s">
        <v>269</v>
      </c>
      <c r="X61" s="512" t="s">
        <v>843</v>
      </c>
      <c r="Y61" s="512" t="s">
        <v>721</v>
      </c>
      <c r="Z61" s="514">
        <v>10</v>
      </c>
      <c r="AA61" s="512" t="s">
        <v>721</v>
      </c>
      <c r="AB61" s="512" t="s">
        <v>26</v>
      </c>
      <c r="AC61" s="514">
        <v>0</v>
      </c>
      <c r="AD61" s="514">
        <v>16</v>
      </c>
      <c r="AE61" s="298" t="str">
        <f t="shared" si="2"/>
        <v>HNR100216</v>
      </c>
      <c r="AF61" s="514">
        <v>309</v>
      </c>
      <c r="AH61" s="512" t="s">
        <v>721</v>
      </c>
      <c r="AI61" s="512" t="s">
        <v>1030</v>
      </c>
      <c r="AJ61" s="512" t="s">
        <v>721</v>
      </c>
      <c r="AK61" s="513"/>
      <c r="AL61" s="512" t="s">
        <v>721</v>
      </c>
      <c r="AM61" s="512" t="s">
        <v>26</v>
      </c>
      <c r="AN61" s="513"/>
      <c r="AO61" s="514">
        <v>16</v>
      </c>
      <c r="AP61" s="513"/>
      <c r="AQ61" s="298" t="str">
        <f t="shared" si="3"/>
        <v>HOR100216</v>
      </c>
      <c r="AR61" s="514">
        <v>350</v>
      </c>
      <c r="AT61" s="512" t="s">
        <v>743</v>
      </c>
      <c r="AU61" s="512" t="s">
        <v>744</v>
      </c>
      <c r="AV61" s="512" t="s">
        <v>721</v>
      </c>
      <c r="AW61" s="513"/>
      <c r="AX61" s="512" t="s">
        <v>721</v>
      </c>
      <c r="AY61" s="512" t="s">
        <v>25</v>
      </c>
      <c r="AZ61" s="513"/>
      <c r="BA61" s="514">
        <v>51</v>
      </c>
      <c r="BB61" s="298" t="str">
        <f t="shared" si="4"/>
        <v>CLR100151</v>
      </c>
      <c r="BC61" s="514">
        <v>408</v>
      </c>
      <c r="BF61" s="512" t="s">
        <v>658</v>
      </c>
      <c r="BG61" s="512" t="s">
        <v>732</v>
      </c>
      <c r="BH61" s="512" t="s">
        <v>26</v>
      </c>
      <c r="BI61" s="514">
        <v>16</v>
      </c>
      <c r="BJ61" s="298" t="str">
        <f t="shared" si="5"/>
        <v>AOR100216</v>
      </c>
      <c r="BK61" s="514">
        <v>0</v>
      </c>
      <c r="BL61" s="514">
        <v>1</v>
      </c>
      <c r="BM61" s="514">
        <v>1</v>
      </c>
      <c r="BN61" s="514">
        <v>1</v>
      </c>
      <c r="BO61" s="514">
        <v>1</v>
      </c>
      <c r="BP61" s="514">
        <v>2</v>
      </c>
      <c r="BQ61" s="514">
        <v>2</v>
      </c>
      <c r="BR61" s="514">
        <v>2</v>
      </c>
      <c r="BS61" s="514">
        <v>3</v>
      </c>
      <c r="BT61" s="514">
        <v>0</v>
      </c>
      <c r="BU61" s="514">
        <v>0</v>
      </c>
      <c r="BV61" s="514">
        <v>0</v>
      </c>
      <c r="BW61" s="514">
        <v>0</v>
      </c>
      <c r="BX61" s="514">
        <v>0</v>
      </c>
      <c r="BY61" s="514">
        <v>0</v>
      </c>
      <c r="BZ61" s="514">
        <v>0</v>
      </c>
      <c r="CA61" s="514">
        <v>0</v>
      </c>
      <c r="CB61" s="514">
        <v>0</v>
      </c>
      <c r="CC61" s="514">
        <v>0</v>
      </c>
      <c r="CD61" s="514">
        <v>0</v>
      </c>
      <c r="CE61" s="514">
        <v>0</v>
      </c>
      <c r="CF61" s="514">
        <v>0</v>
      </c>
      <c r="CG61" s="514">
        <v>0</v>
      </c>
      <c r="CH61" s="514">
        <v>0</v>
      </c>
      <c r="CI61" s="514">
        <v>0</v>
      </c>
      <c r="CJ61" s="514">
        <v>0</v>
      </c>
      <c r="CK61" s="514">
        <v>0</v>
      </c>
      <c r="CL61" s="514">
        <v>0</v>
      </c>
      <c r="CM61" s="514">
        <v>0</v>
      </c>
      <c r="CN61" s="514">
        <v>0</v>
      </c>
      <c r="CO61" s="514">
        <v>0</v>
      </c>
      <c r="CP61" s="514">
        <v>0</v>
      </c>
      <c r="CQ61" s="514">
        <v>0</v>
      </c>
      <c r="CR61" s="514">
        <v>0</v>
      </c>
      <c r="CS61" s="514">
        <v>0</v>
      </c>
      <c r="CT61" s="514">
        <v>0</v>
      </c>
      <c r="CU61" s="514">
        <v>0</v>
      </c>
      <c r="CV61" s="514">
        <v>0</v>
      </c>
      <c r="CW61" s="514">
        <v>0</v>
      </c>
      <c r="CX61" s="514">
        <v>0</v>
      </c>
      <c r="CY61" s="514">
        <v>0</v>
      </c>
      <c r="CZ61" s="514">
        <v>0</v>
      </c>
      <c r="DA61" s="514">
        <v>0</v>
      </c>
      <c r="DB61" s="514">
        <v>0</v>
      </c>
      <c r="DC61" s="514">
        <v>0</v>
      </c>
      <c r="DD61" s="514">
        <v>0</v>
      </c>
      <c r="DE61" s="514">
        <v>0</v>
      </c>
      <c r="DF61" s="514">
        <v>0</v>
      </c>
      <c r="DG61" s="514">
        <v>0</v>
      </c>
      <c r="DH61" s="514">
        <v>0</v>
      </c>
      <c r="DI61" s="514">
        <v>0</v>
      </c>
      <c r="DJ61" s="514">
        <v>0</v>
      </c>
      <c r="DK61" s="514">
        <v>0</v>
      </c>
      <c r="DL61" s="514">
        <v>0</v>
      </c>
      <c r="DM61" s="514">
        <v>0</v>
      </c>
      <c r="DN61" s="514">
        <v>0</v>
      </c>
      <c r="DO61" s="514">
        <v>0</v>
      </c>
      <c r="DP61" s="514">
        <v>0</v>
      </c>
      <c r="DQ61" s="514">
        <v>0</v>
      </c>
      <c r="DR61" s="514">
        <v>0</v>
      </c>
      <c r="DS61" s="514">
        <v>0</v>
      </c>
      <c r="DT61" s="514">
        <v>0</v>
      </c>
      <c r="DU61" s="514">
        <v>0</v>
      </c>
      <c r="DV61" s="514">
        <v>0</v>
      </c>
      <c r="DW61" s="514">
        <v>0</v>
      </c>
      <c r="DX61" s="514">
        <v>0</v>
      </c>
      <c r="DY61" s="514">
        <v>0</v>
      </c>
      <c r="DZ61" s="514">
        <v>0</v>
      </c>
      <c r="EA61" s="514">
        <v>0</v>
      </c>
      <c r="EB61" s="514">
        <v>0</v>
      </c>
      <c r="EC61" s="514">
        <v>0</v>
      </c>
      <c r="ED61" s="514">
        <v>0</v>
      </c>
      <c r="EE61" s="514">
        <v>0</v>
      </c>
      <c r="EF61" s="514">
        <v>0</v>
      </c>
      <c r="EG61" s="514">
        <v>0</v>
      </c>
      <c r="EH61" s="514">
        <v>0</v>
      </c>
      <c r="EI61" s="514">
        <v>0</v>
      </c>
      <c r="EJ61" s="514">
        <v>0</v>
      </c>
      <c r="EK61" s="514">
        <v>0</v>
      </c>
      <c r="EL61" s="514">
        <v>0</v>
      </c>
      <c r="EM61" s="514">
        <v>0</v>
      </c>
      <c r="EN61" s="514">
        <v>0</v>
      </c>
      <c r="EO61" s="514">
        <v>0</v>
      </c>
      <c r="EP61" s="514">
        <v>0</v>
      </c>
      <c r="EQ61" s="514">
        <v>0</v>
      </c>
      <c r="ER61" s="514">
        <v>0</v>
      </c>
      <c r="ES61" s="514">
        <v>0</v>
      </c>
      <c r="ET61" s="514">
        <v>0</v>
      </c>
      <c r="EU61" s="514">
        <v>0</v>
      </c>
      <c r="EV61" s="514">
        <v>0</v>
      </c>
      <c r="EW61" s="514">
        <v>0</v>
      </c>
      <c r="EX61" s="514">
        <v>0</v>
      </c>
      <c r="EY61" s="514">
        <v>0</v>
      </c>
      <c r="EZ61" s="514">
        <v>0</v>
      </c>
      <c r="FA61" s="514">
        <v>0</v>
      </c>
      <c r="FB61" s="514">
        <v>0</v>
      </c>
      <c r="FC61" s="514">
        <v>0</v>
      </c>
      <c r="FD61" s="514">
        <v>0</v>
      </c>
      <c r="FE61" s="514">
        <v>0</v>
      </c>
      <c r="FF61" s="514">
        <v>0</v>
      </c>
      <c r="FG61" s="514">
        <v>0</v>
      </c>
      <c r="FH61" s="514">
        <v>0</v>
      </c>
      <c r="FI61" s="514">
        <v>0</v>
      </c>
      <c r="FJ61" s="514">
        <v>0</v>
      </c>
      <c r="FK61" s="514">
        <v>0</v>
      </c>
      <c r="FL61" s="514">
        <v>0</v>
      </c>
      <c r="FM61" s="514">
        <v>0</v>
      </c>
      <c r="FN61" s="514">
        <v>0</v>
      </c>
      <c r="FO61" s="514">
        <v>0</v>
      </c>
      <c r="FP61" s="514">
        <v>0</v>
      </c>
      <c r="FQ61" s="514">
        <v>0</v>
      </c>
    </row>
    <row r="62" spans="1:173" ht="16.5" hidden="1">
      <c r="A62" s="512" t="s">
        <v>658</v>
      </c>
      <c r="B62" s="512" t="s">
        <v>732</v>
      </c>
      <c r="C62" s="512" t="s">
        <v>721</v>
      </c>
      <c r="D62" s="513"/>
      <c r="E62" s="512" t="s">
        <v>721</v>
      </c>
      <c r="F62" s="512" t="s">
        <v>26</v>
      </c>
      <c r="G62" s="513"/>
      <c r="H62" s="514">
        <v>71</v>
      </c>
      <c r="I62" s="298" t="str">
        <f t="shared" si="0"/>
        <v>AOR100271</v>
      </c>
      <c r="J62" s="514">
        <v>10</v>
      </c>
      <c r="L62" s="512" t="s">
        <v>720</v>
      </c>
      <c r="M62" s="512" t="s">
        <v>739</v>
      </c>
      <c r="N62" s="512" t="s">
        <v>721</v>
      </c>
      <c r="O62" s="513"/>
      <c r="P62" s="512" t="s">
        <v>721</v>
      </c>
      <c r="Q62" s="512" t="s">
        <v>26</v>
      </c>
      <c r="R62" s="513"/>
      <c r="S62" s="514">
        <v>53</v>
      </c>
      <c r="T62" s="298" t="str">
        <f t="shared" si="1"/>
        <v>HSGA0253</v>
      </c>
      <c r="U62" s="514">
        <v>10478</v>
      </c>
      <c r="W62" s="512" t="s">
        <v>269</v>
      </c>
      <c r="X62" s="512" t="s">
        <v>843</v>
      </c>
      <c r="Y62" s="512" t="s">
        <v>721</v>
      </c>
      <c r="Z62" s="514">
        <v>10</v>
      </c>
      <c r="AA62" s="512" t="s">
        <v>721</v>
      </c>
      <c r="AB62" s="512" t="s">
        <v>26</v>
      </c>
      <c r="AC62" s="514">
        <v>0</v>
      </c>
      <c r="AD62" s="514">
        <v>17</v>
      </c>
      <c r="AE62" s="298" t="str">
        <f t="shared" si="2"/>
        <v>HNR100217</v>
      </c>
      <c r="AF62" s="514">
        <v>313</v>
      </c>
      <c r="AH62" s="512" t="s">
        <v>721</v>
      </c>
      <c r="AI62" s="512" t="s">
        <v>1030</v>
      </c>
      <c r="AJ62" s="512" t="s">
        <v>721</v>
      </c>
      <c r="AK62" s="513"/>
      <c r="AL62" s="512" t="s">
        <v>721</v>
      </c>
      <c r="AM62" s="512" t="s">
        <v>26</v>
      </c>
      <c r="AN62" s="513"/>
      <c r="AO62" s="514">
        <v>17</v>
      </c>
      <c r="AP62" s="513"/>
      <c r="AQ62" s="298" t="str">
        <f t="shared" si="3"/>
        <v>HOR100217</v>
      </c>
      <c r="AR62" s="514">
        <v>360</v>
      </c>
      <c r="AT62" s="512" t="s">
        <v>743</v>
      </c>
      <c r="AU62" s="512" t="s">
        <v>744</v>
      </c>
      <c r="AV62" s="512" t="s">
        <v>721</v>
      </c>
      <c r="AW62" s="513"/>
      <c r="AX62" s="512" t="s">
        <v>721</v>
      </c>
      <c r="AY62" s="512" t="s">
        <v>26</v>
      </c>
      <c r="AZ62" s="513"/>
      <c r="BA62" s="514">
        <v>51</v>
      </c>
      <c r="BB62" s="298" t="str">
        <f t="shared" si="4"/>
        <v>CLR100251</v>
      </c>
      <c r="BC62" s="514">
        <v>449</v>
      </c>
      <c r="BF62" s="512" t="s">
        <v>658</v>
      </c>
      <c r="BG62" s="512" t="s">
        <v>732</v>
      </c>
      <c r="BH62" s="512" t="s">
        <v>26</v>
      </c>
      <c r="BI62" s="514">
        <v>17</v>
      </c>
      <c r="BJ62" s="298" t="str">
        <f t="shared" si="5"/>
        <v>AOR100217</v>
      </c>
      <c r="BK62" s="514">
        <v>0</v>
      </c>
      <c r="BL62" s="514">
        <v>1</v>
      </c>
      <c r="BM62" s="514">
        <v>1</v>
      </c>
      <c r="BN62" s="514">
        <v>1</v>
      </c>
      <c r="BO62" s="514">
        <v>1</v>
      </c>
      <c r="BP62" s="514">
        <v>2</v>
      </c>
      <c r="BQ62" s="514">
        <v>2</v>
      </c>
      <c r="BR62" s="514">
        <v>2</v>
      </c>
      <c r="BS62" s="514">
        <v>3</v>
      </c>
      <c r="BT62" s="514">
        <v>0</v>
      </c>
      <c r="BU62" s="514">
        <v>0</v>
      </c>
      <c r="BV62" s="514">
        <v>0</v>
      </c>
      <c r="BW62" s="514">
        <v>0</v>
      </c>
      <c r="BX62" s="514">
        <v>0</v>
      </c>
      <c r="BY62" s="514">
        <v>0</v>
      </c>
      <c r="BZ62" s="514">
        <v>0</v>
      </c>
      <c r="CA62" s="514">
        <v>0</v>
      </c>
      <c r="CB62" s="514">
        <v>0</v>
      </c>
      <c r="CC62" s="514">
        <v>0</v>
      </c>
      <c r="CD62" s="514">
        <v>0</v>
      </c>
      <c r="CE62" s="514">
        <v>0</v>
      </c>
      <c r="CF62" s="514">
        <v>0</v>
      </c>
      <c r="CG62" s="514">
        <v>0</v>
      </c>
      <c r="CH62" s="514">
        <v>0</v>
      </c>
      <c r="CI62" s="514">
        <v>0</v>
      </c>
      <c r="CJ62" s="514">
        <v>0</v>
      </c>
      <c r="CK62" s="514">
        <v>0</v>
      </c>
      <c r="CL62" s="514">
        <v>0</v>
      </c>
      <c r="CM62" s="514">
        <v>0</v>
      </c>
      <c r="CN62" s="514">
        <v>0</v>
      </c>
      <c r="CO62" s="514">
        <v>0</v>
      </c>
      <c r="CP62" s="514">
        <v>0</v>
      </c>
      <c r="CQ62" s="514">
        <v>0</v>
      </c>
      <c r="CR62" s="514">
        <v>0</v>
      </c>
      <c r="CS62" s="514">
        <v>0</v>
      </c>
      <c r="CT62" s="514">
        <v>0</v>
      </c>
      <c r="CU62" s="514">
        <v>0</v>
      </c>
      <c r="CV62" s="514">
        <v>0</v>
      </c>
      <c r="CW62" s="514">
        <v>0</v>
      </c>
      <c r="CX62" s="514">
        <v>0</v>
      </c>
      <c r="CY62" s="514">
        <v>0</v>
      </c>
      <c r="CZ62" s="514">
        <v>0</v>
      </c>
      <c r="DA62" s="514">
        <v>0</v>
      </c>
      <c r="DB62" s="514">
        <v>0</v>
      </c>
      <c r="DC62" s="514">
        <v>0</v>
      </c>
      <c r="DD62" s="514">
        <v>0</v>
      </c>
      <c r="DE62" s="514">
        <v>0</v>
      </c>
      <c r="DF62" s="514">
        <v>0</v>
      </c>
      <c r="DG62" s="514">
        <v>0</v>
      </c>
      <c r="DH62" s="514">
        <v>0</v>
      </c>
      <c r="DI62" s="514">
        <v>0</v>
      </c>
      <c r="DJ62" s="514">
        <v>0</v>
      </c>
      <c r="DK62" s="514">
        <v>0</v>
      </c>
      <c r="DL62" s="514">
        <v>0</v>
      </c>
      <c r="DM62" s="514">
        <v>0</v>
      </c>
      <c r="DN62" s="514">
        <v>0</v>
      </c>
      <c r="DO62" s="514">
        <v>0</v>
      </c>
      <c r="DP62" s="514">
        <v>0</v>
      </c>
      <c r="DQ62" s="514">
        <v>0</v>
      </c>
      <c r="DR62" s="514">
        <v>0</v>
      </c>
      <c r="DS62" s="514">
        <v>0</v>
      </c>
      <c r="DT62" s="514">
        <v>0</v>
      </c>
      <c r="DU62" s="514">
        <v>0</v>
      </c>
      <c r="DV62" s="514">
        <v>0</v>
      </c>
      <c r="DW62" s="514">
        <v>0</v>
      </c>
      <c r="DX62" s="514">
        <v>0</v>
      </c>
      <c r="DY62" s="514">
        <v>0</v>
      </c>
      <c r="DZ62" s="514">
        <v>0</v>
      </c>
      <c r="EA62" s="514">
        <v>0</v>
      </c>
      <c r="EB62" s="514">
        <v>0</v>
      </c>
      <c r="EC62" s="514">
        <v>0</v>
      </c>
      <c r="ED62" s="514">
        <v>0</v>
      </c>
      <c r="EE62" s="514">
        <v>0</v>
      </c>
      <c r="EF62" s="514">
        <v>0</v>
      </c>
      <c r="EG62" s="514">
        <v>0</v>
      </c>
      <c r="EH62" s="514">
        <v>0</v>
      </c>
      <c r="EI62" s="514">
        <v>0</v>
      </c>
      <c r="EJ62" s="514">
        <v>0</v>
      </c>
      <c r="EK62" s="514">
        <v>0</v>
      </c>
      <c r="EL62" s="514">
        <v>0</v>
      </c>
      <c r="EM62" s="514">
        <v>0</v>
      </c>
      <c r="EN62" s="514">
        <v>0</v>
      </c>
      <c r="EO62" s="514">
        <v>0</v>
      </c>
      <c r="EP62" s="514">
        <v>0</v>
      </c>
      <c r="EQ62" s="514">
        <v>0</v>
      </c>
      <c r="ER62" s="514">
        <v>0</v>
      </c>
      <c r="ES62" s="514">
        <v>0</v>
      </c>
      <c r="ET62" s="514">
        <v>0</v>
      </c>
      <c r="EU62" s="514">
        <v>0</v>
      </c>
      <c r="EV62" s="514">
        <v>0</v>
      </c>
      <c r="EW62" s="514">
        <v>0</v>
      </c>
      <c r="EX62" s="514">
        <v>0</v>
      </c>
      <c r="EY62" s="514">
        <v>0</v>
      </c>
      <c r="EZ62" s="514">
        <v>0</v>
      </c>
      <c r="FA62" s="514">
        <v>0</v>
      </c>
      <c r="FB62" s="514">
        <v>0</v>
      </c>
      <c r="FC62" s="514">
        <v>0</v>
      </c>
      <c r="FD62" s="514">
        <v>0</v>
      </c>
      <c r="FE62" s="514">
        <v>0</v>
      </c>
      <c r="FF62" s="514">
        <v>0</v>
      </c>
      <c r="FG62" s="514">
        <v>0</v>
      </c>
      <c r="FH62" s="514">
        <v>0</v>
      </c>
      <c r="FI62" s="514">
        <v>0</v>
      </c>
      <c r="FJ62" s="514">
        <v>0</v>
      </c>
      <c r="FK62" s="514">
        <v>0</v>
      </c>
      <c r="FL62" s="514">
        <v>0</v>
      </c>
      <c r="FM62" s="514">
        <v>0</v>
      </c>
      <c r="FN62" s="514">
        <v>0</v>
      </c>
      <c r="FO62" s="514">
        <v>0</v>
      </c>
      <c r="FP62" s="514">
        <v>0</v>
      </c>
      <c r="FQ62" s="514">
        <v>0</v>
      </c>
    </row>
    <row r="63" spans="1:173" ht="16.5" hidden="1">
      <c r="A63" s="512" t="s">
        <v>658</v>
      </c>
      <c r="B63" s="512" t="s">
        <v>732</v>
      </c>
      <c r="C63" s="512" t="s">
        <v>721</v>
      </c>
      <c r="D63" s="513"/>
      <c r="E63" s="512" t="s">
        <v>721</v>
      </c>
      <c r="F63" s="512" t="s">
        <v>25</v>
      </c>
      <c r="G63" s="513"/>
      <c r="H63" s="514">
        <v>15</v>
      </c>
      <c r="I63" s="298" t="str">
        <f t="shared" si="0"/>
        <v>AOR100115</v>
      </c>
      <c r="J63" s="514">
        <v>3</v>
      </c>
      <c r="L63" s="512" t="s">
        <v>720</v>
      </c>
      <c r="M63" s="512" t="s">
        <v>739</v>
      </c>
      <c r="N63" s="512" t="s">
        <v>721</v>
      </c>
      <c r="O63" s="513"/>
      <c r="P63" s="512" t="s">
        <v>721</v>
      </c>
      <c r="Q63" s="512" t="s">
        <v>26</v>
      </c>
      <c r="R63" s="513"/>
      <c r="S63" s="514">
        <v>54</v>
      </c>
      <c r="T63" s="298" t="str">
        <f t="shared" si="1"/>
        <v>HSGA0254</v>
      </c>
      <c r="U63" s="514">
        <v>10634</v>
      </c>
      <c r="W63" s="512" t="s">
        <v>269</v>
      </c>
      <c r="X63" s="512" t="s">
        <v>843</v>
      </c>
      <c r="Y63" s="512" t="s">
        <v>721</v>
      </c>
      <c r="Z63" s="514">
        <v>10</v>
      </c>
      <c r="AA63" s="512" t="s">
        <v>721</v>
      </c>
      <c r="AB63" s="512" t="s">
        <v>26</v>
      </c>
      <c r="AC63" s="514">
        <v>0</v>
      </c>
      <c r="AD63" s="514">
        <v>18</v>
      </c>
      <c r="AE63" s="298" t="str">
        <f t="shared" si="2"/>
        <v>HNR100218</v>
      </c>
      <c r="AF63" s="514">
        <v>317</v>
      </c>
      <c r="AH63" s="512" t="s">
        <v>721</v>
      </c>
      <c r="AI63" s="512" t="s">
        <v>1030</v>
      </c>
      <c r="AJ63" s="512" t="s">
        <v>721</v>
      </c>
      <c r="AK63" s="513"/>
      <c r="AL63" s="512" t="s">
        <v>721</v>
      </c>
      <c r="AM63" s="512" t="s">
        <v>26</v>
      </c>
      <c r="AN63" s="513"/>
      <c r="AO63" s="514">
        <v>18</v>
      </c>
      <c r="AP63" s="513"/>
      <c r="AQ63" s="298" t="str">
        <f t="shared" si="3"/>
        <v>HOR100218</v>
      </c>
      <c r="AR63" s="514">
        <v>375</v>
      </c>
      <c r="AT63" s="512" t="s">
        <v>743</v>
      </c>
      <c r="AU63" s="512" t="s">
        <v>744</v>
      </c>
      <c r="AV63" s="512" t="s">
        <v>721</v>
      </c>
      <c r="AW63" s="513"/>
      <c r="AX63" s="512" t="s">
        <v>721</v>
      </c>
      <c r="AY63" s="512" t="s">
        <v>25</v>
      </c>
      <c r="AZ63" s="513"/>
      <c r="BA63" s="514">
        <v>52</v>
      </c>
      <c r="BB63" s="298" t="str">
        <f t="shared" si="4"/>
        <v>CLR100152</v>
      </c>
      <c r="BC63" s="514">
        <v>425</v>
      </c>
      <c r="BF63" s="512" t="s">
        <v>658</v>
      </c>
      <c r="BG63" s="512" t="s">
        <v>732</v>
      </c>
      <c r="BH63" s="512" t="s">
        <v>26</v>
      </c>
      <c r="BI63" s="514">
        <v>18</v>
      </c>
      <c r="BJ63" s="298" t="str">
        <f t="shared" si="5"/>
        <v>AOR100218</v>
      </c>
      <c r="BK63" s="514">
        <v>0</v>
      </c>
      <c r="BL63" s="514">
        <v>1</v>
      </c>
      <c r="BM63" s="514">
        <v>1</v>
      </c>
      <c r="BN63" s="514">
        <v>1</v>
      </c>
      <c r="BO63" s="514">
        <v>1</v>
      </c>
      <c r="BP63" s="514">
        <v>2</v>
      </c>
      <c r="BQ63" s="514">
        <v>2</v>
      </c>
      <c r="BR63" s="514">
        <v>2</v>
      </c>
      <c r="BS63" s="514">
        <v>3</v>
      </c>
      <c r="BT63" s="514">
        <v>0</v>
      </c>
      <c r="BU63" s="514">
        <v>0</v>
      </c>
      <c r="BV63" s="514">
        <v>0</v>
      </c>
      <c r="BW63" s="514">
        <v>0</v>
      </c>
      <c r="BX63" s="514">
        <v>0</v>
      </c>
      <c r="BY63" s="514">
        <v>0</v>
      </c>
      <c r="BZ63" s="514">
        <v>0</v>
      </c>
      <c r="CA63" s="514">
        <v>0</v>
      </c>
      <c r="CB63" s="514">
        <v>0</v>
      </c>
      <c r="CC63" s="514">
        <v>0</v>
      </c>
      <c r="CD63" s="514">
        <v>0</v>
      </c>
      <c r="CE63" s="514">
        <v>0</v>
      </c>
      <c r="CF63" s="514">
        <v>0</v>
      </c>
      <c r="CG63" s="514">
        <v>0</v>
      </c>
      <c r="CH63" s="514">
        <v>0</v>
      </c>
      <c r="CI63" s="514">
        <v>0</v>
      </c>
      <c r="CJ63" s="514">
        <v>0</v>
      </c>
      <c r="CK63" s="514">
        <v>0</v>
      </c>
      <c r="CL63" s="514">
        <v>0</v>
      </c>
      <c r="CM63" s="514">
        <v>0</v>
      </c>
      <c r="CN63" s="514">
        <v>0</v>
      </c>
      <c r="CO63" s="514">
        <v>0</v>
      </c>
      <c r="CP63" s="514">
        <v>0</v>
      </c>
      <c r="CQ63" s="514">
        <v>0</v>
      </c>
      <c r="CR63" s="514">
        <v>0</v>
      </c>
      <c r="CS63" s="514">
        <v>0</v>
      </c>
      <c r="CT63" s="514">
        <v>0</v>
      </c>
      <c r="CU63" s="514">
        <v>0</v>
      </c>
      <c r="CV63" s="514">
        <v>0</v>
      </c>
      <c r="CW63" s="514">
        <v>0</v>
      </c>
      <c r="CX63" s="514">
        <v>0</v>
      </c>
      <c r="CY63" s="514">
        <v>0</v>
      </c>
      <c r="CZ63" s="514">
        <v>0</v>
      </c>
      <c r="DA63" s="514">
        <v>0</v>
      </c>
      <c r="DB63" s="514">
        <v>0</v>
      </c>
      <c r="DC63" s="514">
        <v>0</v>
      </c>
      <c r="DD63" s="514">
        <v>0</v>
      </c>
      <c r="DE63" s="514">
        <v>0</v>
      </c>
      <c r="DF63" s="514">
        <v>0</v>
      </c>
      <c r="DG63" s="514">
        <v>0</v>
      </c>
      <c r="DH63" s="514">
        <v>0</v>
      </c>
      <c r="DI63" s="514">
        <v>0</v>
      </c>
      <c r="DJ63" s="514">
        <v>0</v>
      </c>
      <c r="DK63" s="514">
        <v>0</v>
      </c>
      <c r="DL63" s="514">
        <v>0</v>
      </c>
      <c r="DM63" s="514">
        <v>0</v>
      </c>
      <c r="DN63" s="514">
        <v>0</v>
      </c>
      <c r="DO63" s="514">
        <v>0</v>
      </c>
      <c r="DP63" s="514">
        <v>0</v>
      </c>
      <c r="DQ63" s="514">
        <v>0</v>
      </c>
      <c r="DR63" s="514">
        <v>0</v>
      </c>
      <c r="DS63" s="514">
        <v>0</v>
      </c>
      <c r="DT63" s="514">
        <v>0</v>
      </c>
      <c r="DU63" s="514">
        <v>0</v>
      </c>
      <c r="DV63" s="514">
        <v>0</v>
      </c>
      <c r="DW63" s="514">
        <v>0</v>
      </c>
      <c r="DX63" s="514">
        <v>0</v>
      </c>
      <c r="DY63" s="514">
        <v>0</v>
      </c>
      <c r="DZ63" s="514">
        <v>0</v>
      </c>
      <c r="EA63" s="514">
        <v>0</v>
      </c>
      <c r="EB63" s="514">
        <v>0</v>
      </c>
      <c r="EC63" s="514">
        <v>0</v>
      </c>
      <c r="ED63" s="514">
        <v>0</v>
      </c>
      <c r="EE63" s="514">
        <v>0</v>
      </c>
      <c r="EF63" s="514">
        <v>0</v>
      </c>
      <c r="EG63" s="514">
        <v>0</v>
      </c>
      <c r="EH63" s="514">
        <v>0</v>
      </c>
      <c r="EI63" s="514">
        <v>0</v>
      </c>
      <c r="EJ63" s="514">
        <v>0</v>
      </c>
      <c r="EK63" s="514">
        <v>0</v>
      </c>
      <c r="EL63" s="514">
        <v>0</v>
      </c>
      <c r="EM63" s="514">
        <v>0</v>
      </c>
      <c r="EN63" s="514">
        <v>0</v>
      </c>
      <c r="EO63" s="514">
        <v>0</v>
      </c>
      <c r="EP63" s="514">
        <v>0</v>
      </c>
      <c r="EQ63" s="514">
        <v>0</v>
      </c>
      <c r="ER63" s="514">
        <v>0</v>
      </c>
      <c r="ES63" s="514">
        <v>0</v>
      </c>
      <c r="ET63" s="514">
        <v>0</v>
      </c>
      <c r="EU63" s="514">
        <v>0</v>
      </c>
      <c r="EV63" s="514">
        <v>0</v>
      </c>
      <c r="EW63" s="514">
        <v>0</v>
      </c>
      <c r="EX63" s="514">
        <v>0</v>
      </c>
      <c r="EY63" s="514">
        <v>0</v>
      </c>
      <c r="EZ63" s="514">
        <v>0</v>
      </c>
      <c r="FA63" s="514">
        <v>0</v>
      </c>
      <c r="FB63" s="514">
        <v>0</v>
      </c>
      <c r="FC63" s="514">
        <v>0</v>
      </c>
      <c r="FD63" s="514">
        <v>0</v>
      </c>
      <c r="FE63" s="514">
        <v>0</v>
      </c>
      <c r="FF63" s="514">
        <v>0</v>
      </c>
      <c r="FG63" s="514">
        <v>0</v>
      </c>
      <c r="FH63" s="514">
        <v>0</v>
      </c>
      <c r="FI63" s="514">
        <v>0</v>
      </c>
      <c r="FJ63" s="514">
        <v>0</v>
      </c>
      <c r="FK63" s="514">
        <v>0</v>
      </c>
      <c r="FL63" s="514">
        <v>0</v>
      </c>
      <c r="FM63" s="514">
        <v>0</v>
      </c>
      <c r="FN63" s="514">
        <v>0</v>
      </c>
      <c r="FO63" s="514">
        <v>0</v>
      </c>
      <c r="FP63" s="514">
        <v>0</v>
      </c>
      <c r="FQ63" s="514">
        <v>0</v>
      </c>
    </row>
    <row r="64" spans="1:173" ht="16.5" hidden="1">
      <c r="A64" s="512" t="s">
        <v>658</v>
      </c>
      <c r="B64" s="512" t="s">
        <v>732</v>
      </c>
      <c r="C64" s="512" t="s">
        <v>721</v>
      </c>
      <c r="D64" s="513"/>
      <c r="E64" s="512" t="s">
        <v>721</v>
      </c>
      <c r="F64" s="512" t="s">
        <v>25</v>
      </c>
      <c r="G64" s="513"/>
      <c r="H64" s="514">
        <v>16</v>
      </c>
      <c r="I64" s="298" t="str">
        <f t="shared" si="0"/>
        <v>AOR100116</v>
      </c>
      <c r="J64" s="514">
        <v>3</v>
      </c>
      <c r="L64" s="512" t="s">
        <v>720</v>
      </c>
      <c r="M64" s="512" t="s">
        <v>739</v>
      </c>
      <c r="N64" s="512" t="s">
        <v>721</v>
      </c>
      <c r="O64" s="513"/>
      <c r="P64" s="512" t="s">
        <v>721</v>
      </c>
      <c r="Q64" s="512" t="s">
        <v>26</v>
      </c>
      <c r="R64" s="513"/>
      <c r="S64" s="514">
        <v>55</v>
      </c>
      <c r="T64" s="298" t="str">
        <f t="shared" si="1"/>
        <v>HSGA0255</v>
      </c>
      <c r="U64" s="514">
        <v>10821</v>
      </c>
      <c r="W64" s="512" t="s">
        <v>269</v>
      </c>
      <c r="X64" s="512" t="s">
        <v>843</v>
      </c>
      <c r="Y64" s="512" t="s">
        <v>721</v>
      </c>
      <c r="Z64" s="514">
        <v>10</v>
      </c>
      <c r="AA64" s="512" t="s">
        <v>721</v>
      </c>
      <c r="AB64" s="512" t="s">
        <v>26</v>
      </c>
      <c r="AC64" s="514">
        <v>0</v>
      </c>
      <c r="AD64" s="514">
        <v>19</v>
      </c>
      <c r="AE64" s="298" t="str">
        <f t="shared" si="2"/>
        <v>HNR100219</v>
      </c>
      <c r="AF64" s="514">
        <v>322</v>
      </c>
      <c r="AH64" s="512" t="s">
        <v>721</v>
      </c>
      <c r="AI64" s="512" t="s">
        <v>1030</v>
      </c>
      <c r="AJ64" s="512" t="s">
        <v>721</v>
      </c>
      <c r="AK64" s="513"/>
      <c r="AL64" s="512" t="s">
        <v>721</v>
      </c>
      <c r="AM64" s="512" t="s">
        <v>26</v>
      </c>
      <c r="AN64" s="513"/>
      <c r="AO64" s="514">
        <v>19</v>
      </c>
      <c r="AP64" s="513"/>
      <c r="AQ64" s="298" t="str">
        <f t="shared" si="3"/>
        <v>HOR100219</v>
      </c>
      <c r="AR64" s="514">
        <v>385</v>
      </c>
      <c r="AT64" s="512" t="s">
        <v>743</v>
      </c>
      <c r="AU64" s="512" t="s">
        <v>744</v>
      </c>
      <c r="AV64" s="512" t="s">
        <v>721</v>
      </c>
      <c r="AW64" s="513"/>
      <c r="AX64" s="512" t="s">
        <v>721</v>
      </c>
      <c r="AY64" s="512" t="s">
        <v>26</v>
      </c>
      <c r="AZ64" s="513"/>
      <c r="BA64" s="514">
        <v>52</v>
      </c>
      <c r="BB64" s="298" t="str">
        <f t="shared" si="4"/>
        <v>CLR100252</v>
      </c>
      <c r="BC64" s="514">
        <v>455</v>
      </c>
      <c r="BF64" s="512" t="s">
        <v>658</v>
      </c>
      <c r="BG64" s="512" t="s">
        <v>732</v>
      </c>
      <c r="BH64" s="512" t="s">
        <v>26</v>
      </c>
      <c r="BI64" s="514">
        <v>19</v>
      </c>
      <c r="BJ64" s="298" t="str">
        <f t="shared" si="5"/>
        <v>AOR100219</v>
      </c>
      <c r="BK64" s="514">
        <v>0</v>
      </c>
      <c r="BL64" s="514">
        <v>1</v>
      </c>
      <c r="BM64" s="514">
        <v>1</v>
      </c>
      <c r="BN64" s="514">
        <v>1</v>
      </c>
      <c r="BO64" s="514">
        <v>1</v>
      </c>
      <c r="BP64" s="514">
        <v>2</v>
      </c>
      <c r="BQ64" s="514">
        <v>2</v>
      </c>
      <c r="BR64" s="514">
        <v>2</v>
      </c>
      <c r="BS64" s="514">
        <v>3</v>
      </c>
      <c r="BT64" s="514">
        <v>0</v>
      </c>
      <c r="BU64" s="514">
        <v>0</v>
      </c>
      <c r="BV64" s="514">
        <v>0</v>
      </c>
      <c r="BW64" s="514">
        <v>0</v>
      </c>
      <c r="BX64" s="514">
        <v>0</v>
      </c>
      <c r="BY64" s="514">
        <v>0</v>
      </c>
      <c r="BZ64" s="514">
        <v>0</v>
      </c>
      <c r="CA64" s="514">
        <v>0</v>
      </c>
      <c r="CB64" s="514">
        <v>0</v>
      </c>
      <c r="CC64" s="514">
        <v>0</v>
      </c>
      <c r="CD64" s="514">
        <v>0</v>
      </c>
      <c r="CE64" s="514">
        <v>0</v>
      </c>
      <c r="CF64" s="514">
        <v>0</v>
      </c>
      <c r="CG64" s="514">
        <v>0</v>
      </c>
      <c r="CH64" s="514">
        <v>0</v>
      </c>
      <c r="CI64" s="514">
        <v>0</v>
      </c>
      <c r="CJ64" s="514">
        <v>0</v>
      </c>
      <c r="CK64" s="514">
        <v>0</v>
      </c>
      <c r="CL64" s="514">
        <v>0</v>
      </c>
      <c r="CM64" s="514">
        <v>0</v>
      </c>
      <c r="CN64" s="514">
        <v>0</v>
      </c>
      <c r="CO64" s="514">
        <v>0</v>
      </c>
      <c r="CP64" s="514">
        <v>0</v>
      </c>
      <c r="CQ64" s="514">
        <v>0</v>
      </c>
      <c r="CR64" s="514">
        <v>0</v>
      </c>
      <c r="CS64" s="514">
        <v>0</v>
      </c>
      <c r="CT64" s="514">
        <v>0</v>
      </c>
      <c r="CU64" s="514">
        <v>0</v>
      </c>
      <c r="CV64" s="514">
        <v>0</v>
      </c>
      <c r="CW64" s="514">
        <v>0</v>
      </c>
      <c r="CX64" s="514">
        <v>0</v>
      </c>
      <c r="CY64" s="514">
        <v>0</v>
      </c>
      <c r="CZ64" s="514">
        <v>0</v>
      </c>
      <c r="DA64" s="514">
        <v>0</v>
      </c>
      <c r="DB64" s="514">
        <v>0</v>
      </c>
      <c r="DC64" s="514">
        <v>0</v>
      </c>
      <c r="DD64" s="514">
        <v>0</v>
      </c>
      <c r="DE64" s="514">
        <v>0</v>
      </c>
      <c r="DF64" s="514">
        <v>0</v>
      </c>
      <c r="DG64" s="514">
        <v>0</v>
      </c>
      <c r="DH64" s="514">
        <v>0</v>
      </c>
      <c r="DI64" s="514">
        <v>0</v>
      </c>
      <c r="DJ64" s="514">
        <v>0</v>
      </c>
      <c r="DK64" s="514">
        <v>0</v>
      </c>
      <c r="DL64" s="514">
        <v>0</v>
      </c>
      <c r="DM64" s="514">
        <v>0</v>
      </c>
      <c r="DN64" s="514">
        <v>0</v>
      </c>
      <c r="DO64" s="514">
        <v>0</v>
      </c>
      <c r="DP64" s="514">
        <v>0</v>
      </c>
      <c r="DQ64" s="514">
        <v>0</v>
      </c>
      <c r="DR64" s="514">
        <v>0</v>
      </c>
      <c r="DS64" s="514">
        <v>0</v>
      </c>
      <c r="DT64" s="514">
        <v>0</v>
      </c>
      <c r="DU64" s="514">
        <v>0</v>
      </c>
      <c r="DV64" s="514">
        <v>0</v>
      </c>
      <c r="DW64" s="514">
        <v>0</v>
      </c>
      <c r="DX64" s="514">
        <v>0</v>
      </c>
      <c r="DY64" s="514">
        <v>0</v>
      </c>
      <c r="DZ64" s="514">
        <v>0</v>
      </c>
      <c r="EA64" s="514">
        <v>0</v>
      </c>
      <c r="EB64" s="514">
        <v>0</v>
      </c>
      <c r="EC64" s="514">
        <v>0</v>
      </c>
      <c r="ED64" s="514">
        <v>0</v>
      </c>
      <c r="EE64" s="514">
        <v>0</v>
      </c>
      <c r="EF64" s="514">
        <v>0</v>
      </c>
      <c r="EG64" s="514">
        <v>0</v>
      </c>
      <c r="EH64" s="514">
        <v>0</v>
      </c>
      <c r="EI64" s="514">
        <v>0</v>
      </c>
      <c r="EJ64" s="514">
        <v>0</v>
      </c>
      <c r="EK64" s="514">
        <v>0</v>
      </c>
      <c r="EL64" s="514">
        <v>0</v>
      </c>
      <c r="EM64" s="514">
        <v>0</v>
      </c>
      <c r="EN64" s="514">
        <v>0</v>
      </c>
      <c r="EO64" s="514">
        <v>0</v>
      </c>
      <c r="EP64" s="514">
        <v>0</v>
      </c>
      <c r="EQ64" s="514">
        <v>0</v>
      </c>
      <c r="ER64" s="514">
        <v>0</v>
      </c>
      <c r="ES64" s="514">
        <v>0</v>
      </c>
      <c r="ET64" s="514">
        <v>0</v>
      </c>
      <c r="EU64" s="514">
        <v>0</v>
      </c>
      <c r="EV64" s="514">
        <v>0</v>
      </c>
      <c r="EW64" s="514">
        <v>0</v>
      </c>
      <c r="EX64" s="514">
        <v>0</v>
      </c>
      <c r="EY64" s="514">
        <v>0</v>
      </c>
      <c r="EZ64" s="514">
        <v>0</v>
      </c>
      <c r="FA64" s="514">
        <v>0</v>
      </c>
      <c r="FB64" s="514">
        <v>0</v>
      </c>
      <c r="FC64" s="514">
        <v>0</v>
      </c>
      <c r="FD64" s="514">
        <v>0</v>
      </c>
      <c r="FE64" s="514">
        <v>0</v>
      </c>
      <c r="FF64" s="514">
        <v>0</v>
      </c>
      <c r="FG64" s="514">
        <v>0</v>
      </c>
      <c r="FH64" s="514">
        <v>0</v>
      </c>
      <c r="FI64" s="514">
        <v>0</v>
      </c>
      <c r="FJ64" s="514">
        <v>0</v>
      </c>
      <c r="FK64" s="514">
        <v>0</v>
      </c>
      <c r="FL64" s="514">
        <v>0</v>
      </c>
      <c r="FM64" s="514">
        <v>0</v>
      </c>
      <c r="FN64" s="514">
        <v>0</v>
      </c>
      <c r="FO64" s="514">
        <v>0</v>
      </c>
      <c r="FP64" s="514">
        <v>0</v>
      </c>
      <c r="FQ64" s="514">
        <v>0</v>
      </c>
    </row>
    <row r="65" spans="1:173" ht="16.5" hidden="1">
      <c r="A65" s="512" t="s">
        <v>658</v>
      </c>
      <c r="B65" s="512" t="s">
        <v>732</v>
      </c>
      <c r="C65" s="512" t="s">
        <v>721</v>
      </c>
      <c r="D65" s="513"/>
      <c r="E65" s="512" t="s">
        <v>721</v>
      </c>
      <c r="F65" s="512" t="s">
        <v>25</v>
      </c>
      <c r="G65" s="513"/>
      <c r="H65" s="514">
        <v>17</v>
      </c>
      <c r="I65" s="298" t="str">
        <f t="shared" si="0"/>
        <v>AOR100117</v>
      </c>
      <c r="J65" s="514">
        <v>3</v>
      </c>
      <c r="L65" s="512" t="s">
        <v>720</v>
      </c>
      <c r="M65" s="512" t="s">
        <v>739</v>
      </c>
      <c r="N65" s="512" t="s">
        <v>721</v>
      </c>
      <c r="O65" s="513"/>
      <c r="P65" s="512" t="s">
        <v>721</v>
      </c>
      <c r="Q65" s="512" t="s">
        <v>26</v>
      </c>
      <c r="R65" s="513"/>
      <c r="S65" s="514">
        <v>56</v>
      </c>
      <c r="T65" s="298" t="str">
        <f t="shared" si="1"/>
        <v>HSGA0256</v>
      </c>
      <c r="U65" s="514">
        <v>11039</v>
      </c>
      <c r="W65" s="512" t="s">
        <v>269</v>
      </c>
      <c r="X65" s="512" t="s">
        <v>843</v>
      </c>
      <c r="Y65" s="512" t="s">
        <v>721</v>
      </c>
      <c r="Z65" s="514">
        <v>10</v>
      </c>
      <c r="AA65" s="512" t="s">
        <v>721</v>
      </c>
      <c r="AB65" s="512" t="s">
        <v>26</v>
      </c>
      <c r="AC65" s="514">
        <v>0</v>
      </c>
      <c r="AD65" s="514">
        <v>20</v>
      </c>
      <c r="AE65" s="298" t="str">
        <f t="shared" si="2"/>
        <v>HNR100220</v>
      </c>
      <c r="AF65" s="514">
        <v>328</v>
      </c>
      <c r="AH65" s="512" t="s">
        <v>721</v>
      </c>
      <c r="AI65" s="512" t="s">
        <v>1030</v>
      </c>
      <c r="AJ65" s="512" t="s">
        <v>721</v>
      </c>
      <c r="AK65" s="513"/>
      <c r="AL65" s="512" t="s">
        <v>721</v>
      </c>
      <c r="AM65" s="512" t="s">
        <v>26</v>
      </c>
      <c r="AN65" s="513"/>
      <c r="AO65" s="514">
        <v>20</v>
      </c>
      <c r="AP65" s="513"/>
      <c r="AQ65" s="298" t="str">
        <f t="shared" si="3"/>
        <v>HOR100220</v>
      </c>
      <c r="AR65" s="514">
        <v>400</v>
      </c>
      <c r="AT65" s="512" t="s">
        <v>743</v>
      </c>
      <c r="AU65" s="512" t="s">
        <v>744</v>
      </c>
      <c r="AV65" s="512" t="s">
        <v>721</v>
      </c>
      <c r="AW65" s="513"/>
      <c r="AX65" s="512" t="s">
        <v>721</v>
      </c>
      <c r="AY65" s="512" t="s">
        <v>25</v>
      </c>
      <c r="AZ65" s="513"/>
      <c r="BA65" s="514">
        <v>53</v>
      </c>
      <c r="BB65" s="298" t="str">
        <f t="shared" si="4"/>
        <v>CLR100153</v>
      </c>
      <c r="BC65" s="514">
        <v>442</v>
      </c>
      <c r="BF65" s="512" t="s">
        <v>658</v>
      </c>
      <c r="BG65" s="512" t="s">
        <v>732</v>
      </c>
      <c r="BH65" s="512" t="s">
        <v>26</v>
      </c>
      <c r="BI65" s="514">
        <v>20</v>
      </c>
      <c r="BJ65" s="298" t="str">
        <f t="shared" si="5"/>
        <v>AOR100220</v>
      </c>
      <c r="BK65" s="514">
        <v>0</v>
      </c>
      <c r="BL65" s="514">
        <v>1</v>
      </c>
      <c r="BM65" s="514">
        <v>1</v>
      </c>
      <c r="BN65" s="514">
        <v>1</v>
      </c>
      <c r="BO65" s="514">
        <v>1</v>
      </c>
      <c r="BP65" s="514">
        <v>2</v>
      </c>
      <c r="BQ65" s="514">
        <v>2</v>
      </c>
      <c r="BR65" s="514">
        <v>2</v>
      </c>
      <c r="BS65" s="514">
        <v>3</v>
      </c>
      <c r="BT65" s="514">
        <v>0</v>
      </c>
      <c r="BU65" s="514">
        <v>0</v>
      </c>
      <c r="BV65" s="514">
        <v>0</v>
      </c>
      <c r="BW65" s="514">
        <v>0</v>
      </c>
      <c r="BX65" s="514">
        <v>0</v>
      </c>
      <c r="BY65" s="514">
        <v>0</v>
      </c>
      <c r="BZ65" s="514">
        <v>0</v>
      </c>
      <c r="CA65" s="514">
        <v>0</v>
      </c>
      <c r="CB65" s="514">
        <v>0</v>
      </c>
      <c r="CC65" s="514">
        <v>0</v>
      </c>
      <c r="CD65" s="514">
        <v>0</v>
      </c>
      <c r="CE65" s="514">
        <v>0</v>
      </c>
      <c r="CF65" s="514">
        <v>0</v>
      </c>
      <c r="CG65" s="514">
        <v>0</v>
      </c>
      <c r="CH65" s="514">
        <v>0</v>
      </c>
      <c r="CI65" s="514">
        <v>0</v>
      </c>
      <c r="CJ65" s="514">
        <v>0</v>
      </c>
      <c r="CK65" s="514">
        <v>0</v>
      </c>
      <c r="CL65" s="514">
        <v>0</v>
      </c>
      <c r="CM65" s="514">
        <v>0</v>
      </c>
      <c r="CN65" s="514">
        <v>0</v>
      </c>
      <c r="CO65" s="514">
        <v>0</v>
      </c>
      <c r="CP65" s="514">
        <v>0</v>
      </c>
      <c r="CQ65" s="514">
        <v>0</v>
      </c>
      <c r="CR65" s="514">
        <v>0</v>
      </c>
      <c r="CS65" s="514">
        <v>0</v>
      </c>
      <c r="CT65" s="514">
        <v>0</v>
      </c>
      <c r="CU65" s="514">
        <v>0</v>
      </c>
      <c r="CV65" s="514">
        <v>0</v>
      </c>
      <c r="CW65" s="514">
        <v>0</v>
      </c>
      <c r="CX65" s="514">
        <v>0</v>
      </c>
      <c r="CY65" s="514">
        <v>0</v>
      </c>
      <c r="CZ65" s="514">
        <v>0</v>
      </c>
      <c r="DA65" s="514">
        <v>0</v>
      </c>
      <c r="DB65" s="514">
        <v>0</v>
      </c>
      <c r="DC65" s="514">
        <v>0</v>
      </c>
      <c r="DD65" s="514">
        <v>0</v>
      </c>
      <c r="DE65" s="514">
        <v>0</v>
      </c>
      <c r="DF65" s="514">
        <v>0</v>
      </c>
      <c r="DG65" s="514">
        <v>0</v>
      </c>
      <c r="DH65" s="514">
        <v>0</v>
      </c>
      <c r="DI65" s="514">
        <v>0</v>
      </c>
      <c r="DJ65" s="514">
        <v>0</v>
      </c>
      <c r="DK65" s="514">
        <v>0</v>
      </c>
      <c r="DL65" s="514">
        <v>0</v>
      </c>
      <c r="DM65" s="514">
        <v>0</v>
      </c>
      <c r="DN65" s="514">
        <v>0</v>
      </c>
      <c r="DO65" s="514">
        <v>0</v>
      </c>
      <c r="DP65" s="514">
        <v>0</v>
      </c>
      <c r="DQ65" s="514">
        <v>0</v>
      </c>
      <c r="DR65" s="514">
        <v>0</v>
      </c>
      <c r="DS65" s="514">
        <v>0</v>
      </c>
      <c r="DT65" s="514">
        <v>0</v>
      </c>
      <c r="DU65" s="514">
        <v>0</v>
      </c>
      <c r="DV65" s="514">
        <v>0</v>
      </c>
      <c r="DW65" s="514">
        <v>0</v>
      </c>
      <c r="DX65" s="514">
        <v>0</v>
      </c>
      <c r="DY65" s="514">
        <v>0</v>
      </c>
      <c r="DZ65" s="514">
        <v>0</v>
      </c>
      <c r="EA65" s="514">
        <v>0</v>
      </c>
      <c r="EB65" s="514">
        <v>0</v>
      </c>
      <c r="EC65" s="514">
        <v>0</v>
      </c>
      <c r="ED65" s="514">
        <v>0</v>
      </c>
      <c r="EE65" s="514">
        <v>0</v>
      </c>
      <c r="EF65" s="514">
        <v>0</v>
      </c>
      <c r="EG65" s="514">
        <v>0</v>
      </c>
      <c r="EH65" s="514">
        <v>0</v>
      </c>
      <c r="EI65" s="514">
        <v>0</v>
      </c>
      <c r="EJ65" s="514">
        <v>0</v>
      </c>
      <c r="EK65" s="514">
        <v>0</v>
      </c>
      <c r="EL65" s="514">
        <v>0</v>
      </c>
      <c r="EM65" s="514">
        <v>0</v>
      </c>
      <c r="EN65" s="514">
        <v>0</v>
      </c>
      <c r="EO65" s="514">
        <v>0</v>
      </c>
      <c r="EP65" s="514">
        <v>0</v>
      </c>
      <c r="EQ65" s="514">
        <v>0</v>
      </c>
      <c r="ER65" s="514">
        <v>0</v>
      </c>
      <c r="ES65" s="514">
        <v>0</v>
      </c>
      <c r="ET65" s="514">
        <v>0</v>
      </c>
      <c r="EU65" s="514">
        <v>0</v>
      </c>
      <c r="EV65" s="514">
        <v>0</v>
      </c>
      <c r="EW65" s="514">
        <v>0</v>
      </c>
      <c r="EX65" s="514">
        <v>0</v>
      </c>
      <c r="EY65" s="514">
        <v>0</v>
      </c>
      <c r="EZ65" s="514">
        <v>0</v>
      </c>
      <c r="FA65" s="514">
        <v>0</v>
      </c>
      <c r="FB65" s="514">
        <v>0</v>
      </c>
      <c r="FC65" s="514">
        <v>0</v>
      </c>
      <c r="FD65" s="514">
        <v>0</v>
      </c>
      <c r="FE65" s="514">
        <v>0</v>
      </c>
      <c r="FF65" s="514">
        <v>0</v>
      </c>
      <c r="FG65" s="514">
        <v>0</v>
      </c>
      <c r="FH65" s="514">
        <v>0</v>
      </c>
      <c r="FI65" s="514">
        <v>0</v>
      </c>
      <c r="FJ65" s="514">
        <v>0</v>
      </c>
      <c r="FK65" s="514">
        <v>0</v>
      </c>
      <c r="FL65" s="514">
        <v>0</v>
      </c>
      <c r="FM65" s="514">
        <v>0</v>
      </c>
      <c r="FN65" s="514">
        <v>0</v>
      </c>
      <c r="FO65" s="514">
        <v>0</v>
      </c>
      <c r="FP65" s="514">
        <v>0</v>
      </c>
      <c r="FQ65" s="514">
        <v>0</v>
      </c>
    </row>
    <row r="66" spans="1:173" ht="16.5" hidden="1">
      <c r="A66" s="512" t="s">
        <v>658</v>
      </c>
      <c r="B66" s="512" t="s">
        <v>732</v>
      </c>
      <c r="C66" s="512" t="s">
        <v>721</v>
      </c>
      <c r="D66" s="513"/>
      <c r="E66" s="512" t="s">
        <v>721</v>
      </c>
      <c r="F66" s="512" t="s">
        <v>25</v>
      </c>
      <c r="G66" s="513"/>
      <c r="H66" s="514">
        <v>18</v>
      </c>
      <c r="I66" s="298" t="str">
        <f t="shared" ref="I66:I117" si="6">B66&amp;TEXT(F66,"00")&amp;TEXT(H66,"00")</f>
        <v>AOR100118</v>
      </c>
      <c r="J66" s="514">
        <v>3</v>
      </c>
      <c r="L66" s="512" t="s">
        <v>720</v>
      </c>
      <c r="M66" s="512" t="s">
        <v>739</v>
      </c>
      <c r="N66" s="512" t="s">
        <v>721</v>
      </c>
      <c r="O66" s="513"/>
      <c r="P66" s="512" t="s">
        <v>721</v>
      </c>
      <c r="Q66" s="512" t="s">
        <v>26</v>
      </c>
      <c r="R66" s="513"/>
      <c r="S66" s="514">
        <v>57</v>
      </c>
      <c r="T66" s="298" t="str">
        <f t="shared" ref="T66:T129" si="7">M66&amp;TEXT(Q66,"00")&amp;TEXT(S66,"00")</f>
        <v>HSGA0257</v>
      </c>
      <c r="U66" s="514">
        <v>11288</v>
      </c>
      <c r="W66" s="512" t="s">
        <v>269</v>
      </c>
      <c r="X66" s="512" t="s">
        <v>843</v>
      </c>
      <c r="Y66" s="512" t="s">
        <v>721</v>
      </c>
      <c r="Z66" s="514">
        <v>10</v>
      </c>
      <c r="AA66" s="512" t="s">
        <v>721</v>
      </c>
      <c r="AB66" s="512" t="s">
        <v>26</v>
      </c>
      <c r="AC66" s="514">
        <v>0</v>
      </c>
      <c r="AD66" s="514">
        <v>21</v>
      </c>
      <c r="AE66" s="298" t="str">
        <f t="shared" ref="AE66:AE117" si="8">X66&amp;TEXT(AB66,"00")&amp;TEXT(AD66,"00")</f>
        <v>HNR100221</v>
      </c>
      <c r="AF66" s="514">
        <v>323</v>
      </c>
      <c r="AH66" s="512" t="s">
        <v>721</v>
      </c>
      <c r="AI66" s="512" t="s">
        <v>1030</v>
      </c>
      <c r="AJ66" s="512" t="s">
        <v>721</v>
      </c>
      <c r="AK66" s="513"/>
      <c r="AL66" s="512" t="s">
        <v>721</v>
      </c>
      <c r="AM66" s="512" t="s">
        <v>26</v>
      </c>
      <c r="AN66" s="513"/>
      <c r="AO66" s="514">
        <v>21</v>
      </c>
      <c r="AP66" s="513"/>
      <c r="AQ66" s="298" t="str">
        <f t="shared" ref="AQ66:AQ117" si="9">AI66&amp;TEXT(AM66,"00")&amp;TEXT(AO66,"00")</f>
        <v>HOR100221</v>
      </c>
      <c r="AR66" s="514">
        <v>410</v>
      </c>
      <c r="AT66" s="512" t="s">
        <v>743</v>
      </c>
      <c r="AU66" s="512" t="s">
        <v>744</v>
      </c>
      <c r="AV66" s="512" t="s">
        <v>721</v>
      </c>
      <c r="AW66" s="513"/>
      <c r="AX66" s="512" t="s">
        <v>721</v>
      </c>
      <c r="AY66" s="512" t="s">
        <v>26</v>
      </c>
      <c r="AZ66" s="513"/>
      <c r="BA66" s="514">
        <v>53</v>
      </c>
      <c r="BB66" s="298" t="str">
        <f t="shared" ref="BB66:BB117" si="10">AU66&amp;TEXT(AY66,"00")&amp;TEXT(BA66,"00")</f>
        <v>CLR100253</v>
      </c>
      <c r="BC66" s="514">
        <v>460</v>
      </c>
      <c r="BF66" s="512" t="s">
        <v>658</v>
      </c>
      <c r="BG66" s="512" t="s">
        <v>732</v>
      </c>
      <c r="BH66" s="512" t="s">
        <v>26</v>
      </c>
      <c r="BI66" s="514">
        <v>21</v>
      </c>
      <c r="BJ66" s="298" t="str">
        <f t="shared" ref="BJ66:BJ117" si="11">BG66&amp;TEXT(BH66,"00")&amp;TEXT(BI66,"00")</f>
        <v>AOR100221</v>
      </c>
      <c r="BK66" s="514">
        <v>0</v>
      </c>
      <c r="BL66" s="514">
        <v>1</v>
      </c>
      <c r="BM66" s="514">
        <v>1</v>
      </c>
      <c r="BN66" s="514">
        <v>1</v>
      </c>
      <c r="BO66" s="514">
        <v>1</v>
      </c>
      <c r="BP66" s="514">
        <v>2</v>
      </c>
      <c r="BQ66" s="514">
        <v>2</v>
      </c>
      <c r="BR66" s="514">
        <v>2</v>
      </c>
      <c r="BS66" s="514">
        <v>3</v>
      </c>
      <c r="BT66" s="514">
        <v>0</v>
      </c>
      <c r="BU66" s="514">
        <v>0</v>
      </c>
      <c r="BV66" s="514">
        <v>0</v>
      </c>
      <c r="BW66" s="514">
        <v>0</v>
      </c>
      <c r="BX66" s="514">
        <v>0</v>
      </c>
      <c r="BY66" s="514">
        <v>0</v>
      </c>
      <c r="BZ66" s="514">
        <v>0</v>
      </c>
      <c r="CA66" s="514">
        <v>0</v>
      </c>
      <c r="CB66" s="514">
        <v>0</v>
      </c>
      <c r="CC66" s="514">
        <v>0</v>
      </c>
      <c r="CD66" s="514">
        <v>0</v>
      </c>
      <c r="CE66" s="514">
        <v>0</v>
      </c>
      <c r="CF66" s="514">
        <v>0</v>
      </c>
      <c r="CG66" s="514">
        <v>0</v>
      </c>
      <c r="CH66" s="514">
        <v>0</v>
      </c>
      <c r="CI66" s="514">
        <v>0</v>
      </c>
      <c r="CJ66" s="514">
        <v>0</v>
      </c>
      <c r="CK66" s="514">
        <v>0</v>
      </c>
      <c r="CL66" s="514">
        <v>0</v>
      </c>
      <c r="CM66" s="514">
        <v>0</v>
      </c>
      <c r="CN66" s="514">
        <v>0</v>
      </c>
      <c r="CO66" s="514">
        <v>0</v>
      </c>
      <c r="CP66" s="514">
        <v>0</v>
      </c>
      <c r="CQ66" s="514">
        <v>0</v>
      </c>
      <c r="CR66" s="514">
        <v>0</v>
      </c>
      <c r="CS66" s="514">
        <v>0</v>
      </c>
      <c r="CT66" s="514">
        <v>0</v>
      </c>
      <c r="CU66" s="514">
        <v>0</v>
      </c>
      <c r="CV66" s="514">
        <v>0</v>
      </c>
      <c r="CW66" s="514">
        <v>0</v>
      </c>
      <c r="CX66" s="514">
        <v>0</v>
      </c>
      <c r="CY66" s="514">
        <v>0</v>
      </c>
      <c r="CZ66" s="514">
        <v>0</v>
      </c>
      <c r="DA66" s="514">
        <v>0</v>
      </c>
      <c r="DB66" s="514">
        <v>0</v>
      </c>
      <c r="DC66" s="514">
        <v>0</v>
      </c>
      <c r="DD66" s="514">
        <v>0</v>
      </c>
      <c r="DE66" s="514">
        <v>0</v>
      </c>
      <c r="DF66" s="514">
        <v>0</v>
      </c>
      <c r="DG66" s="514">
        <v>0</v>
      </c>
      <c r="DH66" s="514">
        <v>0</v>
      </c>
      <c r="DI66" s="514">
        <v>0</v>
      </c>
      <c r="DJ66" s="514">
        <v>0</v>
      </c>
      <c r="DK66" s="514">
        <v>0</v>
      </c>
      <c r="DL66" s="514">
        <v>0</v>
      </c>
      <c r="DM66" s="514">
        <v>0</v>
      </c>
      <c r="DN66" s="514">
        <v>0</v>
      </c>
      <c r="DO66" s="514">
        <v>0</v>
      </c>
      <c r="DP66" s="514">
        <v>0</v>
      </c>
      <c r="DQ66" s="514">
        <v>0</v>
      </c>
      <c r="DR66" s="514">
        <v>0</v>
      </c>
      <c r="DS66" s="514">
        <v>0</v>
      </c>
      <c r="DT66" s="514">
        <v>0</v>
      </c>
      <c r="DU66" s="514">
        <v>0</v>
      </c>
      <c r="DV66" s="514">
        <v>0</v>
      </c>
      <c r="DW66" s="514">
        <v>0</v>
      </c>
      <c r="DX66" s="514">
        <v>0</v>
      </c>
      <c r="DY66" s="514">
        <v>0</v>
      </c>
      <c r="DZ66" s="514">
        <v>0</v>
      </c>
      <c r="EA66" s="514">
        <v>0</v>
      </c>
      <c r="EB66" s="514">
        <v>0</v>
      </c>
      <c r="EC66" s="514">
        <v>0</v>
      </c>
      <c r="ED66" s="514">
        <v>0</v>
      </c>
      <c r="EE66" s="514">
        <v>0</v>
      </c>
      <c r="EF66" s="514">
        <v>0</v>
      </c>
      <c r="EG66" s="514">
        <v>0</v>
      </c>
      <c r="EH66" s="514">
        <v>0</v>
      </c>
      <c r="EI66" s="514">
        <v>0</v>
      </c>
      <c r="EJ66" s="514">
        <v>0</v>
      </c>
      <c r="EK66" s="514">
        <v>0</v>
      </c>
      <c r="EL66" s="514">
        <v>0</v>
      </c>
      <c r="EM66" s="514">
        <v>0</v>
      </c>
      <c r="EN66" s="514">
        <v>0</v>
      </c>
      <c r="EO66" s="514">
        <v>0</v>
      </c>
      <c r="EP66" s="514">
        <v>0</v>
      </c>
      <c r="EQ66" s="514">
        <v>0</v>
      </c>
      <c r="ER66" s="514">
        <v>0</v>
      </c>
      <c r="ES66" s="514">
        <v>0</v>
      </c>
      <c r="ET66" s="514">
        <v>0</v>
      </c>
      <c r="EU66" s="514">
        <v>0</v>
      </c>
      <c r="EV66" s="514">
        <v>0</v>
      </c>
      <c r="EW66" s="514">
        <v>0</v>
      </c>
      <c r="EX66" s="514">
        <v>0</v>
      </c>
      <c r="EY66" s="514">
        <v>0</v>
      </c>
      <c r="EZ66" s="514">
        <v>0</v>
      </c>
      <c r="FA66" s="514">
        <v>0</v>
      </c>
      <c r="FB66" s="514">
        <v>0</v>
      </c>
      <c r="FC66" s="514">
        <v>0</v>
      </c>
      <c r="FD66" s="514">
        <v>0</v>
      </c>
      <c r="FE66" s="514">
        <v>0</v>
      </c>
      <c r="FF66" s="514">
        <v>0</v>
      </c>
      <c r="FG66" s="514">
        <v>0</v>
      </c>
      <c r="FH66" s="514">
        <v>0</v>
      </c>
      <c r="FI66" s="514">
        <v>0</v>
      </c>
      <c r="FJ66" s="514">
        <v>0</v>
      </c>
      <c r="FK66" s="514">
        <v>0</v>
      </c>
      <c r="FL66" s="514">
        <v>0</v>
      </c>
      <c r="FM66" s="514">
        <v>0</v>
      </c>
      <c r="FN66" s="514">
        <v>0</v>
      </c>
      <c r="FO66" s="514">
        <v>0</v>
      </c>
      <c r="FP66" s="514">
        <v>0</v>
      </c>
      <c r="FQ66" s="514">
        <v>0</v>
      </c>
    </row>
    <row r="67" spans="1:173" ht="16.5" hidden="1">
      <c r="A67" s="512" t="s">
        <v>658</v>
      </c>
      <c r="B67" s="512" t="s">
        <v>732</v>
      </c>
      <c r="C67" s="512" t="s">
        <v>721</v>
      </c>
      <c r="D67" s="513"/>
      <c r="E67" s="512" t="s">
        <v>721</v>
      </c>
      <c r="F67" s="512" t="s">
        <v>25</v>
      </c>
      <c r="G67" s="513"/>
      <c r="H67" s="514">
        <v>19</v>
      </c>
      <c r="I67" s="298" t="str">
        <f t="shared" si="6"/>
        <v>AOR100119</v>
      </c>
      <c r="J67" s="514">
        <v>3</v>
      </c>
      <c r="L67" s="512" t="s">
        <v>720</v>
      </c>
      <c r="M67" s="512" t="s">
        <v>739</v>
      </c>
      <c r="N67" s="512" t="s">
        <v>721</v>
      </c>
      <c r="O67" s="513"/>
      <c r="P67" s="512" t="s">
        <v>721</v>
      </c>
      <c r="Q67" s="512" t="s">
        <v>26</v>
      </c>
      <c r="R67" s="513"/>
      <c r="S67" s="514">
        <v>58</v>
      </c>
      <c r="T67" s="298" t="str">
        <f t="shared" si="7"/>
        <v>HSGA0258</v>
      </c>
      <c r="U67" s="514">
        <v>11567</v>
      </c>
      <c r="W67" s="512" t="s">
        <v>269</v>
      </c>
      <c r="X67" s="512" t="s">
        <v>843</v>
      </c>
      <c r="Y67" s="512" t="s">
        <v>721</v>
      </c>
      <c r="Z67" s="514">
        <v>10</v>
      </c>
      <c r="AA67" s="512" t="s">
        <v>721</v>
      </c>
      <c r="AB67" s="512" t="s">
        <v>26</v>
      </c>
      <c r="AC67" s="514">
        <v>0</v>
      </c>
      <c r="AD67" s="514">
        <v>22</v>
      </c>
      <c r="AE67" s="298" t="str">
        <f t="shared" si="8"/>
        <v>HNR100222</v>
      </c>
      <c r="AF67" s="514">
        <v>319</v>
      </c>
      <c r="AH67" s="512" t="s">
        <v>721</v>
      </c>
      <c r="AI67" s="512" t="s">
        <v>1030</v>
      </c>
      <c r="AJ67" s="512" t="s">
        <v>721</v>
      </c>
      <c r="AK67" s="513"/>
      <c r="AL67" s="512" t="s">
        <v>721</v>
      </c>
      <c r="AM67" s="512" t="s">
        <v>26</v>
      </c>
      <c r="AN67" s="513"/>
      <c r="AO67" s="514">
        <v>22</v>
      </c>
      <c r="AP67" s="513"/>
      <c r="AQ67" s="298" t="str">
        <f t="shared" si="9"/>
        <v>HOR100222</v>
      </c>
      <c r="AR67" s="514">
        <v>420</v>
      </c>
      <c r="AT67" s="512" t="s">
        <v>743</v>
      </c>
      <c r="AU67" s="512" t="s">
        <v>744</v>
      </c>
      <c r="AV67" s="512" t="s">
        <v>721</v>
      </c>
      <c r="AW67" s="513"/>
      <c r="AX67" s="512" t="s">
        <v>721</v>
      </c>
      <c r="AY67" s="512" t="s">
        <v>25</v>
      </c>
      <c r="AZ67" s="513"/>
      <c r="BA67" s="514">
        <v>54</v>
      </c>
      <c r="BB67" s="298" t="str">
        <f t="shared" si="10"/>
        <v>CLR100154</v>
      </c>
      <c r="BC67" s="514">
        <v>459</v>
      </c>
      <c r="BF67" s="512" t="s">
        <v>658</v>
      </c>
      <c r="BG67" s="512" t="s">
        <v>732</v>
      </c>
      <c r="BH67" s="512" t="s">
        <v>26</v>
      </c>
      <c r="BI67" s="514">
        <v>22</v>
      </c>
      <c r="BJ67" s="298" t="str">
        <f t="shared" si="11"/>
        <v>AOR100222</v>
      </c>
      <c r="BK67" s="514">
        <v>0</v>
      </c>
      <c r="BL67" s="514">
        <v>1</v>
      </c>
      <c r="BM67" s="514">
        <v>1</v>
      </c>
      <c r="BN67" s="514">
        <v>1</v>
      </c>
      <c r="BO67" s="514">
        <v>1</v>
      </c>
      <c r="BP67" s="514">
        <v>2</v>
      </c>
      <c r="BQ67" s="514">
        <v>2</v>
      </c>
      <c r="BR67" s="514">
        <v>2</v>
      </c>
      <c r="BS67" s="514">
        <v>3</v>
      </c>
      <c r="BT67" s="514">
        <v>0</v>
      </c>
      <c r="BU67" s="514">
        <v>0</v>
      </c>
      <c r="BV67" s="514">
        <v>0</v>
      </c>
      <c r="BW67" s="514">
        <v>0</v>
      </c>
      <c r="BX67" s="514">
        <v>0</v>
      </c>
      <c r="BY67" s="514">
        <v>0</v>
      </c>
      <c r="BZ67" s="514">
        <v>0</v>
      </c>
      <c r="CA67" s="514">
        <v>0</v>
      </c>
      <c r="CB67" s="514">
        <v>0</v>
      </c>
      <c r="CC67" s="514">
        <v>0</v>
      </c>
      <c r="CD67" s="514">
        <v>0</v>
      </c>
      <c r="CE67" s="514">
        <v>0</v>
      </c>
      <c r="CF67" s="514">
        <v>0</v>
      </c>
      <c r="CG67" s="514">
        <v>0</v>
      </c>
      <c r="CH67" s="514">
        <v>0</v>
      </c>
      <c r="CI67" s="514">
        <v>0</v>
      </c>
      <c r="CJ67" s="514">
        <v>0</v>
      </c>
      <c r="CK67" s="514">
        <v>0</v>
      </c>
      <c r="CL67" s="514">
        <v>0</v>
      </c>
      <c r="CM67" s="514">
        <v>0</v>
      </c>
      <c r="CN67" s="514">
        <v>0</v>
      </c>
      <c r="CO67" s="514">
        <v>0</v>
      </c>
      <c r="CP67" s="514">
        <v>0</v>
      </c>
      <c r="CQ67" s="514">
        <v>0</v>
      </c>
      <c r="CR67" s="514">
        <v>0</v>
      </c>
      <c r="CS67" s="514">
        <v>0</v>
      </c>
      <c r="CT67" s="514">
        <v>0</v>
      </c>
      <c r="CU67" s="514">
        <v>0</v>
      </c>
      <c r="CV67" s="514">
        <v>0</v>
      </c>
      <c r="CW67" s="514">
        <v>0</v>
      </c>
      <c r="CX67" s="514">
        <v>0</v>
      </c>
      <c r="CY67" s="514">
        <v>0</v>
      </c>
      <c r="CZ67" s="514">
        <v>0</v>
      </c>
      <c r="DA67" s="514">
        <v>0</v>
      </c>
      <c r="DB67" s="514">
        <v>0</v>
      </c>
      <c r="DC67" s="514">
        <v>0</v>
      </c>
      <c r="DD67" s="514">
        <v>0</v>
      </c>
      <c r="DE67" s="514">
        <v>0</v>
      </c>
      <c r="DF67" s="514">
        <v>0</v>
      </c>
      <c r="DG67" s="514">
        <v>0</v>
      </c>
      <c r="DH67" s="514">
        <v>0</v>
      </c>
      <c r="DI67" s="514">
        <v>0</v>
      </c>
      <c r="DJ67" s="514">
        <v>0</v>
      </c>
      <c r="DK67" s="514">
        <v>0</v>
      </c>
      <c r="DL67" s="514">
        <v>0</v>
      </c>
      <c r="DM67" s="514">
        <v>0</v>
      </c>
      <c r="DN67" s="514">
        <v>0</v>
      </c>
      <c r="DO67" s="514">
        <v>0</v>
      </c>
      <c r="DP67" s="514">
        <v>0</v>
      </c>
      <c r="DQ67" s="514">
        <v>0</v>
      </c>
      <c r="DR67" s="514">
        <v>0</v>
      </c>
      <c r="DS67" s="514">
        <v>0</v>
      </c>
      <c r="DT67" s="514">
        <v>0</v>
      </c>
      <c r="DU67" s="514">
        <v>0</v>
      </c>
      <c r="DV67" s="514">
        <v>0</v>
      </c>
      <c r="DW67" s="514">
        <v>0</v>
      </c>
      <c r="DX67" s="514">
        <v>0</v>
      </c>
      <c r="DY67" s="514">
        <v>0</v>
      </c>
      <c r="DZ67" s="514">
        <v>0</v>
      </c>
      <c r="EA67" s="514">
        <v>0</v>
      </c>
      <c r="EB67" s="514">
        <v>0</v>
      </c>
      <c r="EC67" s="514">
        <v>0</v>
      </c>
      <c r="ED67" s="514">
        <v>0</v>
      </c>
      <c r="EE67" s="514">
        <v>0</v>
      </c>
      <c r="EF67" s="514">
        <v>0</v>
      </c>
      <c r="EG67" s="514">
        <v>0</v>
      </c>
      <c r="EH67" s="514">
        <v>0</v>
      </c>
      <c r="EI67" s="514">
        <v>0</v>
      </c>
      <c r="EJ67" s="514">
        <v>0</v>
      </c>
      <c r="EK67" s="514">
        <v>0</v>
      </c>
      <c r="EL67" s="514">
        <v>0</v>
      </c>
      <c r="EM67" s="514">
        <v>0</v>
      </c>
      <c r="EN67" s="514">
        <v>0</v>
      </c>
      <c r="EO67" s="514">
        <v>0</v>
      </c>
      <c r="EP67" s="514">
        <v>0</v>
      </c>
      <c r="EQ67" s="514">
        <v>0</v>
      </c>
      <c r="ER67" s="514">
        <v>0</v>
      </c>
      <c r="ES67" s="514">
        <v>0</v>
      </c>
      <c r="ET67" s="514">
        <v>0</v>
      </c>
      <c r="EU67" s="514">
        <v>0</v>
      </c>
      <c r="EV67" s="514">
        <v>0</v>
      </c>
      <c r="EW67" s="514">
        <v>0</v>
      </c>
      <c r="EX67" s="514">
        <v>0</v>
      </c>
      <c r="EY67" s="514">
        <v>0</v>
      </c>
      <c r="EZ67" s="514">
        <v>0</v>
      </c>
      <c r="FA67" s="514">
        <v>0</v>
      </c>
      <c r="FB67" s="514">
        <v>0</v>
      </c>
      <c r="FC67" s="514">
        <v>0</v>
      </c>
      <c r="FD67" s="514">
        <v>0</v>
      </c>
      <c r="FE67" s="514">
        <v>0</v>
      </c>
      <c r="FF67" s="514">
        <v>0</v>
      </c>
      <c r="FG67" s="514">
        <v>0</v>
      </c>
      <c r="FH67" s="514">
        <v>0</v>
      </c>
      <c r="FI67" s="514">
        <v>0</v>
      </c>
      <c r="FJ67" s="514">
        <v>0</v>
      </c>
      <c r="FK67" s="514">
        <v>0</v>
      </c>
      <c r="FL67" s="514">
        <v>0</v>
      </c>
      <c r="FM67" s="514">
        <v>0</v>
      </c>
      <c r="FN67" s="514">
        <v>0</v>
      </c>
      <c r="FO67" s="514">
        <v>0</v>
      </c>
      <c r="FP67" s="514">
        <v>0</v>
      </c>
      <c r="FQ67" s="514">
        <v>0</v>
      </c>
    </row>
    <row r="68" spans="1:173" ht="16.5" hidden="1">
      <c r="A68" s="512" t="s">
        <v>658</v>
      </c>
      <c r="B68" s="512" t="s">
        <v>732</v>
      </c>
      <c r="C68" s="512" t="s">
        <v>721</v>
      </c>
      <c r="D68" s="513"/>
      <c r="E68" s="512" t="s">
        <v>721</v>
      </c>
      <c r="F68" s="512" t="s">
        <v>25</v>
      </c>
      <c r="G68" s="513"/>
      <c r="H68" s="514">
        <v>20</v>
      </c>
      <c r="I68" s="298" t="str">
        <f t="shared" si="6"/>
        <v>AOR100120</v>
      </c>
      <c r="J68" s="514">
        <v>3</v>
      </c>
      <c r="L68" s="512" t="s">
        <v>720</v>
      </c>
      <c r="M68" s="512" t="s">
        <v>739</v>
      </c>
      <c r="N68" s="512" t="s">
        <v>721</v>
      </c>
      <c r="O68" s="513"/>
      <c r="P68" s="512" t="s">
        <v>721</v>
      </c>
      <c r="Q68" s="512" t="s">
        <v>26</v>
      </c>
      <c r="R68" s="513"/>
      <c r="S68" s="514">
        <v>59</v>
      </c>
      <c r="T68" s="298" t="str">
        <f t="shared" si="7"/>
        <v>HSGA0259</v>
      </c>
      <c r="U68" s="514">
        <v>11931</v>
      </c>
      <c r="W68" s="512" t="s">
        <v>269</v>
      </c>
      <c r="X68" s="512" t="s">
        <v>843</v>
      </c>
      <c r="Y68" s="512" t="s">
        <v>721</v>
      </c>
      <c r="Z68" s="514">
        <v>10</v>
      </c>
      <c r="AA68" s="512" t="s">
        <v>721</v>
      </c>
      <c r="AB68" s="512" t="s">
        <v>26</v>
      </c>
      <c r="AC68" s="514">
        <v>0</v>
      </c>
      <c r="AD68" s="514">
        <v>23</v>
      </c>
      <c r="AE68" s="298" t="str">
        <f t="shared" si="8"/>
        <v>HNR100223</v>
      </c>
      <c r="AF68" s="514">
        <v>314</v>
      </c>
      <c r="AH68" s="512" t="s">
        <v>721</v>
      </c>
      <c r="AI68" s="512" t="s">
        <v>1030</v>
      </c>
      <c r="AJ68" s="512" t="s">
        <v>721</v>
      </c>
      <c r="AK68" s="513"/>
      <c r="AL68" s="512" t="s">
        <v>721</v>
      </c>
      <c r="AM68" s="512" t="s">
        <v>26</v>
      </c>
      <c r="AN68" s="513"/>
      <c r="AO68" s="514">
        <v>23</v>
      </c>
      <c r="AP68" s="513"/>
      <c r="AQ68" s="298" t="str">
        <f t="shared" si="9"/>
        <v>HOR100223</v>
      </c>
      <c r="AR68" s="514">
        <v>430</v>
      </c>
      <c r="AT68" s="512" t="s">
        <v>743</v>
      </c>
      <c r="AU68" s="512" t="s">
        <v>744</v>
      </c>
      <c r="AV68" s="512" t="s">
        <v>721</v>
      </c>
      <c r="AW68" s="513"/>
      <c r="AX68" s="512" t="s">
        <v>721</v>
      </c>
      <c r="AY68" s="512" t="s">
        <v>26</v>
      </c>
      <c r="AZ68" s="513"/>
      <c r="BA68" s="514">
        <v>54</v>
      </c>
      <c r="BB68" s="298" t="str">
        <f t="shared" si="10"/>
        <v>CLR100254</v>
      </c>
      <c r="BC68" s="514">
        <v>465</v>
      </c>
      <c r="BF68" s="512" t="s">
        <v>658</v>
      </c>
      <c r="BG68" s="512" t="s">
        <v>732</v>
      </c>
      <c r="BH68" s="512" t="s">
        <v>26</v>
      </c>
      <c r="BI68" s="514">
        <v>23</v>
      </c>
      <c r="BJ68" s="298" t="str">
        <f t="shared" si="11"/>
        <v>AOR100223</v>
      </c>
      <c r="BK68" s="514">
        <v>0</v>
      </c>
      <c r="BL68" s="514">
        <v>1</v>
      </c>
      <c r="BM68" s="514">
        <v>1</v>
      </c>
      <c r="BN68" s="514">
        <v>1</v>
      </c>
      <c r="BO68" s="514">
        <v>1</v>
      </c>
      <c r="BP68" s="514">
        <v>2</v>
      </c>
      <c r="BQ68" s="514">
        <v>2</v>
      </c>
      <c r="BR68" s="514">
        <v>2</v>
      </c>
      <c r="BS68" s="514">
        <v>3</v>
      </c>
      <c r="BT68" s="514">
        <v>0</v>
      </c>
      <c r="BU68" s="514">
        <v>0</v>
      </c>
      <c r="BV68" s="514">
        <v>0</v>
      </c>
      <c r="BW68" s="514">
        <v>0</v>
      </c>
      <c r="BX68" s="514">
        <v>0</v>
      </c>
      <c r="BY68" s="514">
        <v>0</v>
      </c>
      <c r="BZ68" s="514">
        <v>0</v>
      </c>
      <c r="CA68" s="514">
        <v>0</v>
      </c>
      <c r="CB68" s="514">
        <v>0</v>
      </c>
      <c r="CC68" s="514">
        <v>0</v>
      </c>
      <c r="CD68" s="514">
        <v>0</v>
      </c>
      <c r="CE68" s="514">
        <v>0</v>
      </c>
      <c r="CF68" s="514">
        <v>0</v>
      </c>
      <c r="CG68" s="514">
        <v>0</v>
      </c>
      <c r="CH68" s="514">
        <v>0</v>
      </c>
      <c r="CI68" s="514">
        <v>0</v>
      </c>
      <c r="CJ68" s="514">
        <v>0</v>
      </c>
      <c r="CK68" s="514">
        <v>0</v>
      </c>
      <c r="CL68" s="514">
        <v>0</v>
      </c>
      <c r="CM68" s="514">
        <v>0</v>
      </c>
      <c r="CN68" s="514">
        <v>0</v>
      </c>
      <c r="CO68" s="514">
        <v>0</v>
      </c>
      <c r="CP68" s="514">
        <v>0</v>
      </c>
      <c r="CQ68" s="514">
        <v>0</v>
      </c>
      <c r="CR68" s="514">
        <v>0</v>
      </c>
      <c r="CS68" s="514">
        <v>0</v>
      </c>
      <c r="CT68" s="514">
        <v>0</v>
      </c>
      <c r="CU68" s="514">
        <v>0</v>
      </c>
      <c r="CV68" s="514">
        <v>0</v>
      </c>
      <c r="CW68" s="514">
        <v>0</v>
      </c>
      <c r="CX68" s="514">
        <v>0</v>
      </c>
      <c r="CY68" s="514">
        <v>0</v>
      </c>
      <c r="CZ68" s="514">
        <v>0</v>
      </c>
      <c r="DA68" s="514">
        <v>0</v>
      </c>
      <c r="DB68" s="514">
        <v>0</v>
      </c>
      <c r="DC68" s="514">
        <v>0</v>
      </c>
      <c r="DD68" s="514">
        <v>0</v>
      </c>
      <c r="DE68" s="514">
        <v>0</v>
      </c>
      <c r="DF68" s="514">
        <v>0</v>
      </c>
      <c r="DG68" s="514">
        <v>0</v>
      </c>
      <c r="DH68" s="514">
        <v>0</v>
      </c>
      <c r="DI68" s="514">
        <v>0</v>
      </c>
      <c r="DJ68" s="514">
        <v>0</v>
      </c>
      <c r="DK68" s="514">
        <v>0</v>
      </c>
      <c r="DL68" s="514">
        <v>0</v>
      </c>
      <c r="DM68" s="514">
        <v>0</v>
      </c>
      <c r="DN68" s="514">
        <v>0</v>
      </c>
      <c r="DO68" s="514">
        <v>0</v>
      </c>
      <c r="DP68" s="514">
        <v>0</v>
      </c>
      <c r="DQ68" s="514">
        <v>0</v>
      </c>
      <c r="DR68" s="514">
        <v>0</v>
      </c>
      <c r="DS68" s="514">
        <v>0</v>
      </c>
      <c r="DT68" s="514">
        <v>0</v>
      </c>
      <c r="DU68" s="514">
        <v>0</v>
      </c>
      <c r="DV68" s="514">
        <v>0</v>
      </c>
      <c r="DW68" s="514">
        <v>0</v>
      </c>
      <c r="DX68" s="514">
        <v>0</v>
      </c>
      <c r="DY68" s="514">
        <v>0</v>
      </c>
      <c r="DZ68" s="514">
        <v>0</v>
      </c>
      <c r="EA68" s="514">
        <v>0</v>
      </c>
      <c r="EB68" s="514">
        <v>0</v>
      </c>
      <c r="EC68" s="514">
        <v>0</v>
      </c>
      <c r="ED68" s="514">
        <v>0</v>
      </c>
      <c r="EE68" s="514">
        <v>0</v>
      </c>
      <c r="EF68" s="514">
        <v>0</v>
      </c>
      <c r="EG68" s="514">
        <v>0</v>
      </c>
      <c r="EH68" s="514">
        <v>0</v>
      </c>
      <c r="EI68" s="514">
        <v>0</v>
      </c>
      <c r="EJ68" s="514">
        <v>0</v>
      </c>
      <c r="EK68" s="514">
        <v>0</v>
      </c>
      <c r="EL68" s="514">
        <v>0</v>
      </c>
      <c r="EM68" s="514">
        <v>0</v>
      </c>
      <c r="EN68" s="514">
        <v>0</v>
      </c>
      <c r="EO68" s="514">
        <v>0</v>
      </c>
      <c r="EP68" s="514">
        <v>0</v>
      </c>
      <c r="EQ68" s="514">
        <v>0</v>
      </c>
      <c r="ER68" s="514">
        <v>0</v>
      </c>
      <c r="ES68" s="514">
        <v>0</v>
      </c>
      <c r="ET68" s="514">
        <v>0</v>
      </c>
      <c r="EU68" s="514">
        <v>0</v>
      </c>
      <c r="EV68" s="514">
        <v>0</v>
      </c>
      <c r="EW68" s="514">
        <v>0</v>
      </c>
      <c r="EX68" s="514">
        <v>0</v>
      </c>
      <c r="EY68" s="514">
        <v>0</v>
      </c>
      <c r="EZ68" s="514">
        <v>0</v>
      </c>
      <c r="FA68" s="514">
        <v>0</v>
      </c>
      <c r="FB68" s="514">
        <v>0</v>
      </c>
      <c r="FC68" s="514">
        <v>0</v>
      </c>
      <c r="FD68" s="514">
        <v>0</v>
      </c>
      <c r="FE68" s="514">
        <v>0</v>
      </c>
      <c r="FF68" s="514">
        <v>0</v>
      </c>
      <c r="FG68" s="514">
        <v>0</v>
      </c>
      <c r="FH68" s="514">
        <v>0</v>
      </c>
      <c r="FI68" s="514">
        <v>0</v>
      </c>
      <c r="FJ68" s="514">
        <v>0</v>
      </c>
      <c r="FK68" s="514">
        <v>0</v>
      </c>
      <c r="FL68" s="514">
        <v>0</v>
      </c>
      <c r="FM68" s="514">
        <v>0</v>
      </c>
      <c r="FN68" s="514">
        <v>0</v>
      </c>
      <c r="FO68" s="514">
        <v>0</v>
      </c>
      <c r="FP68" s="514">
        <v>0</v>
      </c>
      <c r="FQ68" s="514">
        <v>0</v>
      </c>
    </row>
    <row r="69" spans="1:173" ht="16.5" hidden="1">
      <c r="A69" s="512" t="s">
        <v>658</v>
      </c>
      <c r="B69" s="512" t="s">
        <v>732</v>
      </c>
      <c r="C69" s="512" t="s">
        <v>721</v>
      </c>
      <c r="D69" s="513"/>
      <c r="E69" s="512" t="s">
        <v>721</v>
      </c>
      <c r="F69" s="512" t="s">
        <v>25</v>
      </c>
      <c r="G69" s="513"/>
      <c r="H69" s="514">
        <v>21</v>
      </c>
      <c r="I69" s="298" t="str">
        <f t="shared" si="6"/>
        <v>AOR100121</v>
      </c>
      <c r="J69" s="514">
        <v>3</v>
      </c>
      <c r="L69" s="512" t="s">
        <v>720</v>
      </c>
      <c r="M69" s="512" t="s">
        <v>739</v>
      </c>
      <c r="N69" s="512" t="s">
        <v>721</v>
      </c>
      <c r="O69" s="513"/>
      <c r="P69" s="512" t="s">
        <v>721</v>
      </c>
      <c r="Q69" s="512" t="s">
        <v>26</v>
      </c>
      <c r="R69" s="513"/>
      <c r="S69" s="514">
        <v>60</v>
      </c>
      <c r="T69" s="298" t="str">
        <f t="shared" si="7"/>
        <v>HSGA0260</v>
      </c>
      <c r="U69" s="514">
        <v>12384</v>
      </c>
      <c r="W69" s="512" t="s">
        <v>269</v>
      </c>
      <c r="X69" s="512" t="s">
        <v>843</v>
      </c>
      <c r="Y69" s="512" t="s">
        <v>721</v>
      </c>
      <c r="Z69" s="514">
        <v>10</v>
      </c>
      <c r="AA69" s="512" t="s">
        <v>721</v>
      </c>
      <c r="AB69" s="512" t="s">
        <v>26</v>
      </c>
      <c r="AC69" s="514">
        <v>0</v>
      </c>
      <c r="AD69" s="514">
        <v>24</v>
      </c>
      <c r="AE69" s="298" t="str">
        <f t="shared" si="8"/>
        <v>HNR100224</v>
      </c>
      <c r="AF69" s="514">
        <v>309</v>
      </c>
      <c r="AH69" s="512" t="s">
        <v>721</v>
      </c>
      <c r="AI69" s="512" t="s">
        <v>1030</v>
      </c>
      <c r="AJ69" s="512" t="s">
        <v>721</v>
      </c>
      <c r="AK69" s="513"/>
      <c r="AL69" s="512" t="s">
        <v>721</v>
      </c>
      <c r="AM69" s="512" t="s">
        <v>26</v>
      </c>
      <c r="AN69" s="513"/>
      <c r="AO69" s="514">
        <v>24</v>
      </c>
      <c r="AP69" s="513"/>
      <c r="AQ69" s="298" t="str">
        <f t="shared" si="9"/>
        <v>HOR100224</v>
      </c>
      <c r="AR69" s="514">
        <v>445</v>
      </c>
      <c r="AT69" s="512" t="s">
        <v>743</v>
      </c>
      <c r="AU69" s="512" t="s">
        <v>744</v>
      </c>
      <c r="AV69" s="512" t="s">
        <v>721</v>
      </c>
      <c r="AW69" s="513"/>
      <c r="AX69" s="512" t="s">
        <v>721</v>
      </c>
      <c r="AY69" s="512" t="s">
        <v>25</v>
      </c>
      <c r="AZ69" s="513"/>
      <c r="BA69" s="514">
        <v>55</v>
      </c>
      <c r="BB69" s="298" t="str">
        <f t="shared" si="10"/>
        <v>CLR100155</v>
      </c>
      <c r="BC69" s="514">
        <v>475</v>
      </c>
      <c r="BF69" s="512" t="s">
        <v>658</v>
      </c>
      <c r="BG69" s="512" t="s">
        <v>732</v>
      </c>
      <c r="BH69" s="512" t="s">
        <v>26</v>
      </c>
      <c r="BI69" s="514">
        <v>24</v>
      </c>
      <c r="BJ69" s="298" t="str">
        <f t="shared" si="11"/>
        <v>AOR100224</v>
      </c>
      <c r="BK69" s="514">
        <v>0</v>
      </c>
      <c r="BL69" s="514">
        <v>1</v>
      </c>
      <c r="BM69" s="514">
        <v>1</v>
      </c>
      <c r="BN69" s="514">
        <v>1</v>
      </c>
      <c r="BO69" s="514">
        <v>1</v>
      </c>
      <c r="BP69" s="514">
        <v>2</v>
      </c>
      <c r="BQ69" s="514">
        <v>2</v>
      </c>
      <c r="BR69" s="514">
        <v>2</v>
      </c>
      <c r="BS69" s="514">
        <v>3</v>
      </c>
      <c r="BT69" s="514">
        <v>0</v>
      </c>
      <c r="BU69" s="514">
        <v>0</v>
      </c>
      <c r="BV69" s="514">
        <v>0</v>
      </c>
      <c r="BW69" s="514">
        <v>0</v>
      </c>
      <c r="BX69" s="514">
        <v>0</v>
      </c>
      <c r="BY69" s="514">
        <v>0</v>
      </c>
      <c r="BZ69" s="514">
        <v>0</v>
      </c>
      <c r="CA69" s="514">
        <v>0</v>
      </c>
      <c r="CB69" s="514">
        <v>0</v>
      </c>
      <c r="CC69" s="514">
        <v>0</v>
      </c>
      <c r="CD69" s="514">
        <v>0</v>
      </c>
      <c r="CE69" s="514">
        <v>0</v>
      </c>
      <c r="CF69" s="514">
        <v>0</v>
      </c>
      <c r="CG69" s="514">
        <v>0</v>
      </c>
      <c r="CH69" s="514">
        <v>0</v>
      </c>
      <c r="CI69" s="514">
        <v>0</v>
      </c>
      <c r="CJ69" s="514">
        <v>0</v>
      </c>
      <c r="CK69" s="514">
        <v>0</v>
      </c>
      <c r="CL69" s="514">
        <v>0</v>
      </c>
      <c r="CM69" s="514">
        <v>0</v>
      </c>
      <c r="CN69" s="514">
        <v>0</v>
      </c>
      <c r="CO69" s="514">
        <v>0</v>
      </c>
      <c r="CP69" s="514">
        <v>0</v>
      </c>
      <c r="CQ69" s="514">
        <v>0</v>
      </c>
      <c r="CR69" s="514">
        <v>0</v>
      </c>
      <c r="CS69" s="514">
        <v>0</v>
      </c>
      <c r="CT69" s="514">
        <v>0</v>
      </c>
      <c r="CU69" s="514">
        <v>0</v>
      </c>
      <c r="CV69" s="514">
        <v>0</v>
      </c>
      <c r="CW69" s="514">
        <v>0</v>
      </c>
      <c r="CX69" s="514">
        <v>0</v>
      </c>
      <c r="CY69" s="514">
        <v>0</v>
      </c>
      <c r="CZ69" s="514">
        <v>0</v>
      </c>
      <c r="DA69" s="514">
        <v>0</v>
      </c>
      <c r="DB69" s="514">
        <v>0</v>
      </c>
      <c r="DC69" s="514">
        <v>0</v>
      </c>
      <c r="DD69" s="514">
        <v>0</v>
      </c>
      <c r="DE69" s="514">
        <v>0</v>
      </c>
      <c r="DF69" s="514">
        <v>0</v>
      </c>
      <c r="DG69" s="514">
        <v>0</v>
      </c>
      <c r="DH69" s="514">
        <v>0</v>
      </c>
      <c r="DI69" s="514">
        <v>0</v>
      </c>
      <c r="DJ69" s="514">
        <v>0</v>
      </c>
      <c r="DK69" s="514">
        <v>0</v>
      </c>
      <c r="DL69" s="514">
        <v>0</v>
      </c>
      <c r="DM69" s="514">
        <v>0</v>
      </c>
      <c r="DN69" s="514">
        <v>0</v>
      </c>
      <c r="DO69" s="514">
        <v>0</v>
      </c>
      <c r="DP69" s="514">
        <v>0</v>
      </c>
      <c r="DQ69" s="514">
        <v>0</v>
      </c>
      <c r="DR69" s="514">
        <v>0</v>
      </c>
      <c r="DS69" s="514">
        <v>0</v>
      </c>
      <c r="DT69" s="514">
        <v>0</v>
      </c>
      <c r="DU69" s="514">
        <v>0</v>
      </c>
      <c r="DV69" s="514">
        <v>0</v>
      </c>
      <c r="DW69" s="514">
        <v>0</v>
      </c>
      <c r="DX69" s="514">
        <v>0</v>
      </c>
      <c r="DY69" s="514">
        <v>0</v>
      </c>
      <c r="DZ69" s="514">
        <v>0</v>
      </c>
      <c r="EA69" s="514">
        <v>0</v>
      </c>
      <c r="EB69" s="514">
        <v>0</v>
      </c>
      <c r="EC69" s="514">
        <v>0</v>
      </c>
      <c r="ED69" s="514">
        <v>0</v>
      </c>
      <c r="EE69" s="514">
        <v>0</v>
      </c>
      <c r="EF69" s="514">
        <v>0</v>
      </c>
      <c r="EG69" s="514">
        <v>0</v>
      </c>
      <c r="EH69" s="514">
        <v>0</v>
      </c>
      <c r="EI69" s="514">
        <v>0</v>
      </c>
      <c r="EJ69" s="514">
        <v>0</v>
      </c>
      <c r="EK69" s="514">
        <v>0</v>
      </c>
      <c r="EL69" s="514">
        <v>0</v>
      </c>
      <c r="EM69" s="514">
        <v>0</v>
      </c>
      <c r="EN69" s="514">
        <v>0</v>
      </c>
      <c r="EO69" s="514">
        <v>0</v>
      </c>
      <c r="EP69" s="514">
        <v>0</v>
      </c>
      <c r="EQ69" s="514">
        <v>0</v>
      </c>
      <c r="ER69" s="514">
        <v>0</v>
      </c>
      <c r="ES69" s="514">
        <v>0</v>
      </c>
      <c r="ET69" s="514">
        <v>0</v>
      </c>
      <c r="EU69" s="514">
        <v>0</v>
      </c>
      <c r="EV69" s="514">
        <v>0</v>
      </c>
      <c r="EW69" s="514">
        <v>0</v>
      </c>
      <c r="EX69" s="514">
        <v>0</v>
      </c>
      <c r="EY69" s="514">
        <v>0</v>
      </c>
      <c r="EZ69" s="514">
        <v>0</v>
      </c>
      <c r="FA69" s="514">
        <v>0</v>
      </c>
      <c r="FB69" s="514">
        <v>0</v>
      </c>
      <c r="FC69" s="514">
        <v>0</v>
      </c>
      <c r="FD69" s="514">
        <v>0</v>
      </c>
      <c r="FE69" s="514">
        <v>0</v>
      </c>
      <c r="FF69" s="514">
        <v>0</v>
      </c>
      <c r="FG69" s="514">
        <v>0</v>
      </c>
      <c r="FH69" s="514">
        <v>0</v>
      </c>
      <c r="FI69" s="514">
        <v>0</v>
      </c>
      <c r="FJ69" s="514">
        <v>0</v>
      </c>
      <c r="FK69" s="514">
        <v>0</v>
      </c>
      <c r="FL69" s="514">
        <v>0</v>
      </c>
      <c r="FM69" s="514">
        <v>0</v>
      </c>
      <c r="FN69" s="514">
        <v>0</v>
      </c>
      <c r="FO69" s="514">
        <v>0</v>
      </c>
      <c r="FP69" s="514">
        <v>0</v>
      </c>
      <c r="FQ69" s="514">
        <v>0</v>
      </c>
    </row>
    <row r="70" spans="1:173" ht="16.5" hidden="1">
      <c r="A70" s="512" t="s">
        <v>658</v>
      </c>
      <c r="B70" s="512" t="s">
        <v>732</v>
      </c>
      <c r="C70" s="512" t="s">
        <v>721</v>
      </c>
      <c r="D70" s="513"/>
      <c r="E70" s="512" t="s">
        <v>721</v>
      </c>
      <c r="F70" s="512" t="s">
        <v>25</v>
      </c>
      <c r="G70" s="513"/>
      <c r="H70" s="514">
        <v>22</v>
      </c>
      <c r="I70" s="298" t="str">
        <f t="shared" si="6"/>
        <v>AOR100122</v>
      </c>
      <c r="J70" s="514">
        <v>3</v>
      </c>
      <c r="L70" s="512" t="s">
        <v>720</v>
      </c>
      <c r="M70" s="512" t="s">
        <v>739</v>
      </c>
      <c r="N70" s="512" t="s">
        <v>721</v>
      </c>
      <c r="O70" s="513"/>
      <c r="P70" s="512" t="s">
        <v>721</v>
      </c>
      <c r="Q70" s="512" t="s">
        <v>26</v>
      </c>
      <c r="R70" s="513"/>
      <c r="S70" s="514">
        <v>61</v>
      </c>
      <c r="T70" s="298" t="str">
        <f t="shared" si="7"/>
        <v>HSGA0261</v>
      </c>
      <c r="U70" s="514">
        <v>12932</v>
      </c>
      <c r="W70" s="512" t="s">
        <v>269</v>
      </c>
      <c r="X70" s="512" t="s">
        <v>843</v>
      </c>
      <c r="Y70" s="512" t="s">
        <v>721</v>
      </c>
      <c r="Z70" s="514">
        <v>10</v>
      </c>
      <c r="AA70" s="512" t="s">
        <v>721</v>
      </c>
      <c r="AB70" s="512" t="s">
        <v>26</v>
      </c>
      <c r="AC70" s="514">
        <v>0</v>
      </c>
      <c r="AD70" s="514">
        <v>25</v>
      </c>
      <c r="AE70" s="298" t="str">
        <f t="shared" si="8"/>
        <v>HNR100225</v>
      </c>
      <c r="AF70" s="514">
        <v>304</v>
      </c>
      <c r="AH70" s="512" t="s">
        <v>721</v>
      </c>
      <c r="AI70" s="512" t="s">
        <v>1030</v>
      </c>
      <c r="AJ70" s="512" t="s">
        <v>721</v>
      </c>
      <c r="AK70" s="513"/>
      <c r="AL70" s="512" t="s">
        <v>721</v>
      </c>
      <c r="AM70" s="512" t="s">
        <v>26</v>
      </c>
      <c r="AN70" s="513"/>
      <c r="AO70" s="514">
        <v>25</v>
      </c>
      <c r="AP70" s="513"/>
      <c r="AQ70" s="298" t="str">
        <f t="shared" si="9"/>
        <v>HOR100225</v>
      </c>
      <c r="AR70" s="514">
        <v>460</v>
      </c>
      <c r="AT70" s="512" t="s">
        <v>743</v>
      </c>
      <c r="AU70" s="512" t="s">
        <v>744</v>
      </c>
      <c r="AV70" s="512" t="s">
        <v>721</v>
      </c>
      <c r="AW70" s="513"/>
      <c r="AX70" s="512" t="s">
        <v>721</v>
      </c>
      <c r="AY70" s="512" t="s">
        <v>26</v>
      </c>
      <c r="AZ70" s="513"/>
      <c r="BA70" s="514">
        <v>55</v>
      </c>
      <c r="BB70" s="298" t="str">
        <f t="shared" si="10"/>
        <v>CLR100255</v>
      </c>
      <c r="BC70" s="514">
        <v>469</v>
      </c>
      <c r="BF70" s="512" t="s">
        <v>658</v>
      </c>
      <c r="BG70" s="512" t="s">
        <v>732</v>
      </c>
      <c r="BH70" s="512" t="s">
        <v>26</v>
      </c>
      <c r="BI70" s="514">
        <v>25</v>
      </c>
      <c r="BJ70" s="298" t="str">
        <f t="shared" si="11"/>
        <v>AOR100225</v>
      </c>
      <c r="BK70" s="514">
        <v>0</v>
      </c>
      <c r="BL70" s="514">
        <v>1</v>
      </c>
      <c r="BM70" s="514">
        <v>1</v>
      </c>
      <c r="BN70" s="514">
        <v>1</v>
      </c>
      <c r="BO70" s="514">
        <v>1</v>
      </c>
      <c r="BP70" s="514">
        <v>2</v>
      </c>
      <c r="BQ70" s="514">
        <v>2</v>
      </c>
      <c r="BR70" s="514">
        <v>2</v>
      </c>
      <c r="BS70" s="514">
        <v>3</v>
      </c>
      <c r="BT70" s="514">
        <v>0</v>
      </c>
      <c r="BU70" s="514">
        <v>0</v>
      </c>
      <c r="BV70" s="514">
        <v>0</v>
      </c>
      <c r="BW70" s="514">
        <v>0</v>
      </c>
      <c r="BX70" s="514">
        <v>0</v>
      </c>
      <c r="BY70" s="514">
        <v>0</v>
      </c>
      <c r="BZ70" s="514">
        <v>0</v>
      </c>
      <c r="CA70" s="514">
        <v>0</v>
      </c>
      <c r="CB70" s="514">
        <v>0</v>
      </c>
      <c r="CC70" s="514">
        <v>0</v>
      </c>
      <c r="CD70" s="514">
        <v>0</v>
      </c>
      <c r="CE70" s="514">
        <v>0</v>
      </c>
      <c r="CF70" s="514">
        <v>0</v>
      </c>
      <c r="CG70" s="514">
        <v>0</v>
      </c>
      <c r="CH70" s="514">
        <v>0</v>
      </c>
      <c r="CI70" s="514">
        <v>0</v>
      </c>
      <c r="CJ70" s="514">
        <v>0</v>
      </c>
      <c r="CK70" s="514">
        <v>0</v>
      </c>
      <c r="CL70" s="514">
        <v>0</v>
      </c>
      <c r="CM70" s="514">
        <v>0</v>
      </c>
      <c r="CN70" s="514">
        <v>0</v>
      </c>
      <c r="CO70" s="514">
        <v>0</v>
      </c>
      <c r="CP70" s="514">
        <v>0</v>
      </c>
      <c r="CQ70" s="514">
        <v>0</v>
      </c>
      <c r="CR70" s="514">
        <v>0</v>
      </c>
      <c r="CS70" s="514">
        <v>0</v>
      </c>
      <c r="CT70" s="514">
        <v>0</v>
      </c>
      <c r="CU70" s="514">
        <v>0</v>
      </c>
      <c r="CV70" s="514">
        <v>0</v>
      </c>
      <c r="CW70" s="514">
        <v>0</v>
      </c>
      <c r="CX70" s="514">
        <v>0</v>
      </c>
      <c r="CY70" s="514">
        <v>0</v>
      </c>
      <c r="CZ70" s="514">
        <v>0</v>
      </c>
      <c r="DA70" s="514">
        <v>0</v>
      </c>
      <c r="DB70" s="514">
        <v>0</v>
      </c>
      <c r="DC70" s="514">
        <v>0</v>
      </c>
      <c r="DD70" s="514">
        <v>0</v>
      </c>
      <c r="DE70" s="514">
        <v>0</v>
      </c>
      <c r="DF70" s="514">
        <v>0</v>
      </c>
      <c r="DG70" s="514">
        <v>0</v>
      </c>
      <c r="DH70" s="514">
        <v>0</v>
      </c>
      <c r="DI70" s="514">
        <v>0</v>
      </c>
      <c r="DJ70" s="514">
        <v>0</v>
      </c>
      <c r="DK70" s="514">
        <v>0</v>
      </c>
      <c r="DL70" s="514">
        <v>0</v>
      </c>
      <c r="DM70" s="514">
        <v>0</v>
      </c>
      <c r="DN70" s="514">
        <v>0</v>
      </c>
      <c r="DO70" s="514">
        <v>0</v>
      </c>
      <c r="DP70" s="514">
        <v>0</v>
      </c>
      <c r="DQ70" s="514">
        <v>0</v>
      </c>
      <c r="DR70" s="514">
        <v>0</v>
      </c>
      <c r="DS70" s="514">
        <v>0</v>
      </c>
      <c r="DT70" s="514">
        <v>0</v>
      </c>
      <c r="DU70" s="514">
        <v>0</v>
      </c>
      <c r="DV70" s="514">
        <v>0</v>
      </c>
      <c r="DW70" s="514">
        <v>0</v>
      </c>
      <c r="DX70" s="514">
        <v>0</v>
      </c>
      <c r="DY70" s="514">
        <v>0</v>
      </c>
      <c r="DZ70" s="514">
        <v>0</v>
      </c>
      <c r="EA70" s="514">
        <v>0</v>
      </c>
      <c r="EB70" s="514">
        <v>0</v>
      </c>
      <c r="EC70" s="514">
        <v>0</v>
      </c>
      <c r="ED70" s="514">
        <v>0</v>
      </c>
      <c r="EE70" s="514">
        <v>0</v>
      </c>
      <c r="EF70" s="514">
        <v>0</v>
      </c>
      <c r="EG70" s="514">
        <v>0</v>
      </c>
      <c r="EH70" s="514">
        <v>0</v>
      </c>
      <c r="EI70" s="514">
        <v>0</v>
      </c>
      <c r="EJ70" s="514">
        <v>0</v>
      </c>
      <c r="EK70" s="514">
        <v>0</v>
      </c>
      <c r="EL70" s="514">
        <v>0</v>
      </c>
      <c r="EM70" s="514">
        <v>0</v>
      </c>
      <c r="EN70" s="514">
        <v>0</v>
      </c>
      <c r="EO70" s="514">
        <v>0</v>
      </c>
      <c r="EP70" s="514">
        <v>0</v>
      </c>
      <c r="EQ70" s="514">
        <v>0</v>
      </c>
      <c r="ER70" s="514">
        <v>0</v>
      </c>
      <c r="ES70" s="514">
        <v>0</v>
      </c>
      <c r="ET70" s="514">
        <v>0</v>
      </c>
      <c r="EU70" s="514">
        <v>0</v>
      </c>
      <c r="EV70" s="514">
        <v>0</v>
      </c>
      <c r="EW70" s="514">
        <v>0</v>
      </c>
      <c r="EX70" s="514">
        <v>0</v>
      </c>
      <c r="EY70" s="514">
        <v>0</v>
      </c>
      <c r="EZ70" s="514">
        <v>0</v>
      </c>
      <c r="FA70" s="514">
        <v>0</v>
      </c>
      <c r="FB70" s="514">
        <v>0</v>
      </c>
      <c r="FC70" s="514">
        <v>0</v>
      </c>
      <c r="FD70" s="514">
        <v>0</v>
      </c>
      <c r="FE70" s="514">
        <v>0</v>
      </c>
      <c r="FF70" s="514">
        <v>0</v>
      </c>
      <c r="FG70" s="514">
        <v>0</v>
      </c>
      <c r="FH70" s="514">
        <v>0</v>
      </c>
      <c r="FI70" s="514">
        <v>0</v>
      </c>
      <c r="FJ70" s="514">
        <v>0</v>
      </c>
      <c r="FK70" s="514">
        <v>0</v>
      </c>
      <c r="FL70" s="514">
        <v>0</v>
      </c>
      <c r="FM70" s="514">
        <v>0</v>
      </c>
      <c r="FN70" s="514">
        <v>0</v>
      </c>
      <c r="FO70" s="514">
        <v>0</v>
      </c>
      <c r="FP70" s="514">
        <v>0</v>
      </c>
      <c r="FQ70" s="514">
        <v>0</v>
      </c>
    </row>
    <row r="71" spans="1:173" ht="16.5" hidden="1">
      <c r="A71" s="512" t="s">
        <v>658</v>
      </c>
      <c r="B71" s="512" t="s">
        <v>732</v>
      </c>
      <c r="C71" s="512" t="s">
        <v>721</v>
      </c>
      <c r="D71" s="513"/>
      <c r="E71" s="512" t="s">
        <v>721</v>
      </c>
      <c r="F71" s="512" t="s">
        <v>25</v>
      </c>
      <c r="G71" s="513"/>
      <c r="H71" s="514">
        <v>23</v>
      </c>
      <c r="I71" s="298" t="str">
        <f t="shared" si="6"/>
        <v>AOR100123</v>
      </c>
      <c r="J71" s="514">
        <v>3</v>
      </c>
      <c r="L71" s="512" t="s">
        <v>720</v>
      </c>
      <c r="M71" s="512" t="s">
        <v>739</v>
      </c>
      <c r="N71" s="512" t="s">
        <v>721</v>
      </c>
      <c r="O71" s="513"/>
      <c r="P71" s="512" t="s">
        <v>721</v>
      </c>
      <c r="Q71" s="512" t="s">
        <v>26</v>
      </c>
      <c r="R71" s="513"/>
      <c r="S71" s="514">
        <v>62</v>
      </c>
      <c r="T71" s="298" t="str">
        <f t="shared" si="7"/>
        <v>HSGA0262</v>
      </c>
      <c r="U71" s="514">
        <v>13578</v>
      </c>
      <c r="W71" s="512" t="s">
        <v>269</v>
      </c>
      <c r="X71" s="512" t="s">
        <v>843</v>
      </c>
      <c r="Y71" s="512" t="s">
        <v>721</v>
      </c>
      <c r="Z71" s="514">
        <v>10</v>
      </c>
      <c r="AA71" s="512" t="s">
        <v>721</v>
      </c>
      <c r="AB71" s="512" t="s">
        <v>26</v>
      </c>
      <c r="AC71" s="514">
        <v>0</v>
      </c>
      <c r="AD71" s="514">
        <v>26</v>
      </c>
      <c r="AE71" s="298" t="str">
        <f t="shared" si="8"/>
        <v>HNR100226</v>
      </c>
      <c r="AF71" s="514">
        <v>307</v>
      </c>
      <c r="AH71" s="512" t="s">
        <v>721</v>
      </c>
      <c r="AI71" s="512" t="s">
        <v>1030</v>
      </c>
      <c r="AJ71" s="512" t="s">
        <v>721</v>
      </c>
      <c r="AK71" s="513"/>
      <c r="AL71" s="512" t="s">
        <v>721</v>
      </c>
      <c r="AM71" s="512" t="s">
        <v>26</v>
      </c>
      <c r="AN71" s="513"/>
      <c r="AO71" s="514">
        <v>26</v>
      </c>
      <c r="AP71" s="513"/>
      <c r="AQ71" s="298" t="str">
        <f t="shared" si="9"/>
        <v>HOR100226</v>
      </c>
      <c r="AR71" s="514">
        <v>470</v>
      </c>
      <c r="AT71" s="512" t="s">
        <v>743</v>
      </c>
      <c r="AU71" s="512" t="s">
        <v>744</v>
      </c>
      <c r="AV71" s="512" t="s">
        <v>721</v>
      </c>
      <c r="AW71" s="513"/>
      <c r="AX71" s="512" t="s">
        <v>721</v>
      </c>
      <c r="AY71" s="512" t="s">
        <v>25</v>
      </c>
      <c r="AZ71" s="513"/>
      <c r="BA71" s="514">
        <v>56</v>
      </c>
      <c r="BB71" s="298" t="str">
        <f t="shared" si="10"/>
        <v>CLR100156</v>
      </c>
      <c r="BC71" s="514">
        <v>494</v>
      </c>
      <c r="BF71" s="512" t="s">
        <v>658</v>
      </c>
      <c r="BG71" s="512" t="s">
        <v>732</v>
      </c>
      <c r="BH71" s="512" t="s">
        <v>26</v>
      </c>
      <c r="BI71" s="514">
        <v>26</v>
      </c>
      <c r="BJ71" s="298" t="str">
        <f t="shared" si="11"/>
        <v>AOR100226</v>
      </c>
      <c r="BK71" s="514">
        <v>0</v>
      </c>
      <c r="BL71" s="514">
        <v>1</v>
      </c>
      <c r="BM71" s="514">
        <v>1</v>
      </c>
      <c r="BN71" s="514">
        <v>1</v>
      </c>
      <c r="BO71" s="514">
        <v>1</v>
      </c>
      <c r="BP71" s="514">
        <v>2</v>
      </c>
      <c r="BQ71" s="514">
        <v>2</v>
      </c>
      <c r="BR71" s="514">
        <v>2</v>
      </c>
      <c r="BS71" s="514">
        <v>3</v>
      </c>
      <c r="BT71" s="514">
        <v>0</v>
      </c>
      <c r="BU71" s="514">
        <v>0</v>
      </c>
      <c r="BV71" s="514">
        <v>0</v>
      </c>
      <c r="BW71" s="514">
        <v>0</v>
      </c>
      <c r="BX71" s="514">
        <v>0</v>
      </c>
      <c r="BY71" s="514">
        <v>0</v>
      </c>
      <c r="BZ71" s="514">
        <v>0</v>
      </c>
      <c r="CA71" s="514">
        <v>0</v>
      </c>
      <c r="CB71" s="514">
        <v>0</v>
      </c>
      <c r="CC71" s="514">
        <v>0</v>
      </c>
      <c r="CD71" s="514">
        <v>0</v>
      </c>
      <c r="CE71" s="514">
        <v>0</v>
      </c>
      <c r="CF71" s="514">
        <v>0</v>
      </c>
      <c r="CG71" s="514">
        <v>0</v>
      </c>
      <c r="CH71" s="514">
        <v>0</v>
      </c>
      <c r="CI71" s="514">
        <v>0</v>
      </c>
      <c r="CJ71" s="514">
        <v>0</v>
      </c>
      <c r="CK71" s="514">
        <v>0</v>
      </c>
      <c r="CL71" s="514">
        <v>0</v>
      </c>
      <c r="CM71" s="514">
        <v>0</v>
      </c>
      <c r="CN71" s="514">
        <v>0</v>
      </c>
      <c r="CO71" s="514">
        <v>0</v>
      </c>
      <c r="CP71" s="514">
        <v>0</v>
      </c>
      <c r="CQ71" s="514">
        <v>0</v>
      </c>
      <c r="CR71" s="514">
        <v>0</v>
      </c>
      <c r="CS71" s="514">
        <v>0</v>
      </c>
      <c r="CT71" s="514">
        <v>0</v>
      </c>
      <c r="CU71" s="514">
        <v>0</v>
      </c>
      <c r="CV71" s="514">
        <v>0</v>
      </c>
      <c r="CW71" s="514">
        <v>0</v>
      </c>
      <c r="CX71" s="514">
        <v>0</v>
      </c>
      <c r="CY71" s="514">
        <v>0</v>
      </c>
      <c r="CZ71" s="514">
        <v>0</v>
      </c>
      <c r="DA71" s="514">
        <v>0</v>
      </c>
      <c r="DB71" s="514">
        <v>0</v>
      </c>
      <c r="DC71" s="514">
        <v>0</v>
      </c>
      <c r="DD71" s="514">
        <v>0</v>
      </c>
      <c r="DE71" s="514">
        <v>0</v>
      </c>
      <c r="DF71" s="514">
        <v>0</v>
      </c>
      <c r="DG71" s="514">
        <v>0</v>
      </c>
      <c r="DH71" s="514">
        <v>0</v>
      </c>
      <c r="DI71" s="514">
        <v>0</v>
      </c>
      <c r="DJ71" s="514">
        <v>0</v>
      </c>
      <c r="DK71" s="514">
        <v>0</v>
      </c>
      <c r="DL71" s="514">
        <v>0</v>
      </c>
      <c r="DM71" s="514">
        <v>0</v>
      </c>
      <c r="DN71" s="514">
        <v>0</v>
      </c>
      <c r="DO71" s="514">
        <v>0</v>
      </c>
      <c r="DP71" s="514">
        <v>0</v>
      </c>
      <c r="DQ71" s="514">
        <v>0</v>
      </c>
      <c r="DR71" s="514">
        <v>0</v>
      </c>
      <c r="DS71" s="514">
        <v>0</v>
      </c>
      <c r="DT71" s="514">
        <v>0</v>
      </c>
      <c r="DU71" s="514">
        <v>0</v>
      </c>
      <c r="DV71" s="514">
        <v>0</v>
      </c>
      <c r="DW71" s="514">
        <v>0</v>
      </c>
      <c r="DX71" s="514">
        <v>0</v>
      </c>
      <c r="DY71" s="514">
        <v>0</v>
      </c>
      <c r="DZ71" s="514">
        <v>0</v>
      </c>
      <c r="EA71" s="514">
        <v>0</v>
      </c>
      <c r="EB71" s="514">
        <v>0</v>
      </c>
      <c r="EC71" s="514">
        <v>0</v>
      </c>
      <c r="ED71" s="514">
        <v>0</v>
      </c>
      <c r="EE71" s="514">
        <v>0</v>
      </c>
      <c r="EF71" s="514">
        <v>0</v>
      </c>
      <c r="EG71" s="514">
        <v>0</v>
      </c>
      <c r="EH71" s="514">
        <v>0</v>
      </c>
      <c r="EI71" s="514">
        <v>0</v>
      </c>
      <c r="EJ71" s="514">
        <v>0</v>
      </c>
      <c r="EK71" s="514">
        <v>0</v>
      </c>
      <c r="EL71" s="514">
        <v>0</v>
      </c>
      <c r="EM71" s="514">
        <v>0</v>
      </c>
      <c r="EN71" s="514">
        <v>0</v>
      </c>
      <c r="EO71" s="514">
        <v>0</v>
      </c>
      <c r="EP71" s="514">
        <v>0</v>
      </c>
      <c r="EQ71" s="514">
        <v>0</v>
      </c>
      <c r="ER71" s="514">
        <v>0</v>
      </c>
      <c r="ES71" s="514">
        <v>0</v>
      </c>
      <c r="ET71" s="514">
        <v>0</v>
      </c>
      <c r="EU71" s="514">
        <v>0</v>
      </c>
      <c r="EV71" s="514">
        <v>0</v>
      </c>
      <c r="EW71" s="514">
        <v>0</v>
      </c>
      <c r="EX71" s="514">
        <v>0</v>
      </c>
      <c r="EY71" s="514">
        <v>0</v>
      </c>
      <c r="EZ71" s="514">
        <v>0</v>
      </c>
      <c r="FA71" s="514">
        <v>0</v>
      </c>
      <c r="FB71" s="514">
        <v>0</v>
      </c>
      <c r="FC71" s="514">
        <v>0</v>
      </c>
      <c r="FD71" s="514">
        <v>0</v>
      </c>
      <c r="FE71" s="514">
        <v>0</v>
      </c>
      <c r="FF71" s="514">
        <v>0</v>
      </c>
      <c r="FG71" s="514">
        <v>0</v>
      </c>
      <c r="FH71" s="514">
        <v>0</v>
      </c>
      <c r="FI71" s="514">
        <v>0</v>
      </c>
      <c r="FJ71" s="514">
        <v>0</v>
      </c>
      <c r="FK71" s="514">
        <v>0</v>
      </c>
      <c r="FL71" s="514">
        <v>0</v>
      </c>
      <c r="FM71" s="514">
        <v>0</v>
      </c>
      <c r="FN71" s="514">
        <v>0</v>
      </c>
      <c r="FO71" s="514">
        <v>0</v>
      </c>
      <c r="FP71" s="514">
        <v>0</v>
      </c>
      <c r="FQ71" s="514">
        <v>0</v>
      </c>
    </row>
    <row r="72" spans="1:173" ht="16.5" hidden="1">
      <c r="A72" s="512" t="s">
        <v>658</v>
      </c>
      <c r="B72" s="512" t="s">
        <v>732</v>
      </c>
      <c r="C72" s="512" t="s">
        <v>721</v>
      </c>
      <c r="D72" s="513"/>
      <c r="E72" s="512" t="s">
        <v>721</v>
      </c>
      <c r="F72" s="512" t="s">
        <v>25</v>
      </c>
      <c r="G72" s="513"/>
      <c r="H72" s="514">
        <v>24</v>
      </c>
      <c r="I72" s="298" t="str">
        <f t="shared" si="6"/>
        <v>AOR100124</v>
      </c>
      <c r="J72" s="514">
        <v>3</v>
      </c>
      <c r="L72" s="512" t="s">
        <v>720</v>
      </c>
      <c r="M72" s="512" t="s">
        <v>739</v>
      </c>
      <c r="N72" s="512" t="s">
        <v>721</v>
      </c>
      <c r="O72" s="513"/>
      <c r="P72" s="512" t="s">
        <v>721</v>
      </c>
      <c r="Q72" s="512" t="s">
        <v>26</v>
      </c>
      <c r="R72" s="513"/>
      <c r="S72" s="514">
        <v>63</v>
      </c>
      <c r="T72" s="298" t="str">
        <f t="shared" si="7"/>
        <v>HSGA0263</v>
      </c>
      <c r="U72" s="514">
        <v>14335</v>
      </c>
      <c r="W72" s="512" t="s">
        <v>269</v>
      </c>
      <c r="X72" s="512" t="s">
        <v>843</v>
      </c>
      <c r="Y72" s="512" t="s">
        <v>721</v>
      </c>
      <c r="Z72" s="514">
        <v>10</v>
      </c>
      <c r="AA72" s="512" t="s">
        <v>721</v>
      </c>
      <c r="AB72" s="512" t="s">
        <v>26</v>
      </c>
      <c r="AC72" s="514">
        <v>0</v>
      </c>
      <c r="AD72" s="514">
        <v>27</v>
      </c>
      <c r="AE72" s="298" t="str">
        <f t="shared" si="8"/>
        <v>HNR100227</v>
      </c>
      <c r="AF72" s="514">
        <v>309</v>
      </c>
      <c r="AH72" s="512" t="s">
        <v>721</v>
      </c>
      <c r="AI72" s="512" t="s">
        <v>1030</v>
      </c>
      <c r="AJ72" s="512" t="s">
        <v>721</v>
      </c>
      <c r="AK72" s="513"/>
      <c r="AL72" s="512" t="s">
        <v>721</v>
      </c>
      <c r="AM72" s="512" t="s">
        <v>26</v>
      </c>
      <c r="AN72" s="513"/>
      <c r="AO72" s="514">
        <v>27</v>
      </c>
      <c r="AP72" s="513"/>
      <c r="AQ72" s="298" t="str">
        <f t="shared" si="9"/>
        <v>HOR100227</v>
      </c>
      <c r="AR72" s="514">
        <v>485</v>
      </c>
      <c r="AT72" s="512" t="s">
        <v>743</v>
      </c>
      <c r="AU72" s="512" t="s">
        <v>744</v>
      </c>
      <c r="AV72" s="512" t="s">
        <v>721</v>
      </c>
      <c r="AW72" s="513"/>
      <c r="AX72" s="512" t="s">
        <v>721</v>
      </c>
      <c r="AY72" s="512" t="s">
        <v>26</v>
      </c>
      <c r="AZ72" s="513"/>
      <c r="BA72" s="514">
        <v>56</v>
      </c>
      <c r="BB72" s="298" t="str">
        <f t="shared" si="10"/>
        <v>CLR100256</v>
      </c>
      <c r="BC72" s="514">
        <v>475</v>
      </c>
      <c r="BF72" s="512" t="s">
        <v>658</v>
      </c>
      <c r="BG72" s="512" t="s">
        <v>732</v>
      </c>
      <c r="BH72" s="512" t="s">
        <v>26</v>
      </c>
      <c r="BI72" s="514">
        <v>27</v>
      </c>
      <c r="BJ72" s="298" t="str">
        <f t="shared" si="11"/>
        <v>AOR100227</v>
      </c>
      <c r="BK72" s="514">
        <v>0</v>
      </c>
      <c r="BL72" s="514">
        <v>1</v>
      </c>
      <c r="BM72" s="514">
        <v>1</v>
      </c>
      <c r="BN72" s="514">
        <v>1</v>
      </c>
      <c r="BO72" s="514">
        <v>1</v>
      </c>
      <c r="BP72" s="514">
        <v>2</v>
      </c>
      <c r="BQ72" s="514">
        <v>2</v>
      </c>
      <c r="BR72" s="514">
        <v>2</v>
      </c>
      <c r="BS72" s="514">
        <v>3</v>
      </c>
      <c r="BT72" s="514">
        <v>0</v>
      </c>
      <c r="BU72" s="514">
        <v>0</v>
      </c>
      <c r="BV72" s="514">
        <v>0</v>
      </c>
      <c r="BW72" s="514">
        <v>0</v>
      </c>
      <c r="BX72" s="514">
        <v>0</v>
      </c>
      <c r="BY72" s="514">
        <v>0</v>
      </c>
      <c r="BZ72" s="514">
        <v>0</v>
      </c>
      <c r="CA72" s="514">
        <v>0</v>
      </c>
      <c r="CB72" s="514">
        <v>0</v>
      </c>
      <c r="CC72" s="514">
        <v>0</v>
      </c>
      <c r="CD72" s="514">
        <v>0</v>
      </c>
      <c r="CE72" s="514">
        <v>0</v>
      </c>
      <c r="CF72" s="514">
        <v>0</v>
      </c>
      <c r="CG72" s="514">
        <v>0</v>
      </c>
      <c r="CH72" s="514">
        <v>0</v>
      </c>
      <c r="CI72" s="514">
        <v>0</v>
      </c>
      <c r="CJ72" s="514">
        <v>0</v>
      </c>
      <c r="CK72" s="514">
        <v>0</v>
      </c>
      <c r="CL72" s="514">
        <v>0</v>
      </c>
      <c r="CM72" s="514">
        <v>0</v>
      </c>
      <c r="CN72" s="514">
        <v>0</v>
      </c>
      <c r="CO72" s="514">
        <v>0</v>
      </c>
      <c r="CP72" s="514">
        <v>0</v>
      </c>
      <c r="CQ72" s="514">
        <v>0</v>
      </c>
      <c r="CR72" s="514">
        <v>0</v>
      </c>
      <c r="CS72" s="514">
        <v>0</v>
      </c>
      <c r="CT72" s="514">
        <v>0</v>
      </c>
      <c r="CU72" s="514">
        <v>0</v>
      </c>
      <c r="CV72" s="514">
        <v>0</v>
      </c>
      <c r="CW72" s="514">
        <v>0</v>
      </c>
      <c r="CX72" s="514">
        <v>0</v>
      </c>
      <c r="CY72" s="514">
        <v>0</v>
      </c>
      <c r="CZ72" s="514">
        <v>0</v>
      </c>
      <c r="DA72" s="514">
        <v>0</v>
      </c>
      <c r="DB72" s="514">
        <v>0</v>
      </c>
      <c r="DC72" s="514">
        <v>0</v>
      </c>
      <c r="DD72" s="514">
        <v>0</v>
      </c>
      <c r="DE72" s="514">
        <v>0</v>
      </c>
      <c r="DF72" s="514">
        <v>0</v>
      </c>
      <c r="DG72" s="514">
        <v>0</v>
      </c>
      <c r="DH72" s="514">
        <v>0</v>
      </c>
      <c r="DI72" s="514">
        <v>0</v>
      </c>
      <c r="DJ72" s="514">
        <v>0</v>
      </c>
      <c r="DK72" s="514">
        <v>0</v>
      </c>
      <c r="DL72" s="514">
        <v>0</v>
      </c>
      <c r="DM72" s="514">
        <v>0</v>
      </c>
      <c r="DN72" s="514">
        <v>0</v>
      </c>
      <c r="DO72" s="514">
        <v>0</v>
      </c>
      <c r="DP72" s="514">
        <v>0</v>
      </c>
      <c r="DQ72" s="514">
        <v>0</v>
      </c>
      <c r="DR72" s="514">
        <v>0</v>
      </c>
      <c r="DS72" s="514">
        <v>0</v>
      </c>
      <c r="DT72" s="514">
        <v>0</v>
      </c>
      <c r="DU72" s="514">
        <v>0</v>
      </c>
      <c r="DV72" s="514">
        <v>0</v>
      </c>
      <c r="DW72" s="514">
        <v>0</v>
      </c>
      <c r="DX72" s="514">
        <v>0</v>
      </c>
      <c r="DY72" s="514">
        <v>0</v>
      </c>
      <c r="DZ72" s="514">
        <v>0</v>
      </c>
      <c r="EA72" s="514">
        <v>0</v>
      </c>
      <c r="EB72" s="514">
        <v>0</v>
      </c>
      <c r="EC72" s="514">
        <v>0</v>
      </c>
      <c r="ED72" s="514">
        <v>0</v>
      </c>
      <c r="EE72" s="514">
        <v>0</v>
      </c>
      <c r="EF72" s="514">
        <v>0</v>
      </c>
      <c r="EG72" s="514">
        <v>0</v>
      </c>
      <c r="EH72" s="514">
        <v>0</v>
      </c>
      <c r="EI72" s="514">
        <v>0</v>
      </c>
      <c r="EJ72" s="514">
        <v>0</v>
      </c>
      <c r="EK72" s="514">
        <v>0</v>
      </c>
      <c r="EL72" s="514">
        <v>0</v>
      </c>
      <c r="EM72" s="514">
        <v>0</v>
      </c>
      <c r="EN72" s="514">
        <v>0</v>
      </c>
      <c r="EO72" s="514">
        <v>0</v>
      </c>
      <c r="EP72" s="514">
        <v>0</v>
      </c>
      <c r="EQ72" s="514">
        <v>0</v>
      </c>
      <c r="ER72" s="514">
        <v>0</v>
      </c>
      <c r="ES72" s="514">
        <v>0</v>
      </c>
      <c r="ET72" s="514">
        <v>0</v>
      </c>
      <c r="EU72" s="514">
        <v>0</v>
      </c>
      <c r="EV72" s="514">
        <v>0</v>
      </c>
      <c r="EW72" s="514">
        <v>0</v>
      </c>
      <c r="EX72" s="514">
        <v>0</v>
      </c>
      <c r="EY72" s="514">
        <v>0</v>
      </c>
      <c r="EZ72" s="514">
        <v>0</v>
      </c>
      <c r="FA72" s="514">
        <v>0</v>
      </c>
      <c r="FB72" s="514">
        <v>0</v>
      </c>
      <c r="FC72" s="514">
        <v>0</v>
      </c>
      <c r="FD72" s="514">
        <v>0</v>
      </c>
      <c r="FE72" s="514">
        <v>0</v>
      </c>
      <c r="FF72" s="514">
        <v>0</v>
      </c>
      <c r="FG72" s="514">
        <v>0</v>
      </c>
      <c r="FH72" s="514">
        <v>0</v>
      </c>
      <c r="FI72" s="514">
        <v>0</v>
      </c>
      <c r="FJ72" s="514">
        <v>0</v>
      </c>
      <c r="FK72" s="514">
        <v>0</v>
      </c>
      <c r="FL72" s="514">
        <v>0</v>
      </c>
      <c r="FM72" s="514">
        <v>0</v>
      </c>
      <c r="FN72" s="514">
        <v>0</v>
      </c>
      <c r="FO72" s="514">
        <v>0</v>
      </c>
      <c r="FP72" s="514">
        <v>0</v>
      </c>
      <c r="FQ72" s="514">
        <v>0</v>
      </c>
    </row>
    <row r="73" spans="1:173" ht="16.5" hidden="1">
      <c r="A73" s="512" t="s">
        <v>658</v>
      </c>
      <c r="B73" s="512" t="s">
        <v>732</v>
      </c>
      <c r="C73" s="512" t="s">
        <v>721</v>
      </c>
      <c r="D73" s="513"/>
      <c r="E73" s="512" t="s">
        <v>721</v>
      </c>
      <c r="F73" s="512" t="s">
        <v>25</v>
      </c>
      <c r="G73" s="513"/>
      <c r="H73" s="514">
        <v>25</v>
      </c>
      <c r="I73" s="298" t="str">
        <f t="shared" si="6"/>
        <v>AOR100125</v>
      </c>
      <c r="J73" s="514">
        <v>3</v>
      </c>
      <c r="L73" s="512" t="s">
        <v>720</v>
      </c>
      <c r="M73" s="512" t="s">
        <v>739</v>
      </c>
      <c r="N73" s="512" t="s">
        <v>721</v>
      </c>
      <c r="O73" s="513"/>
      <c r="P73" s="512" t="s">
        <v>721</v>
      </c>
      <c r="Q73" s="512" t="s">
        <v>26</v>
      </c>
      <c r="R73" s="513"/>
      <c r="S73" s="514">
        <v>64</v>
      </c>
      <c r="T73" s="298" t="str">
        <f t="shared" si="7"/>
        <v>HSGA0264</v>
      </c>
      <c r="U73" s="514">
        <v>15198</v>
      </c>
      <c r="W73" s="512" t="s">
        <v>269</v>
      </c>
      <c r="X73" s="512" t="s">
        <v>843</v>
      </c>
      <c r="Y73" s="512" t="s">
        <v>721</v>
      </c>
      <c r="Z73" s="514">
        <v>10</v>
      </c>
      <c r="AA73" s="512" t="s">
        <v>721</v>
      </c>
      <c r="AB73" s="512" t="s">
        <v>26</v>
      </c>
      <c r="AC73" s="514">
        <v>0</v>
      </c>
      <c r="AD73" s="514">
        <v>28</v>
      </c>
      <c r="AE73" s="298" t="str">
        <f t="shared" si="8"/>
        <v>HNR100228</v>
      </c>
      <c r="AF73" s="514">
        <v>312</v>
      </c>
      <c r="AH73" s="512" t="s">
        <v>721</v>
      </c>
      <c r="AI73" s="512" t="s">
        <v>1030</v>
      </c>
      <c r="AJ73" s="512" t="s">
        <v>721</v>
      </c>
      <c r="AK73" s="513"/>
      <c r="AL73" s="512" t="s">
        <v>721</v>
      </c>
      <c r="AM73" s="512" t="s">
        <v>26</v>
      </c>
      <c r="AN73" s="513"/>
      <c r="AO73" s="514">
        <v>28</v>
      </c>
      <c r="AP73" s="513"/>
      <c r="AQ73" s="298" t="str">
        <f t="shared" si="9"/>
        <v>HOR100228</v>
      </c>
      <c r="AR73" s="514">
        <v>490</v>
      </c>
      <c r="AT73" s="512" t="s">
        <v>743</v>
      </c>
      <c r="AU73" s="512" t="s">
        <v>744</v>
      </c>
      <c r="AV73" s="512" t="s">
        <v>721</v>
      </c>
      <c r="AW73" s="513"/>
      <c r="AX73" s="512" t="s">
        <v>721</v>
      </c>
      <c r="AY73" s="512" t="s">
        <v>25</v>
      </c>
      <c r="AZ73" s="513"/>
      <c r="BA73" s="514">
        <v>57</v>
      </c>
      <c r="BB73" s="298" t="str">
        <f t="shared" si="10"/>
        <v>CLR100157</v>
      </c>
      <c r="BC73" s="514">
        <v>513</v>
      </c>
      <c r="BF73" s="512" t="s">
        <v>658</v>
      </c>
      <c r="BG73" s="512" t="s">
        <v>732</v>
      </c>
      <c r="BH73" s="512" t="s">
        <v>26</v>
      </c>
      <c r="BI73" s="514">
        <v>28</v>
      </c>
      <c r="BJ73" s="298" t="str">
        <f t="shared" si="11"/>
        <v>AOR100228</v>
      </c>
      <c r="BK73" s="514">
        <v>0</v>
      </c>
      <c r="BL73" s="514">
        <v>1</v>
      </c>
      <c r="BM73" s="514">
        <v>1</v>
      </c>
      <c r="BN73" s="514">
        <v>1</v>
      </c>
      <c r="BO73" s="514">
        <v>1</v>
      </c>
      <c r="BP73" s="514">
        <v>2</v>
      </c>
      <c r="BQ73" s="514">
        <v>2</v>
      </c>
      <c r="BR73" s="514">
        <v>2</v>
      </c>
      <c r="BS73" s="514">
        <v>3</v>
      </c>
      <c r="BT73" s="514">
        <v>0</v>
      </c>
      <c r="BU73" s="514">
        <v>0</v>
      </c>
      <c r="BV73" s="514">
        <v>0</v>
      </c>
      <c r="BW73" s="514">
        <v>0</v>
      </c>
      <c r="BX73" s="514">
        <v>0</v>
      </c>
      <c r="BY73" s="514">
        <v>0</v>
      </c>
      <c r="BZ73" s="514">
        <v>0</v>
      </c>
      <c r="CA73" s="514">
        <v>0</v>
      </c>
      <c r="CB73" s="514">
        <v>0</v>
      </c>
      <c r="CC73" s="514">
        <v>0</v>
      </c>
      <c r="CD73" s="514">
        <v>0</v>
      </c>
      <c r="CE73" s="514">
        <v>0</v>
      </c>
      <c r="CF73" s="514">
        <v>0</v>
      </c>
      <c r="CG73" s="514">
        <v>0</v>
      </c>
      <c r="CH73" s="514">
        <v>0</v>
      </c>
      <c r="CI73" s="514">
        <v>0</v>
      </c>
      <c r="CJ73" s="514">
        <v>0</v>
      </c>
      <c r="CK73" s="514">
        <v>0</v>
      </c>
      <c r="CL73" s="514">
        <v>0</v>
      </c>
      <c r="CM73" s="514">
        <v>0</v>
      </c>
      <c r="CN73" s="514">
        <v>0</v>
      </c>
      <c r="CO73" s="514">
        <v>0</v>
      </c>
      <c r="CP73" s="514">
        <v>0</v>
      </c>
      <c r="CQ73" s="514">
        <v>0</v>
      </c>
      <c r="CR73" s="514">
        <v>0</v>
      </c>
      <c r="CS73" s="514">
        <v>0</v>
      </c>
      <c r="CT73" s="514">
        <v>0</v>
      </c>
      <c r="CU73" s="514">
        <v>0</v>
      </c>
      <c r="CV73" s="514">
        <v>0</v>
      </c>
      <c r="CW73" s="514">
        <v>0</v>
      </c>
      <c r="CX73" s="514">
        <v>0</v>
      </c>
      <c r="CY73" s="514">
        <v>0</v>
      </c>
      <c r="CZ73" s="514">
        <v>0</v>
      </c>
      <c r="DA73" s="514">
        <v>0</v>
      </c>
      <c r="DB73" s="514">
        <v>0</v>
      </c>
      <c r="DC73" s="514">
        <v>0</v>
      </c>
      <c r="DD73" s="514">
        <v>0</v>
      </c>
      <c r="DE73" s="514">
        <v>0</v>
      </c>
      <c r="DF73" s="514">
        <v>0</v>
      </c>
      <c r="DG73" s="514">
        <v>0</v>
      </c>
      <c r="DH73" s="514">
        <v>0</v>
      </c>
      <c r="DI73" s="514">
        <v>0</v>
      </c>
      <c r="DJ73" s="514">
        <v>0</v>
      </c>
      <c r="DK73" s="514">
        <v>0</v>
      </c>
      <c r="DL73" s="514">
        <v>0</v>
      </c>
      <c r="DM73" s="514">
        <v>0</v>
      </c>
      <c r="DN73" s="514">
        <v>0</v>
      </c>
      <c r="DO73" s="514">
        <v>0</v>
      </c>
      <c r="DP73" s="514">
        <v>0</v>
      </c>
      <c r="DQ73" s="514">
        <v>0</v>
      </c>
      <c r="DR73" s="514">
        <v>0</v>
      </c>
      <c r="DS73" s="514">
        <v>0</v>
      </c>
      <c r="DT73" s="514">
        <v>0</v>
      </c>
      <c r="DU73" s="514">
        <v>0</v>
      </c>
      <c r="DV73" s="514">
        <v>0</v>
      </c>
      <c r="DW73" s="514">
        <v>0</v>
      </c>
      <c r="DX73" s="514">
        <v>0</v>
      </c>
      <c r="DY73" s="514">
        <v>0</v>
      </c>
      <c r="DZ73" s="514">
        <v>0</v>
      </c>
      <c r="EA73" s="514">
        <v>0</v>
      </c>
      <c r="EB73" s="514">
        <v>0</v>
      </c>
      <c r="EC73" s="514">
        <v>0</v>
      </c>
      <c r="ED73" s="514">
        <v>0</v>
      </c>
      <c r="EE73" s="514">
        <v>0</v>
      </c>
      <c r="EF73" s="514">
        <v>0</v>
      </c>
      <c r="EG73" s="514">
        <v>0</v>
      </c>
      <c r="EH73" s="514">
        <v>0</v>
      </c>
      <c r="EI73" s="514">
        <v>0</v>
      </c>
      <c r="EJ73" s="514">
        <v>0</v>
      </c>
      <c r="EK73" s="514">
        <v>0</v>
      </c>
      <c r="EL73" s="514">
        <v>0</v>
      </c>
      <c r="EM73" s="514">
        <v>0</v>
      </c>
      <c r="EN73" s="514">
        <v>0</v>
      </c>
      <c r="EO73" s="514">
        <v>0</v>
      </c>
      <c r="EP73" s="514">
        <v>0</v>
      </c>
      <c r="EQ73" s="514">
        <v>0</v>
      </c>
      <c r="ER73" s="514">
        <v>0</v>
      </c>
      <c r="ES73" s="514">
        <v>0</v>
      </c>
      <c r="ET73" s="514">
        <v>0</v>
      </c>
      <c r="EU73" s="514">
        <v>0</v>
      </c>
      <c r="EV73" s="514">
        <v>0</v>
      </c>
      <c r="EW73" s="514">
        <v>0</v>
      </c>
      <c r="EX73" s="514">
        <v>0</v>
      </c>
      <c r="EY73" s="514">
        <v>0</v>
      </c>
      <c r="EZ73" s="514">
        <v>0</v>
      </c>
      <c r="FA73" s="514">
        <v>0</v>
      </c>
      <c r="FB73" s="514">
        <v>0</v>
      </c>
      <c r="FC73" s="514">
        <v>0</v>
      </c>
      <c r="FD73" s="514">
        <v>0</v>
      </c>
      <c r="FE73" s="514">
        <v>0</v>
      </c>
      <c r="FF73" s="514">
        <v>0</v>
      </c>
      <c r="FG73" s="514">
        <v>0</v>
      </c>
      <c r="FH73" s="514">
        <v>0</v>
      </c>
      <c r="FI73" s="514">
        <v>0</v>
      </c>
      <c r="FJ73" s="514">
        <v>0</v>
      </c>
      <c r="FK73" s="514">
        <v>0</v>
      </c>
      <c r="FL73" s="514">
        <v>0</v>
      </c>
      <c r="FM73" s="514">
        <v>0</v>
      </c>
      <c r="FN73" s="514">
        <v>0</v>
      </c>
      <c r="FO73" s="514">
        <v>0</v>
      </c>
      <c r="FP73" s="514">
        <v>0</v>
      </c>
      <c r="FQ73" s="514">
        <v>0</v>
      </c>
    </row>
    <row r="74" spans="1:173" ht="16.5" hidden="1">
      <c r="A74" s="512" t="s">
        <v>658</v>
      </c>
      <c r="B74" s="512" t="s">
        <v>732</v>
      </c>
      <c r="C74" s="512" t="s">
        <v>721</v>
      </c>
      <c r="D74" s="513"/>
      <c r="E74" s="512" t="s">
        <v>721</v>
      </c>
      <c r="F74" s="512" t="s">
        <v>25</v>
      </c>
      <c r="G74" s="513"/>
      <c r="H74" s="514">
        <v>26</v>
      </c>
      <c r="I74" s="298" t="str">
        <f t="shared" si="6"/>
        <v>AOR100126</v>
      </c>
      <c r="J74" s="514">
        <v>3</v>
      </c>
      <c r="L74" s="512" t="s">
        <v>720</v>
      </c>
      <c r="M74" s="512" t="s">
        <v>739</v>
      </c>
      <c r="N74" s="512" t="s">
        <v>721</v>
      </c>
      <c r="O74" s="513"/>
      <c r="P74" s="512" t="s">
        <v>721</v>
      </c>
      <c r="Q74" s="512" t="s">
        <v>26</v>
      </c>
      <c r="R74" s="513"/>
      <c r="S74" s="514">
        <v>65</v>
      </c>
      <c r="T74" s="298" t="str">
        <f t="shared" si="7"/>
        <v>HSGA0265</v>
      </c>
      <c r="U74" s="514">
        <v>16170</v>
      </c>
      <c r="W74" s="512" t="s">
        <v>269</v>
      </c>
      <c r="X74" s="512" t="s">
        <v>843</v>
      </c>
      <c r="Y74" s="512" t="s">
        <v>721</v>
      </c>
      <c r="Z74" s="514">
        <v>10</v>
      </c>
      <c r="AA74" s="512" t="s">
        <v>721</v>
      </c>
      <c r="AB74" s="512" t="s">
        <v>26</v>
      </c>
      <c r="AC74" s="514">
        <v>0</v>
      </c>
      <c r="AD74" s="514">
        <v>29</v>
      </c>
      <c r="AE74" s="298" t="str">
        <f t="shared" si="8"/>
        <v>HNR100229</v>
      </c>
      <c r="AF74" s="514">
        <v>314</v>
      </c>
      <c r="AH74" s="512" t="s">
        <v>721</v>
      </c>
      <c r="AI74" s="512" t="s">
        <v>1030</v>
      </c>
      <c r="AJ74" s="512" t="s">
        <v>721</v>
      </c>
      <c r="AK74" s="513"/>
      <c r="AL74" s="512" t="s">
        <v>721</v>
      </c>
      <c r="AM74" s="512" t="s">
        <v>26</v>
      </c>
      <c r="AN74" s="513"/>
      <c r="AO74" s="514">
        <v>29</v>
      </c>
      <c r="AP74" s="513"/>
      <c r="AQ74" s="298" t="str">
        <f t="shared" si="9"/>
        <v>HOR100229</v>
      </c>
      <c r="AR74" s="514">
        <v>510</v>
      </c>
      <c r="AT74" s="512" t="s">
        <v>743</v>
      </c>
      <c r="AU74" s="512" t="s">
        <v>744</v>
      </c>
      <c r="AV74" s="512" t="s">
        <v>721</v>
      </c>
      <c r="AW74" s="513"/>
      <c r="AX74" s="512" t="s">
        <v>721</v>
      </c>
      <c r="AY74" s="512" t="s">
        <v>26</v>
      </c>
      <c r="AZ74" s="513"/>
      <c r="BA74" s="514">
        <v>57</v>
      </c>
      <c r="BB74" s="298" t="str">
        <f t="shared" si="10"/>
        <v>CLR100257</v>
      </c>
      <c r="BC74" s="514">
        <v>480</v>
      </c>
      <c r="BF74" s="512" t="s">
        <v>658</v>
      </c>
      <c r="BG74" s="512" t="s">
        <v>732</v>
      </c>
      <c r="BH74" s="512" t="s">
        <v>26</v>
      </c>
      <c r="BI74" s="514">
        <v>29</v>
      </c>
      <c r="BJ74" s="298" t="str">
        <f t="shared" si="11"/>
        <v>AOR100229</v>
      </c>
      <c r="BK74" s="514">
        <v>0</v>
      </c>
      <c r="BL74" s="514">
        <v>1</v>
      </c>
      <c r="BM74" s="514">
        <v>1</v>
      </c>
      <c r="BN74" s="514">
        <v>1</v>
      </c>
      <c r="BO74" s="514">
        <v>1</v>
      </c>
      <c r="BP74" s="514">
        <v>2</v>
      </c>
      <c r="BQ74" s="514">
        <v>2</v>
      </c>
      <c r="BR74" s="514">
        <v>2</v>
      </c>
      <c r="BS74" s="514">
        <v>3</v>
      </c>
      <c r="BT74" s="514">
        <v>0</v>
      </c>
      <c r="BU74" s="514">
        <v>0</v>
      </c>
      <c r="BV74" s="514">
        <v>0</v>
      </c>
      <c r="BW74" s="514">
        <v>0</v>
      </c>
      <c r="BX74" s="514">
        <v>0</v>
      </c>
      <c r="BY74" s="514">
        <v>0</v>
      </c>
      <c r="BZ74" s="514">
        <v>0</v>
      </c>
      <c r="CA74" s="514">
        <v>0</v>
      </c>
      <c r="CB74" s="514">
        <v>0</v>
      </c>
      <c r="CC74" s="514">
        <v>0</v>
      </c>
      <c r="CD74" s="514">
        <v>0</v>
      </c>
      <c r="CE74" s="514">
        <v>0</v>
      </c>
      <c r="CF74" s="514">
        <v>0</v>
      </c>
      <c r="CG74" s="514">
        <v>0</v>
      </c>
      <c r="CH74" s="514">
        <v>0</v>
      </c>
      <c r="CI74" s="514">
        <v>0</v>
      </c>
      <c r="CJ74" s="514">
        <v>0</v>
      </c>
      <c r="CK74" s="514">
        <v>0</v>
      </c>
      <c r="CL74" s="514">
        <v>0</v>
      </c>
      <c r="CM74" s="514">
        <v>0</v>
      </c>
      <c r="CN74" s="514">
        <v>0</v>
      </c>
      <c r="CO74" s="514">
        <v>0</v>
      </c>
      <c r="CP74" s="514">
        <v>0</v>
      </c>
      <c r="CQ74" s="514">
        <v>0</v>
      </c>
      <c r="CR74" s="514">
        <v>0</v>
      </c>
      <c r="CS74" s="514">
        <v>0</v>
      </c>
      <c r="CT74" s="514">
        <v>0</v>
      </c>
      <c r="CU74" s="514">
        <v>0</v>
      </c>
      <c r="CV74" s="514">
        <v>0</v>
      </c>
      <c r="CW74" s="514">
        <v>0</v>
      </c>
      <c r="CX74" s="514">
        <v>0</v>
      </c>
      <c r="CY74" s="514">
        <v>0</v>
      </c>
      <c r="CZ74" s="514">
        <v>0</v>
      </c>
      <c r="DA74" s="514">
        <v>0</v>
      </c>
      <c r="DB74" s="514">
        <v>0</v>
      </c>
      <c r="DC74" s="514">
        <v>0</v>
      </c>
      <c r="DD74" s="514">
        <v>0</v>
      </c>
      <c r="DE74" s="514">
        <v>0</v>
      </c>
      <c r="DF74" s="514">
        <v>0</v>
      </c>
      <c r="DG74" s="514">
        <v>0</v>
      </c>
      <c r="DH74" s="514">
        <v>0</v>
      </c>
      <c r="DI74" s="514">
        <v>0</v>
      </c>
      <c r="DJ74" s="514">
        <v>0</v>
      </c>
      <c r="DK74" s="514">
        <v>0</v>
      </c>
      <c r="DL74" s="514">
        <v>0</v>
      </c>
      <c r="DM74" s="514">
        <v>0</v>
      </c>
      <c r="DN74" s="514">
        <v>0</v>
      </c>
      <c r="DO74" s="514">
        <v>0</v>
      </c>
      <c r="DP74" s="514">
        <v>0</v>
      </c>
      <c r="DQ74" s="514">
        <v>0</v>
      </c>
      <c r="DR74" s="514">
        <v>0</v>
      </c>
      <c r="DS74" s="514">
        <v>0</v>
      </c>
      <c r="DT74" s="514">
        <v>0</v>
      </c>
      <c r="DU74" s="514">
        <v>0</v>
      </c>
      <c r="DV74" s="514">
        <v>0</v>
      </c>
      <c r="DW74" s="514">
        <v>0</v>
      </c>
      <c r="DX74" s="514">
        <v>0</v>
      </c>
      <c r="DY74" s="514">
        <v>0</v>
      </c>
      <c r="DZ74" s="514">
        <v>0</v>
      </c>
      <c r="EA74" s="514">
        <v>0</v>
      </c>
      <c r="EB74" s="514">
        <v>0</v>
      </c>
      <c r="EC74" s="514">
        <v>0</v>
      </c>
      <c r="ED74" s="514">
        <v>0</v>
      </c>
      <c r="EE74" s="514">
        <v>0</v>
      </c>
      <c r="EF74" s="514">
        <v>0</v>
      </c>
      <c r="EG74" s="514">
        <v>0</v>
      </c>
      <c r="EH74" s="514">
        <v>0</v>
      </c>
      <c r="EI74" s="514">
        <v>0</v>
      </c>
      <c r="EJ74" s="514">
        <v>0</v>
      </c>
      <c r="EK74" s="514">
        <v>0</v>
      </c>
      <c r="EL74" s="514">
        <v>0</v>
      </c>
      <c r="EM74" s="514">
        <v>0</v>
      </c>
      <c r="EN74" s="514">
        <v>0</v>
      </c>
      <c r="EO74" s="514">
        <v>0</v>
      </c>
      <c r="EP74" s="514">
        <v>0</v>
      </c>
      <c r="EQ74" s="514">
        <v>0</v>
      </c>
      <c r="ER74" s="514">
        <v>0</v>
      </c>
      <c r="ES74" s="514">
        <v>0</v>
      </c>
      <c r="ET74" s="514">
        <v>0</v>
      </c>
      <c r="EU74" s="514">
        <v>0</v>
      </c>
      <c r="EV74" s="514">
        <v>0</v>
      </c>
      <c r="EW74" s="514">
        <v>0</v>
      </c>
      <c r="EX74" s="514">
        <v>0</v>
      </c>
      <c r="EY74" s="514">
        <v>0</v>
      </c>
      <c r="EZ74" s="514">
        <v>0</v>
      </c>
      <c r="FA74" s="514">
        <v>0</v>
      </c>
      <c r="FB74" s="514">
        <v>0</v>
      </c>
      <c r="FC74" s="514">
        <v>0</v>
      </c>
      <c r="FD74" s="514">
        <v>0</v>
      </c>
      <c r="FE74" s="514">
        <v>0</v>
      </c>
      <c r="FF74" s="514">
        <v>0</v>
      </c>
      <c r="FG74" s="514">
        <v>0</v>
      </c>
      <c r="FH74" s="514">
        <v>0</v>
      </c>
      <c r="FI74" s="514">
        <v>0</v>
      </c>
      <c r="FJ74" s="514">
        <v>0</v>
      </c>
      <c r="FK74" s="514">
        <v>0</v>
      </c>
      <c r="FL74" s="514">
        <v>0</v>
      </c>
      <c r="FM74" s="514">
        <v>0</v>
      </c>
      <c r="FN74" s="514">
        <v>0</v>
      </c>
      <c r="FO74" s="514">
        <v>0</v>
      </c>
      <c r="FP74" s="514">
        <v>0</v>
      </c>
      <c r="FQ74" s="514">
        <v>0</v>
      </c>
    </row>
    <row r="75" spans="1:173" ht="16.5" hidden="1">
      <c r="A75" s="512" t="s">
        <v>658</v>
      </c>
      <c r="B75" s="512" t="s">
        <v>732</v>
      </c>
      <c r="C75" s="512" t="s">
        <v>721</v>
      </c>
      <c r="D75" s="513"/>
      <c r="E75" s="512" t="s">
        <v>721</v>
      </c>
      <c r="F75" s="512" t="s">
        <v>25</v>
      </c>
      <c r="G75" s="513"/>
      <c r="H75" s="514">
        <v>27</v>
      </c>
      <c r="I75" s="298" t="str">
        <f t="shared" si="6"/>
        <v>AOR100127</v>
      </c>
      <c r="J75" s="514">
        <v>3</v>
      </c>
      <c r="L75" s="512" t="s">
        <v>720</v>
      </c>
      <c r="M75" s="512" t="s">
        <v>739</v>
      </c>
      <c r="N75" s="512" t="s">
        <v>721</v>
      </c>
      <c r="O75" s="513"/>
      <c r="P75" s="512" t="s">
        <v>721</v>
      </c>
      <c r="Q75" s="512" t="s">
        <v>26</v>
      </c>
      <c r="R75" s="513"/>
      <c r="S75" s="514">
        <v>66</v>
      </c>
      <c r="T75" s="298" t="str">
        <f t="shared" si="7"/>
        <v>HSGA0266</v>
      </c>
      <c r="U75" s="514">
        <v>17255</v>
      </c>
      <c r="W75" s="512" t="s">
        <v>269</v>
      </c>
      <c r="X75" s="512" t="s">
        <v>843</v>
      </c>
      <c r="Y75" s="512" t="s">
        <v>721</v>
      </c>
      <c r="Z75" s="514">
        <v>10</v>
      </c>
      <c r="AA75" s="512" t="s">
        <v>721</v>
      </c>
      <c r="AB75" s="512" t="s">
        <v>26</v>
      </c>
      <c r="AC75" s="514">
        <v>0</v>
      </c>
      <c r="AD75" s="514">
        <v>30</v>
      </c>
      <c r="AE75" s="298" t="str">
        <f t="shared" si="8"/>
        <v>HNR100230</v>
      </c>
      <c r="AF75" s="514">
        <v>317</v>
      </c>
      <c r="AH75" s="512" t="s">
        <v>721</v>
      </c>
      <c r="AI75" s="512" t="s">
        <v>1030</v>
      </c>
      <c r="AJ75" s="512" t="s">
        <v>721</v>
      </c>
      <c r="AK75" s="513"/>
      <c r="AL75" s="512" t="s">
        <v>721</v>
      </c>
      <c r="AM75" s="512" t="s">
        <v>26</v>
      </c>
      <c r="AN75" s="513"/>
      <c r="AO75" s="514">
        <v>30</v>
      </c>
      <c r="AP75" s="513"/>
      <c r="AQ75" s="298" t="str">
        <f t="shared" si="9"/>
        <v>HOR100230</v>
      </c>
      <c r="AR75" s="514">
        <v>525</v>
      </c>
      <c r="AT75" s="512" t="s">
        <v>743</v>
      </c>
      <c r="AU75" s="512" t="s">
        <v>744</v>
      </c>
      <c r="AV75" s="512" t="s">
        <v>721</v>
      </c>
      <c r="AW75" s="513"/>
      <c r="AX75" s="512" t="s">
        <v>721</v>
      </c>
      <c r="AY75" s="512" t="s">
        <v>25</v>
      </c>
      <c r="AZ75" s="513"/>
      <c r="BA75" s="514">
        <v>15</v>
      </c>
      <c r="BB75" s="298" t="str">
        <f t="shared" si="10"/>
        <v>CLR100115</v>
      </c>
      <c r="BC75" s="514">
        <v>11</v>
      </c>
      <c r="BF75" s="512" t="s">
        <v>658</v>
      </c>
      <c r="BG75" s="512" t="s">
        <v>732</v>
      </c>
      <c r="BH75" s="512" t="s">
        <v>26</v>
      </c>
      <c r="BI75" s="514">
        <v>30</v>
      </c>
      <c r="BJ75" s="298" t="str">
        <f t="shared" si="11"/>
        <v>AOR100230</v>
      </c>
      <c r="BK75" s="514">
        <v>0</v>
      </c>
      <c r="BL75" s="514">
        <v>1</v>
      </c>
      <c r="BM75" s="514">
        <v>1</v>
      </c>
      <c r="BN75" s="514">
        <v>1</v>
      </c>
      <c r="BO75" s="514">
        <v>1</v>
      </c>
      <c r="BP75" s="514">
        <v>2</v>
      </c>
      <c r="BQ75" s="514">
        <v>2</v>
      </c>
      <c r="BR75" s="514">
        <v>2</v>
      </c>
      <c r="BS75" s="514">
        <v>3</v>
      </c>
      <c r="BT75" s="514">
        <v>0</v>
      </c>
      <c r="BU75" s="514">
        <v>0</v>
      </c>
      <c r="BV75" s="514">
        <v>0</v>
      </c>
      <c r="BW75" s="514">
        <v>0</v>
      </c>
      <c r="BX75" s="514">
        <v>0</v>
      </c>
      <c r="BY75" s="514">
        <v>0</v>
      </c>
      <c r="BZ75" s="514">
        <v>0</v>
      </c>
      <c r="CA75" s="514">
        <v>0</v>
      </c>
      <c r="CB75" s="514">
        <v>0</v>
      </c>
      <c r="CC75" s="514">
        <v>0</v>
      </c>
      <c r="CD75" s="514">
        <v>0</v>
      </c>
      <c r="CE75" s="514">
        <v>0</v>
      </c>
      <c r="CF75" s="514">
        <v>0</v>
      </c>
      <c r="CG75" s="514">
        <v>0</v>
      </c>
      <c r="CH75" s="514">
        <v>0</v>
      </c>
      <c r="CI75" s="514">
        <v>0</v>
      </c>
      <c r="CJ75" s="514">
        <v>0</v>
      </c>
      <c r="CK75" s="514">
        <v>0</v>
      </c>
      <c r="CL75" s="514">
        <v>0</v>
      </c>
      <c r="CM75" s="514">
        <v>0</v>
      </c>
      <c r="CN75" s="514">
        <v>0</v>
      </c>
      <c r="CO75" s="514">
        <v>0</v>
      </c>
      <c r="CP75" s="514">
        <v>0</v>
      </c>
      <c r="CQ75" s="514">
        <v>0</v>
      </c>
      <c r="CR75" s="514">
        <v>0</v>
      </c>
      <c r="CS75" s="514">
        <v>0</v>
      </c>
      <c r="CT75" s="514">
        <v>0</v>
      </c>
      <c r="CU75" s="514">
        <v>0</v>
      </c>
      <c r="CV75" s="514">
        <v>0</v>
      </c>
      <c r="CW75" s="514">
        <v>0</v>
      </c>
      <c r="CX75" s="514">
        <v>0</v>
      </c>
      <c r="CY75" s="514">
        <v>0</v>
      </c>
      <c r="CZ75" s="514">
        <v>0</v>
      </c>
      <c r="DA75" s="514">
        <v>0</v>
      </c>
      <c r="DB75" s="514">
        <v>0</v>
      </c>
      <c r="DC75" s="514">
        <v>0</v>
      </c>
      <c r="DD75" s="514">
        <v>0</v>
      </c>
      <c r="DE75" s="514">
        <v>0</v>
      </c>
      <c r="DF75" s="514">
        <v>0</v>
      </c>
      <c r="DG75" s="514">
        <v>0</v>
      </c>
      <c r="DH75" s="514">
        <v>0</v>
      </c>
      <c r="DI75" s="514">
        <v>0</v>
      </c>
      <c r="DJ75" s="514">
        <v>0</v>
      </c>
      <c r="DK75" s="514">
        <v>0</v>
      </c>
      <c r="DL75" s="514">
        <v>0</v>
      </c>
      <c r="DM75" s="514">
        <v>0</v>
      </c>
      <c r="DN75" s="514">
        <v>0</v>
      </c>
      <c r="DO75" s="514">
        <v>0</v>
      </c>
      <c r="DP75" s="514">
        <v>0</v>
      </c>
      <c r="DQ75" s="514">
        <v>0</v>
      </c>
      <c r="DR75" s="514">
        <v>0</v>
      </c>
      <c r="DS75" s="514">
        <v>0</v>
      </c>
      <c r="DT75" s="514">
        <v>0</v>
      </c>
      <c r="DU75" s="514">
        <v>0</v>
      </c>
      <c r="DV75" s="514">
        <v>0</v>
      </c>
      <c r="DW75" s="514">
        <v>0</v>
      </c>
      <c r="DX75" s="514">
        <v>0</v>
      </c>
      <c r="DY75" s="514">
        <v>0</v>
      </c>
      <c r="DZ75" s="514">
        <v>0</v>
      </c>
      <c r="EA75" s="514">
        <v>0</v>
      </c>
      <c r="EB75" s="514">
        <v>0</v>
      </c>
      <c r="EC75" s="514">
        <v>0</v>
      </c>
      <c r="ED75" s="514">
        <v>0</v>
      </c>
      <c r="EE75" s="514">
        <v>0</v>
      </c>
      <c r="EF75" s="514">
        <v>0</v>
      </c>
      <c r="EG75" s="514">
        <v>0</v>
      </c>
      <c r="EH75" s="514">
        <v>0</v>
      </c>
      <c r="EI75" s="514">
        <v>0</v>
      </c>
      <c r="EJ75" s="514">
        <v>0</v>
      </c>
      <c r="EK75" s="514">
        <v>0</v>
      </c>
      <c r="EL75" s="514">
        <v>0</v>
      </c>
      <c r="EM75" s="514">
        <v>0</v>
      </c>
      <c r="EN75" s="514">
        <v>0</v>
      </c>
      <c r="EO75" s="514">
        <v>0</v>
      </c>
      <c r="EP75" s="514">
        <v>0</v>
      </c>
      <c r="EQ75" s="514">
        <v>0</v>
      </c>
      <c r="ER75" s="514">
        <v>0</v>
      </c>
      <c r="ES75" s="514">
        <v>0</v>
      </c>
      <c r="ET75" s="514">
        <v>0</v>
      </c>
      <c r="EU75" s="514">
        <v>0</v>
      </c>
      <c r="EV75" s="514">
        <v>0</v>
      </c>
      <c r="EW75" s="514">
        <v>0</v>
      </c>
      <c r="EX75" s="514">
        <v>0</v>
      </c>
      <c r="EY75" s="514">
        <v>0</v>
      </c>
      <c r="EZ75" s="514">
        <v>0</v>
      </c>
      <c r="FA75" s="514">
        <v>0</v>
      </c>
      <c r="FB75" s="514">
        <v>0</v>
      </c>
      <c r="FC75" s="514">
        <v>0</v>
      </c>
      <c r="FD75" s="514">
        <v>0</v>
      </c>
      <c r="FE75" s="514">
        <v>0</v>
      </c>
      <c r="FF75" s="514">
        <v>0</v>
      </c>
      <c r="FG75" s="514">
        <v>0</v>
      </c>
      <c r="FH75" s="514">
        <v>0</v>
      </c>
      <c r="FI75" s="514">
        <v>0</v>
      </c>
      <c r="FJ75" s="514">
        <v>0</v>
      </c>
      <c r="FK75" s="514">
        <v>0</v>
      </c>
      <c r="FL75" s="514">
        <v>0</v>
      </c>
      <c r="FM75" s="514">
        <v>0</v>
      </c>
      <c r="FN75" s="514">
        <v>0</v>
      </c>
      <c r="FO75" s="514">
        <v>0</v>
      </c>
      <c r="FP75" s="514">
        <v>0</v>
      </c>
      <c r="FQ75" s="514">
        <v>0</v>
      </c>
    </row>
    <row r="76" spans="1:173" ht="16.5" hidden="1">
      <c r="A76" s="512" t="s">
        <v>658</v>
      </c>
      <c r="B76" s="512" t="s">
        <v>732</v>
      </c>
      <c r="C76" s="512" t="s">
        <v>721</v>
      </c>
      <c r="D76" s="513"/>
      <c r="E76" s="512" t="s">
        <v>721</v>
      </c>
      <c r="F76" s="512" t="s">
        <v>25</v>
      </c>
      <c r="G76" s="513"/>
      <c r="H76" s="514">
        <v>28</v>
      </c>
      <c r="I76" s="298" t="str">
        <f t="shared" si="6"/>
        <v>AOR100128</v>
      </c>
      <c r="J76" s="514">
        <v>3</v>
      </c>
      <c r="L76" s="512" t="s">
        <v>720</v>
      </c>
      <c r="M76" s="512" t="s">
        <v>739</v>
      </c>
      <c r="N76" s="512" t="s">
        <v>721</v>
      </c>
      <c r="O76" s="513"/>
      <c r="P76" s="512" t="s">
        <v>721</v>
      </c>
      <c r="Q76" s="512" t="s">
        <v>26</v>
      </c>
      <c r="R76" s="513"/>
      <c r="S76" s="514">
        <v>67</v>
      </c>
      <c r="T76" s="298" t="str">
        <f t="shared" si="7"/>
        <v>HSGA0267</v>
      </c>
      <c r="U76" s="514">
        <v>18459</v>
      </c>
      <c r="W76" s="512" t="s">
        <v>269</v>
      </c>
      <c r="X76" s="512" t="s">
        <v>843</v>
      </c>
      <c r="Y76" s="512" t="s">
        <v>721</v>
      </c>
      <c r="Z76" s="514">
        <v>10</v>
      </c>
      <c r="AA76" s="512" t="s">
        <v>721</v>
      </c>
      <c r="AB76" s="512" t="s">
        <v>26</v>
      </c>
      <c r="AC76" s="514">
        <v>0</v>
      </c>
      <c r="AD76" s="514">
        <v>31</v>
      </c>
      <c r="AE76" s="298" t="str">
        <f t="shared" si="8"/>
        <v>HNR100231</v>
      </c>
      <c r="AF76" s="514">
        <v>323</v>
      </c>
      <c r="AH76" s="512" t="s">
        <v>721</v>
      </c>
      <c r="AI76" s="512" t="s">
        <v>1030</v>
      </c>
      <c r="AJ76" s="512" t="s">
        <v>721</v>
      </c>
      <c r="AK76" s="513"/>
      <c r="AL76" s="512" t="s">
        <v>721</v>
      </c>
      <c r="AM76" s="512" t="s">
        <v>26</v>
      </c>
      <c r="AN76" s="513"/>
      <c r="AO76" s="514">
        <v>31</v>
      </c>
      <c r="AP76" s="513"/>
      <c r="AQ76" s="298" t="str">
        <f t="shared" si="9"/>
        <v>HOR100231</v>
      </c>
      <c r="AR76" s="514">
        <v>530</v>
      </c>
      <c r="AT76" s="512" t="s">
        <v>743</v>
      </c>
      <c r="AU76" s="512" t="s">
        <v>744</v>
      </c>
      <c r="AV76" s="512" t="s">
        <v>721</v>
      </c>
      <c r="AW76" s="513"/>
      <c r="AX76" s="512" t="s">
        <v>721</v>
      </c>
      <c r="AY76" s="512" t="s">
        <v>26</v>
      </c>
      <c r="AZ76" s="513"/>
      <c r="BA76" s="514">
        <v>15</v>
      </c>
      <c r="BB76" s="298" t="str">
        <f t="shared" si="10"/>
        <v>CLR100215</v>
      </c>
      <c r="BC76" s="514">
        <v>10</v>
      </c>
      <c r="BF76" s="512" t="s">
        <v>658</v>
      </c>
      <c r="BG76" s="512" t="s">
        <v>732</v>
      </c>
      <c r="BH76" s="512" t="s">
        <v>26</v>
      </c>
      <c r="BI76" s="514">
        <v>31</v>
      </c>
      <c r="BJ76" s="298" t="str">
        <f t="shared" si="11"/>
        <v>AOR100231</v>
      </c>
      <c r="BK76" s="514">
        <v>0</v>
      </c>
      <c r="BL76" s="514">
        <v>1</v>
      </c>
      <c r="BM76" s="514">
        <v>1</v>
      </c>
      <c r="BN76" s="514">
        <v>1</v>
      </c>
      <c r="BO76" s="514">
        <v>1</v>
      </c>
      <c r="BP76" s="514">
        <v>2</v>
      </c>
      <c r="BQ76" s="514">
        <v>2</v>
      </c>
      <c r="BR76" s="514">
        <v>2</v>
      </c>
      <c r="BS76" s="514">
        <v>3</v>
      </c>
      <c r="BT76" s="514">
        <v>0</v>
      </c>
      <c r="BU76" s="514">
        <v>0</v>
      </c>
      <c r="BV76" s="514">
        <v>0</v>
      </c>
      <c r="BW76" s="514">
        <v>0</v>
      </c>
      <c r="BX76" s="514">
        <v>0</v>
      </c>
      <c r="BY76" s="514">
        <v>0</v>
      </c>
      <c r="BZ76" s="514">
        <v>0</v>
      </c>
      <c r="CA76" s="514">
        <v>0</v>
      </c>
      <c r="CB76" s="514">
        <v>0</v>
      </c>
      <c r="CC76" s="514">
        <v>0</v>
      </c>
      <c r="CD76" s="514">
        <v>0</v>
      </c>
      <c r="CE76" s="514">
        <v>0</v>
      </c>
      <c r="CF76" s="514">
        <v>0</v>
      </c>
      <c r="CG76" s="514">
        <v>0</v>
      </c>
      <c r="CH76" s="514">
        <v>0</v>
      </c>
      <c r="CI76" s="514">
        <v>0</v>
      </c>
      <c r="CJ76" s="514">
        <v>0</v>
      </c>
      <c r="CK76" s="514">
        <v>0</v>
      </c>
      <c r="CL76" s="514">
        <v>0</v>
      </c>
      <c r="CM76" s="514">
        <v>0</v>
      </c>
      <c r="CN76" s="514">
        <v>0</v>
      </c>
      <c r="CO76" s="514">
        <v>0</v>
      </c>
      <c r="CP76" s="514">
        <v>0</v>
      </c>
      <c r="CQ76" s="514">
        <v>0</v>
      </c>
      <c r="CR76" s="514">
        <v>0</v>
      </c>
      <c r="CS76" s="514">
        <v>0</v>
      </c>
      <c r="CT76" s="514">
        <v>0</v>
      </c>
      <c r="CU76" s="514">
        <v>0</v>
      </c>
      <c r="CV76" s="514">
        <v>0</v>
      </c>
      <c r="CW76" s="514">
        <v>0</v>
      </c>
      <c r="CX76" s="514">
        <v>0</v>
      </c>
      <c r="CY76" s="514">
        <v>0</v>
      </c>
      <c r="CZ76" s="514">
        <v>0</v>
      </c>
      <c r="DA76" s="514">
        <v>0</v>
      </c>
      <c r="DB76" s="514">
        <v>0</v>
      </c>
      <c r="DC76" s="514">
        <v>0</v>
      </c>
      <c r="DD76" s="514">
        <v>0</v>
      </c>
      <c r="DE76" s="514">
        <v>0</v>
      </c>
      <c r="DF76" s="514">
        <v>0</v>
      </c>
      <c r="DG76" s="514">
        <v>0</v>
      </c>
      <c r="DH76" s="514">
        <v>0</v>
      </c>
      <c r="DI76" s="514">
        <v>0</v>
      </c>
      <c r="DJ76" s="514">
        <v>0</v>
      </c>
      <c r="DK76" s="514">
        <v>0</v>
      </c>
      <c r="DL76" s="514">
        <v>0</v>
      </c>
      <c r="DM76" s="514">
        <v>0</v>
      </c>
      <c r="DN76" s="514">
        <v>0</v>
      </c>
      <c r="DO76" s="514">
        <v>0</v>
      </c>
      <c r="DP76" s="514">
        <v>0</v>
      </c>
      <c r="DQ76" s="514">
        <v>0</v>
      </c>
      <c r="DR76" s="514">
        <v>0</v>
      </c>
      <c r="DS76" s="514">
        <v>0</v>
      </c>
      <c r="DT76" s="514">
        <v>0</v>
      </c>
      <c r="DU76" s="514">
        <v>0</v>
      </c>
      <c r="DV76" s="514">
        <v>0</v>
      </c>
      <c r="DW76" s="514">
        <v>0</v>
      </c>
      <c r="DX76" s="514">
        <v>0</v>
      </c>
      <c r="DY76" s="514">
        <v>0</v>
      </c>
      <c r="DZ76" s="514">
        <v>0</v>
      </c>
      <c r="EA76" s="514">
        <v>0</v>
      </c>
      <c r="EB76" s="514">
        <v>0</v>
      </c>
      <c r="EC76" s="514">
        <v>0</v>
      </c>
      <c r="ED76" s="514">
        <v>0</v>
      </c>
      <c r="EE76" s="514">
        <v>0</v>
      </c>
      <c r="EF76" s="514">
        <v>0</v>
      </c>
      <c r="EG76" s="514">
        <v>0</v>
      </c>
      <c r="EH76" s="514">
        <v>0</v>
      </c>
      <c r="EI76" s="514">
        <v>0</v>
      </c>
      <c r="EJ76" s="514">
        <v>0</v>
      </c>
      <c r="EK76" s="514">
        <v>0</v>
      </c>
      <c r="EL76" s="514">
        <v>0</v>
      </c>
      <c r="EM76" s="514">
        <v>0</v>
      </c>
      <c r="EN76" s="514">
        <v>0</v>
      </c>
      <c r="EO76" s="514">
        <v>0</v>
      </c>
      <c r="EP76" s="514">
        <v>0</v>
      </c>
      <c r="EQ76" s="514">
        <v>0</v>
      </c>
      <c r="ER76" s="514">
        <v>0</v>
      </c>
      <c r="ES76" s="514">
        <v>0</v>
      </c>
      <c r="ET76" s="514">
        <v>0</v>
      </c>
      <c r="EU76" s="514">
        <v>0</v>
      </c>
      <c r="EV76" s="514">
        <v>0</v>
      </c>
      <c r="EW76" s="514">
        <v>0</v>
      </c>
      <c r="EX76" s="514">
        <v>0</v>
      </c>
      <c r="EY76" s="514">
        <v>0</v>
      </c>
      <c r="EZ76" s="514">
        <v>0</v>
      </c>
      <c r="FA76" s="514">
        <v>0</v>
      </c>
      <c r="FB76" s="514">
        <v>0</v>
      </c>
      <c r="FC76" s="514">
        <v>0</v>
      </c>
      <c r="FD76" s="514">
        <v>0</v>
      </c>
      <c r="FE76" s="514">
        <v>0</v>
      </c>
      <c r="FF76" s="514">
        <v>0</v>
      </c>
      <c r="FG76" s="514">
        <v>0</v>
      </c>
      <c r="FH76" s="514">
        <v>0</v>
      </c>
      <c r="FI76" s="514">
        <v>0</v>
      </c>
      <c r="FJ76" s="514">
        <v>0</v>
      </c>
      <c r="FK76" s="514">
        <v>0</v>
      </c>
      <c r="FL76" s="514">
        <v>0</v>
      </c>
      <c r="FM76" s="514">
        <v>0</v>
      </c>
      <c r="FN76" s="514">
        <v>0</v>
      </c>
      <c r="FO76" s="514">
        <v>0</v>
      </c>
      <c r="FP76" s="514">
        <v>0</v>
      </c>
      <c r="FQ76" s="514">
        <v>0</v>
      </c>
    </row>
    <row r="77" spans="1:173" ht="16.5" hidden="1">
      <c r="A77" s="512" t="s">
        <v>658</v>
      </c>
      <c r="B77" s="512" t="s">
        <v>732</v>
      </c>
      <c r="C77" s="512" t="s">
        <v>721</v>
      </c>
      <c r="D77" s="513"/>
      <c r="E77" s="512" t="s">
        <v>721</v>
      </c>
      <c r="F77" s="512" t="s">
        <v>25</v>
      </c>
      <c r="G77" s="513"/>
      <c r="H77" s="514">
        <v>29</v>
      </c>
      <c r="I77" s="298" t="str">
        <f t="shared" si="6"/>
        <v>AOR100129</v>
      </c>
      <c r="J77" s="514">
        <v>3</v>
      </c>
      <c r="L77" s="512" t="s">
        <v>720</v>
      </c>
      <c r="M77" s="512" t="s">
        <v>739</v>
      </c>
      <c r="N77" s="512" t="s">
        <v>721</v>
      </c>
      <c r="O77" s="513"/>
      <c r="P77" s="512" t="s">
        <v>721</v>
      </c>
      <c r="Q77" s="512" t="s">
        <v>26</v>
      </c>
      <c r="R77" s="513"/>
      <c r="S77" s="514">
        <v>68</v>
      </c>
      <c r="T77" s="298" t="str">
        <f t="shared" si="7"/>
        <v>HSGA0268</v>
      </c>
      <c r="U77" s="514">
        <v>19790</v>
      </c>
      <c r="W77" s="512" t="s">
        <v>269</v>
      </c>
      <c r="X77" s="512" t="s">
        <v>843</v>
      </c>
      <c r="Y77" s="512" t="s">
        <v>721</v>
      </c>
      <c r="Z77" s="514">
        <v>10</v>
      </c>
      <c r="AA77" s="512" t="s">
        <v>721</v>
      </c>
      <c r="AB77" s="512" t="s">
        <v>26</v>
      </c>
      <c r="AC77" s="514">
        <v>0</v>
      </c>
      <c r="AD77" s="514">
        <v>32</v>
      </c>
      <c r="AE77" s="298" t="str">
        <f t="shared" si="8"/>
        <v>HNR100232</v>
      </c>
      <c r="AF77" s="514">
        <v>330</v>
      </c>
      <c r="AH77" s="512" t="s">
        <v>721</v>
      </c>
      <c r="AI77" s="512" t="s">
        <v>1030</v>
      </c>
      <c r="AJ77" s="512" t="s">
        <v>721</v>
      </c>
      <c r="AK77" s="513"/>
      <c r="AL77" s="512" t="s">
        <v>721</v>
      </c>
      <c r="AM77" s="512" t="s">
        <v>26</v>
      </c>
      <c r="AN77" s="513"/>
      <c r="AO77" s="514">
        <v>32</v>
      </c>
      <c r="AP77" s="513"/>
      <c r="AQ77" s="298" t="str">
        <f t="shared" si="9"/>
        <v>HOR100232</v>
      </c>
      <c r="AR77" s="514">
        <v>535</v>
      </c>
      <c r="AT77" s="512" t="s">
        <v>743</v>
      </c>
      <c r="AU77" s="512" t="s">
        <v>744</v>
      </c>
      <c r="AV77" s="512" t="s">
        <v>721</v>
      </c>
      <c r="AW77" s="513"/>
      <c r="AX77" s="512" t="s">
        <v>721</v>
      </c>
      <c r="AY77" s="512" t="s">
        <v>25</v>
      </c>
      <c r="AZ77" s="513"/>
      <c r="BA77" s="514">
        <v>16</v>
      </c>
      <c r="BB77" s="298" t="str">
        <f t="shared" si="10"/>
        <v>CLR100116</v>
      </c>
      <c r="BC77" s="514">
        <v>12</v>
      </c>
      <c r="BF77" s="512" t="s">
        <v>658</v>
      </c>
      <c r="BG77" s="512" t="s">
        <v>732</v>
      </c>
      <c r="BH77" s="512" t="s">
        <v>26</v>
      </c>
      <c r="BI77" s="514">
        <v>32</v>
      </c>
      <c r="BJ77" s="298" t="str">
        <f t="shared" si="11"/>
        <v>AOR100232</v>
      </c>
      <c r="BK77" s="514">
        <v>0</v>
      </c>
      <c r="BL77" s="514">
        <v>1</v>
      </c>
      <c r="BM77" s="514">
        <v>1</v>
      </c>
      <c r="BN77" s="514">
        <v>1</v>
      </c>
      <c r="BO77" s="514">
        <v>1</v>
      </c>
      <c r="BP77" s="514">
        <v>2</v>
      </c>
      <c r="BQ77" s="514">
        <v>2</v>
      </c>
      <c r="BR77" s="514">
        <v>2</v>
      </c>
      <c r="BS77" s="514">
        <v>3</v>
      </c>
      <c r="BT77" s="514">
        <v>0</v>
      </c>
      <c r="BU77" s="514">
        <v>0</v>
      </c>
      <c r="BV77" s="514">
        <v>0</v>
      </c>
      <c r="BW77" s="514">
        <v>0</v>
      </c>
      <c r="BX77" s="514">
        <v>0</v>
      </c>
      <c r="BY77" s="514">
        <v>0</v>
      </c>
      <c r="BZ77" s="514">
        <v>0</v>
      </c>
      <c r="CA77" s="514">
        <v>0</v>
      </c>
      <c r="CB77" s="514">
        <v>0</v>
      </c>
      <c r="CC77" s="514">
        <v>0</v>
      </c>
      <c r="CD77" s="514">
        <v>0</v>
      </c>
      <c r="CE77" s="514">
        <v>0</v>
      </c>
      <c r="CF77" s="514">
        <v>0</v>
      </c>
      <c r="CG77" s="514">
        <v>0</v>
      </c>
      <c r="CH77" s="514">
        <v>0</v>
      </c>
      <c r="CI77" s="514">
        <v>0</v>
      </c>
      <c r="CJ77" s="514">
        <v>0</v>
      </c>
      <c r="CK77" s="514">
        <v>0</v>
      </c>
      <c r="CL77" s="514">
        <v>0</v>
      </c>
      <c r="CM77" s="514">
        <v>0</v>
      </c>
      <c r="CN77" s="514">
        <v>0</v>
      </c>
      <c r="CO77" s="514">
        <v>0</v>
      </c>
      <c r="CP77" s="514">
        <v>0</v>
      </c>
      <c r="CQ77" s="514">
        <v>0</v>
      </c>
      <c r="CR77" s="514">
        <v>0</v>
      </c>
      <c r="CS77" s="514">
        <v>0</v>
      </c>
      <c r="CT77" s="514">
        <v>0</v>
      </c>
      <c r="CU77" s="514">
        <v>0</v>
      </c>
      <c r="CV77" s="514">
        <v>0</v>
      </c>
      <c r="CW77" s="514">
        <v>0</v>
      </c>
      <c r="CX77" s="514">
        <v>0</v>
      </c>
      <c r="CY77" s="514">
        <v>0</v>
      </c>
      <c r="CZ77" s="514">
        <v>0</v>
      </c>
      <c r="DA77" s="514">
        <v>0</v>
      </c>
      <c r="DB77" s="514">
        <v>0</v>
      </c>
      <c r="DC77" s="514">
        <v>0</v>
      </c>
      <c r="DD77" s="514">
        <v>0</v>
      </c>
      <c r="DE77" s="514">
        <v>0</v>
      </c>
      <c r="DF77" s="514">
        <v>0</v>
      </c>
      <c r="DG77" s="514">
        <v>0</v>
      </c>
      <c r="DH77" s="514">
        <v>0</v>
      </c>
      <c r="DI77" s="514">
        <v>0</v>
      </c>
      <c r="DJ77" s="514">
        <v>0</v>
      </c>
      <c r="DK77" s="514">
        <v>0</v>
      </c>
      <c r="DL77" s="514">
        <v>0</v>
      </c>
      <c r="DM77" s="514">
        <v>0</v>
      </c>
      <c r="DN77" s="514">
        <v>0</v>
      </c>
      <c r="DO77" s="514">
        <v>0</v>
      </c>
      <c r="DP77" s="514">
        <v>0</v>
      </c>
      <c r="DQ77" s="514">
        <v>0</v>
      </c>
      <c r="DR77" s="514">
        <v>0</v>
      </c>
      <c r="DS77" s="514">
        <v>0</v>
      </c>
      <c r="DT77" s="514">
        <v>0</v>
      </c>
      <c r="DU77" s="514">
        <v>0</v>
      </c>
      <c r="DV77" s="514">
        <v>0</v>
      </c>
      <c r="DW77" s="514">
        <v>0</v>
      </c>
      <c r="DX77" s="514">
        <v>0</v>
      </c>
      <c r="DY77" s="514">
        <v>0</v>
      </c>
      <c r="DZ77" s="514">
        <v>0</v>
      </c>
      <c r="EA77" s="514">
        <v>0</v>
      </c>
      <c r="EB77" s="514">
        <v>0</v>
      </c>
      <c r="EC77" s="514">
        <v>0</v>
      </c>
      <c r="ED77" s="514">
        <v>0</v>
      </c>
      <c r="EE77" s="514">
        <v>0</v>
      </c>
      <c r="EF77" s="514">
        <v>0</v>
      </c>
      <c r="EG77" s="514">
        <v>0</v>
      </c>
      <c r="EH77" s="514">
        <v>0</v>
      </c>
      <c r="EI77" s="514">
        <v>0</v>
      </c>
      <c r="EJ77" s="514">
        <v>0</v>
      </c>
      <c r="EK77" s="514">
        <v>0</v>
      </c>
      <c r="EL77" s="514">
        <v>0</v>
      </c>
      <c r="EM77" s="514">
        <v>0</v>
      </c>
      <c r="EN77" s="514">
        <v>0</v>
      </c>
      <c r="EO77" s="514">
        <v>0</v>
      </c>
      <c r="EP77" s="514">
        <v>0</v>
      </c>
      <c r="EQ77" s="514">
        <v>0</v>
      </c>
      <c r="ER77" s="514">
        <v>0</v>
      </c>
      <c r="ES77" s="514">
        <v>0</v>
      </c>
      <c r="ET77" s="514">
        <v>0</v>
      </c>
      <c r="EU77" s="514">
        <v>0</v>
      </c>
      <c r="EV77" s="514">
        <v>0</v>
      </c>
      <c r="EW77" s="514">
        <v>0</v>
      </c>
      <c r="EX77" s="514">
        <v>0</v>
      </c>
      <c r="EY77" s="514">
        <v>0</v>
      </c>
      <c r="EZ77" s="514">
        <v>0</v>
      </c>
      <c r="FA77" s="514">
        <v>0</v>
      </c>
      <c r="FB77" s="514">
        <v>0</v>
      </c>
      <c r="FC77" s="514">
        <v>0</v>
      </c>
      <c r="FD77" s="514">
        <v>0</v>
      </c>
      <c r="FE77" s="514">
        <v>0</v>
      </c>
      <c r="FF77" s="514">
        <v>0</v>
      </c>
      <c r="FG77" s="514">
        <v>0</v>
      </c>
      <c r="FH77" s="514">
        <v>0</v>
      </c>
      <c r="FI77" s="514">
        <v>0</v>
      </c>
      <c r="FJ77" s="514">
        <v>0</v>
      </c>
      <c r="FK77" s="514">
        <v>0</v>
      </c>
      <c r="FL77" s="514">
        <v>0</v>
      </c>
      <c r="FM77" s="514">
        <v>0</v>
      </c>
      <c r="FN77" s="514">
        <v>0</v>
      </c>
      <c r="FO77" s="514">
        <v>0</v>
      </c>
      <c r="FP77" s="514">
        <v>0</v>
      </c>
      <c r="FQ77" s="514">
        <v>0</v>
      </c>
    </row>
    <row r="78" spans="1:173" ht="16.5" hidden="1">
      <c r="A78" s="512" t="s">
        <v>658</v>
      </c>
      <c r="B78" s="512" t="s">
        <v>732</v>
      </c>
      <c r="C78" s="512" t="s">
        <v>721</v>
      </c>
      <c r="D78" s="513"/>
      <c r="E78" s="512" t="s">
        <v>721</v>
      </c>
      <c r="F78" s="512" t="s">
        <v>25</v>
      </c>
      <c r="G78" s="513"/>
      <c r="H78" s="514">
        <v>30</v>
      </c>
      <c r="I78" s="298" t="str">
        <f t="shared" si="6"/>
        <v>AOR100130</v>
      </c>
      <c r="J78" s="514">
        <v>3</v>
      </c>
      <c r="L78" s="512" t="s">
        <v>720</v>
      </c>
      <c r="M78" s="512" t="s">
        <v>739</v>
      </c>
      <c r="N78" s="512" t="s">
        <v>721</v>
      </c>
      <c r="O78" s="513"/>
      <c r="P78" s="512" t="s">
        <v>721</v>
      </c>
      <c r="Q78" s="512" t="s">
        <v>26</v>
      </c>
      <c r="R78" s="513"/>
      <c r="S78" s="514">
        <v>69</v>
      </c>
      <c r="T78" s="298" t="str">
        <f t="shared" si="7"/>
        <v>HSGA0269</v>
      </c>
      <c r="U78" s="514">
        <v>21246</v>
      </c>
      <c r="W78" s="512" t="s">
        <v>269</v>
      </c>
      <c r="X78" s="512" t="s">
        <v>843</v>
      </c>
      <c r="Y78" s="512" t="s">
        <v>721</v>
      </c>
      <c r="Z78" s="514">
        <v>10</v>
      </c>
      <c r="AA78" s="512" t="s">
        <v>721</v>
      </c>
      <c r="AB78" s="512" t="s">
        <v>26</v>
      </c>
      <c r="AC78" s="514">
        <v>0</v>
      </c>
      <c r="AD78" s="514">
        <v>33</v>
      </c>
      <c r="AE78" s="298" t="str">
        <f t="shared" si="8"/>
        <v>HNR100233</v>
      </c>
      <c r="AF78" s="514">
        <v>336</v>
      </c>
      <c r="AH78" s="512" t="s">
        <v>721</v>
      </c>
      <c r="AI78" s="512" t="s">
        <v>1030</v>
      </c>
      <c r="AJ78" s="512" t="s">
        <v>721</v>
      </c>
      <c r="AK78" s="513"/>
      <c r="AL78" s="512" t="s">
        <v>721</v>
      </c>
      <c r="AM78" s="512" t="s">
        <v>26</v>
      </c>
      <c r="AN78" s="513"/>
      <c r="AO78" s="514">
        <v>33</v>
      </c>
      <c r="AP78" s="513"/>
      <c r="AQ78" s="298" t="str">
        <f t="shared" si="9"/>
        <v>HOR100233</v>
      </c>
      <c r="AR78" s="514">
        <v>545</v>
      </c>
      <c r="AT78" s="512" t="s">
        <v>743</v>
      </c>
      <c r="AU78" s="512" t="s">
        <v>744</v>
      </c>
      <c r="AV78" s="512" t="s">
        <v>721</v>
      </c>
      <c r="AW78" s="513"/>
      <c r="AX78" s="512" t="s">
        <v>721</v>
      </c>
      <c r="AY78" s="512" t="s">
        <v>26</v>
      </c>
      <c r="AZ78" s="513"/>
      <c r="BA78" s="514">
        <v>16</v>
      </c>
      <c r="BB78" s="298" t="str">
        <f t="shared" si="10"/>
        <v>CLR100216</v>
      </c>
      <c r="BC78" s="514">
        <v>11</v>
      </c>
      <c r="BF78" s="512" t="s">
        <v>658</v>
      </c>
      <c r="BG78" s="512" t="s">
        <v>732</v>
      </c>
      <c r="BH78" s="512" t="s">
        <v>26</v>
      </c>
      <c r="BI78" s="514">
        <v>33</v>
      </c>
      <c r="BJ78" s="298" t="str">
        <f t="shared" si="11"/>
        <v>AOR100233</v>
      </c>
      <c r="BK78" s="514">
        <v>0</v>
      </c>
      <c r="BL78" s="514">
        <v>1</v>
      </c>
      <c r="BM78" s="514">
        <v>1</v>
      </c>
      <c r="BN78" s="514">
        <v>1</v>
      </c>
      <c r="BO78" s="514">
        <v>1</v>
      </c>
      <c r="BP78" s="514">
        <v>2</v>
      </c>
      <c r="BQ78" s="514">
        <v>2</v>
      </c>
      <c r="BR78" s="514">
        <v>2</v>
      </c>
      <c r="BS78" s="514">
        <v>3</v>
      </c>
      <c r="BT78" s="514">
        <v>0</v>
      </c>
      <c r="BU78" s="514">
        <v>0</v>
      </c>
      <c r="BV78" s="514">
        <v>0</v>
      </c>
      <c r="BW78" s="514">
        <v>0</v>
      </c>
      <c r="BX78" s="514">
        <v>0</v>
      </c>
      <c r="BY78" s="514">
        <v>0</v>
      </c>
      <c r="BZ78" s="514">
        <v>0</v>
      </c>
      <c r="CA78" s="514">
        <v>0</v>
      </c>
      <c r="CB78" s="514">
        <v>0</v>
      </c>
      <c r="CC78" s="514">
        <v>0</v>
      </c>
      <c r="CD78" s="514">
        <v>0</v>
      </c>
      <c r="CE78" s="514">
        <v>0</v>
      </c>
      <c r="CF78" s="514">
        <v>0</v>
      </c>
      <c r="CG78" s="514">
        <v>0</v>
      </c>
      <c r="CH78" s="514">
        <v>0</v>
      </c>
      <c r="CI78" s="514">
        <v>0</v>
      </c>
      <c r="CJ78" s="514">
        <v>0</v>
      </c>
      <c r="CK78" s="514">
        <v>0</v>
      </c>
      <c r="CL78" s="514">
        <v>0</v>
      </c>
      <c r="CM78" s="514">
        <v>0</v>
      </c>
      <c r="CN78" s="514">
        <v>0</v>
      </c>
      <c r="CO78" s="514">
        <v>0</v>
      </c>
      <c r="CP78" s="514">
        <v>0</v>
      </c>
      <c r="CQ78" s="514">
        <v>0</v>
      </c>
      <c r="CR78" s="514">
        <v>0</v>
      </c>
      <c r="CS78" s="514">
        <v>0</v>
      </c>
      <c r="CT78" s="514">
        <v>0</v>
      </c>
      <c r="CU78" s="514">
        <v>0</v>
      </c>
      <c r="CV78" s="514">
        <v>0</v>
      </c>
      <c r="CW78" s="514">
        <v>0</v>
      </c>
      <c r="CX78" s="514">
        <v>0</v>
      </c>
      <c r="CY78" s="514">
        <v>0</v>
      </c>
      <c r="CZ78" s="514">
        <v>0</v>
      </c>
      <c r="DA78" s="514">
        <v>0</v>
      </c>
      <c r="DB78" s="514">
        <v>0</v>
      </c>
      <c r="DC78" s="514">
        <v>0</v>
      </c>
      <c r="DD78" s="514">
        <v>0</v>
      </c>
      <c r="DE78" s="514">
        <v>0</v>
      </c>
      <c r="DF78" s="514">
        <v>0</v>
      </c>
      <c r="DG78" s="514">
        <v>0</v>
      </c>
      <c r="DH78" s="514">
        <v>0</v>
      </c>
      <c r="DI78" s="514">
        <v>0</v>
      </c>
      <c r="DJ78" s="514">
        <v>0</v>
      </c>
      <c r="DK78" s="514">
        <v>0</v>
      </c>
      <c r="DL78" s="514">
        <v>0</v>
      </c>
      <c r="DM78" s="514">
        <v>0</v>
      </c>
      <c r="DN78" s="514">
        <v>0</v>
      </c>
      <c r="DO78" s="514">
        <v>0</v>
      </c>
      <c r="DP78" s="514">
        <v>0</v>
      </c>
      <c r="DQ78" s="514">
        <v>0</v>
      </c>
      <c r="DR78" s="514">
        <v>0</v>
      </c>
      <c r="DS78" s="514">
        <v>0</v>
      </c>
      <c r="DT78" s="514">
        <v>0</v>
      </c>
      <c r="DU78" s="514">
        <v>0</v>
      </c>
      <c r="DV78" s="514">
        <v>0</v>
      </c>
      <c r="DW78" s="514">
        <v>0</v>
      </c>
      <c r="DX78" s="514">
        <v>0</v>
      </c>
      <c r="DY78" s="514">
        <v>0</v>
      </c>
      <c r="DZ78" s="514">
        <v>0</v>
      </c>
      <c r="EA78" s="514">
        <v>0</v>
      </c>
      <c r="EB78" s="514">
        <v>0</v>
      </c>
      <c r="EC78" s="514">
        <v>0</v>
      </c>
      <c r="ED78" s="514">
        <v>0</v>
      </c>
      <c r="EE78" s="514">
        <v>0</v>
      </c>
      <c r="EF78" s="514">
        <v>0</v>
      </c>
      <c r="EG78" s="514">
        <v>0</v>
      </c>
      <c r="EH78" s="514">
        <v>0</v>
      </c>
      <c r="EI78" s="514">
        <v>0</v>
      </c>
      <c r="EJ78" s="514">
        <v>0</v>
      </c>
      <c r="EK78" s="514">
        <v>0</v>
      </c>
      <c r="EL78" s="514">
        <v>0</v>
      </c>
      <c r="EM78" s="514">
        <v>0</v>
      </c>
      <c r="EN78" s="514">
        <v>0</v>
      </c>
      <c r="EO78" s="514">
        <v>0</v>
      </c>
      <c r="EP78" s="514">
        <v>0</v>
      </c>
      <c r="EQ78" s="514">
        <v>0</v>
      </c>
      <c r="ER78" s="514">
        <v>0</v>
      </c>
      <c r="ES78" s="514">
        <v>0</v>
      </c>
      <c r="ET78" s="514">
        <v>0</v>
      </c>
      <c r="EU78" s="514">
        <v>0</v>
      </c>
      <c r="EV78" s="514">
        <v>0</v>
      </c>
      <c r="EW78" s="514">
        <v>0</v>
      </c>
      <c r="EX78" s="514">
        <v>0</v>
      </c>
      <c r="EY78" s="514">
        <v>0</v>
      </c>
      <c r="EZ78" s="514">
        <v>0</v>
      </c>
      <c r="FA78" s="514">
        <v>0</v>
      </c>
      <c r="FB78" s="514">
        <v>0</v>
      </c>
      <c r="FC78" s="514">
        <v>0</v>
      </c>
      <c r="FD78" s="514">
        <v>0</v>
      </c>
      <c r="FE78" s="514">
        <v>0</v>
      </c>
      <c r="FF78" s="514">
        <v>0</v>
      </c>
      <c r="FG78" s="514">
        <v>0</v>
      </c>
      <c r="FH78" s="514">
        <v>0</v>
      </c>
      <c r="FI78" s="514">
        <v>0</v>
      </c>
      <c r="FJ78" s="514">
        <v>0</v>
      </c>
      <c r="FK78" s="514">
        <v>0</v>
      </c>
      <c r="FL78" s="514">
        <v>0</v>
      </c>
      <c r="FM78" s="514">
        <v>0</v>
      </c>
      <c r="FN78" s="514">
        <v>0</v>
      </c>
      <c r="FO78" s="514">
        <v>0</v>
      </c>
      <c r="FP78" s="514">
        <v>0</v>
      </c>
      <c r="FQ78" s="514">
        <v>0</v>
      </c>
    </row>
    <row r="79" spans="1:173" ht="16.5" hidden="1">
      <c r="A79" s="512" t="s">
        <v>658</v>
      </c>
      <c r="B79" s="512" t="s">
        <v>732</v>
      </c>
      <c r="C79" s="512" t="s">
        <v>721</v>
      </c>
      <c r="D79" s="513"/>
      <c r="E79" s="512" t="s">
        <v>721</v>
      </c>
      <c r="F79" s="512" t="s">
        <v>25</v>
      </c>
      <c r="G79" s="513"/>
      <c r="H79" s="514">
        <v>31</v>
      </c>
      <c r="I79" s="298" t="str">
        <f t="shared" si="6"/>
        <v>AOR100131</v>
      </c>
      <c r="J79" s="514">
        <v>3</v>
      </c>
      <c r="L79" s="512" t="s">
        <v>720</v>
      </c>
      <c r="M79" s="512" t="s">
        <v>739</v>
      </c>
      <c r="N79" s="512" t="s">
        <v>721</v>
      </c>
      <c r="O79" s="513"/>
      <c r="P79" s="512" t="s">
        <v>721</v>
      </c>
      <c r="Q79" s="512" t="s">
        <v>26</v>
      </c>
      <c r="R79" s="513"/>
      <c r="S79" s="514">
        <v>70</v>
      </c>
      <c r="T79" s="298" t="str">
        <f t="shared" si="7"/>
        <v>HSGA0270</v>
      </c>
      <c r="U79" s="514">
        <v>22833</v>
      </c>
      <c r="W79" s="512" t="s">
        <v>269</v>
      </c>
      <c r="X79" s="512" t="s">
        <v>843</v>
      </c>
      <c r="Y79" s="512" t="s">
        <v>721</v>
      </c>
      <c r="Z79" s="514">
        <v>10</v>
      </c>
      <c r="AA79" s="512" t="s">
        <v>721</v>
      </c>
      <c r="AB79" s="512" t="s">
        <v>26</v>
      </c>
      <c r="AC79" s="514">
        <v>0</v>
      </c>
      <c r="AD79" s="514">
        <v>34</v>
      </c>
      <c r="AE79" s="298" t="str">
        <f t="shared" si="8"/>
        <v>HNR100234</v>
      </c>
      <c r="AF79" s="514">
        <v>344</v>
      </c>
      <c r="AH79" s="512" t="s">
        <v>721</v>
      </c>
      <c r="AI79" s="512" t="s">
        <v>1030</v>
      </c>
      <c r="AJ79" s="512" t="s">
        <v>721</v>
      </c>
      <c r="AK79" s="513"/>
      <c r="AL79" s="512" t="s">
        <v>721</v>
      </c>
      <c r="AM79" s="512" t="s">
        <v>26</v>
      </c>
      <c r="AN79" s="513"/>
      <c r="AO79" s="514">
        <v>34</v>
      </c>
      <c r="AP79" s="513"/>
      <c r="AQ79" s="298" t="str">
        <f t="shared" si="9"/>
        <v>HOR100234</v>
      </c>
      <c r="AR79" s="514">
        <v>550</v>
      </c>
      <c r="AT79" s="512" t="s">
        <v>743</v>
      </c>
      <c r="AU79" s="512" t="s">
        <v>744</v>
      </c>
      <c r="AV79" s="512" t="s">
        <v>721</v>
      </c>
      <c r="AW79" s="513"/>
      <c r="AX79" s="512" t="s">
        <v>721</v>
      </c>
      <c r="AY79" s="512" t="s">
        <v>25</v>
      </c>
      <c r="AZ79" s="513"/>
      <c r="BA79" s="514">
        <v>17</v>
      </c>
      <c r="BB79" s="298" t="str">
        <f t="shared" si="10"/>
        <v>CLR100117</v>
      </c>
      <c r="BC79" s="514">
        <v>12</v>
      </c>
      <c r="BF79" s="512" t="s">
        <v>658</v>
      </c>
      <c r="BG79" s="512" t="s">
        <v>732</v>
      </c>
      <c r="BH79" s="512" t="s">
        <v>26</v>
      </c>
      <c r="BI79" s="514">
        <v>34</v>
      </c>
      <c r="BJ79" s="298" t="str">
        <f t="shared" si="11"/>
        <v>AOR100234</v>
      </c>
      <c r="BK79" s="514">
        <v>0</v>
      </c>
      <c r="BL79" s="514">
        <v>1</v>
      </c>
      <c r="BM79" s="514">
        <v>1</v>
      </c>
      <c r="BN79" s="514">
        <v>1</v>
      </c>
      <c r="BO79" s="514">
        <v>1</v>
      </c>
      <c r="BP79" s="514">
        <v>2</v>
      </c>
      <c r="BQ79" s="514">
        <v>2</v>
      </c>
      <c r="BR79" s="514">
        <v>2</v>
      </c>
      <c r="BS79" s="514">
        <v>3</v>
      </c>
      <c r="BT79" s="514">
        <v>0</v>
      </c>
      <c r="BU79" s="514">
        <v>0</v>
      </c>
      <c r="BV79" s="514">
        <v>0</v>
      </c>
      <c r="BW79" s="514">
        <v>0</v>
      </c>
      <c r="BX79" s="514">
        <v>0</v>
      </c>
      <c r="BY79" s="514">
        <v>0</v>
      </c>
      <c r="BZ79" s="514">
        <v>0</v>
      </c>
      <c r="CA79" s="514">
        <v>0</v>
      </c>
      <c r="CB79" s="514">
        <v>0</v>
      </c>
      <c r="CC79" s="514">
        <v>0</v>
      </c>
      <c r="CD79" s="514">
        <v>0</v>
      </c>
      <c r="CE79" s="514">
        <v>0</v>
      </c>
      <c r="CF79" s="514">
        <v>0</v>
      </c>
      <c r="CG79" s="514">
        <v>0</v>
      </c>
      <c r="CH79" s="514">
        <v>0</v>
      </c>
      <c r="CI79" s="514">
        <v>0</v>
      </c>
      <c r="CJ79" s="514">
        <v>0</v>
      </c>
      <c r="CK79" s="514">
        <v>0</v>
      </c>
      <c r="CL79" s="514">
        <v>0</v>
      </c>
      <c r="CM79" s="514">
        <v>0</v>
      </c>
      <c r="CN79" s="514">
        <v>0</v>
      </c>
      <c r="CO79" s="514">
        <v>0</v>
      </c>
      <c r="CP79" s="514">
        <v>0</v>
      </c>
      <c r="CQ79" s="514">
        <v>0</v>
      </c>
      <c r="CR79" s="514">
        <v>0</v>
      </c>
      <c r="CS79" s="514">
        <v>0</v>
      </c>
      <c r="CT79" s="514">
        <v>0</v>
      </c>
      <c r="CU79" s="514">
        <v>0</v>
      </c>
      <c r="CV79" s="514">
        <v>0</v>
      </c>
      <c r="CW79" s="514">
        <v>0</v>
      </c>
      <c r="CX79" s="514">
        <v>0</v>
      </c>
      <c r="CY79" s="514">
        <v>0</v>
      </c>
      <c r="CZ79" s="514">
        <v>0</v>
      </c>
      <c r="DA79" s="514">
        <v>0</v>
      </c>
      <c r="DB79" s="514">
        <v>0</v>
      </c>
      <c r="DC79" s="514">
        <v>0</v>
      </c>
      <c r="DD79" s="514">
        <v>0</v>
      </c>
      <c r="DE79" s="514">
        <v>0</v>
      </c>
      <c r="DF79" s="514">
        <v>0</v>
      </c>
      <c r="DG79" s="514">
        <v>0</v>
      </c>
      <c r="DH79" s="514">
        <v>0</v>
      </c>
      <c r="DI79" s="514">
        <v>0</v>
      </c>
      <c r="DJ79" s="514">
        <v>0</v>
      </c>
      <c r="DK79" s="514">
        <v>0</v>
      </c>
      <c r="DL79" s="514">
        <v>0</v>
      </c>
      <c r="DM79" s="514">
        <v>0</v>
      </c>
      <c r="DN79" s="514">
        <v>0</v>
      </c>
      <c r="DO79" s="514">
        <v>0</v>
      </c>
      <c r="DP79" s="514">
        <v>0</v>
      </c>
      <c r="DQ79" s="514">
        <v>0</v>
      </c>
      <c r="DR79" s="514">
        <v>0</v>
      </c>
      <c r="DS79" s="514">
        <v>0</v>
      </c>
      <c r="DT79" s="514">
        <v>0</v>
      </c>
      <c r="DU79" s="514">
        <v>0</v>
      </c>
      <c r="DV79" s="514">
        <v>0</v>
      </c>
      <c r="DW79" s="514">
        <v>0</v>
      </c>
      <c r="DX79" s="514">
        <v>0</v>
      </c>
      <c r="DY79" s="514">
        <v>0</v>
      </c>
      <c r="DZ79" s="514">
        <v>0</v>
      </c>
      <c r="EA79" s="514">
        <v>0</v>
      </c>
      <c r="EB79" s="514">
        <v>0</v>
      </c>
      <c r="EC79" s="514">
        <v>0</v>
      </c>
      <c r="ED79" s="514">
        <v>0</v>
      </c>
      <c r="EE79" s="514">
        <v>0</v>
      </c>
      <c r="EF79" s="514">
        <v>0</v>
      </c>
      <c r="EG79" s="514">
        <v>0</v>
      </c>
      <c r="EH79" s="514">
        <v>0</v>
      </c>
      <c r="EI79" s="514">
        <v>0</v>
      </c>
      <c r="EJ79" s="514">
        <v>0</v>
      </c>
      <c r="EK79" s="514">
        <v>0</v>
      </c>
      <c r="EL79" s="514">
        <v>0</v>
      </c>
      <c r="EM79" s="514">
        <v>0</v>
      </c>
      <c r="EN79" s="514">
        <v>0</v>
      </c>
      <c r="EO79" s="514">
        <v>0</v>
      </c>
      <c r="EP79" s="514">
        <v>0</v>
      </c>
      <c r="EQ79" s="514">
        <v>0</v>
      </c>
      <c r="ER79" s="514">
        <v>0</v>
      </c>
      <c r="ES79" s="514">
        <v>0</v>
      </c>
      <c r="ET79" s="514">
        <v>0</v>
      </c>
      <c r="EU79" s="514">
        <v>0</v>
      </c>
      <c r="EV79" s="514">
        <v>0</v>
      </c>
      <c r="EW79" s="514">
        <v>0</v>
      </c>
      <c r="EX79" s="514">
        <v>0</v>
      </c>
      <c r="EY79" s="514">
        <v>0</v>
      </c>
      <c r="EZ79" s="514">
        <v>0</v>
      </c>
      <c r="FA79" s="514">
        <v>0</v>
      </c>
      <c r="FB79" s="514">
        <v>0</v>
      </c>
      <c r="FC79" s="514">
        <v>0</v>
      </c>
      <c r="FD79" s="514">
        <v>0</v>
      </c>
      <c r="FE79" s="514">
        <v>0</v>
      </c>
      <c r="FF79" s="514">
        <v>0</v>
      </c>
      <c r="FG79" s="514">
        <v>0</v>
      </c>
      <c r="FH79" s="514">
        <v>0</v>
      </c>
      <c r="FI79" s="514">
        <v>0</v>
      </c>
      <c r="FJ79" s="514">
        <v>0</v>
      </c>
      <c r="FK79" s="514">
        <v>0</v>
      </c>
      <c r="FL79" s="514">
        <v>0</v>
      </c>
      <c r="FM79" s="514">
        <v>0</v>
      </c>
      <c r="FN79" s="514">
        <v>0</v>
      </c>
      <c r="FO79" s="514">
        <v>0</v>
      </c>
      <c r="FP79" s="514">
        <v>0</v>
      </c>
      <c r="FQ79" s="514">
        <v>0</v>
      </c>
    </row>
    <row r="80" spans="1:173" ht="16.5" hidden="1">
      <c r="A80" s="512" t="s">
        <v>658</v>
      </c>
      <c r="B80" s="512" t="s">
        <v>732</v>
      </c>
      <c r="C80" s="512" t="s">
        <v>721</v>
      </c>
      <c r="D80" s="513"/>
      <c r="E80" s="512" t="s">
        <v>721</v>
      </c>
      <c r="F80" s="512" t="s">
        <v>25</v>
      </c>
      <c r="G80" s="513"/>
      <c r="H80" s="514">
        <v>32</v>
      </c>
      <c r="I80" s="298" t="str">
        <f t="shared" si="6"/>
        <v>AOR100132</v>
      </c>
      <c r="J80" s="514">
        <v>3</v>
      </c>
      <c r="L80" s="512" t="s">
        <v>720</v>
      </c>
      <c r="M80" s="512" t="s">
        <v>739</v>
      </c>
      <c r="N80" s="512" t="s">
        <v>721</v>
      </c>
      <c r="O80" s="513"/>
      <c r="P80" s="512" t="s">
        <v>721</v>
      </c>
      <c r="Q80" s="512" t="s">
        <v>26</v>
      </c>
      <c r="R80" s="513"/>
      <c r="S80" s="514">
        <v>71</v>
      </c>
      <c r="T80" s="298" t="str">
        <f t="shared" si="7"/>
        <v>HSGA0271</v>
      </c>
      <c r="U80" s="514">
        <v>24559</v>
      </c>
      <c r="W80" s="512" t="s">
        <v>269</v>
      </c>
      <c r="X80" s="512" t="s">
        <v>843</v>
      </c>
      <c r="Y80" s="512" t="s">
        <v>721</v>
      </c>
      <c r="Z80" s="514">
        <v>10</v>
      </c>
      <c r="AA80" s="512" t="s">
        <v>721</v>
      </c>
      <c r="AB80" s="512" t="s">
        <v>26</v>
      </c>
      <c r="AC80" s="514">
        <v>0</v>
      </c>
      <c r="AD80" s="514">
        <v>35</v>
      </c>
      <c r="AE80" s="298" t="str">
        <f t="shared" si="8"/>
        <v>HNR100235</v>
      </c>
      <c r="AF80" s="514">
        <v>354</v>
      </c>
      <c r="AH80" s="512" t="s">
        <v>721</v>
      </c>
      <c r="AI80" s="512" t="s">
        <v>1030</v>
      </c>
      <c r="AJ80" s="512" t="s">
        <v>721</v>
      </c>
      <c r="AK80" s="513"/>
      <c r="AL80" s="512" t="s">
        <v>721</v>
      </c>
      <c r="AM80" s="512" t="s">
        <v>26</v>
      </c>
      <c r="AN80" s="513"/>
      <c r="AO80" s="514">
        <v>35</v>
      </c>
      <c r="AP80" s="513"/>
      <c r="AQ80" s="298" t="str">
        <f t="shared" si="9"/>
        <v>HOR100235</v>
      </c>
      <c r="AR80" s="514">
        <v>560</v>
      </c>
      <c r="AT80" s="512" t="s">
        <v>743</v>
      </c>
      <c r="AU80" s="512" t="s">
        <v>744</v>
      </c>
      <c r="AV80" s="512" t="s">
        <v>721</v>
      </c>
      <c r="AW80" s="513"/>
      <c r="AX80" s="512" t="s">
        <v>721</v>
      </c>
      <c r="AY80" s="512" t="s">
        <v>26</v>
      </c>
      <c r="AZ80" s="513"/>
      <c r="BA80" s="514">
        <v>17</v>
      </c>
      <c r="BB80" s="298" t="str">
        <f t="shared" si="10"/>
        <v>CLR100217</v>
      </c>
      <c r="BC80" s="514">
        <v>12</v>
      </c>
      <c r="BF80" s="512" t="s">
        <v>658</v>
      </c>
      <c r="BG80" s="512" t="s">
        <v>732</v>
      </c>
      <c r="BH80" s="512" t="s">
        <v>26</v>
      </c>
      <c r="BI80" s="514">
        <v>35</v>
      </c>
      <c r="BJ80" s="298" t="str">
        <f t="shared" si="11"/>
        <v>AOR100235</v>
      </c>
      <c r="BK80" s="514">
        <v>0</v>
      </c>
      <c r="BL80" s="514">
        <v>1</v>
      </c>
      <c r="BM80" s="514">
        <v>1</v>
      </c>
      <c r="BN80" s="514">
        <v>1</v>
      </c>
      <c r="BO80" s="514">
        <v>1</v>
      </c>
      <c r="BP80" s="514">
        <v>2</v>
      </c>
      <c r="BQ80" s="514">
        <v>2</v>
      </c>
      <c r="BR80" s="514">
        <v>2</v>
      </c>
      <c r="BS80" s="514">
        <v>3</v>
      </c>
      <c r="BT80" s="514">
        <v>0</v>
      </c>
      <c r="BU80" s="514">
        <v>0</v>
      </c>
      <c r="BV80" s="514">
        <v>0</v>
      </c>
      <c r="BW80" s="514">
        <v>0</v>
      </c>
      <c r="BX80" s="514">
        <v>0</v>
      </c>
      <c r="BY80" s="514">
        <v>0</v>
      </c>
      <c r="BZ80" s="514">
        <v>0</v>
      </c>
      <c r="CA80" s="514">
        <v>0</v>
      </c>
      <c r="CB80" s="514">
        <v>0</v>
      </c>
      <c r="CC80" s="514">
        <v>0</v>
      </c>
      <c r="CD80" s="514">
        <v>0</v>
      </c>
      <c r="CE80" s="514">
        <v>0</v>
      </c>
      <c r="CF80" s="514">
        <v>0</v>
      </c>
      <c r="CG80" s="514">
        <v>0</v>
      </c>
      <c r="CH80" s="514">
        <v>0</v>
      </c>
      <c r="CI80" s="514">
        <v>0</v>
      </c>
      <c r="CJ80" s="514">
        <v>0</v>
      </c>
      <c r="CK80" s="514">
        <v>0</v>
      </c>
      <c r="CL80" s="514">
        <v>0</v>
      </c>
      <c r="CM80" s="514">
        <v>0</v>
      </c>
      <c r="CN80" s="514">
        <v>0</v>
      </c>
      <c r="CO80" s="514">
        <v>0</v>
      </c>
      <c r="CP80" s="514">
        <v>0</v>
      </c>
      <c r="CQ80" s="514">
        <v>0</v>
      </c>
      <c r="CR80" s="514">
        <v>0</v>
      </c>
      <c r="CS80" s="514">
        <v>0</v>
      </c>
      <c r="CT80" s="514">
        <v>0</v>
      </c>
      <c r="CU80" s="514">
        <v>0</v>
      </c>
      <c r="CV80" s="514">
        <v>0</v>
      </c>
      <c r="CW80" s="514">
        <v>0</v>
      </c>
      <c r="CX80" s="514">
        <v>0</v>
      </c>
      <c r="CY80" s="514">
        <v>0</v>
      </c>
      <c r="CZ80" s="514">
        <v>0</v>
      </c>
      <c r="DA80" s="514">
        <v>0</v>
      </c>
      <c r="DB80" s="514">
        <v>0</v>
      </c>
      <c r="DC80" s="514">
        <v>0</v>
      </c>
      <c r="DD80" s="514">
        <v>0</v>
      </c>
      <c r="DE80" s="514">
        <v>0</v>
      </c>
      <c r="DF80" s="514">
        <v>0</v>
      </c>
      <c r="DG80" s="514">
        <v>0</v>
      </c>
      <c r="DH80" s="514">
        <v>0</v>
      </c>
      <c r="DI80" s="514">
        <v>0</v>
      </c>
      <c r="DJ80" s="514">
        <v>0</v>
      </c>
      <c r="DK80" s="514">
        <v>0</v>
      </c>
      <c r="DL80" s="514">
        <v>0</v>
      </c>
      <c r="DM80" s="514">
        <v>0</v>
      </c>
      <c r="DN80" s="514">
        <v>0</v>
      </c>
      <c r="DO80" s="514">
        <v>0</v>
      </c>
      <c r="DP80" s="514">
        <v>0</v>
      </c>
      <c r="DQ80" s="514">
        <v>0</v>
      </c>
      <c r="DR80" s="514">
        <v>0</v>
      </c>
      <c r="DS80" s="514">
        <v>0</v>
      </c>
      <c r="DT80" s="514">
        <v>0</v>
      </c>
      <c r="DU80" s="514">
        <v>0</v>
      </c>
      <c r="DV80" s="514">
        <v>0</v>
      </c>
      <c r="DW80" s="514">
        <v>0</v>
      </c>
      <c r="DX80" s="514">
        <v>0</v>
      </c>
      <c r="DY80" s="514">
        <v>0</v>
      </c>
      <c r="DZ80" s="514">
        <v>0</v>
      </c>
      <c r="EA80" s="514">
        <v>0</v>
      </c>
      <c r="EB80" s="514">
        <v>0</v>
      </c>
      <c r="EC80" s="514">
        <v>0</v>
      </c>
      <c r="ED80" s="514">
        <v>0</v>
      </c>
      <c r="EE80" s="514">
        <v>0</v>
      </c>
      <c r="EF80" s="514">
        <v>0</v>
      </c>
      <c r="EG80" s="514">
        <v>0</v>
      </c>
      <c r="EH80" s="514">
        <v>0</v>
      </c>
      <c r="EI80" s="514">
        <v>0</v>
      </c>
      <c r="EJ80" s="514">
        <v>0</v>
      </c>
      <c r="EK80" s="514">
        <v>0</v>
      </c>
      <c r="EL80" s="514">
        <v>0</v>
      </c>
      <c r="EM80" s="514">
        <v>0</v>
      </c>
      <c r="EN80" s="514">
        <v>0</v>
      </c>
      <c r="EO80" s="514">
        <v>0</v>
      </c>
      <c r="EP80" s="514">
        <v>0</v>
      </c>
      <c r="EQ80" s="514">
        <v>0</v>
      </c>
      <c r="ER80" s="514">
        <v>0</v>
      </c>
      <c r="ES80" s="514">
        <v>0</v>
      </c>
      <c r="ET80" s="514">
        <v>0</v>
      </c>
      <c r="EU80" s="514">
        <v>0</v>
      </c>
      <c r="EV80" s="514">
        <v>0</v>
      </c>
      <c r="EW80" s="514">
        <v>0</v>
      </c>
      <c r="EX80" s="514">
        <v>0</v>
      </c>
      <c r="EY80" s="514">
        <v>0</v>
      </c>
      <c r="EZ80" s="514">
        <v>0</v>
      </c>
      <c r="FA80" s="514">
        <v>0</v>
      </c>
      <c r="FB80" s="514">
        <v>0</v>
      </c>
      <c r="FC80" s="514">
        <v>0</v>
      </c>
      <c r="FD80" s="514">
        <v>0</v>
      </c>
      <c r="FE80" s="514">
        <v>0</v>
      </c>
      <c r="FF80" s="514">
        <v>0</v>
      </c>
      <c r="FG80" s="514">
        <v>0</v>
      </c>
      <c r="FH80" s="514">
        <v>0</v>
      </c>
      <c r="FI80" s="514">
        <v>0</v>
      </c>
      <c r="FJ80" s="514">
        <v>0</v>
      </c>
      <c r="FK80" s="514">
        <v>0</v>
      </c>
      <c r="FL80" s="514">
        <v>0</v>
      </c>
      <c r="FM80" s="514">
        <v>0</v>
      </c>
      <c r="FN80" s="514">
        <v>0</v>
      </c>
      <c r="FO80" s="514">
        <v>0</v>
      </c>
      <c r="FP80" s="514">
        <v>0</v>
      </c>
      <c r="FQ80" s="514">
        <v>0</v>
      </c>
    </row>
    <row r="81" spans="1:173" ht="16.5" hidden="1">
      <c r="A81" s="512" t="s">
        <v>658</v>
      </c>
      <c r="B81" s="512" t="s">
        <v>732</v>
      </c>
      <c r="C81" s="512" t="s">
        <v>721</v>
      </c>
      <c r="D81" s="513"/>
      <c r="E81" s="512" t="s">
        <v>721</v>
      </c>
      <c r="F81" s="512" t="s">
        <v>25</v>
      </c>
      <c r="G81" s="513"/>
      <c r="H81" s="514">
        <v>33</v>
      </c>
      <c r="I81" s="298" t="str">
        <f t="shared" si="6"/>
        <v>AOR100133</v>
      </c>
      <c r="J81" s="514">
        <v>3</v>
      </c>
      <c r="L81" s="512" t="s">
        <v>720</v>
      </c>
      <c r="M81" s="512" t="s">
        <v>739</v>
      </c>
      <c r="N81" s="512" t="s">
        <v>721</v>
      </c>
      <c r="O81" s="513"/>
      <c r="P81" s="512" t="s">
        <v>721</v>
      </c>
      <c r="Q81" s="512" t="s">
        <v>25</v>
      </c>
      <c r="R81" s="513"/>
      <c r="S81" s="514">
        <v>15</v>
      </c>
      <c r="T81" s="298" t="str">
        <f t="shared" si="7"/>
        <v>HSGA0115</v>
      </c>
      <c r="U81" s="514">
        <v>3030</v>
      </c>
      <c r="W81" s="512" t="s">
        <v>269</v>
      </c>
      <c r="X81" s="512" t="s">
        <v>843</v>
      </c>
      <c r="Y81" s="512" t="s">
        <v>721</v>
      </c>
      <c r="Z81" s="514">
        <v>10</v>
      </c>
      <c r="AA81" s="512" t="s">
        <v>721</v>
      </c>
      <c r="AB81" s="512" t="s">
        <v>26</v>
      </c>
      <c r="AC81" s="514">
        <v>0</v>
      </c>
      <c r="AD81" s="514">
        <v>36</v>
      </c>
      <c r="AE81" s="298" t="str">
        <f t="shared" si="8"/>
        <v>HNR100236</v>
      </c>
      <c r="AF81" s="514">
        <v>362</v>
      </c>
      <c r="AH81" s="512" t="s">
        <v>721</v>
      </c>
      <c r="AI81" s="512" t="s">
        <v>1030</v>
      </c>
      <c r="AJ81" s="512" t="s">
        <v>721</v>
      </c>
      <c r="AK81" s="513"/>
      <c r="AL81" s="512" t="s">
        <v>721</v>
      </c>
      <c r="AM81" s="512" t="s">
        <v>26</v>
      </c>
      <c r="AN81" s="513"/>
      <c r="AO81" s="514">
        <v>36</v>
      </c>
      <c r="AP81" s="513"/>
      <c r="AQ81" s="298" t="str">
        <f t="shared" si="9"/>
        <v>HOR100236</v>
      </c>
      <c r="AR81" s="514">
        <v>565</v>
      </c>
      <c r="AT81" s="512" t="s">
        <v>743</v>
      </c>
      <c r="AU81" s="512" t="s">
        <v>744</v>
      </c>
      <c r="AV81" s="512" t="s">
        <v>721</v>
      </c>
      <c r="AW81" s="513"/>
      <c r="AX81" s="512" t="s">
        <v>721</v>
      </c>
      <c r="AY81" s="512" t="s">
        <v>25</v>
      </c>
      <c r="AZ81" s="513"/>
      <c r="BA81" s="514">
        <v>18</v>
      </c>
      <c r="BB81" s="298" t="str">
        <f t="shared" si="10"/>
        <v>CLR100118</v>
      </c>
      <c r="BC81" s="514">
        <v>12</v>
      </c>
      <c r="BF81" s="512" t="s">
        <v>658</v>
      </c>
      <c r="BG81" s="512" t="s">
        <v>732</v>
      </c>
      <c r="BH81" s="512" t="s">
        <v>26</v>
      </c>
      <c r="BI81" s="514">
        <v>36</v>
      </c>
      <c r="BJ81" s="298" t="str">
        <f t="shared" si="11"/>
        <v>AOR100236</v>
      </c>
      <c r="BK81" s="514">
        <v>0</v>
      </c>
      <c r="BL81" s="514">
        <v>1</v>
      </c>
      <c r="BM81" s="514">
        <v>1</v>
      </c>
      <c r="BN81" s="514">
        <v>1</v>
      </c>
      <c r="BO81" s="514">
        <v>1</v>
      </c>
      <c r="BP81" s="514">
        <v>2</v>
      </c>
      <c r="BQ81" s="514">
        <v>2</v>
      </c>
      <c r="BR81" s="514">
        <v>2</v>
      </c>
      <c r="BS81" s="514">
        <v>3</v>
      </c>
      <c r="BT81" s="514">
        <v>0</v>
      </c>
      <c r="BU81" s="514">
        <v>0</v>
      </c>
      <c r="BV81" s="514">
        <v>0</v>
      </c>
      <c r="BW81" s="514">
        <v>0</v>
      </c>
      <c r="BX81" s="514">
        <v>0</v>
      </c>
      <c r="BY81" s="514">
        <v>0</v>
      </c>
      <c r="BZ81" s="514">
        <v>0</v>
      </c>
      <c r="CA81" s="514">
        <v>0</v>
      </c>
      <c r="CB81" s="514">
        <v>0</v>
      </c>
      <c r="CC81" s="514">
        <v>0</v>
      </c>
      <c r="CD81" s="514">
        <v>0</v>
      </c>
      <c r="CE81" s="514">
        <v>0</v>
      </c>
      <c r="CF81" s="514">
        <v>0</v>
      </c>
      <c r="CG81" s="514">
        <v>0</v>
      </c>
      <c r="CH81" s="514">
        <v>0</v>
      </c>
      <c r="CI81" s="514">
        <v>0</v>
      </c>
      <c r="CJ81" s="514">
        <v>0</v>
      </c>
      <c r="CK81" s="514">
        <v>0</v>
      </c>
      <c r="CL81" s="514">
        <v>0</v>
      </c>
      <c r="CM81" s="514">
        <v>0</v>
      </c>
      <c r="CN81" s="514">
        <v>0</v>
      </c>
      <c r="CO81" s="514">
        <v>0</v>
      </c>
      <c r="CP81" s="514">
        <v>0</v>
      </c>
      <c r="CQ81" s="514">
        <v>0</v>
      </c>
      <c r="CR81" s="514">
        <v>0</v>
      </c>
      <c r="CS81" s="514">
        <v>0</v>
      </c>
      <c r="CT81" s="514">
        <v>0</v>
      </c>
      <c r="CU81" s="514">
        <v>0</v>
      </c>
      <c r="CV81" s="514">
        <v>0</v>
      </c>
      <c r="CW81" s="514">
        <v>0</v>
      </c>
      <c r="CX81" s="514">
        <v>0</v>
      </c>
      <c r="CY81" s="514">
        <v>0</v>
      </c>
      <c r="CZ81" s="514">
        <v>0</v>
      </c>
      <c r="DA81" s="514">
        <v>0</v>
      </c>
      <c r="DB81" s="514">
        <v>0</v>
      </c>
      <c r="DC81" s="514">
        <v>0</v>
      </c>
      <c r="DD81" s="514">
        <v>0</v>
      </c>
      <c r="DE81" s="514">
        <v>0</v>
      </c>
      <c r="DF81" s="514">
        <v>0</v>
      </c>
      <c r="DG81" s="514">
        <v>0</v>
      </c>
      <c r="DH81" s="514">
        <v>0</v>
      </c>
      <c r="DI81" s="514">
        <v>0</v>
      </c>
      <c r="DJ81" s="514">
        <v>0</v>
      </c>
      <c r="DK81" s="514">
        <v>0</v>
      </c>
      <c r="DL81" s="514">
        <v>0</v>
      </c>
      <c r="DM81" s="514">
        <v>0</v>
      </c>
      <c r="DN81" s="514">
        <v>0</v>
      </c>
      <c r="DO81" s="514">
        <v>0</v>
      </c>
      <c r="DP81" s="514">
        <v>0</v>
      </c>
      <c r="DQ81" s="514">
        <v>0</v>
      </c>
      <c r="DR81" s="514">
        <v>0</v>
      </c>
      <c r="DS81" s="514">
        <v>0</v>
      </c>
      <c r="DT81" s="514">
        <v>0</v>
      </c>
      <c r="DU81" s="514">
        <v>0</v>
      </c>
      <c r="DV81" s="514">
        <v>0</v>
      </c>
      <c r="DW81" s="514">
        <v>0</v>
      </c>
      <c r="DX81" s="514">
        <v>0</v>
      </c>
      <c r="DY81" s="514">
        <v>0</v>
      </c>
      <c r="DZ81" s="514">
        <v>0</v>
      </c>
      <c r="EA81" s="514">
        <v>0</v>
      </c>
      <c r="EB81" s="514">
        <v>0</v>
      </c>
      <c r="EC81" s="514">
        <v>0</v>
      </c>
      <c r="ED81" s="514">
        <v>0</v>
      </c>
      <c r="EE81" s="514">
        <v>0</v>
      </c>
      <c r="EF81" s="514">
        <v>0</v>
      </c>
      <c r="EG81" s="514">
        <v>0</v>
      </c>
      <c r="EH81" s="514">
        <v>0</v>
      </c>
      <c r="EI81" s="514">
        <v>0</v>
      </c>
      <c r="EJ81" s="514">
        <v>0</v>
      </c>
      <c r="EK81" s="514">
        <v>0</v>
      </c>
      <c r="EL81" s="514">
        <v>0</v>
      </c>
      <c r="EM81" s="514">
        <v>0</v>
      </c>
      <c r="EN81" s="514">
        <v>0</v>
      </c>
      <c r="EO81" s="514">
        <v>0</v>
      </c>
      <c r="EP81" s="514">
        <v>0</v>
      </c>
      <c r="EQ81" s="514">
        <v>0</v>
      </c>
      <c r="ER81" s="514">
        <v>0</v>
      </c>
      <c r="ES81" s="514">
        <v>0</v>
      </c>
      <c r="ET81" s="514">
        <v>0</v>
      </c>
      <c r="EU81" s="514">
        <v>0</v>
      </c>
      <c r="EV81" s="514">
        <v>0</v>
      </c>
      <c r="EW81" s="514">
        <v>0</v>
      </c>
      <c r="EX81" s="514">
        <v>0</v>
      </c>
      <c r="EY81" s="514">
        <v>0</v>
      </c>
      <c r="EZ81" s="514">
        <v>0</v>
      </c>
      <c r="FA81" s="514">
        <v>0</v>
      </c>
      <c r="FB81" s="514">
        <v>0</v>
      </c>
      <c r="FC81" s="514">
        <v>0</v>
      </c>
      <c r="FD81" s="514">
        <v>0</v>
      </c>
      <c r="FE81" s="514">
        <v>0</v>
      </c>
      <c r="FF81" s="514">
        <v>0</v>
      </c>
      <c r="FG81" s="514">
        <v>0</v>
      </c>
      <c r="FH81" s="514">
        <v>0</v>
      </c>
      <c r="FI81" s="514">
        <v>0</v>
      </c>
      <c r="FJ81" s="514">
        <v>0</v>
      </c>
      <c r="FK81" s="514">
        <v>0</v>
      </c>
      <c r="FL81" s="514">
        <v>0</v>
      </c>
      <c r="FM81" s="514">
        <v>0</v>
      </c>
      <c r="FN81" s="514">
        <v>0</v>
      </c>
      <c r="FO81" s="514">
        <v>0</v>
      </c>
      <c r="FP81" s="514">
        <v>0</v>
      </c>
      <c r="FQ81" s="514">
        <v>0</v>
      </c>
    </row>
    <row r="82" spans="1:173" ht="16.5" hidden="1">
      <c r="A82" s="512" t="s">
        <v>658</v>
      </c>
      <c r="B82" s="512" t="s">
        <v>732</v>
      </c>
      <c r="C82" s="512" t="s">
        <v>721</v>
      </c>
      <c r="D82" s="513"/>
      <c r="E82" s="512" t="s">
        <v>721</v>
      </c>
      <c r="F82" s="512" t="s">
        <v>25</v>
      </c>
      <c r="G82" s="513"/>
      <c r="H82" s="514">
        <v>34</v>
      </c>
      <c r="I82" s="298" t="str">
        <f t="shared" si="6"/>
        <v>AOR100134</v>
      </c>
      <c r="J82" s="514">
        <v>3</v>
      </c>
      <c r="L82" s="512" t="s">
        <v>720</v>
      </c>
      <c r="M82" s="512" t="s">
        <v>739</v>
      </c>
      <c r="N82" s="512" t="s">
        <v>721</v>
      </c>
      <c r="O82" s="513"/>
      <c r="P82" s="512" t="s">
        <v>721</v>
      </c>
      <c r="Q82" s="512" t="s">
        <v>25</v>
      </c>
      <c r="R82" s="513"/>
      <c r="S82" s="514">
        <v>16</v>
      </c>
      <c r="T82" s="298" t="str">
        <f t="shared" si="7"/>
        <v>HSGA0116</v>
      </c>
      <c r="U82" s="514">
        <v>3030</v>
      </c>
      <c r="W82" s="512" t="s">
        <v>269</v>
      </c>
      <c r="X82" s="512" t="s">
        <v>843</v>
      </c>
      <c r="Y82" s="512" t="s">
        <v>721</v>
      </c>
      <c r="Z82" s="514">
        <v>10</v>
      </c>
      <c r="AA82" s="512" t="s">
        <v>721</v>
      </c>
      <c r="AB82" s="512" t="s">
        <v>26</v>
      </c>
      <c r="AC82" s="514">
        <v>0</v>
      </c>
      <c r="AD82" s="514">
        <v>37</v>
      </c>
      <c r="AE82" s="298" t="str">
        <f t="shared" si="8"/>
        <v>HNR100237</v>
      </c>
      <c r="AF82" s="514">
        <v>369</v>
      </c>
      <c r="AH82" s="512" t="s">
        <v>721</v>
      </c>
      <c r="AI82" s="512" t="s">
        <v>1030</v>
      </c>
      <c r="AJ82" s="512" t="s">
        <v>721</v>
      </c>
      <c r="AK82" s="513"/>
      <c r="AL82" s="512" t="s">
        <v>721</v>
      </c>
      <c r="AM82" s="512" t="s">
        <v>26</v>
      </c>
      <c r="AN82" s="513"/>
      <c r="AO82" s="514">
        <v>37</v>
      </c>
      <c r="AP82" s="513"/>
      <c r="AQ82" s="298" t="str">
        <f t="shared" si="9"/>
        <v>HOR100237</v>
      </c>
      <c r="AR82" s="514">
        <v>575</v>
      </c>
      <c r="AT82" s="512" t="s">
        <v>743</v>
      </c>
      <c r="AU82" s="512" t="s">
        <v>744</v>
      </c>
      <c r="AV82" s="512" t="s">
        <v>721</v>
      </c>
      <c r="AW82" s="513"/>
      <c r="AX82" s="512" t="s">
        <v>721</v>
      </c>
      <c r="AY82" s="512" t="s">
        <v>26</v>
      </c>
      <c r="AZ82" s="513"/>
      <c r="BA82" s="514">
        <v>18</v>
      </c>
      <c r="BB82" s="298" t="str">
        <f t="shared" si="10"/>
        <v>CLR100218</v>
      </c>
      <c r="BC82" s="514">
        <v>13</v>
      </c>
      <c r="BF82" s="512" t="s">
        <v>658</v>
      </c>
      <c r="BG82" s="512" t="s">
        <v>732</v>
      </c>
      <c r="BH82" s="512" t="s">
        <v>26</v>
      </c>
      <c r="BI82" s="514">
        <v>37</v>
      </c>
      <c r="BJ82" s="298" t="str">
        <f t="shared" si="11"/>
        <v>AOR100237</v>
      </c>
      <c r="BK82" s="514">
        <v>0</v>
      </c>
      <c r="BL82" s="514">
        <v>1</v>
      </c>
      <c r="BM82" s="514">
        <v>1</v>
      </c>
      <c r="BN82" s="514">
        <v>1</v>
      </c>
      <c r="BO82" s="514">
        <v>1</v>
      </c>
      <c r="BP82" s="514">
        <v>2</v>
      </c>
      <c r="BQ82" s="514">
        <v>2</v>
      </c>
      <c r="BR82" s="514">
        <v>2</v>
      </c>
      <c r="BS82" s="514">
        <v>3</v>
      </c>
      <c r="BT82" s="514">
        <v>0</v>
      </c>
      <c r="BU82" s="514">
        <v>0</v>
      </c>
      <c r="BV82" s="514">
        <v>0</v>
      </c>
      <c r="BW82" s="514">
        <v>0</v>
      </c>
      <c r="BX82" s="514">
        <v>0</v>
      </c>
      <c r="BY82" s="514">
        <v>0</v>
      </c>
      <c r="BZ82" s="514">
        <v>0</v>
      </c>
      <c r="CA82" s="514">
        <v>0</v>
      </c>
      <c r="CB82" s="514">
        <v>0</v>
      </c>
      <c r="CC82" s="514">
        <v>0</v>
      </c>
      <c r="CD82" s="514">
        <v>0</v>
      </c>
      <c r="CE82" s="514">
        <v>0</v>
      </c>
      <c r="CF82" s="514">
        <v>0</v>
      </c>
      <c r="CG82" s="514">
        <v>0</v>
      </c>
      <c r="CH82" s="514">
        <v>0</v>
      </c>
      <c r="CI82" s="514">
        <v>0</v>
      </c>
      <c r="CJ82" s="514">
        <v>0</v>
      </c>
      <c r="CK82" s="514">
        <v>0</v>
      </c>
      <c r="CL82" s="514">
        <v>0</v>
      </c>
      <c r="CM82" s="514">
        <v>0</v>
      </c>
      <c r="CN82" s="514">
        <v>0</v>
      </c>
      <c r="CO82" s="514">
        <v>0</v>
      </c>
      <c r="CP82" s="514">
        <v>0</v>
      </c>
      <c r="CQ82" s="514">
        <v>0</v>
      </c>
      <c r="CR82" s="514">
        <v>0</v>
      </c>
      <c r="CS82" s="514">
        <v>0</v>
      </c>
      <c r="CT82" s="514">
        <v>0</v>
      </c>
      <c r="CU82" s="514">
        <v>0</v>
      </c>
      <c r="CV82" s="514">
        <v>0</v>
      </c>
      <c r="CW82" s="514">
        <v>0</v>
      </c>
      <c r="CX82" s="514">
        <v>0</v>
      </c>
      <c r="CY82" s="514">
        <v>0</v>
      </c>
      <c r="CZ82" s="514">
        <v>0</v>
      </c>
      <c r="DA82" s="514">
        <v>0</v>
      </c>
      <c r="DB82" s="514">
        <v>0</v>
      </c>
      <c r="DC82" s="514">
        <v>0</v>
      </c>
      <c r="DD82" s="514">
        <v>0</v>
      </c>
      <c r="DE82" s="514">
        <v>0</v>
      </c>
      <c r="DF82" s="514">
        <v>0</v>
      </c>
      <c r="DG82" s="514">
        <v>0</v>
      </c>
      <c r="DH82" s="514">
        <v>0</v>
      </c>
      <c r="DI82" s="514">
        <v>0</v>
      </c>
      <c r="DJ82" s="514">
        <v>0</v>
      </c>
      <c r="DK82" s="514">
        <v>0</v>
      </c>
      <c r="DL82" s="514">
        <v>0</v>
      </c>
      <c r="DM82" s="514">
        <v>0</v>
      </c>
      <c r="DN82" s="514">
        <v>0</v>
      </c>
      <c r="DO82" s="514">
        <v>0</v>
      </c>
      <c r="DP82" s="514">
        <v>0</v>
      </c>
      <c r="DQ82" s="514">
        <v>0</v>
      </c>
      <c r="DR82" s="514">
        <v>0</v>
      </c>
      <c r="DS82" s="514">
        <v>0</v>
      </c>
      <c r="DT82" s="514">
        <v>0</v>
      </c>
      <c r="DU82" s="514">
        <v>0</v>
      </c>
      <c r="DV82" s="514">
        <v>0</v>
      </c>
      <c r="DW82" s="514">
        <v>0</v>
      </c>
      <c r="DX82" s="514">
        <v>0</v>
      </c>
      <c r="DY82" s="514">
        <v>0</v>
      </c>
      <c r="DZ82" s="514">
        <v>0</v>
      </c>
      <c r="EA82" s="514">
        <v>0</v>
      </c>
      <c r="EB82" s="514">
        <v>0</v>
      </c>
      <c r="EC82" s="514">
        <v>0</v>
      </c>
      <c r="ED82" s="514">
        <v>0</v>
      </c>
      <c r="EE82" s="514">
        <v>0</v>
      </c>
      <c r="EF82" s="514">
        <v>0</v>
      </c>
      <c r="EG82" s="514">
        <v>0</v>
      </c>
      <c r="EH82" s="514">
        <v>0</v>
      </c>
      <c r="EI82" s="514">
        <v>0</v>
      </c>
      <c r="EJ82" s="514">
        <v>0</v>
      </c>
      <c r="EK82" s="514">
        <v>0</v>
      </c>
      <c r="EL82" s="514">
        <v>0</v>
      </c>
      <c r="EM82" s="514">
        <v>0</v>
      </c>
      <c r="EN82" s="514">
        <v>0</v>
      </c>
      <c r="EO82" s="514">
        <v>0</v>
      </c>
      <c r="EP82" s="514">
        <v>0</v>
      </c>
      <c r="EQ82" s="514">
        <v>0</v>
      </c>
      <c r="ER82" s="514">
        <v>0</v>
      </c>
      <c r="ES82" s="514">
        <v>0</v>
      </c>
      <c r="ET82" s="514">
        <v>0</v>
      </c>
      <c r="EU82" s="514">
        <v>0</v>
      </c>
      <c r="EV82" s="514">
        <v>0</v>
      </c>
      <c r="EW82" s="514">
        <v>0</v>
      </c>
      <c r="EX82" s="514">
        <v>0</v>
      </c>
      <c r="EY82" s="514">
        <v>0</v>
      </c>
      <c r="EZ82" s="514">
        <v>0</v>
      </c>
      <c r="FA82" s="514">
        <v>0</v>
      </c>
      <c r="FB82" s="514">
        <v>0</v>
      </c>
      <c r="FC82" s="514">
        <v>0</v>
      </c>
      <c r="FD82" s="514">
        <v>0</v>
      </c>
      <c r="FE82" s="514">
        <v>0</v>
      </c>
      <c r="FF82" s="514">
        <v>0</v>
      </c>
      <c r="FG82" s="514">
        <v>0</v>
      </c>
      <c r="FH82" s="514">
        <v>0</v>
      </c>
      <c r="FI82" s="514">
        <v>0</v>
      </c>
      <c r="FJ82" s="514">
        <v>0</v>
      </c>
      <c r="FK82" s="514">
        <v>0</v>
      </c>
      <c r="FL82" s="514">
        <v>0</v>
      </c>
      <c r="FM82" s="514">
        <v>0</v>
      </c>
      <c r="FN82" s="514">
        <v>0</v>
      </c>
      <c r="FO82" s="514">
        <v>0</v>
      </c>
      <c r="FP82" s="514">
        <v>0</v>
      </c>
      <c r="FQ82" s="514">
        <v>0</v>
      </c>
    </row>
    <row r="83" spans="1:173" ht="16.5" hidden="1">
      <c r="A83" s="512" t="s">
        <v>658</v>
      </c>
      <c r="B83" s="512" t="s">
        <v>732</v>
      </c>
      <c r="C83" s="512" t="s">
        <v>721</v>
      </c>
      <c r="D83" s="513"/>
      <c r="E83" s="512" t="s">
        <v>721</v>
      </c>
      <c r="F83" s="512" t="s">
        <v>25</v>
      </c>
      <c r="G83" s="513"/>
      <c r="H83" s="514">
        <v>35</v>
      </c>
      <c r="I83" s="298" t="str">
        <f t="shared" si="6"/>
        <v>AOR100135</v>
      </c>
      <c r="J83" s="514">
        <v>3</v>
      </c>
      <c r="L83" s="512" t="s">
        <v>720</v>
      </c>
      <c r="M83" s="512" t="s">
        <v>739</v>
      </c>
      <c r="N83" s="512" t="s">
        <v>721</v>
      </c>
      <c r="O83" s="513"/>
      <c r="P83" s="512" t="s">
        <v>721</v>
      </c>
      <c r="Q83" s="512" t="s">
        <v>25</v>
      </c>
      <c r="R83" s="513"/>
      <c r="S83" s="514">
        <v>17</v>
      </c>
      <c r="T83" s="298" t="str">
        <f t="shared" si="7"/>
        <v>HSGA0117</v>
      </c>
      <c r="U83" s="514">
        <v>3030</v>
      </c>
      <c r="W83" s="512" t="s">
        <v>269</v>
      </c>
      <c r="X83" s="512" t="s">
        <v>843</v>
      </c>
      <c r="Y83" s="512" t="s">
        <v>721</v>
      </c>
      <c r="Z83" s="514">
        <v>10</v>
      </c>
      <c r="AA83" s="512" t="s">
        <v>721</v>
      </c>
      <c r="AB83" s="512" t="s">
        <v>26</v>
      </c>
      <c r="AC83" s="514">
        <v>0</v>
      </c>
      <c r="AD83" s="514">
        <v>38</v>
      </c>
      <c r="AE83" s="298" t="str">
        <f t="shared" si="8"/>
        <v>HNR100238</v>
      </c>
      <c r="AF83" s="514">
        <v>378</v>
      </c>
      <c r="AH83" s="512" t="s">
        <v>721</v>
      </c>
      <c r="AI83" s="512" t="s">
        <v>1030</v>
      </c>
      <c r="AJ83" s="512" t="s">
        <v>721</v>
      </c>
      <c r="AK83" s="513"/>
      <c r="AL83" s="512" t="s">
        <v>721</v>
      </c>
      <c r="AM83" s="512" t="s">
        <v>26</v>
      </c>
      <c r="AN83" s="513"/>
      <c r="AO83" s="514">
        <v>38</v>
      </c>
      <c r="AP83" s="513"/>
      <c r="AQ83" s="298" t="str">
        <f t="shared" si="9"/>
        <v>HOR100238</v>
      </c>
      <c r="AR83" s="514">
        <v>585</v>
      </c>
      <c r="AT83" s="512" t="s">
        <v>743</v>
      </c>
      <c r="AU83" s="512" t="s">
        <v>744</v>
      </c>
      <c r="AV83" s="512" t="s">
        <v>721</v>
      </c>
      <c r="AW83" s="513"/>
      <c r="AX83" s="512" t="s">
        <v>721</v>
      </c>
      <c r="AY83" s="512" t="s">
        <v>25</v>
      </c>
      <c r="AZ83" s="513"/>
      <c r="BA83" s="514">
        <v>19</v>
      </c>
      <c r="BB83" s="298" t="str">
        <f t="shared" si="10"/>
        <v>CLR100119</v>
      </c>
      <c r="BC83" s="514">
        <v>13</v>
      </c>
      <c r="BF83" s="512" t="s">
        <v>658</v>
      </c>
      <c r="BG83" s="512" t="s">
        <v>732</v>
      </c>
      <c r="BH83" s="512" t="s">
        <v>26</v>
      </c>
      <c r="BI83" s="514">
        <v>38</v>
      </c>
      <c r="BJ83" s="298" t="str">
        <f t="shared" si="11"/>
        <v>AOR100238</v>
      </c>
      <c r="BK83" s="514">
        <v>0</v>
      </c>
      <c r="BL83" s="514">
        <v>1</v>
      </c>
      <c r="BM83" s="514">
        <v>1</v>
      </c>
      <c r="BN83" s="514">
        <v>1</v>
      </c>
      <c r="BO83" s="514">
        <v>1</v>
      </c>
      <c r="BP83" s="514">
        <v>2</v>
      </c>
      <c r="BQ83" s="514">
        <v>2</v>
      </c>
      <c r="BR83" s="514">
        <v>2</v>
      </c>
      <c r="BS83" s="514">
        <v>3</v>
      </c>
      <c r="BT83" s="514">
        <v>0</v>
      </c>
      <c r="BU83" s="514">
        <v>0</v>
      </c>
      <c r="BV83" s="514">
        <v>0</v>
      </c>
      <c r="BW83" s="514">
        <v>0</v>
      </c>
      <c r="BX83" s="514">
        <v>0</v>
      </c>
      <c r="BY83" s="514">
        <v>0</v>
      </c>
      <c r="BZ83" s="514">
        <v>0</v>
      </c>
      <c r="CA83" s="514">
        <v>0</v>
      </c>
      <c r="CB83" s="514">
        <v>0</v>
      </c>
      <c r="CC83" s="514">
        <v>0</v>
      </c>
      <c r="CD83" s="514">
        <v>0</v>
      </c>
      <c r="CE83" s="514">
        <v>0</v>
      </c>
      <c r="CF83" s="514">
        <v>0</v>
      </c>
      <c r="CG83" s="514">
        <v>0</v>
      </c>
      <c r="CH83" s="514">
        <v>0</v>
      </c>
      <c r="CI83" s="514">
        <v>0</v>
      </c>
      <c r="CJ83" s="514">
        <v>0</v>
      </c>
      <c r="CK83" s="514">
        <v>0</v>
      </c>
      <c r="CL83" s="514">
        <v>0</v>
      </c>
      <c r="CM83" s="514">
        <v>0</v>
      </c>
      <c r="CN83" s="514">
        <v>0</v>
      </c>
      <c r="CO83" s="514">
        <v>0</v>
      </c>
      <c r="CP83" s="514">
        <v>0</v>
      </c>
      <c r="CQ83" s="514">
        <v>0</v>
      </c>
      <c r="CR83" s="514">
        <v>0</v>
      </c>
      <c r="CS83" s="514">
        <v>0</v>
      </c>
      <c r="CT83" s="514">
        <v>0</v>
      </c>
      <c r="CU83" s="514">
        <v>0</v>
      </c>
      <c r="CV83" s="514">
        <v>0</v>
      </c>
      <c r="CW83" s="514">
        <v>0</v>
      </c>
      <c r="CX83" s="514">
        <v>0</v>
      </c>
      <c r="CY83" s="514">
        <v>0</v>
      </c>
      <c r="CZ83" s="514">
        <v>0</v>
      </c>
      <c r="DA83" s="514">
        <v>0</v>
      </c>
      <c r="DB83" s="514">
        <v>0</v>
      </c>
      <c r="DC83" s="514">
        <v>0</v>
      </c>
      <c r="DD83" s="514">
        <v>0</v>
      </c>
      <c r="DE83" s="514">
        <v>0</v>
      </c>
      <c r="DF83" s="514">
        <v>0</v>
      </c>
      <c r="DG83" s="514">
        <v>0</v>
      </c>
      <c r="DH83" s="514">
        <v>0</v>
      </c>
      <c r="DI83" s="514">
        <v>0</v>
      </c>
      <c r="DJ83" s="514">
        <v>0</v>
      </c>
      <c r="DK83" s="514">
        <v>0</v>
      </c>
      <c r="DL83" s="514">
        <v>0</v>
      </c>
      <c r="DM83" s="514">
        <v>0</v>
      </c>
      <c r="DN83" s="514">
        <v>0</v>
      </c>
      <c r="DO83" s="514">
        <v>0</v>
      </c>
      <c r="DP83" s="514">
        <v>0</v>
      </c>
      <c r="DQ83" s="514">
        <v>0</v>
      </c>
      <c r="DR83" s="514">
        <v>0</v>
      </c>
      <c r="DS83" s="514">
        <v>0</v>
      </c>
      <c r="DT83" s="514">
        <v>0</v>
      </c>
      <c r="DU83" s="514">
        <v>0</v>
      </c>
      <c r="DV83" s="514">
        <v>0</v>
      </c>
      <c r="DW83" s="514">
        <v>0</v>
      </c>
      <c r="DX83" s="514">
        <v>0</v>
      </c>
      <c r="DY83" s="514">
        <v>0</v>
      </c>
      <c r="DZ83" s="514">
        <v>0</v>
      </c>
      <c r="EA83" s="514">
        <v>0</v>
      </c>
      <c r="EB83" s="514">
        <v>0</v>
      </c>
      <c r="EC83" s="514">
        <v>0</v>
      </c>
      <c r="ED83" s="514">
        <v>0</v>
      </c>
      <c r="EE83" s="514">
        <v>0</v>
      </c>
      <c r="EF83" s="514">
        <v>0</v>
      </c>
      <c r="EG83" s="514">
        <v>0</v>
      </c>
      <c r="EH83" s="514">
        <v>0</v>
      </c>
      <c r="EI83" s="514">
        <v>0</v>
      </c>
      <c r="EJ83" s="514">
        <v>0</v>
      </c>
      <c r="EK83" s="514">
        <v>0</v>
      </c>
      <c r="EL83" s="514">
        <v>0</v>
      </c>
      <c r="EM83" s="514">
        <v>0</v>
      </c>
      <c r="EN83" s="514">
        <v>0</v>
      </c>
      <c r="EO83" s="514">
        <v>0</v>
      </c>
      <c r="EP83" s="514">
        <v>0</v>
      </c>
      <c r="EQ83" s="514">
        <v>0</v>
      </c>
      <c r="ER83" s="514">
        <v>0</v>
      </c>
      <c r="ES83" s="514">
        <v>0</v>
      </c>
      <c r="ET83" s="514">
        <v>0</v>
      </c>
      <c r="EU83" s="514">
        <v>0</v>
      </c>
      <c r="EV83" s="514">
        <v>0</v>
      </c>
      <c r="EW83" s="514">
        <v>0</v>
      </c>
      <c r="EX83" s="514">
        <v>0</v>
      </c>
      <c r="EY83" s="514">
        <v>0</v>
      </c>
      <c r="EZ83" s="514">
        <v>0</v>
      </c>
      <c r="FA83" s="514">
        <v>0</v>
      </c>
      <c r="FB83" s="514">
        <v>0</v>
      </c>
      <c r="FC83" s="514">
        <v>0</v>
      </c>
      <c r="FD83" s="514">
        <v>0</v>
      </c>
      <c r="FE83" s="514">
        <v>0</v>
      </c>
      <c r="FF83" s="514">
        <v>0</v>
      </c>
      <c r="FG83" s="514">
        <v>0</v>
      </c>
      <c r="FH83" s="514">
        <v>0</v>
      </c>
      <c r="FI83" s="514">
        <v>0</v>
      </c>
      <c r="FJ83" s="514">
        <v>0</v>
      </c>
      <c r="FK83" s="514">
        <v>0</v>
      </c>
      <c r="FL83" s="514">
        <v>0</v>
      </c>
      <c r="FM83" s="514">
        <v>0</v>
      </c>
      <c r="FN83" s="514">
        <v>0</v>
      </c>
      <c r="FO83" s="514">
        <v>0</v>
      </c>
      <c r="FP83" s="514">
        <v>0</v>
      </c>
      <c r="FQ83" s="514">
        <v>0</v>
      </c>
    </row>
    <row r="84" spans="1:173" ht="16.5" hidden="1">
      <c r="A84" s="512" t="s">
        <v>658</v>
      </c>
      <c r="B84" s="512" t="s">
        <v>732</v>
      </c>
      <c r="C84" s="512" t="s">
        <v>721</v>
      </c>
      <c r="D84" s="513"/>
      <c r="E84" s="512" t="s">
        <v>721</v>
      </c>
      <c r="F84" s="512" t="s">
        <v>25</v>
      </c>
      <c r="G84" s="513"/>
      <c r="H84" s="514">
        <v>36</v>
      </c>
      <c r="I84" s="298" t="str">
        <f t="shared" si="6"/>
        <v>AOR100136</v>
      </c>
      <c r="J84" s="514">
        <v>3</v>
      </c>
      <c r="L84" s="512" t="s">
        <v>720</v>
      </c>
      <c r="M84" s="512" t="s">
        <v>739</v>
      </c>
      <c r="N84" s="512" t="s">
        <v>721</v>
      </c>
      <c r="O84" s="513"/>
      <c r="P84" s="512" t="s">
        <v>721</v>
      </c>
      <c r="Q84" s="512" t="s">
        <v>25</v>
      </c>
      <c r="R84" s="513"/>
      <c r="S84" s="514">
        <v>18</v>
      </c>
      <c r="T84" s="298" t="str">
        <f t="shared" si="7"/>
        <v>HSGA0118</v>
      </c>
      <c r="U84" s="514">
        <v>3030</v>
      </c>
      <c r="W84" s="512" t="s">
        <v>269</v>
      </c>
      <c r="X84" s="512" t="s">
        <v>843</v>
      </c>
      <c r="Y84" s="512" t="s">
        <v>721</v>
      </c>
      <c r="Z84" s="514">
        <v>10</v>
      </c>
      <c r="AA84" s="512" t="s">
        <v>721</v>
      </c>
      <c r="AB84" s="512" t="s">
        <v>26</v>
      </c>
      <c r="AC84" s="514">
        <v>0</v>
      </c>
      <c r="AD84" s="514">
        <v>39</v>
      </c>
      <c r="AE84" s="298" t="str">
        <f t="shared" si="8"/>
        <v>HNR100239</v>
      </c>
      <c r="AF84" s="514">
        <v>390</v>
      </c>
      <c r="AH84" s="512" t="s">
        <v>721</v>
      </c>
      <c r="AI84" s="512" t="s">
        <v>1030</v>
      </c>
      <c r="AJ84" s="512" t="s">
        <v>721</v>
      </c>
      <c r="AK84" s="513"/>
      <c r="AL84" s="512" t="s">
        <v>721</v>
      </c>
      <c r="AM84" s="512" t="s">
        <v>26</v>
      </c>
      <c r="AN84" s="513"/>
      <c r="AO84" s="514">
        <v>39</v>
      </c>
      <c r="AP84" s="513"/>
      <c r="AQ84" s="298" t="str">
        <f t="shared" si="9"/>
        <v>HOR100239</v>
      </c>
      <c r="AR84" s="514">
        <v>595</v>
      </c>
      <c r="AT84" s="512" t="s">
        <v>743</v>
      </c>
      <c r="AU84" s="512" t="s">
        <v>744</v>
      </c>
      <c r="AV84" s="512" t="s">
        <v>721</v>
      </c>
      <c r="AW84" s="513"/>
      <c r="AX84" s="512" t="s">
        <v>721</v>
      </c>
      <c r="AY84" s="512" t="s">
        <v>26</v>
      </c>
      <c r="AZ84" s="513"/>
      <c r="BA84" s="514">
        <v>19</v>
      </c>
      <c r="BB84" s="298" t="str">
        <f t="shared" si="10"/>
        <v>CLR100219</v>
      </c>
      <c r="BC84" s="514">
        <v>15</v>
      </c>
      <c r="BF84" s="512" t="s">
        <v>658</v>
      </c>
      <c r="BG84" s="512" t="s">
        <v>732</v>
      </c>
      <c r="BH84" s="512" t="s">
        <v>26</v>
      </c>
      <c r="BI84" s="514">
        <v>39</v>
      </c>
      <c r="BJ84" s="298" t="str">
        <f t="shared" si="11"/>
        <v>AOR100239</v>
      </c>
      <c r="BK84" s="514">
        <v>0</v>
      </c>
      <c r="BL84" s="514">
        <v>1</v>
      </c>
      <c r="BM84" s="514">
        <v>1</v>
      </c>
      <c r="BN84" s="514">
        <v>1</v>
      </c>
      <c r="BO84" s="514">
        <v>1</v>
      </c>
      <c r="BP84" s="514">
        <v>2</v>
      </c>
      <c r="BQ84" s="514">
        <v>2</v>
      </c>
      <c r="BR84" s="514">
        <v>2</v>
      </c>
      <c r="BS84" s="514">
        <v>3</v>
      </c>
      <c r="BT84" s="514">
        <v>0</v>
      </c>
      <c r="BU84" s="514">
        <v>0</v>
      </c>
      <c r="BV84" s="514">
        <v>0</v>
      </c>
      <c r="BW84" s="514">
        <v>0</v>
      </c>
      <c r="BX84" s="514">
        <v>0</v>
      </c>
      <c r="BY84" s="514">
        <v>0</v>
      </c>
      <c r="BZ84" s="514">
        <v>0</v>
      </c>
      <c r="CA84" s="514">
        <v>0</v>
      </c>
      <c r="CB84" s="514">
        <v>0</v>
      </c>
      <c r="CC84" s="514">
        <v>0</v>
      </c>
      <c r="CD84" s="514">
        <v>0</v>
      </c>
      <c r="CE84" s="514">
        <v>0</v>
      </c>
      <c r="CF84" s="514">
        <v>0</v>
      </c>
      <c r="CG84" s="514">
        <v>0</v>
      </c>
      <c r="CH84" s="514">
        <v>0</v>
      </c>
      <c r="CI84" s="514">
        <v>0</v>
      </c>
      <c r="CJ84" s="514">
        <v>0</v>
      </c>
      <c r="CK84" s="514">
        <v>0</v>
      </c>
      <c r="CL84" s="514">
        <v>0</v>
      </c>
      <c r="CM84" s="514">
        <v>0</v>
      </c>
      <c r="CN84" s="514">
        <v>0</v>
      </c>
      <c r="CO84" s="514">
        <v>0</v>
      </c>
      <c r="CP84" s="514">
        <v>0</v>
      </c>
      <c r="CQ84" s="514">
        <v>0</v>
      </c>
      <c r="CR84" s="514">
        <v>0</v>
      </c>
      <c r="CS84" s="514">
        <v>0</v>
      </c>
      <c r="CT84" s="514">
        <v>0</v>
      </c>
      <c r="CU84" s="514">
        <v>0</v>
      </c>
      <c r="CV84" s="514">
        <v>0</v>
      </c>
      <c r="CW84" s="514">
        <v>0</v>
      </c>
      <c r="CX84" s="514">
        <v>0</v>
      </c>
      <c r="CY84" s="514">
        <v>0</v>
      </c>
      <c r="CZ84" s="514">
        <v>0</v>
      </c>
      <c r="DA84" s="514">
        <v>0</v>
      </c>
      <c r="DB84" s="514">
        <v>0</v>
      </c>
      <c r="DC84" s="514">
        <v>0</v>
      </c>
      <c r="DD84" s="514">
        <v>0</v>
      </c>
      <c r="DE84" s="514">
        <v>0</v>
      </c>
      <c r="DF84" s="514">
        <v>0</v>
      </c>
      <c r="DG84" s="514">
        <v>0</v>
      </c>
      <c r="DH84" s="514">
        <v>0</v>
      </c>
      <c r="DI84" s="514">
        <v>0</v>
      </c>
      <c r="DJ84" s="514">
        <v>0</v>
      </c>
      <c r="DK84" s="514">
        <v>0</v>
      </c>
      <c r="DL84" s="514">
        <v>0</v>
      </c>
      <c r="DM84" s="514">
        <v>0</v>
      </c>
      <c r="DN84" s="514">
        <v>0</v>
      </c>
      <c r="DO84" s="514">
        <v>0</v>
      </c>
      <c r="DP84" s="514">
        <v>0</v>
      </c>
      <c r="DQ84" s="514">
        <v>0</v>
      </c>
      <c r="DR84" s="514">
        <v>0</v>
      </c>
      <c r="DS84" s="514">
        <v>0</v>
      </c>
      <c r="DT84" s="514">
        <v>0</v>
      </c>
      <c r="DU84" s="514">
        <v>0</v>
      </c>
      <c r="DV84" s="514">
        <v>0</v>
      </c>
      <c r="DW84" s="514">
        <v>0</v>
      </c>
      <c r="DX84" s="514">
        <v>0</v>
      </c>
      <c r="DY84" s="514">
        <v>0</v>
      </c>
      <c r="DZ84" s="514">
        <v>0</v>
      </c>
      <c r="EA84" s="514">
        <v>0</v>
      </c>
      <c r="EB84" s="514">
        <v>0</v>
      </c>
      <c r="EC84" s="514">
        <v>0</v>
      </c>
      <c r="ED84" s="514">
        <v>0</v>
      </c>
      <c r="EE84" s="514">
        <v>0</v>
      </c>
      <c r="EF84" s="514">
        <v>0</v>
      </c>
      <c r="EG84" s="514">
        <v>0</v>
      </c>
      <c r="EH84" s="514">
        <v>0</v>
      </c>
      <c r="EI84" s="514">
        <v>0</v>
      </c>
      <c r="EJ84" s="514">
        <v>0</v>
      </c>
      <c r="EK84" s="514">
        <v>0</v>
      </c>
      <c r="EL84" s="514">
        <v>0</v>
      </c>
      <c r="EM84" s="514">
        <v>0</v>
      </c>
      <c r="EN84" s="514">
        <v>0</v>
      </c>
      <c r="EO84" s="514">
        <v>0</v>
      </c>
      <c r="EP84" s="514">
        <v>0</v>
      </c>
      <c r="EQ84" s="514">
        <v>0</v>
      </c>
      <c r="ER84" s="514">
        <v>0</v>
      </c>
      <c r="ES84" s="514">
        <v>0</v>
      </c>
      <c r="ET84" s="514">
        <v>0</v>
      </c>
      <c r="EU84" s="514">
        <v>0</v>
      </c>
      <c r="EV84" s="514">
        <v>0</v>
      </c>
      <c r="EW84" s="514">
        <v>0</v>
      </c>
      <c r="EX84" s="514">
        <v>0</v>
      </c>
      <c r="EY84" s="514">
        <v>0</v>
      </c>
      <c r="EZ84" s="514">
        <v>0</v>
      </c>
      <c r="FA84" s="514">
        <v>0</v>
      </c>
      <c r="FB84" s="514">
        <v>0</v>
      </c>
      <c r="FC84" s="514">
        <v>0</v>
      </c>
      <c r="FD84" s="514">
        <v>0</v>
      </c>
      <c r="FE84" s="514">
        <v>0</v>
      </c>
      <c r="FF84" s="514">
        <v>0</v>
      </c>
      <c r="FG84" s="514">
        <v>0</v>
      </c>
      <c r="FH84" s="514">
        <v>0</v>
      </c>
      <c r="FI84" s="514">
        <v>0</v>
      </c>
      <c r="FJ84" s="514">
        <v>0</v>
      </c>
      <c r="FK84" s="514">
        <v>0</v>
      </c>
      <c r="FL84" s="514">
        <v>0</v>
      </c>
      <c r="FM84" s="514">
        <v>0</v>
      </c>
      <c r="FN84" s="514">
        <v>0</v>
      </c>
      <c r="FO84" s="514">
        <v>0</v>
      </c>
      <c r="FP84" s="514">
        <v>0</v>
      </c>
      <c r="FQ84" s="514">
        <v>0</v>
      </c>
    </row>
    <row r="85" spans="1:173" ht="16.5" hidden="1">
      <c r="A85" s="512" t="s">
        <v>658</v>
      </c>
      <c r="B85" s="512" t="s">
        <v>732</v>
      </c>
      <c r="C85" s="512" t="s">
        <v>721</v>
      </c>
      <c r="D85" s="513"/>
      <c r="E85" s="512" t="s">
        <v>721</v>
      </c>
      <c r="F85" s="512" t="s">
        <v>25</v>
      </c>
      <c r="G85" s="513"/>
      <c r="H85" s="514">
        <v>37</v>
      </c>
      <c r="I85" s="298" t="str">
        <f t="shared" si="6"/>
        <v>AOR100137</v>
      </c>
      <c r="J85" s="514">
        <v>3</v>
      </c>
      <c r="L85" s="512" t="s">
        <v>720</v>
      </c>
      <c r="M85" s="512" t="s">
        <v>739</v>
      </c>
      <c r="N85" s="512" t="s">
        <v>721</v>
      </c>
      <c r="O85" s="513"/>
      <c r="P85" s="512" t="s">
        <v>721</v>
      </c>
      <c r="Q85" s="512" t="s">
        <v>25</v>
      </c>
      <c r="R85" s="513"/>
      <c r="S85" s="514">
        <v>19</v>
      </c>
      <c r="T85" s="298" t="str">
        <f t="shared" si="7"/>
        <v>HSGA0119</v>
      </c>
      <c r="U85" s="514">
        <v>3047</v>
      </c>
      <c r="W85" s="512" t="s">
        <v>269</v>
      </c>
      <c r="X85" s="512" t="s">
        <v>843</v>
      </c>
      <c r="Y85" s="512" t="s">
        <v>721</v>
      </c>
      <c r="Z85" s="514">
        <v>10</v>
      </c>
      <c r="AA85" s="512" t="s">
        <v>721</v>
      </c>
      <c r="AB85" s="512" t="s">
        <v>26</v>
      </c>
      <c r="AC85" s="514">
        <v>0</v>
      </c>
      <c r="AD85" s="514">
        <v>40</v>
      </c>
      <c r="AE85" s="298" t="str">
        <f t="shared" si="8"/>
        <v>HNR100240</v>
      </c>
      <c r="AF85" s="514">
        <v>402</v>
      </c>
      <c r="AH85" s="512" t="s">
        <v>721</v>
      </c>
      <c r="AI85" s="512" t="s">
        <v>1030</v>
      </c>
      <c r="AJ85" s="512" t="s">
        <v>721</v>
      </c>
      <c r="AK85" s="513"/>
      <c r="AL85" s="512" t="s">
        <v>721</v>
      </c>
      <c r="AM85" s="512" t="s">
        <v>26</v>
      </c>
      <c r="AN85" s="513"/>
      <c r="AO85" s="514">
        <v>40</v>
      </c>
      <c r="AP85" s="513"/>
      <c r="AQ85" s="298" t="str">
        <f t="shared" si="9"/>
        <v>HOR100240</v>
      </c>
      <c r="AR85" s="514">
        <v>605</v>
      </c>
      <c r="AT85" s="512" t="s">
        <v>743</v>
      </c>
      <c r="AU85" s="512" t="s">
        <v>744</v>
      </c>
      <c r="AV85" s="512" t="s">
        <v>721</v>
      </c>
      <c r="AW85" s="513"/>
      <c r="AX85" s="512" t="s">
        <v>721</v>
      </c>
      <c r="AY85" s="512" t="s">
        <v>25</v>
      </c>
      <c r="AZ85" s="513"/>
      <c r="BA85" s="514">
        <v>20</v>
      </c>
      <c r="BB85" s="298" t="str">
        <f t="shared" si="10"/>
        <v>CLR100120</v>
      </c>
      <c r="BC85" s="514">
        <v>13</v>
      </c>
      <c r="BF85" s="512" t="s">
        <v>658</v>
      </c>
      <c r="BG85" s="512" t="s">
        <v>732</v>
      </c>
      <c r="BH85" s="512" t="s">
        <v>26</v>
      </c>
      <c r="BI85" s="514">
        <v>40</v>
      </c>
      <c r="BJ85" s="298" t="str">
        <f t="shared" si="11"/>
        <v>AOR100240</v>
      </c>
      <c r="BK85" s="514">
        <v>0</v>
      </c>
      <c r="BL85" s="514">
        <v>1</v>
      </c>
      <c r="BM85" s="514">
        <v>1</v>
      </c>
      <c r="BN85" s="514">
        <v>1</v>
      </c>
      <c r="BO85" s="514">
        <v>1</v>
      </c>
      <c r="BP85" s="514">
        <v>2</v>
      </c>
      <c r="BQ85" s="514">
        <v>2</v>
      </c>
      <c r="BR85" s="514">
        <v>2</v>
      </c>
      <c r="BS85" s="514">
        <v>3</v>
      </c>
      <c r="BT85" s="514">
        <v>0</v>
      </c>
      <c r="BU85" s="514">
        <v>0</v>
      </c>
      <c r="BV85" s="514">
        <v>0</v>
      </c>
      <c r="BW85" s="514">
        <v>0</v>
      </c>
      <c r="BX85" s="514">
        <v>0</v>
      </c>
      <c r="BY85" s="514">
        <v>0</v>
      </c>
      <c r="BZ85" s="514">
        <v>0</v>
      </c>
      <c r="CA85" s="514">
        <v>0</v>
      </c>
      <c r="CB85" s="514">
        <v>0</v>
      </c>
      <c r="CC85" s="514">
        <v>0</v>
      </c>
      <c r="CD85" s="514">
        <v>0</v>
      </c>
      <c r="CE85" s="514">
        <v>0</v>
      </c>
      <c r="CF85" s="514">
        <v>0</v>
      </c>
      <c r="CG85" s="514">
        <v>0</v>
      </c>
      <c r="CH85" s="514">
        <v>0</v>
      </c>
      <c r="CI85" s="514">
        <v>0</v>
      </c>
      <c r="CJ85" s="514">
        <v>0</v>
      </c>
      <c r="CK85" s="514">
        <v>0</v>
      </c>
      <c r="CL85" s="514">
        <v>0</v>
      </c>
      <c r="CM85" s="514">
        <v>0</v>
      </c>
      <c r="CN85" s="514">
        <v>0</v>
      </c>
      <c r="CO85" s="514">
        <v>0</v>
      </c>
      <c r="CP85" s="514">
        <v>0</v>
      </c>
      <c r="CQ85" s="514">
        <v>0</v>
      </c>
      <c r="CR85" s="514">
        <v>0</v>
      </c>
      <c r="CS85" s="514">
        <v>0</v>
      </c>
      <c r="CT85" s="514">
        <v>0</v>
      </c>
      <c r="CU85" s="514">
        <v>0</v>
      </c>
      <c r="CV85" s="514">
        <v>0</v>
      </c>
      <c r="CW85" s="514">
        <v>0</v>
      </c>
      <c r="CX85" s="514">
        <v>0</v>
      </c>
      <c r="CY85" s="514">
        <v>0</v>
      </c>
      <c r="CZ85" s="514">
        <v>0</v>
      </c>
      <c r="DA85" s="514">
        <v>0</v>
      </c>
      <c r="DB85" s="514">
        <v>0</v>
      </c>
      <c r="DC85" s="514">
        <v>0</v>
      </c>
      <c r="DD85" s="514">
        <v>0</v>
      </c>
      <c r="DE85" s="514">
        <v>0</v>
      </c>
      <c r="DF85" s="514">
        <v>0</v>
      </c>
      <c r="DG85" s="514">
        <v>0</v>
      </c>
      <c r="DH85" s="514">
        <v>0</v>
      </c>
      <c r="DI85" s="514">
        <v>0</v>
      </c>
      <c r="DJ85" s="514">
        <v>0</v>
      </c>
      <c r="DK85" s="514">
        <v>0</v>
      </c>
      <c r="DL85" s="514">
        <v>0</v>
      </c>
      <c r="DM85" s="514">
        <v>0</v>
      </c>
      <c r="DN85" s="514">
        <v>0</v>
      </c>
      <c r="DO85" s="514">
        <v>0</v>
      </c>
      <c r="DP85" s="514">
        <v>0</v>
      </c>
      <c r="DQ85" s="514">
        <v>0</v>
      </c>
      <c r="DR85" s="514">
        <v>0</v>
      </c>
      <c r="DS85" s="514">
        <v>0</v>
      </c>
      <c r="DT85" s="514">
        <v>0</v>
      </c>
      <c r="DU85" s="514">
        <v>0</v>
      </c>
      <c r="DV85" s="514">
        <v>0</v>
      </c>
      <c r="DW85" s="514">
        <v>0</v>
      </c>
      <c r="DX85" s="514">
        <v>0</v>
      </c>
      <c r="DY85" s="514">
        <v>0</v>
      </c>
      <c r="DZ85" s="514">
        <v>0</v>
      </c>
      <c r="EA85" s="514">
        <v>0</v>
      </c>
      <c r="EB85" s="514">
        <v>0</v>
      </c>
      <c r="EC85" s="514">
        <v>0</v>
      </c>
      <c r="ED85" s="514">
        <v>0</v>
      </c>
      <c r="EE85" s="514">
        <v>0</v>
      </c>
      <c r="EF85" s="514">
        <v>0</v>
      </c>
      <c r="EG85" s="514">
        <v>0</v>
      </c>
      <c r="EH85" s="514">
        <v>0</v>
      </c>
      <c r="EI85" s="514">
        <v>0</v>
      </c>
      <c r="EJ85" s="514">
        <v>0</v>
      </c>
      <c r="EK85" s="514">
        <v>0</v>
      </c>
      <c r="EL85" s="514">
        <v>0</v>
      </c>
      <c r="EM85" s="514">
        <v>0</v>
      </c>
      <c r="EN85" s="514">
        <v>0</v>
      </c>
      <c r="EO85" s="514">
        <v>0</v>
      </c>
      <c r="EP85" s="514">
        <v>0</v>
      </c>
      <c r="EQ85" s="514">
        <v>0</v>
      </c>
      <c r="ER85" s="514">
        <v>0</v>
      </c>
      <c r="ES85" s="514">
        <v>0</v>
      </c>
      <c r="ET85" s="514">
        <v>0</v>
      </c>
      <c r="EU85" s="514">
        <v>0</v>
      </c>
      <c r="EV85" s="514">
        <v>0</v>
      </c>
      <c r="EW85" s="514">
        <v>0</v>
      </c>
      <c r="EX85" s="514">
        <v>0</v>
      </c>
      <c r="EY85" s="514">
        <v>0</v>
      </c>
      <c r="EZ85" s="514">
        <v>0</v>
      </c>
      <c r="FA85" s="514">
        <v>0</v>
      </c>
      <c r="FB85" s="514">
        <v>0</v>
      </c>
      <c r="FC85" s="514">
        <v>0</v>
      </c>
      <c r="FD85" s="514">
        <v>0</v>
      </c>
      <c r="FE85" s="514">
        <v>0</v>
      </c>
      <c r="FF85" s="514">
        <v>0</v>
      </c>
      <c r="FG85" s="514">
        <v>0</v>
      </c>
      <c r="FH85" s="514">
        <v>0</v>
      </c>
      <c r="FI85" s="514">
        <v>0</v>
      </c>
      <c r="FJ85" s="514">
        <v>0</v>
      </c>
      <c r="FK85" s="514">
        <v>0</v>
      </c>
      <c r="FL85" s="514">
        <v>0</v>
      </c>
      <c r="FM85" s="514">
        <v>0</v>
      </c>
      <c r="FN85" s="514">
        <v>0</v>
      </c>
      <c r="FO85" s="514">
        <v>0</v>
      </c>
      <c r="FP85" s="514">
        <v>0</v>
      </c>
      <c r="FQ85" s="514">
        <v>0</v>
      </c>
    </row>
    <row r="86" spans="1:173" ht="16.5" hidden="1">
      <c r="A86" s="512" t="s">
        <v>658</v>
      </c>
      <c r="B86" s="512" t="s">
        <v>732</v>
      </c>
      <c r="C86" s="512" t="s">
        <v>721</v>
      </c>
      <c r="D86" s="513"/>
      <c r="E86" s="512" t="s">
        <v>721</v>
      </c>
      <c r="F86" s="512" t="s">
        <v>25</v>
      </c>
      <c r="G86" s="513"/>
      <c r="H86" s="514">
        <v>38</v>
      </c>
      <c r="I86" s="298" t="str">
        <f t="shared" si="6"/>
        <v>AOR100138</v>
      </c>
      <c r="J86" s="514">
        <v>3</v>
      </c>
      <c r="L86" s="512" t="s">
        <v>720</v>
      </c>
      <c r="M86" s="512" t="s">
        <v>739</v>
      </c>
      <c r="N86" s="512" t="s">
        <v>721</v>
      </c>
      <c r="O86" s="513"/>
      <c r="P86" s="512" t="s">
        <v>721</v>
      </c>
      <c r="Q86" s="512" t="s">
        <v>26</v>
      </c>
      <c r="R86" s="513"/>
      <c r="S86" s="514">
        <v>15</v>
      </c>
      <c r="T86" s="298" t="str">
        <f t="shared" si="7"/>
        <v>HSGA0215</v>
      </c>
      <c r="U86" s="514">
        <v>3686</v>
      </c>
      <c r="W86" s="512" t="s">
        <v>269</v>
      </c>
      <c r="X86" s="512" t="s">
        <v>843</v>
      </c>
      <c r="Y86" s="512" t="s">
        <v>721</v>
      </c>
      <c r="Z86" s="514">
        <v>10</v>
      </c>
      <c r="AA86" s="512" t="s">
        <v>721</v>
      </c>
      <c r="AB86" s="512" t="s">
        <v>26</v>
      </c>
      <c r="AC86" s="514">
        <v>0</v>
      </c>
      <c r="AD86" s="514">
        <v>41</v>
      </c>
      <c r="AE86" s="298" t="str">
        <f t="shared" si="8"/>
        <v>HNR100241</v>
      </c>
      <c r="AF86" s="514">
        <v>412</v>
      </c>
      <c r="AH86" s="512" t="s">
        <v>721</v>
      </c>
      <c r="AI86" s="512" t="s">
        <v>1030</v>
      </c>
      <c r="AJ86" s="512" t="s">
        <v>721</v>
      </c>
      <c r="AK86" s="513"/>
      <c r="AL86" s="512" t="s">
        <v>721</v>
      </c>
      <c r="AM86" s="512" t="s">
        <v>26</v>
      </c>
      <c r="AN86" s="513"/>
      <c r="AO86" s="514">
        <v>41</v>
      </c>
      <c r="AP86" s="513"/>
      <c r="AQ86" s="298" t="str">
        <f t="shared" si="9"/>
        <v>HOR100241</v>
      </c>
      <c r="AR86" s="514">
        <v>615</v>
      </c>
      <c r="AT86" s="512" t="s">
        <v>743</v>
      </c>
      <c r="AU86" s="512" t="s">
        <v>744</v>
      </c>
      <c r="AV86" s="512" t="s">
        <v>721</v>
      </c>
      <c r="AW86" s="513"/>
      <c r="AX86" s="512" t="s">
        <v>721</v>
      </c>
      <c r="AY86" s="512" t="s">
        <v>26</v>
      </c>
      <c r="AZ86" s="513"/>
      <c r="BA86" s="514">
        <v>20</v>
      </c>
      <c r="BB86" s="298" t="str">
        <f t="shared" si="10"/>
        <v>CLR100220</v>
      </c>
      <c r="BC86" s="514">
        <v>18</v>
      </c>
      <c r="BF86" s="512" t="s">
        <v>658</v>
      </c>
      <c r="BG86" s="512" t="s">
        <v>732</v>
      </c>
      <c r="BH86" s="512" t="s">
        <v>26</v>
      </c>
      <c r="BI86" s="514">
        <v>41</v>
      </c>
      <c r="BJ86" s="298" t="str">
        <f t="shared" si="11"/>
        <v>AOR100241</v>
      </c>
      <c r="BK86" s="514">
        <v>0</v>
      </c>
      <c r="BL86" s="514">
        <v>1</v>
      </c>
      <c r="BM86" s="514">
        <v>1</v>
      </c>
      <c r="BN86" s="514">
        <v>1</v>
      </c>
      <c r="BO86" s="514">
        <v>1</v>
      </c>
      <c r="BP86" s="514">
        <v>2</v>
      </c>
      <c r="BQ86" s="514">
        <v>2</v>
      </c>
      <c r="BR86" s="514">
        <v>2</v>
      </c>
      <c r="BS86" s="514">
        <v>3</v>
      </c>
      <c r="BT86" s="514">
        <v>0</v>
      </c>
      <c r="BU86" s="514">
        <v>0</v>
      </c>
      <c r="BV86" s="514">
        <v>0</v>
      </c>
      <c r="BW86" s="514">
        <v>0</v>
      </c>
      <c r="BX86" s="514">
        <v>0</v>
      </c>
      <c r="BY86" s="514">
        <v>0</v>
      </c>
      <c r="BZ86" s="514">
        <v>0</v>
      </c>
      <c r="CA86" s="514">
        <v>0</v>
      </c>
      <c r="CB86" s="514">
        <v>0</v>
      </c>
      <c r="CC86" s="514">
        <v>0</v>
      </c>
      <c r="CD86" s="514">
        <v>0</v>
      </c>
      <c r="CE86" s="514">
        <v>0</v>
      </c>
      <c r="CF86" s="514">
        <v>0</v>
      </c>
      <c r="CG86" s="514">
        <v>0</v>
      </c>
      <c r="CH86" s="514">
        <v>0</v>
      </c>
      <c r="CI86" s="514">
        <v>0</v>
      </c>
      <c r="CJ86" s="514">
        <v>0</v>
      </c>
      <c r="CK86" s="514">
        <v>0</v>
      </c>
      <c r="CL86" s="514">
        <v>0</v>
      </c>
      <c r="CM86" s="514">
        <v>0</v>
      </c>
      <c r="CN86" s="514">
        <v>0</v>
      </c>
      <c r="CO86" s="514">
        <v>0</v>
      </c>
      <c r="CP86" s="514">
        <v>0</v>
      </c>
      <c r="CQ86" s="514">
        <v>0</v>
      </c>
      <c r="CR86" s="514">
        <v>0</v>
      </c>
      <c r="CS86" s="514">
        <v>0</v>
      </c>
      <c r="CT86" s="514">
        <v>0</v>
      </c>
      <c r="CU86" s="514">
        <v>0</v>
      </c>
      <c r="CV86" s="514">
        <v>0</v>
      </c>
      <c r="CW86" s="514">
        <v>0</v>
      </c>
      <c r="CX86" s="514">
        <v>0</v>
      </c>
      <c r="CY86" s="514">
        <v>0</v>
      </c>
      <c r="CZ86" s="514">
        <v>0</v>
      </c>
      <c r="DA86" s="514">
        <v>0</v>
      </c>
      <c r="DB86" s="514">
        <v>0</v>
      </c>
      <c r="DC86" s="514">
        <v>0</v>
      </c>
      <c r="DD86" s="514">
        <v>0</v>
      </c>
      <c r="DE86" s="514">
        <v>0</v>
      </c>
      <c r="DF86" s="514">
        <v>0</v>
      </c>
      <c r="DG86" s="514">
        <v>0</v>
      </c>
      <c r="DH86" s="514">
        <v>0</v>
      </c>
      <c r="DI86" s="514">
        <v>0</v>
      </c>
      <c r="DJ86" s="514">
        <v>0</v>
      </c>
      <c r="DK86" s="514">
        <v>0</v>
      </c>
      <c r="DL86" s="514">
        <v>0</v>
      </c>
      <c r="DM86" s="514">
        <v>0</v>
      </c>
      <c r="DN86" s="514">
        <v>0</v>
      </c>
      <c r="DO86" s="514">
        <v>0</v>
      </c>
      <c r="DP86" s="514">
        <v>0</v>
      </c>
      <c r="DQ86" s="514">
        <v>0</v>
      </c>
      <c r="DR86" s="514">
        <v>0</v>
      </c>
      <c r="DS86" s="514">
        <v>0</v>
      </c>
      <c r="DT86" s="514">
        <v>0</v>
      </c>
      <c r="DU86" s="514">
        <v>0</v>
      </c>
      <c r="DV86" s="514">
        <v>0</v>
      </c>
      <c r="DW86" s="514">
        <v>0</v>
      </c>
      <c r="DX86" s="514">
        <v>0</v>
      </c>
      <c r="DY86" s="514">
        <v>0</v>
      </c>
      <c r="DZ86" s="514">
        <v>0</v>
      </c>
      <c r="EA86" s="514">
        <v>0</v>
      </c>
      <c r="EB86" s="514">
        <v>0</v>
      </c>
      <c r="EC86" s="514">
        <v>0</v>
      </c>
      <c r="ED86" s="514">
        <v>0</v>
      </c>
      <c r="EE86" s="514">
        <v>0</v>
      </c>
      <c r="EF86" s="514">
        <v>0</v>
      </c>
      <c r="EG86" s="514">
        <v>0</v>
      </c>
      <c r="EH86" s="514">
        <v>0</v>
      </c>
      <c r="EI86" s="514">
        <v>0</v>
      </c>
      <c r="EJ86" s="514">
        <v>0</v>
      </c>
      <c r="EK86" s="514">
        <v>0</v>
      </c>
      <c r="EL86" s="514">
        <v>0</v>
      </c>
      <c r="EM86" s="514">
        <v>0</v>
      </c>
      <c r="EN86" s="514">
        <v>0</v>
      </c>
      <c r="EO86" s="514">
        <v>0</v>
      </c>
      <c r="EP86" s="514">
        <v>0</v>
      </c>
      <c r="EQ86" s="514">
        <v>0</v>
      </c>
      <c r="ER86" s="514">
        <v>0</v>
      </c>
      <c r="ES86" s="514">
        <v>0</v>
      </c>
      <c r="ET86" s="514">
        <v>0</v>
      </c>
      <c r="EU86" s="514">
        <v>0</v>
      </c>
      <c r="EV86" s="514">
        <v>0</v>
      </c>
      <c r="EW86" s="514">
        <v>0</v>
      </c>
      <c r="EX86" s="514">
        <v>0</v>
      </c>
      <c r="EY86" s="514">
        <v>0</v>
      </c>
      <c r="EZ86" s="514">
        <v>0</v>
      </c>
      <c r="FA86" s="514">
        <v>0</v>
      </c>
      <c r="FB86" s="514">
        <v>0</v>
      </c>
      <c r="FC86" s="514">
        <v>0</v>
      </c>
      <c r="FD86" s="514">
        <v>0</v>
      </c>
      <c r="FE86" s="514">
        <v>0</v>
      </c>
      <c r="FF86" s="514">
        <v>0</v>
      </c>
      <c r="FG86" s="514">
        <v>0</v>
      </c>
      <c r="FH86" s="514">
        <v>0</v>
      </c>
      <c r="FI86" s="514">
        <v>0</v>
      </c>
      <c r="FJ86" s="514">
        <v>0</v>
      </c>
      <c r="FK86" s="514">
        <v>0</v>
      </c>
      <c r="FL86" s="514">
        <v>0</v>
      </c>
      <c r="FM86" s="514">
        <v>0</v>
      </c>
      <c r="FN86" s="514">
        <v>0</v>
      </c>
      <c r="FO86" s="514">
        <v>0</v>
      </c>
      <c r="FP86" s="514">
        <v>0</v>
      </c>
      <c r="FQ86" s="514">
        <v>0</v>
      </c>
    </row>
    <row r="87" spans="1:173" ht="16.5" hidden="1">
      <c r="A87" s="512" t="s">
        <v>658</v>
      </c>
      <c r="B87" s="512" t="s">
        <v>732</v>
      </c>
      <c r="C87" s="512" t="s">
        <v>721</v>
      </c>
      <c r="D87" s="513"/>
      <c r="E87" s="512" t="s">
        <v>721</v>
      </c>
      <c r="F87" s="512" t="s">
        <v>25</v>
      </c>
      <c r="G87" s="513"/>
      <c r="H87" s="514">
        <v>39</v>
      </c>
      <c r="I87" s="298" t="str">
        <f t="shared" si="6"/>
        <v>AOR100139</v>
      </c>
      <c r="J87" s="514">
        <v>3</v>
      </c>
      <c r="L87" s="512" t="s">
        <v>720</v>
      </c>
      <c r="M87" s="512" t="s">
        <v>739</v>
      </c>
      <c r="N87" s="512" t="s">
        <v>721</v>
      </c>
      <c r="O87" s="513"/>
      <c r="P87" s="512" t="s">
        <v>721</v>
      </c>
      <c r="Q87" s="512" t="s">
        <v>26</v>
      </c>
      <c r="R87" s="513"/>
      <c r="S87" s="514">
        <v>16</v>
      </c>
      <c r="T87" s="298" t="str">
        <f t="shared" si="7"/>
        <v>HSGA0216</v>
      </c>
      <c r="U87" s="514">
        <v>3686</v>
      </c>
      <c r="W87" s="512" t="s">
        <v>269</v>
      </c>
      <c r="X87" s="512" t="s">
        <v>843</v>
      </c>
      <c r="Y87" s="512" t="s">
        <v>721</v>
      </c>
      <c r="Z87" s="514">
        <v>10</v>
      </c>
      <c r="AA87" s="512" t="s">
        <v>721</v>
      </c>
      <c r="AB87" s="512" t="s">
        <v>26</v>
      </c>
      <c r="AC87" s="514">
        <v>0</v>
      </c>
      <c r="AD87" s="514">
        <v>42</v>
      </c>
      <c r="AE87" s="298" t="str">
        <f t="shared" si="8"/>
        <v>HNR100242</v>
      </c>
      <c r="AF87" s="514">
        <v>421</v>
      </c>
      <c r="AH87" s="512" t="s">
        <v>721</v>
      </c>
      <c r="AI87" s="512" t="s">
        <v>1030</v>
      </c>
      <c r="AJ87" s="512" t="s">
        <v>721</v>
      </c>
      <c r="AK87" s="513"/>
      <c r="AL87" s="512" t="s">
        <v>721</v>
      </c>
      <c r="AM87" s="512" t="s">
        <v>26</v>
      </c>
      <c r="AN87" s="513"/>
      <c r="AO87" s="514">
        <v>42</v>
      </c>
      <c r="AP87" s="513"/>
      <c r="AQ87" s="298" t="str">
        <f t="shared" si="9"/>
        <v>HOR100242</v>
      </c>
      <c r="AR87" s="514">
        <v>625</v>
      </c>
      <c r="AT87" s="512" t="s">
        <v>743</v>
      </c>
      <c r="AU87" s="512" t="s">
        <v>744</v>
      </c>
      <c r="AV87" s="512" t="s">
        <v>721</v>
      </c>
      <c r="AW87" s="513"/>
      <c r="AX87" s="512" t="s">
        <v>721</v>
      </c>
      <c r="AY87" s="512" t="s">
        <v>25</v>
      </c>
      <c r="AZ87" s="513"/>
      <c r="BA87" s="514">
        <v>21</v>
      </c>
      <c r="BB87" s="298" t="str">
        <f t="shared" si="10"/>
        <v>CLR100121</v>
      </c>
      <c r="BC87" s="514">
        <v>15</v>
      </c>
      <c r="BF87" s="512" t="s">
        <v>658</v>
      </c>
      <c r="BG87" s="512" t="s">
        <v>732</v>
      </c>
      <c r="BH87" s="512" t="s">
        <v>26</v>
      </c>
      <c r="BI87" s="514">
        <v>42</v>
      </c>
      <c r="BJ87" s="298" t="str">
        <f t="shared" si="11"/>
        <v>AOR100242</v>
      </c>
      <c r="BK87" s="514">
        <v>0</v>
      </c>
      <c r="BL87" s="514">
        <v>1</v>
      </c>
      <c r="BM87" s="514">
        <v>1</v>
      </c>
      <c r="BN87" s="514">
        <v>1</v>
      </c>
      <c r="BO87" s="514">
        <v>1</v>
      </c>
      <c r="BP87" s="514">
        <v>2</v>
      </c>
      <c r="BQ87" s="514">
        <v>2</v>
      </c>
      <c r="BR87" s="514">
        <v>2</v>
      </c>
      <c r="BS87" s="514">
        <v>3</v>
      </c>
      <c r="BT87" s="514">
        <v>0</v>
      </c>
      <c r="BU87" s="514">
        <v>0</v>
      </c>
      <c r="BV87" s="514">
        <v>0</v>
      </c>
      <c r="BW87" s="514">
        <v>0</v>
      </c>
      <c r="BX87" s="514">
        <v>0</v>
      </c>
      <c r="BY87" s="514">
        <v>0</v>
      </c>
      <c r="BZ87" s="514">
        <v>0</v>
      </c>
      <c r="CA87" s="514">
        <v>0</v>
      </c>
      <c r="CB87" s="514">
        <v>0</v>
      </c>
      <c r="CC87" s="514">
        <v>0</v>
      </c>
      <c r="CD87" s="514">
        <v>0</v>
      </c>
      <c r="CE87" s="514">
        <v>0</v>
      </c>
      <c r="CF87" s="514">
        <v>0</v>
      </c>
      <c r="CG87" s="514">
        <v>0</v>
      </c>
      <c r="CH87" s="514">
        <v>0</v>
      </c>
      <c r="CI87" s="514">
        <v>0</v>
      </c>
      <c r="CJ87" s="514">
        <v>0</v>
      </c>
      <c r="CK87" s="514">
        <v>0</v>
      </c>
      <c r="CL87" s="514">
        <v>0</v>
      </c>
      <c r="CM87" s="514">
        <v>0</v>
      </c>
      <c r="CN87" s="514">
        <v>0</v>
      </c>
      <c r="CO87" s="514">
        <v>0</v>
      </c>
      <c r="CP87" s="514">
        <v>0</v>
      </c>
      <c r="CQ87" s="514">
        <v>0</v>
      </c>
      <c r="CR87" s="514">
        <v>0</v>
      </c>
      <c r="CS87" s="514">
        <v>0</v>
      </c>
      <c r="CT87" s="514">
        <v>0</v>
      </c>
      <c r="CU87" s="514">
        <v>0</v>
      </c>
      <c r="CV87" s="514">
        <v>0</v>
      </c>
      <c r="CW87" s="514">
        <v>0</v>
      </c>
      <c r="CX87" s="514">
        <v>0</v>
      </c>
      <c r="CY87" s="514">
        <v>0</v>
      </c>
      <c r="CZ87" s="514">
        <v>0</v>
      </c>
      <c r="DA87" s="514">
        <v>0</v>
      </c>
      <c r="DB87" s="514">
        <v>0</v>
      </c>
      <c r="DC87" s="514">
        <v>0</v>
      </c>
      <c r="DD87" s="514">
        <v>0</v>
      </c>
      <c r="DE87" s="514">
        <v>0</v>
      </c>
      <c r="DF87" s="514">
        <v>0</v>
      </c>
      <c r="DG87" s="514">
        <v>0</v>
      </c>
      <c r="DH87" s="514">
        <v>0</v>
      </c>
      <c r="DI87" s="514">
        <v>0</v>
      </c>
      <c r="DJ87" s="514">
        <v>0</v>
      </c>
      <c r="DK87" s="514">
        <v>0</v>
      </c>
      <c r="DL87" s="514">
        <v>0</v>
      </c>
      <c r="DM87" s="514">
        <v>0</v>
      </c>
      <c r="DN87" s="514">
        <v>0</v>
      </c>
      <c r="DO87" s="514">
        <v>0</v>
      </c>
      <c r="DP87" s="514">
        <v>0</v>
      </c>
      <c r="DQ87" s="514">
        <v>0</v>
      </c>
      <c r="DR87" s="514">
        <v>0</v>
      </c>
      <c r="DS87" s="514">
        <v>0</v>
      </c>
      <c r="DT87" s="514">
        <v>0</v>
      </c>
      <c r="DU87" s="514">
        <v>0</v>
      </c>
      <c r="DV87" s="514">
        <v>0</v>
      </c>
      <c r="DW87" s="514">
        <v>0</v>
      </c>
      <c r="DX87" s="514">
        <v>0</v>
      </c>
      <c r="DY87" s="514">
        <v>0</v>
      </c>
      <c r="DZ87" s="514">
        <v>0</v>
      </c>
      <c r="EA87" s="514">
        <v>0</v>
      </c>
      <c r="EB87" s="514">
        <v>0</v>
      </c>
      <c r="EC87" s="514">
        <v>0</v>
      </c>
      <c r="ED87" s="514">
        <v>0</v>
      </c>
      <c r="EE87" s="514">
        <v>0</v>
      </c>
      <c r="EF87" s="514">
        <v>0</v>
      </c>
      <c r="EG87" s="514">
        <v>0</v>
      </c>
      <c r="EH87" s="514">
        <v>0</v>
      </c>
      <c r="EI87" s="514">
        <v>0</v>
      </c>
      <c r="EJ87" s="514">
        <v>0</v>
      </c>
      <c r="EK87" s="514">
        <v>0</v>
      </c>
      <c r="EL87" s="514">
        <v>0</v>
      </c>
      <c r="EM87" s="514">
        <v>0</v>
      </c>
      <c r="EN87" s="514">
        <v>0</v>
      </c>
      <c r="EO87" s="514">
        <v>0</v>
      </c>
      <c r="EP87" s="514">
        <v>0</v>
      </c>
      <c r="EQ87" s="514">
        <v>0</v>
      </c>
      <c r="ER87" s="514">
        <v>0</v>
      </c>
      <c r="ES87" s="514">
        <v>0</v>
      </c>
      <c r="ET87" s="514">
        <v>0</v>
      </c>
      <c r="EU87" s="514">
        <v>0</v>
      </c>
      <c r="EV87" s="514">
        <v>0</v>
      </c>
      <c r="EW87" s="514">
        <v>0</v>
      </c>
      <c r="EX87" s="514">
        <v>0</v>
      </c>
      <c r="EY87" s="514">
        <v>0</v>
      </c>
      <c r="EZ87" s="514">
        <v>0</v>
      </c>
      <c r="FA87" s="514">
        <v>0</v>
      </c>
      <c r="FB87" s="514">
        <v>0</v>
      </c>
      <c r="FC87" s="514">
        <v>0</v>
      </c>
      <c r="FD87" s="514">
        <v>0</v>
      </c>
      <c r="FE87" s="514">
        <v>0</v>
      </c>
      <c r="FF87" s="514">
        <v>0</v>
      </c>
      <c r="FG87" s="514">
        <v>0</v>
      </c>
      <c r="FH87" s="514">
        <v>0</v>
      </c>
      <c r="FI87" s="514">
        <v>0</v>
      </c>
      <c r="FJ87" s="514">
        <v>0</v>
      </c>
      <c r="FK87" s="514">
        <v>0</v>
      </c>
      <c r="FL87" s="514">
        <v>0</v>
      </c>
      <c r="FM87" s="514">
        <v>0</v>
      </c>
      <c r="FN87" s="514">
        <v>0</v>
      </c>
      <c r="FO87" s="514">
        <v>0</v>
      </c>
      <c r="FP87" s="514">
        <v>0</v>
      </c>
      <c r="FQ87" s="514">
        <v>0</v>
      </c>
    </row>
    <row r="88" spans="1:173" ht="16.5" hidden="1">
      <c r="A88" s="512" t="s">
        <v>658</v>
      </c>
      <c r="B88" s="512" t="s">
        <v>732</v>
      </c>
      <c r="C88" s="512" t="s">
        <v>721</v>
      </c>
      <c r="D88" s="513"/>
      <c r="E88" s="512" t="s">
        <v>721</v>
      </c>
      <c r="F88" s="512" t="s">
        <v>25</v>
      </c>
      <c r="G88" s="513"/>
      <c r="H88" s="514">
        <v>40</v>
      </c>
      <c r="I88" s="298" t="str">
        <f t="shared" si="6"/>
        <v>AOR100140</v>
      </c>
      <c r="J88" s="514">
        <v>3</v>
      </c>
      <c r="L88" s="512" t="s">
        <v>720</v>
      </c>
      <c r="M88" s="512" t="s">
        <v>739</v>
      </c>
      <c r="N88" s="512" t="s">
        <v>721</v>
      </c>
      <c r="O88" s="513"/>
      <c r="P88" s="512" t="s">
        <v>721</v>
      </c>
      <c r="Q88" s="512" t="s">
        <v>26</v>
      </c>
      <c r="R88" s="513"/>
      <c r="S88" s="514">
        <v>17</v>
      </c>
      <c r="T88" s="298" t="str">
        <f t="shared" si="7"/>
        <v>HSGA0217</v>
      </c>
      <c r="U88" s="514">
        <v>3686</v>
      </c>
      <c r="W88" s="512" t="s">
        <v>269</v>
      </c>
      <c r="X88" s="512" t="s">
        <v>843</v>
      </c>
      <c r="Y88" s="512" t="s">
        <v>721</v>
      </c>
      <c r="Z88" s="514">
        <v>10</v>
      </c>
      <c r="AA88" s="512" t="s">
        <v>721</v>
      </c>
      <c r="AB88" s="512" t="s">
        <v>26</v>
      </c>
      <c r="AC88" s="514">
        <v>0</v>
      </c>
      <c r="AD88" s="514">
        <v>43</v>
      </c>
      <c r="AE88" s="298" t="str">
        <f t="shared" si="8"/>
        <v>HNR100243</v>
      </c>
      <c r="AF88" s="514">
        <v>432</v>
      </c>
      <c r="AH88" s="512" t="s">
        <v>721</v>
      </c>
      <c r="AI88" s="512" t="s">
        <v>1030</v>
      </c>
      <c r="AJ88" s="512" t="s">
        <v>721</v>
      </c>
      <c r="AK88" s="513"/>
      <c r="AL88" s="512" t="s">
        <v>721</v>
      </c>
      <c r="AM88" s="512" t="s">
        <v>26</v>
      </c>
      <c r="AN88" s="513"/>
      <c r="AO88" s="514">
        <v>43</v>
      </c>
      <c r="AP88" s="513"/>
      <c r="AQ88" s="298" t="str">
        <f t="shared" si="9"/>
        <v>HOR100243</v>
      </c>
      <c r="AR88" s="514">
        <v>640</v>
      </c>
      <c r="AT88" s="512" t="s">
        <v>743</v>
      </c>
      <c r="AU88" s="512" t="s">
        <v>744</v>
      </c>
      <c r="AV88" s="512" t="s">
        <v>721</v>
      </c>
      <c r="AW88" s="513"/>
      <c r="AX88" s="512" t="s">
        <v>721</v>
      </c>
      <c r="AY88" s="512" t="s">
        <v>26</v>
      </c>
      <c r="AZ88" s="513"/>
      <c r="BA88" s="514">
        <v>21</v>
      </c>
      <c r="BB88" s="298" t="str">
        <f t="shared" si="10"/>
        <v>CLR100221</v>
      </c>
      <c r="BC88" s="514">
        <v>21</v>
      </c>
      <c r="BF88" s="512" t="s">
        <v>658</v>
      </c>
      <c r="BG88" s="512" t="s">
        <v>732</v>
      </c>
      <c r="BH88" s="512" t="s">
        <v>26</v>
      </c>
      <c r="BI88" s="514">
        <v>43</v>
      </c>
      <c r="BJ88" s="298" t="str">
        <f t="shared" si="11"/>
        <v>AOR100243</v>
      </c>
      <c r="BK88" s="514">
        <v>0</v>
      </c>
      <c r="BL88" s="514">
        <v>1</v>
      </c>
      <c r="BM88" s="514">
        <v>1</v>
      </c>
      <c r="BN88" s="514">
        <v>1</v>
      </c>
      <c r="BO88" s="514">
        <v>1</v>
      </c>
      <c r="BP88" s="514">
        <v>2</v>
      </c>
      <c r="BQ88" s="514">
        <v>2</v>
      </c>
      <c r="BR88" s="514">
        <v>2</v>
      </c>
      <c r="BS88" s="514">
        <v>3</v>
      </c>
      <c r="BT88" s="514">
        <v>0</v>
      </c>
      <c r="BU88" s="514">
        <v>0</v>
      </c>
      <c r="BV88" s="514">
        <v>0</v>
      </c>
      <c r="BW88" s="514">
        <v>0</v>
      </c>
      <c r="BX88" s="514">
        <v>0</v>
      </c>
      <c r="BY88" s="514">
        <v>0</v>
      </c>
      <c r="BZ88" s="514">
        <v>0</v>
      </c>
      <c r="CA88" s="514">
        <v>0</v>
      </c>
      <c r="CB88" s="514">
        <v>0</v>
      </c>
      <c r="CC88" s="514">
        <v>0</v>
      </c>
      <c r="CD88" s="514">
        <v>0</v>
      </c>
      <c r="CE88" s="514">
        <v>0</v>
      </c>
      <c r="CF88" s="514">
        <v>0</v>
      </c>
      <c r="CG88" s="514">
        <v>0</v>
      </c>
      <c r="CH88" s="514">
        <v>0</v>
      </c>
      <c r="CI88" s="514">
        <v>0</v>
      </c>
      <c r="CJ88" s="514">
        <v>0</v>
      </c>
      <c r="CK88" s="514">
        <v>0</v>
      </c>
      <c r="CL88" s="514">
        <v>0</v>
      </c>
      <c r="CM88" s="514">
        <v>0</v>
      </c>
      <c r="CN88" s="514">
        <v>0</v>
      </c>
      <c r="CO88" s="514">
        <v>0</v>
      </c>
      <c r="CP88" s="514">
        <v>0</v>
      </c>
      <c r="CQ88" s="514">
        <v>0</v>
      </c>
      <c r="CR88" s="514">
        <v>0</v>
      </c>
      <c r="CS88" s="514">
        <v>0</v>
      </c>
      <c r="CT88" s="514">
        <v>0</v>
      </c>
      <c r="CU88" s="514">
        <v>0</v>
      </c>
      <c r="CV88" s="514">
        <v>0</v>
      </c>
      <c r="CW88" s="514">
        <v>0</v>
      </c>
      <c r="CX88" s="514">
        <v>0</v>
      </c>
      <c r="CY88" s="514">
        <v>0</v>
      </c>
      <c r="CZ88" s="514">
        <v>0</v>
      </c>
      <c r="DA88" s="514">
        <v>0</v>
      </c>
      <c r="DB88" s="514">
        <v>0</v>
      </c>
      <c r="DC88" s="514">
        <v>0</v>
      </c>
      <c r="DD88" s="514">
        <v>0</v>
      </c>
      <c r="DE88" s="514">
        <v>0</v>
      </c>
      <c r="DF88" s="514">
        <v>0</v>
      </c>
      <c r="DG88" s="514">
        <v>0</v>
      </c>
      <c r="DH88" s="514">
        <v>0</v>
      </c>
      <c r="DI88" s="514">
        <v>0</v>
      </c>
      <c r="DJ88" s="514">
        <v>0</v>
      </c>
      <c r="DK88" s="514">
        <v>0</v>
      </c>
      <c r="DL88" s="514">
        <v>0</v>
      </c>
      <c r="DM88" s="514">
        <v>0</v>
      </c>
      <c r="DN88" s="514">
        <v>0</v>
      </c>
      <c r="DO88" s="514">
        <v>0</v>
      </c>
      <c r="DP88" s="514">
        <v>0</v>
      </c>
      <c r="DQ88" s="514">
        <v>0</v>
      </c>
      <c r="DR88" s="514">
        <v>0</v>
      </c>
      <c r="DS88" s="514">
        <v>0</v>
      </c>
      <c r="DT88" s="514">
        <v>0</v>
      </c>
      <c r="DU88" s="514">
        <v>0</v>
      </c>
      <c r="DV88" s="514">
        <v>0</v>
      </c>
      <c r="DW88" s="514">
        <v>0</v>
      </c>
      <c r="DX88" s="514">
        <v>0</v>
      </c>
      <c r="DY88" s="514">
        <v>0</v>
      </c>
      <c r="DZ88" s="514">
        <v>0</v>
      </c>
      <c r="EA88" s="514">
        <v>0</v>
      </c>
      <c r="EB88" s="514">
        <v>0</v>
      </c>
      <c r="EC88" s="514">
        <v>0</v>
      </c>
      <c r="ED88" s="514">
        <v>0</v>
      </c>
      <c r="EE88" s="514">
        <v>0</v>
      </c>
      <c r="EF88" s="514">
        <v>0</v>
      </c>
      <c r="EG88" s="514">
        <v>0</v>
      </c>
      <c r="EH88" s="514">
        <v>0</v>
      </c>
      <c r="EI88" s="514">
        <v>0</v>
      </c>
      <c r="EJ88" s="514">
        <v>0</v>
      </c>
      <c r="EK88" s="514">
        <v>0</v>
      </c>
      <c r="EL88" s="514">
        <v>0</v>
      </c>
      <c r="EM88" s="514">
        <v>0</v>
      </c>
      <c r="EN88" s="514">
        <v>0</v>
      </c>
      <c r="EO88" s="514">
        <v>0</v>
      </c>
      <c r="EP88" s="514">
        <v>0</v>
      </c>
      <c r="EQ88" s="514">
        <v>0</v>
      </c>
      <c r="ER88" s="514">
        <v>0</v>
      </c>
      <c r="ES88" s="514">
        <v>0</v>
      </c>
      <c r="ET88" s="514">
        <v>0</v>
      </c>
      <c r="EU88" s="514">
        <v>0</v>
      </c>
      <c r="EV88" s="514">
        <v>0</v>
      </c>
      <c r="EW88" s="514">
        <v>0</v>
      </c>
      <c r="EX88" s="514">
        <v>0</v>
      </c>
      <c r="EY88" s="514">
        <v>0</v>
      </c>
      <c r="EZ88" s="514">
        <v>0</v>
      </c>
      <c r="FA88" s="514">
        <v>0</v>
      </c>
      <c r="FB88" s="514">
        <v>0</v>
      </c>
      <c r="FC88" s="514">
        <v>0</v>
      </c>
      <c r="FD88" s="514">
        <v>0</v>
      </c>
      <c r="FE88" s="514">
        <v>0</v>
      </c>
      <c r="FF88" s="514">
        <v>0</v>
      </c>
      <c r="FG88" s="514">
        <v>0</v>
      </c>
      <c r="FH88" s="514">
        <v>0</v>
      </c>
      <c r="FI88" s="514">
        <v>0</v>
      </c>
      <c r="FJ88" s="514">
        <v>0</v>
      </c>
      <c r="FK88" s="514">
        <v>0</v>
      </c>
      <c r="FL88" s="514">
        <v>0</v>
      </c>
      <c r="FM88" s="514">
        <v>0</v>
      </c>
      <c r="FN88" s="514">
        <v>0</v>
      </c>
      <c r="FO88" s="514">
        <v>0</v>
      </c>
      <c r="FP88" s="514">
        <v>0</v>
      </c>
      <c r="FQ88" s="514">
        <v>0</v>
      </c>
    </row>
    <row r="89" spans="1:173" ht="16.5" hidden="1">
      <c r="A89" s="512" t="s">
        <v>658</v>
      </c>
      <c r="B89" s="512" t="s">
        <v>732</v>
      </c>
      <c r="C89" s="512" t="s">
        <v>721</v>
      </c>
      <c r="D89" s="513"/>
      <c r="E89" s="512" t="s">
        <v>721</v>
      </c>
      <c r="F89" s="512" t="s">
        <v>25</v>
      </c>
      <c r="G89" s="513"/>
      <c r="H89" s="514">
        <v>41</v>
      </c>
      <c r="I89" s="298" t="str">
        <f t="shared" si="6"/>
        <v>AOR100141</v>
      </c>
      <c r="J89" s="514">
        <v>3</v>
      </c>
      <c r="L89" s="512" t="s">
        <v>720</v>
      </c>
      <c r="M89" s="512" t="s">
        <v>739</v>
      </c>
      <c r="N89" s="512" t="s">
        <v>721</v>
      </c>
      <c r="O89" s="513"/>
      <c r="P89" s="512" t="s">
        <v>721</v>
      </c>
      <c r="Q89" s="512" t="s">
        <v>26</v>
      </c>
      <c r="R89" s="513"/>
      <c r="S89" s="514">
        <v>18</v>
      </c>
      <c r="T89" s="298" t="str">
        <f t="shared" si="7"/>
        <v>HSGA0218</v>
      </c>
      <c r="U89" s="514">
        <v>3686</v>
      </c>
      <c r="W89" s="512" t="s">
        <v>269</v>
      </c>
      <c r="X89" s="512" t="s">
        <v>843</v>
      </c>
      <c r="Y89" s="512" t="s">
        <v>721</v>
      </c>
      <c r="Z89" s="514">
        <v>10</v>
      </c>
      <c r="AA89" s="512" t="s">
        <v>721</v>
      </c>
      <c r="AB89" s="512" t="s">
        <v>26</v>
      </c>
      <c r="AC89" s="514">
        <v>0</v>
      </c>
      <c r="AD89" s="514">
        <v>44</v>
      </c>
      <c r="AE89" s="298" t="str">
        <f t="shared" si="8"/>
        <v>HNR100244</v>
      </c>
      <c r="AF89" s="514">
        <v>442</v>
      </c>
      <c r="AH89" s="512" t="s">
        <v>721</v>
      </c>
      <c r="AI89" s="512" t="s">
        <v>1030</v>
      </c>
      <c r="AJ89" s="512" t="s">
        <v>721</v>
      </c>
      <c r="AK89" s="513"/>
      <c r="AL89" s="512" t="s">
        <v>721</v>
      </c>
      <c r="AM89" s="512" t="s">
        <v>26</v>
      </c>
      <c r="AN89" s="513"/>
      <c r="AO89" s="514">
        <v>44</v>
      </c>
      <c r="AP89" s="513"/>
      <c r="AQ89" s="298" t="str">
        <f t="shared" si="9"/>
        <v>HOR100244</v>
      </c>
      <c r="AR89" s="514">
        <v>660</v>
      </c>
      <c r="AT89" s="512" t="s">
        <v>743</v>
      </c>
      <c r="AU89" s="512" t="s">
        <v>744</v>
      </c>
      <c r="AV89" s="512" t="s">
        <v>721</v>
      </c>
      <c r="AW89" s="513"/>
      <c r="AX89" s="512" t="s">
        <v>721</v>
      </c>
      <c r="AY89" s="512" t="s">
        <v>25</v>
      </c>
      <c r="AZ89" s="513"/>
      <c r="BA89" s="514">
        <v>58</v>
      </c>
      <c r="BB89" s="298" t="str">
        <f t="shared" si="10"/>
        <v>CLR100158</v>
      </c>
      <c r="BC89" s="514">
        <v>532</v>
      </c>
      <c r="BF89" s="512" t="s">
        <v>658</v>
      </c>
      <c r="BG89" s="512" t="s">
        <v>732</v>
      </c>
      <c r="BH89" s="512" t="s">
        <v>26</v>
      </c>
      <c r="BI89" s="514">
        <v>44</v>
      </c>
      <c r="BJ89" s="298" t="str">
        <f t="shared" si="11"/>
        <v>AOR100244</v>
      </c>
      <c r="BK89" s="514">
        <v>0</v>
      </c>
      <c r="BL89" s="514">
        <v>1</v>
      </c>
      <c r="BM89" s="514">
        <v>1</v>
      </c>
      <c r="BN89" s="514">
        <v>1</v>
      </c>
      <c r="BO89" s="514">
        <v>1</v>
      </c>
      <c r="BP89" s="514">
        <v>2</v>
      </c>
      <c r="BQ89" s="514">
        <v>2</v>
      </c>
      <c r="BR89" s="514">
        <v>2</v>
      </c>
      <c r="BS89" s="514">
        <v>3</v>
      </c>
      <c r="BT89" s="514">
        <v>0</v>
      </c>
      <c r="BU89" s="514">
        <v>0</v>
      </c>
      <c r="BV89" s="514">
        <v>0</v>
      </c>
      <c r="BW89" s="514">
        <v>0</v>
      </c>
      <c r="BX89" s="514">
        <v>0</v>
      </c>
      <c r="BY89" s="514">
        <v>0</v>
      </c>
      <c r="BZ89" s="514">
        <v>0</v>
      </c>
      <c r="CA89" s="514">
        <v>0</v>
      </c>
      <c r="CB89" s="514">
        <v>0</v>
      </c>
      <c r="CC89" s="514">
        <v>0</v>
      </c>
      <c r="CD89" s="514">
        <v>0</v>
      </c>
      <c r="CE89" s="514">
        <v>0</v>
      </c>
      <c r="CF89" s="514">
        <v>0</v>
      </c>
      <c r="CG89" s="514">
        <v>0</v>
      </c>
      <c r="CH89" s="514">
        <v>0</v>
      </c>
      <c r="CI89" s="514">
        <v>0</v>
      </c>
      <c r="CJ89" s="514">
        <v>0</v>
      </c>
      <c r="CK89" s="514">
        <v>0</v>
      </c>
      <c r="CL89" s="514">
        <v>0</v>
      </c>
      <c r="CM89" s="514">
        <v>0</v>
      </c>
      <c r="CN89" s="514">
        <v>0</v>
      </c>
      <c r="CO89" s="514">
        <v>0</v>
      </c>
      <c r="CP89" s="514">
        <v>0</v>
      </c>
      <c r="CQ89" s="514">
        <v>0</v>
      </c>
      <c r="CR89" s="514">
        <v>0</v>
      </c>
      <c r="CS89" s="514">
        <v>0</v>
      </c>
      <c r="CT89" s="514">
        <v>0</v>
      </c>
      <c r="CU89" s="514">
        <v>0</v>
      </c>
      <c r="CV89" s="514">
        <v>0</v>
      </c>
      <c r="CW89" s="514">
        <v>0</v>
      </c>
      <c r="CX89" s="514">
        <v>0</v>
      </c>
      <c r="CY89" s="514">
        <v>0</v>
      </c>
      <c r="CZ89" s="514">
        <v>0</v>
      </c>
      <c r="DA89" s="514">
        <v>0</v>
      </c>
      <c r="DB89" s="514">
        <v>0</v>
      </c>
      <c r="DC89" s="514">
        <v>0</v>
      </c>
      <c r="DD89" s="514">
        <v>0</v>
      </c>
      <c r="DE89" s="514">
        <v>0</v>
      </c>
      <c r="DF89" s="514">
        <v>0</v>
      </c>
      <c r="DG89" s="514">
        <v>0</v>
      </c>
      <c r="DH89" s="514">
        <v>0</v>
      </c>
      <c r="DI89" s="514">
        <v>0</v>
      </c>
      <c r="DJ89" s="514">
        <v>0</v>
      </c>
      <c r="DK89" s="514">
        <v>0</v>
      </c>
      <c r="DL89" s="514">
        <v>0</v>
      </c>
      <c r="DM89" s="514">
        <v>0</v>
      </c>
      <c r="DN89" s="514">
        <v>0</v>
      </c>
      <c r="DO89" s="514">
        <v>0</v>
      </c>
      <c r="DP89" s="514">
        <v>0</v>
      </c>
      <c r="DQ89" s="514">
        <v>0</v>
      </c>
      <c r="DR89" s="514">
        <v>0</v>
      </c>
      <c r="DS89" s="514">
        <v>0</v>
      </c>
      <c r="DT89" s="514">
        <v>0</v>
      </c>
      <c r="DU89" s="514">
        <v>0</v>
      </c>
      <c r="DV89" s="514">
        <v>0</v>
      </c>
      <c r="DW89" s="514">
        <v>0</v>
      </c>
      <c r="DX89" s="514">
        <v>0</v>
      </c>
      <c r="DY89" s="514">
        <v>0</v>
      </c>
      <c r="DZ89" s="514">
        <v>0</v>
      </c>
      <c r="EA89" s="514">
        <v>0</v>
      </c>
      <c r="EB89" s="514">
        <v>0</v>
      </c>
      <c r="EC89" s="514">
        <v>0</v>
      </c>
      <c r="ED89" s="514">
        <v>0</v>
      </c>
      <c r="EE89" s="514">
        <v>0</v>
      </c>
      <c r="EF89" s="514">
        <v>0</v>
      </c>
      <c r="EG89" s="514">
        <v>0</v>
      </c>
      <c r="EH89" s="514">
        <v>0</v>
      </c>
      <c r="EI89" s="514">
        <v>0</v>
      </c>
      <c r="EJ89" s="514">
        <v>0</v>
      </c>
      <c r="EK89" s="514">
        <v>0</v>
      </c>
      <c r="EL89" s="514">
        <v>0</v>
      </c>
      <c r="EM89" s="514">
        <v>0</v>
      </c>
      <c r="EN89" s="514">
        <v>0</v>
      </c>
      <c r="EO89" s="514">
        <v>0</v>
      </c>
      <c r="EP89" s="514">
        <v>0</v>
      </c>
      <c r="EQ89" s="514">
        <v>0</v>
      </c>
      <c r="ER89" s="514">
        <v>0</v>
      </c>
      <c r="ES89" s="514">
        <v>0</v>
      </c>
      <c r="ET89" s="514">
        <v>0</v>
      </c>
      <c r="EU89" s="514">
        <v>0</v>
      </c>
      <c r="EV89" s="514">
        <v>0</v>
      </c>
      <c r="EW89" s="514">
        <v>0</v>
      </c>
      <c r="EX89" s="514">
        <v>0</v>
      </c>
      <c r="EY89" s="514">
        <v>0</v>
      </c>
      <c r="EZ89" s="514">
        <v>0</v>
      </c>
      <c r="FA89" s="514">
        <v>0</v>
      </c>
      <c r="FB89" s="514">
        <v>0</v>
      </c>
      <c r="FC89" s="514">
        <v>0</v>
      </c>
      <c r="FD89" s="514">
        <v>0</v>
      </c>
      <c r="FE89" s="514">
        <v>0</v>
      </c>
      <c r="FF89" s="514">
        <v>0</v>
      </c>
      <c r="FG89" s="514">
        <v>0</v>
      </c>
      <c r="FH89" s="514">
        <v>0</v>
      </c>
      <c r="FI89" s="514">
        <v>0</v>
      </c>
      <c r="FJ89" s="514">
        <v>0</v>
      </c>
      <c r="FK89" s="514">
        <v>0</v>
      </c>
      <c r="FL89" s="514">
        <v>0</v>
      </c>
      <c r="FM89" s="514">
        <v>0</v>
      </c>
      <c r="FN89" s="514">
        <v>0</v>
      </c>
      <c r="FO89" s="514">
        <v>0</v>
      </c>
      <c r="FP89" s="514">
        <v>0</v>
      </c>
      <c r="FQ89" s="514">
        <v>0</v>
      </c>
    </row>
    <row r="90" spans="1:173" ht="16.5" hidden="1">
      <c r="A90" s="512" t="s">
        <v>658</v>
      </c>
      <c r="B90" s="512" t="s">
        <v>732</v>
      </c>
      <c r="C90" s="512" t="s">
        <v>721</v>
      </c>
      <c r="D90" s="513"/>
      <c r="E90" s="512" t="s">
        <v>721</v>
      </c>
      <c r="F90" s="512" t="s">
        <v>25</v>
      </c>
      <c r="G90" s="513"/>
      <c r="H90" s="514">
        <v>42</v>
      </c>
      <c r="I90" s="298" t="str">
        <f t="shared" si="6"/>
        <v>AOR100142</v>
      </c>
      <c r="J90" s="514">
        <v>3</v>
      </c>
      <c r="L90" s="512" t="s">
        <v>720</v>
      </c>
      <c r="M90" s="512" t="s">
        <v>739</v>
      </c>
      <c r="N90" s="512" t="s">
        <v>721</v>
      </c>
      <c r="O90" s="513"/>
      <c r="P90" s="512" t="s">
        <v>721</v>
      </c>
      <c r="Q90" s="512" t="s">
        <v>26</v>
      </c>
      <c r="R90" s="513"/>
      <c r="S90" s="514">
        <v>19</v>
      </c>
      <c r="T90" s="298" t="str">
        <f t="shared" si="7"/>
        <v>HSGA0219</v>
      </c>
      <c r="U90" s="514">
        <v>3687</v>
      </c>
      <c r="W90" s="512" t="s">
        <v>269</v>
      </c>
      <c r="X90" s="512" t="s">
        <v>843</v>
      </c>
      <c r="Y90" s="512" t="s">
        <v>721</v>
      </c>
      <c r="Z90" s="514">
        <v>10</v>
      </c>
      <c r="AA90" s="512" t="s">
        <v>721</v>
      </c>
      <c r="AB90" s="512" t="s">
        <v>26</v>
      </c>
      <c r="AC90" s="514">
        <v>0</v>
      </c>
      <c r="AD90" s="514">
        <v>45</v>
      </c>
      <c r="AE90" s="298" t="str">
        <f t="shared" si="8"/>
        <v>HNR100245</v>
      </c>
      <c r="AF90" s="514">
        <v>454</v>
      </c>
      <c r="AH90" s="512" t="s">
        <v>721</v>
      </c>
      <c r="AI90" s="512" t="s">
        <v>1030</v>
      </c>
      <c r="AJ90" s="512" t="s">
        <v>721</v>
      </c>
      <c r="AK90" s="513"/>
      <c r="AL90" s="512" t="s">
        <v>721</v>
      </c>
      <c r="AM90" s="512" t="s">
        <v>26</v>
      </c>
      <c r="AN90" s="513"/>
      <c r="AO90" s="514">
        <v>45</v>
      </c>
      <c r="AP90" s="513"/>
      <c r="AQ90" s="298" t="str">
        <f t="shared" si="9"/>
        <v>HOR100245</v>
      </c>
      <c r="AR90" s="514">
        <v>670</v>
      </c>
      <c r="AT90" s="512" t="s">
        <v>743</v>
      </c>
      <c r="AU90" s="512" t="s">
        <v>744</v>
      </c>
      <c r="AV90" s="512" t="s">
        <v>721</v>
      </c>
      <c r="AW90" s="513"/>
      <c r="AX90" s="512" t="s">
        <v>721</v>
      </c>
      <c r="AY90" s="512" t="s">
        <v>26</v>
      </c>
      <c r="AZ90" s="513"/>
      <c r="BA90" s="514">
        <v>58</v>
      </c>
      <c r="BB90" s="298" t="str">
        <f t="shared" si="10"/>
        <v>CLR100258</v>
      </c>
      <c r="BC90" s="514">
        <v>485</v>
      </c>
      <c r="BF90" s="512" t="s">
        <v>658</v>
      </c>
      <c r="BG90" s="512" t="s">
        <v>732</v>
      </c>
      <c r="BH90" s="512" t="s">
        <v>26</v>
      </c>
      <c r="BI90" s="514">
        <v>45</v>
      </c>
      <c r="BJ90" s="298" t="str">
        <f t="shared" si="11"/>
        <v>AOR100245</v>
      </c>
      <c r="BK90" s="514">
        <v>0</v>
      </c>
      <c r="BL90" s="514">
        <v>1</v>
      </c>
      <c r="BM90" s="514">
        <v>1</v>
      </c>
      <c r="BN90" s="514">
        <v>1</v>
      </c>
      <c r="BO90" s="514">
        <v>1</v>
      </c>
      <c r="BP90" s="514">
        <v>2</v>
      </c>
      <c r="BQ90" s="514">
        <v>2</v>
      </c>
      <c r="BR90" s="514">
        <v>2</v>
      </c>
      <c r="BS90" s="514">
        <v>3</v>
      </c>
      <c r="BT90" s="514">
        <v>0</v>
      </c>
      <c r="BU90" s="514">
        <v>0</v>
      </c>
      <c r="BV90" s="514">
        <v>0</v>
      </c>
      <c r="BW90" s="514">
        <v>0</v>
      </c>
      <c r="BX90" s="514">
        <v>0</v>
      </c>
      <c r="BY90" s="514">
        <v>0</v>
      </c>
      <c r="BZ90" s="514">
        <v>0</v>
      </c>
      <c r="CA90" s="514">
        <v>0</v>
      </c>
      <c r="CB90" s="514">
        <v>0</v>
      </c>
      <c r="CC90" s="514">
        <v>0</v>
      </c>
      <c r="CD90" s="514">
        <v>0</v>
      </c>
      <c r="CE90" s="514">
        <v>0</v>
      </c>
      <c r="CF90" s="514">
        <v>0</v>
      </c>
      <c r="CG90" s="514">
        <v>0</v>
      </c>
      <c r="CH90" s="514">
        <v>0</v>
      </c>
      <c r="CI90" s="514">
        <v>0</v>
      </c>
      <c r="CJ90" s="514">
        <v>0</v>
      </c>
      <c r="CK90" s="514">
        <v>0</v>
      </c>
      <c r="CL90" s="514">
        <v>0</v>
      </c>
      <c r="CM90" s="514">
        <v>0</v>
      </c>
      <c r="CN90" s="514">
        <v>0</v>
      </c>
      <c r="CO90" s="514">
        <v>0</v>
      </c>
      <c r="CP90" s="514">
        <v>0</v>
      </c>
      <c r="CQ90" s="514">
        <v>0</v>
      </c>
      <c r="CR90" s="514">
        <v>0</v>
      </c>
      <c r="CS90" s="514">
        <v>0</v>
      </c>
      <c r="CT90" s="514">
        <v>0</v>
      </c>
      <c r="CU90" s="514">
        <v>0</v>
      </c>
      <c r="CV90" s="514">
        <v>0</v>
      </c>
      <c r="CW90" s="514">
        <v>0</v>
      </c>
      <c r="CX90" s="514">
        <v>0</v>
      </c>
      <c r="CY90" s="514">
        <v>0</v>
      </c>
      <c r="CZ90" s="514">
        <v>0</v>
      </c>
      <c r="DA90" s="514">
        <v>0</v>
      </c>
      <c r="DB90" s="514">
        <v>0</v>
      </c>
      <c r="DC90" s="514">
        <v>0</v>
      </c>
      <c r="DD90" s="514">
        <v>0</v>
      </c>
      <c r="DE90" s="514">
        <v>0</v>
      </c>
      <c r="DF90" s="514">
        <v>0</v>
      </c>
      <c r="DG90" s="514">
        <v>0</v>
      </c>
      <c r="DH90" s="514">
        <v>0</v>
      </c>
      <c r="DI90" s="514">
        <v>0</v>
      </c>
      <c r="DJ90" s="514">
        <v>0</v>
      </c>
      <c r="DK90" s="514">
        <v>0</v>
      </c>
      <c r="DL90" s="514">
        <v>0</v>
      </c>
      <c r="DM90" s="514">
        <v>0</v>
      </c>
      <c r="DN90" s="514">
        <v>0</v>
      </c>
      <c r="DO90" s="514">
        <v>0</v>
      </c>
      <c r="DP90" s="514">
        <v>0</v>
      </c>
      <c r="DQ90" s="514">
        <v>0</v>
      </c>
      <c r="DR90" s="514">
        <v>0</v>
      </c>
      <c r="DS90" s="514">
        <v>0</v>
      </c>
      <c r="DT90" s="514">
        <v>0</v>
      </c>
      <c r="DU90" s="514">
        <v>0</v>
      </c>
      <c r="DV90" s="514">
        <v>0</v>
      </c>
      <c r="DW90" s="514">
        <v>0</v>
      </c>
      <c r="DX90" s="514">
        <v>0</v>
      </c>
      <c r="DY90" s="514">
        <v>0</v>
      </c>
      <c r="DZ90" s="514">
        <v>0</v>
      </c>
      <c r="EA90" s="514">
        <v>0</v>
      </c>
      <c r="EB90" s="514">
        <v>0</v>
      </c>
      <c r="EC90" s="514">
        <v>0</v>
      </c>
      <c r="ED90" s="514">
        <v>0</v>
      </c>
      <c r="EE90" s="514">
        <v>0</v>
      </c>
      <c r="EF90" s="514">
        <v>0</v>
      </c>
      <c r="EG90" s="514">
        <v>0</v>
      </c>
      <c r="EH90" s="514">
        <v>0</v>
      </c>
      <c r="EI90" s="514">
        <v>0</v>
      </c>
      <c r="EJ90" s="514">
        <v>0</v>
      </c>
      <c r="EK90" s="514">
        <v>0</v>
      </c>
      <c r="EL90" s="514">
        <v>0</v>
      </c>
      <c r="EM90" s="514">
        <v>0</v>
      </c>
      <c r="EN90" s="514">
        <v>0</v>
      </c>
      <c r="EO90" s="514">
        <v>0</v>
      </c>
      <c r="EP90" s="514">
        <v>0</v>
      </c>
      <c r="EQ90" s="514">
        <v>0</v>
      </c>
      <c r="ER90" s="514">
        <v>0</v>
      </c>
      <c r="ES90" s="514">
        <v>0</v>
      </c>
      <c r="ET90" s="514">
        <v>0</v>
      </c>
      <c r="EU90" s="514">
        <v>0</v>
      </c>
      <c r="EV90" s="514">
        <v>0</v>
      </c>
      <c r="EW90" s="514">
        <v>0</v>
      </c>
      <c r="EX90" s="514">
        <v>0</v>
      </c>
      <c r="EY90" s="514">
        <v>0</v>
      </c>
      <c r="EZ90" s="514">
        <v>0</v>
      </c>
      <c r="FA90" s="514">
        <v>0</v>
      </c>
      <c r="FB90" s="514">
        <v>0</v>
      </c>
      <c r="FC90" s="514">
        <v>0</v>
      </c>
      <c r="FD90" s="514">
        <v>0</v>
      </c>
      <c r="FE90" s="514">
        <v>0</v>
      </c>
      <c r="FF90" s="514">
        <v>0</v>
      </c>
      <c r="FG90" s="514">
        <v>0</v>
      </c>
      <c r="FH90" s="514">
        <v>0</v>
      </c>
      <c r="FI90" s="514">
        <v>0</v>
      </c>
      <c r="FJ90" s="514">
        <v>0</v>
      </c>
      <c r="FK90" s="514">
        <v>0</v>
      </c>
      <c r="FL90" s="514">
        <v>0</v>
      </c>
      <c r="FM90" s="514">
        <v>0</v>
      </c>
      <c r="FN90" s="514">
        <v>0</v>
      </c>
      <c r="FO90" s="514">
        <v>0</v>
      </c>
      <c r="FP90" s="514">
        <v>0</v>
      </c>
      <c r="FQ90" s="514">
        <v>0</v>
      </c>
    </row>
    <row r="91" spans="1:173" ht="16.5" hidden="1">
      <c r="A91" s="512" t="s">
        <v>658</v>
      </c>
      <c r="B91" s="512" t="s">
        <v>732</v>
      </c>
      <c r="C91" s="512" t="s">
        <v>721</v>
      </c>
      <c r="D91" s="513"/>
      <c r="E91" s="512" t="s">
        <v>721</v>
      </c>
      <c r="F91" s="512" t="s">
        <v>25</v>
      </c>
      <c r="G91" s="513"/>
      <c r="H91" s="514">
        <v>43</v>
      </c>
      <c r="I91" s="298" t="str">
        <f t="shared" si="6"/>
        <v>AOR100143</v>
      </c>
      <c r="J91" s="514">
        <v>3</v>
      </c>
      <c r="L91" s="512" t="s">
        <v>720</v>
      </c>
      <c r="M91" s="512" t="s">
        <v>739</v>
      </c>
      <c r="N91" s="512" t="s">
        <v>721</v>
      </c>
      <c r="O91" s="513"/>
      <c r="P91" s="512" t="s">
        <v>721</v>
      </c>
      <c r="Q91" s="512" t="s">
        <v>25</v>
      </c>
      <c r="R91" s="513"/>
      <c r="S91" s="514">
        <v>20</v>
      </c>
      <c r="T91" s="298" t="str">
        <f t="shared" si="7"/>
        <v>HSGA0120</v>
      </c>
      <c r="U91" s="514">
        <v>3084</v>
      </c>
      <c r="W91" s="512" t="s">
        <v>269</v>
      </c>
      <c r="X91" s="512" t="s">
        <v>843</v>
      </c>
      <c r="Y91" s="512" t="s">
        <v>721</v>
      </c>
      <c r="Z91" s="514">
        <v>10</v>
      </c>
      <c r="AA91" s="512" t="s">
        <v>721</v>
      </c>
      <c r="AB91" s="512" t="s">
        <v>26</v>
      </c>
      <c r="AC91" s="514">
        <v>0</v>
      </c>
      <c r="AD91" s="514">
        <v>46</v>
      </c>
      <c r="AE91" s="298" t="str">
        <f t="shared" si="8"/>
        <v>HNR100246</v>
      </c>
      <c r="AF91" s="514">
        <v>462</v>
      </c>
      <c r="AH91" s="512" t="s">
        <v>721</v>
      </c>
      <c r="AI91" s="512" t="s">
        <v>1030</v>
      </c>
      <c r="AJ91" s="512" t="s">
        <v>721</v>
      </c>
      <c r="AK91" s="513"/>
      <c r="AL91" s="512" t="s">
        <v>721</v>
      </c>
      <c r="AM91" s="512" t="s">
        <v>26</v>
      </c>
      <c r="AN91" s="513"/>
      <c r="AO91" s="514">
        <v>46</v>
      </c>
      <c r="AP91" s="513"/>
      <c r="AQ91" s="298" t="str">
        <f t="shared" si="9"/>
        <v>HOR100246</v>
      </c>
      <c r="AR91" s="514">
        <v>685</v>
      </c>
      <c r="AT91" s="512" t="s">
        <v>743</v>
      </c>
      <c r="AU91" s="512" t="s">
        <v>744</v>
      </c>
      <c r="AV91" s="512" t="s">
        <v>721</v>
      </c>
      <c r="AW91" s="513"/>
      <c r="AX91" s="512" t="s">
        <v>721</v>
      </c>
      <c r="AY91" s="512" t="s">
        <v>25</v>
      </c>
      <c r="AZ91" s="513"/>
      <c r="BA91" s="514">
        <v>59</v>
      </c>
      <c r="BB91" s="298" t="str">
        <f t="shared" si="10"/>
        <v>CLR100159</v>
      </c>
      <c r="BC91" s="514">
        <v>550</v>
      </c>
      <c r="BF91" s="512" t="s">
        <v>658</v>
      </c>
      <c r="BG91" s="512" t="s">
        <v>732</v>
      </c>
      <c r="BH91" s="512" t="s">
        <v>26</v>
      </c>
      <c r="BI91" s="514">
        <v>46</v>
      </c>
      <c r="BJ91" s="298" t="str">
        <f t="shared" si="11"/>
        <v>AOR100246</v>
      </c>
      <c r="BK91" s="514">
        <v>0</v>
      </c>
      <c r="BL91" s="514">
        <v>1</v>
      </c>
      <c r="BM91" s="514">
        <v>1</v>
      </c>
      <c r="BN91" s="514">
        <v>1</v>
      </c>
      <c r="BO91" s="514">
        <v>1</v>
      </c>
      <c r="BP91" s="514">
        <v>2</v>
      </c>
      <c r="BQ91" s="514">
        <v>2</v>
      </c>
      <c r="BR91" s="514">
        <v>2</v>
      </c>
      <c r="BS91" s="514">
        <v>3</v>
      </c>
      <c r="BT91" s="514">
        <v>0</v>
      </c>
      <c r="BU91" s="514">
        <v>0</v>
      </c>
      <c r="BV91" s="514">
        <v>0</v>
      </c>
      <c r="BW91" s="514">
        <v>0</v>
      </c>
      <c r="BX91" s="514">
        <v>0</v>
      </c>
      <c r="BY91" s="514">
        <v>0</v>
      </c>
      <c r="BZ91" s="514">
        <v>0</v>
      </c>
      <c r="CA91" s="514">
        <v>0</v>
      </c>
      <c r="CB91" s="514">
        <v>0</v>
      </c>
      <c r="CC91" s="514">
        <v>0</v>
      </c>
      <c r="CD91" s="514">
        <v>0</v>
      </c>
      <c r="CE91" s="514">
        <v>0</v>
      </c>
      <c r="CF91" s="514">
        <v>0</v>
      </c>
      <c r="CG91" s="514">
        <v>0</v>
      </c>
      <c r="CH91" s="514">
        <v>0</v>
      </c>
      <c r="CI91" s="514">
        <v>0</v>
      </c>
      <c r="CJ91" s="514">
        <v>0</v>
      </c>
      <c r="CK91" s="514">
        <v>0</v>
      </c>
      <c r="CL91" s="514">
        <v>0</v>
      </c>
      <c r="CM91" s="514">
        <v>0</v>
      </c>
      <c r="CN91" s="514">
        <v>0</v>
      </c>
      <c r="CO91" s="514">
        <v>0</v>
      </c>
      <c r="CP91" s="514">
        <v>0</v>
      </c>
      <c r="CQ91" s="514">
        <v>0</v>
      </c>
      <c r="CR91" s="514">
        <v>0</v>
      </c>
      <c r="CS91" s="514">
        <v>0</v>
      </c>
      <c r="CT91" s="514">
        <v>0</v>
      </c>
      <c r="CU91" s="514">
        <v>0</v>
      </c>
      <c r="CV91" s="514">
        <v>0</v>
      </c>
      <c r="CW91" s="514">
        <v>0</v>
      </c>
      <c r="CX91" s="514">
        <v>0</v>
      </c>
      <c r="CY91" s="514">
        <v>0</v>
      </c>
      <c r="CZ91" s="514">
        <v>0</v>
      </c>
      <c r="DA91" s="514">
        <v>0</v>
      </c>
      <c r="DB91" s="514">
        <v>0</v>
      </c>
      <c r="DC91" s="514">
        <v>0</v>
      </c>
      <c r="DD91" s="514">
        <v>0</v>
      </c>
      <c r="DE91" s="514">
        <v>0</v>
      </c>
      <c r="DF91" s="514">
        <v>0</v>
      </c>
      <c r="DG91" s="514">
        <v>0</v>
      </c>
      <c r="DH91" s="514">
        <v>0</v>
      </c>
      <c r="DI91" s="514">
        <v>0</v>
      </c>
      <c r="DJ91" s="514">
        <v>0</v>
      </c>
      <c r="DK91" s="514">
        <v>0</v>
      </c>
      <c r="DL91" s="514">
        <v>0</v>
      </c>
      <c r="DM91" s="514">
        <v>0</v>
      </c>
      <c r="DN91" s="514">
        <v>0</v>
      </c>
      <c r="DO91" s="514">
        <v>0</v>
      </c>
      <c r="DP91" s="514">
        <v>0</v>
      </c>
      <c r="DQ91" s="514">
        <v>0</v>
      </c>
      <c r="DR91" s="514">
        <v>0</v>
      </c>
      <c r="DS91" s="514">
        <v>0</v>
      </c>
      <c r="DT91" s="514">
        <v>0</v>
      </c>
      <c r="DU91" s="514">
        <v>0</v>
      </c>
      <c r="DV91" s="514">
        <v>0</v>
      </c>
      <c r="DW91" s="514">
        <v>0</v>
      </c>
      <c r="DX91" s="514">
        <v>0</v>
      </c>
      <c r="DY91" s="514">
        <v>0</v>
      </c>
      <c r="DZ91" s="514">
        <v>0</v>
      </c>
      <c r="EA91" s="514">
        <v>0</v>
      </c>
      <c r="EB91" s="514">
        <v>0</v>
      </c>
      <c r="EC91" s="514">
        <v>0</v>
      </c>
      <c r="ED91" s="514">
        <v>0</v>
      </c>
      <c r="EE91" s="514">
        <v>0</v>
      </c>
      <c r="EF91" s="514">
        <v>0</v>
      </c>
      <c r="EG91" s="514">
        <v>0</v>
      </c>
      <c r="EH91" s="514">
        <v>0</v>
      </c>
      <c r="EI91" s="514">
        <v>0</v>
      </c>
      <c r="EJ91" s="514">
        <v>0</v>
      </c>
      <c r="EK91" s="514">
        <v>0</v>
      </c>
      <c r="EL91" s="514">
        <v>0</v>
      </c>
      <c r="EM91" s="514">
        <v>0</v>
      </c>
      <c r="EN91" s="514">
        <v>0</v>
      </c>
      <c r="EO91" s="514">
        <v>0</v>
      </c>
      <c r="EP91" s="514">
        <v>0</v>
      </c>
      <c r="EQ91" s="514">
        <v>0</v>
      </c>
      <c r="ER91" s="514">
        <v>0</v>
      </c>
      <c r="ES91" s="514">
        <v>0</v>
      </c>
      <c r="ET91" s="514">
        <v>0</v>
      </c>
      <c r="EU91" s="514">
        <v>0</v>
      </c>
      <c r="EV91" s="514">
        <v>0</v>
      </c>
      <c r="EW91" s="514">
        <v>0</v>
      </c>
      <c r="EX91" s="514">
        <v>0</v>
      </c>
      <c r="EY91" s="514">
        <v>0</v>
      </c>
      <c r="EZ91" s="514">
        <v>0</v>
      </c>
      <c r="FA91" s="514">
        <v>0</v>
      </c>
      <c r="FB91" s="514">
        <v>0</v>
      </c>
      <c r="FC91" s="514">
        <v>0</v>
      </c>
      <c r="FD91" s="514">
        <v>0</v>
      </c>
      <c r="FE91" s="514">
        <v>0</v>
      </c>
      <c r="FF91" s="514">
        <v>0</v>
      </c>
      <c r="FG91" s="514">
        <v>0</v>
      </c>
      <c r="FH91" s="514">
        <v>0</v>
      </c>
      <c r="FI91" s="514">
        <v>0</v>
      </c>
      <c r="FJ91" s="514">
        <v>0</v>
      </c>
      <c r="FK91" s="514">
        <v>0</v>
      </c>
      <c r="FL91" s="514">
        <v>0</v>
      </c>
      <c r="FM91" s="514">
        <v>0</v>
      </c>
      <c r="FN91" s="514">
        <v>0</v>
      </c>
      <c r="FO91" s="514">
        <v>0</v>
      </c>
      <c r="FP91" s="514">
        <v>0</v>
      </c>
      <c r="FQ91" s="514">
        <v>0</v>
      </c>
    </row>
    <row r="92" spans="1:173" ht="16.5" hidden="1">
      <c r="A92" s="512" t="s">
        <v>658</v>
      </c>
      <c r="B92" s="512" t="s">
        <v>732</v>
      </c>
      <c r="C92" s="512" t="s">
        <v>721</v>
      </c>
      <c r="D92" s="513"/>
      <c r="E92" s="512" t="s">
        <v>721</v>
      </c>
      <c r="F92" s="512" t="s">
        <v>25</v>
      </c>
      <c r="G92" s="513"/>
      <c r="H92" s="514">
        <v>44</v>
      </c>
      <c r="I92" s="298" t="str">
        <f t="shared" si="6"/>
        <v>AOR100144</v>
      </c>
      <c r="J92" s="514">
        <v>3</v>
      </c>
      <c r="L92" s="512" t="s">
        <v>720</v>
      </c>
      <c r="M92" s="512" t="s">
        <v>739</v>
      </c>
      <c r="N92" s="512" t="s">
        <v>721</v>
      </c>
      <c r="O92" s="513"/>
      <c r="P92" s="512" t="s">
        <v>721</v>
      </c>
      <c r="Q92" s="512" t="s">
        <v>25</v>
      </c>
      <c r="R92" s="513"/>
      <c r="S92" s="514">
        <v>21</v>
      </c>
      <c r="T92" s="298" t="str">
        <f t="shared" si="7"/>
        <v>HSGA0121</v>
      </c>
      <c r="U92" s="514">
        <v>3141</v>
      </c>
      <c r="W92" s="512" t="s">
        <v>269</v>
      </c>
      <c r="X92" s="512" t="s">
        <v>843</v>
      </c>
      <c r="Y92" s="512" t="s">
        <v>721</v>
      </c>
      <c r="Z92" s="514">
        <v>10</v>
      </c>
      <c r="AA92" s="512" t="s">
        <v>721</v>
      </c>
      <c r="AB92" s="512" t="s">
        <v>26</v>
      </c>
      <c r="AC92" s="514">
        <v>0</v>
      </c>
      <c r="AD92" s="514">
        <v>47</v>
      </c>
      <c r="AE92" s="298" t="str">
        <f t="shared" si="8"/>
        <v>HNR100247</v>
      </c>
      <c r="AF92" s="514">
        <v>466</v>
      </c>
      <c r="AH92" s="512" t="s">
        <v>721</v>
      </c>
      <c r="AI92" s="512" t="s">
        <v>1030</v>
      </c>
      <c r="AJ92" s="512" t="s">
        <v>721</v>
      </c>
      <c r="AK92" s="513"/>
      <c r="AL92" s="512" t="s">
        <v>721</v>
      </c>
      <c r="AM92" s="512" t="s">
        <v>26</v>
      </c>
      <c r="AN92" s="513"/>
      <c r="AO92" s="514">
        <v>47</v>
      </c>
      <c r="AP92" s="513"/>
      <c r="AQ92" s="298" t="str">
        <f t="shared" si="9"/>
        <v>HOR100247</v>
      </c>
      <c r="AR92" s="514">
        <v>700</v>
      </c>
      <c r="AT92" s="512" t="s">
        <v>743</v>
      </c>
      <c r="AU92" s="512" t="s">
        <v>744</v>
      </c>
      <c r="AV92" s="512" t="s">
        <v>721</v>
      </c>
      <c r="AW92" s="513"/>
      <c r="AX92" s="512" t="s">
        <v>721</v>
      </c>
      <c r="AY92" s="512" t="s">
        <v>26</v>
      </c>
      <c r="AZ92" s="513"/>
      <c r="BA92" s="514">
        <v>59</v>
      </c>
      <c r="BB92" s="298" t="str">
        <f t="shared" si="10"/>
        <v>CLR100259</v>
      </c>
      <c r="BC92" s="514">
        <v>489</v>
      </c>
      <c r="BF92" s="512" t="s">
        <v>658</v>
      </c>
      <c r="BG92" s="512" t="s">
        <v>732</v>
      </c>
      <c r="BH92" s="512" t="s">
        <v>26</v>
      </c>
      <c r="BI92" s="514">
        <v>47</v>
      </c>
      <c r="BJ92" s="298" t="str">
        <f t="shared" si="11"/>
        <v>AOR100247</v>
      </c>
      <c r="BK92" s="514">
        <v>0</v>
      </c>
      <c r="BL92" s="514">
        <v>1</v>
      </c>
      <c r="BM92" s="514">
        <v>1</v>
      </c>
      <c r="BN92" s="514">
        <v>1</v>
      </c>
      <c r="BO92" s="514">
        <v>1</v>
      </c>
      <c r="BP92" s="514">
        <v>2</v>
      </c>
      <c r="BQ92" s="514">
        <v>2</v>
      </c>
      <c r="BR92" s="514">
        <v>2</v>
      </c>
      <c r="BS92" s="514">
        <v>3</v>
      </c>
      <c r="BT92" s="514">
        <v>0</v>
      </c>
      <c r="BU92" s="514">
        <v>0</v>
      </c>
      <c r="BV92" s="514">
        <v>0</v>
      </c>
      <c r="BW92" s="514">
        <v>0</v>
      </c>
      <c r="BX92" s="514">
        <v>0</v>
      </c>
      <c r="BY92" s="514">
        <v>0</v>
      </c>
      <c r="BZ92" s="514">
        <v>0</v>
      </c>
      <c r="CA92" s="514">
        <v>0</v>
      </c>
      <c r="CB92" s="514">
        <v>0</v>
      </c>
      <c r="CC92" s="514">
        <v>0</v>
      </c>
      <c r="CD92" s="514">
        <v>0</v>
      </c>
      <c r="CE92" s="514">
        <v>0</v>
      </c>
      <c r="CF92" s="514">
        <v>0</v>
      </c>
      <c r="CG92" s="514">
        <v>0</v>
      </c>
      <c r="CH92" s="514">
        <v>0</v>
      </c>
      <c r="CI92" s="514">
        <v>0</v>
      </c>
      <c r="CJ92" s="514">
        <v>0</v>
      </c>
      <c r="CK92" s="514">
        <v>0</v>
      </c>
      <c r="CL92" s="514">
        <v>0</v>
      </c>
      <c r="CM92" s="514">
        <v>0</v>
      </c>
      <c r="CN92" s="514">
        <v>0</v>
      </c>
      <c r="CO92" s="514">
        <v>0</v>
      </c>
      <c r="CP92" s="514">
        <v>0</v>
      </c>
      <c r="CQ92" s="514">
        <v>0</v>
      </c>
      <c r="CR92" s="514">
        <v>0</v>
      </c>
      <c r="CS92" s="514">
        <v>0</v>
      </c>
      <c r="CT92" s="514">
        <v>0</v>
      </c>
      <c r="CU92" s="514">
        <v>0</v>
      </c>
      <c r="CV92" s="514">
        <v>0</v>
      </c>
      <c r="CW92" s="514">
        <v>0</v>
      </c>
      <c r="CX92" s="514">
        <v>0</v>
      </c>
      <c r="CY92" s="514">
        <v>0</v>
      </c>
      <c r="CZ92" s="514">
        <v>0</v>
      </c>
      <c r="DA92" s="514">
        <v>0</v>
      </c>
      <c r="DB92" s="514">
        <v>0</v>
      </c>
      <c r="DC92" s="514">
        <v>0</v>
      </c>
      <c r="DD92" s="514">
        <v>0</v>
      </c>
      <c r="DE92" s="514">
        <v>0</v>
      </c>
      <c r="DF92" s="514">
        <v>0</v>
      </c>
      <c r="DG92" s="514">
        <v>0</v>
      </c>
      <c r="DH92" s="514">
        <v>0</v>
      </c>
      <c r="DI92" s="514">
        <v>0</v>
      </c>
      <c r="DJ92" s="514">
        <v>0</v>
      </c>
      <c r="DK92" s="514">
        <v>0</v>
      </c>
      <c r="DL92" s="514">
        <v>0</v>
      </c>
      <c r="DM92" s="514">
        <v>0</v>
      </c>
      <c r="DN92" s="514">
        <v>0</v>
      </c>
      <c r="DO92" s="514">
        <v>0</v>
      </c>
      <c r="DP92" s="514">
        <v>0</v>
      </c>
      <c r="DQ92" s="514">
        <v>0</v>
      </c>
      <c r="DR92" s="514">
        <v>0</v>
      </c>
      <c r="DS92" s="514">
        <v>0</v>
      </c>
      <c r="DT92" s="514">
        <v>0</v>
      </c>
      <c r="DU92" s="514">
        <v>0</v>
      </c>
      <c r="DV92" s="514">
        <v>0</v>
      </c>
      <c r="DW92" s="514">
        <v>0</v>
      </c>
      <c r="DX92" s="514">
        <v>0</v>
      </c>
      <c r="DY92" s="514">
        <v>0</v>
      </c>
      <c r="DZ92" s="514">
        <v>0</v>
      </c>
      <c r="EA92" s="514">
        <v>0</v>
      </c>
      <c r="EB92" s="514">
        <v>0</v>
      </c>
      <c r="EC92" s="514">
        <v>0</v>
      </c>
      <c r="ED92" s="514">
        <v>0</v>
      </c>
      <c r="EE92" s="514">
        <v>0</v>
      </c>
      <c r="EF92" s="514">
        <v>0</v>
      </c>
      <c r="EG92" s="514">
        <v>0</v>
      </c>
      <c r="EH92" s="514">
        <v>0</v>
      </c>
      <c r="EI92" s="514">
        <v>0</v>
      </c>
      <c r="EJ92" s="514">
        <v>0</v>
      </c>
      <c r="EK92" s="514">
        <v>0</v>
      </c>
      <c r="EL92" s="514">
        <v>0</v>
      </c>
      <c r="EM92" s="514">
        <v>0</v>
      </c>
      <c r="EN92" s="514">
        <v>0</v>
      </c>
      <c r="EO92" s="514">
        <v>0</v>
      </c>
      <c r="EP92" s="514">
        <v>0</v>
      </c>
      <c r="EQ92" s="514">
        <v>0</v>
      </c>
      <c r="ER92" s="514">
        <v>0</v>
      </c>
      <c r="ES92" s="514">
        <v>0</v>
      </c>
      <c r="ET92" s="514">
        <v>0</v>
      </c>
      <c r="EU92" s="514">
        <v>0</v>
      </c>
      <c r="EV92" s="514">
        <v>0</v>
      </c>
      <c r="EW92" s="514">
        <v>0</v>
      </c>
      <c r="EX92" s="514">
        <v>0</v>
      </c>
      <c r="EY92" s="514">
        <v>0</v>
      </c>
      <c r="EZ92" s="514">
        <v>0</v>
      </c>
      <c r="FA92" s="514">
        <v>0</v>
      </c>
      <c r="FB92" s="514">
        <v>0</v>
      </c>
      <c r="FC92" s="514">
        <v>0</v>
      </c>
      <c r="FD92" s="514">
        <v>0</v>
      </c>
      <c r="FE92" s="514">
        <v>0</v>
      </c>
      <c r="FF92" s="514">
        <v>0</v>
      </c>
      <c r="FG92" s="514">
        <v>0</v>
      </c>
      <c r="FH92" s="514">
        <v>0</v>
      </c>
      <c r="FI92" s="514">
        <v>0</v>
      </c>
      <c r="FJ92" s="514">
        <v>0</v>
      </c>
      <c r="FK92" s="514">
        <v>0</v>
      </c>
      <c r="FL92" s="514">
        <v>0</v>
      </c>
      <c r="FM92" s="514">
        <v>0</v>
      </c>
      <c r="FN92" s="514">
        <v>0</v>
      </c>
      <c r="FO92" s="514">
        <v>0</v>
      </c>
      <c r="FP92" s="514">
        <v>0</v>
      </c>
      <c r="FQ92" s="514">
        <v>0</v>
      </c>
    </row>
    <row r="93" spans="1:173" ht="16.5" hidden="1">
      <c r="A93" s="512" t="s">
        <v>658</v>
      </c>
      <c r="B93" s="512" t="s">
        <v>732</v>
      </c>
      <c r="C93" s="512" t="s">
        <v>721</v>
      </c>
      <c r="D93" s="513"/>
      <c r="E93" s="512" t="s">
        <v>721</v>
      </c>
      <c r="F93" s="512" t="s">
        <v>25</v>
      </c>
      <c r="G93" s="513"/>
      <c r="H93" s="514">
        <v>45</v>
      </c>
      <c r="I93" s="298" t="str">
        <f t="shared" si="6"/>
        <v>AOR100145</v>
      </c>
      <c r="J93" s="514">
        <v>3</v>
      </c>
      <c r="L93" s="512" t="s">
        <v>720</v>
      </c>
      <c r="M93" s="512" t="s">
        <v>739</v>
      </c>
      <c r="N93" s="512" t="s">
        <v>721</v>
      </c>
      <c r="O93" s="513"/>
      <c r="P93" s="512" t="s">
        <v>721</v>
      </c>
      <c r="Q93" s="512" t="s">
        <v>25</v>
      </c>
      <c r="R93" s="513"/>
      <c r="S93" s="514">
        <v>22</v>
      </c>
      <c r="T93" s="298" t="str">
        <f t="shared" si="7"/>
        <v>HSGA0122</v>
      </c>
      <c r="U93" s="514">
        <v>3220</v>
      </c>
      <c r="W93" s="512" t="s">
        <v>269</v>
      </c>
      <c r="X93" s="512" t="s">
        <v>843</v>
      </c>
      <c r="Y93" s="512" t="s">
        <v>721</v>
      </c>
      <c r="Z93" s="514">
        <v>10</v>
      </c>
      <c r="AA93" s="512" t="s">
        <v>721</v>
      </c>
      <c r="AB93" s="512" t="s">
        <v>26</v>
      </c>
      <c r="AC93" s="514">
        <v>0</v>
      </c>
      <c r="AD93" s="514">
        <v>48</v>
      </c>
      <c r="AE93" s="298" t="str">
        <f t="shared" si="8"/>
        <v>HNR100248</v>
      </c>
      <c r="AF93" s="514">
        <v>471</v>
      </c>
      <c r="AH93" s="512" t="s">
        <v>721</v>
      </c>
      <c r="AI93" s="512" t="s">
        <v>1030</v>
      </c>
      <c r="AJ93" s="512" t="s">
        <v>721</v>
      </c>
      <c r="AK93" s="513"/>
      <c r="AL93" s="512" t="s">
        <v>721</v>
      </c>
      <c r="AM93" s="512" t="s">
        <v>26</v>
      </c>
      <c r="AN93" s="513"/>
      <c r="AO93" s="514">
        <v>48</v>
      </c>
      <c r="AP93" s="513"/>
      <c r="AQ93" s="298" t="str">
        <f t="shared" si="9"/>
        <v>HOR100248</v>
      </c>
      <c r="AR93" s="514">
        <v>715</v>
      </c>
      <c r="AT93" s="512" t="s">
        <v>743</v>
      </c>
      <c r="AU93" s="512" t="s">
        <v>744</v>
      </c>
      <c r="AV93" s="512" t="s">
        <v>721</v>
      </c>
      <c r="AW93" s="513"/>
      <c r="AX93" s="512" t="s">
        <v>721</v>
      </c>
      <c r="AY93" s="512" t="s">
        <v>25</v>
      </c>
      <c r="AZ93" s="513"/>
      <c r="BA93" s="514">
        <v>60</v>
      </c>
      <c r="BB93" s="298" t="str">
        <f t="shared" si="10"/>
        <v>CLR100160</v>
      </c>
      <c r="BC93" s="514">
        <v>568</v>
      </c>
      <c r="BF93" s="512" t="s">
        <v>658</v>
      </c>
      <c r="BG93" s="512" t="s">
        <v>732</v>
      </c>
      <c r="BH93" s="512" t="s">
        <v>26</v>
      </c>
      <c r="BI93" s="514">
        <v>48</v>
      </c>
      <c r="BJ93" s="298" t="str">
        <f t="shared" si="11"/>
        <v>AOR100248</v>
      </c>
      <c r="BK93" s="514">
        <v>0</v>
      </c>
      <c r="BL93" s="514">
        <v>1</v>
      </c>
      <c r="BM93" s="514">
        <v>1</v>
      </c>
      <c r="BN93" s="514">
        <v>1</v>
      </c>
      <c r="BO93" s="514">
        <v>1</v>
      </c>
      <c r="BP93" s="514">
        <v>2</v>
      </c>
      <c r="BQ93" s="514">
        <v>2</v>
      </c>
      <c r="BR93" s="514">
        <v>2</v>
      </c>
      <c r="BS93" s="514">
        <v>3</v>
      </c>
      <c r="BT93" s="514">
        <v>0</v>
      </c>
      <c r="BU93" s="514">
        <v>0</v>
      </c>
      <c r="BV93" s="514">
        <v>0</v>
      </c>
      <c r="BW93" s="514">
        <v>0</v>
      </c>
      <c r="BX93" s="514">
        <v>0</v>
      </c>
      <c r="BY93" s="514">
        <v>0</v>
      </c>
      <c r="BZ93" s="514">
        <v>0</v>
      </c>
      <c r="CA93" s="514">
        <v>0</v>
      </c>
      <c r="CB93" s="514">
        <v>0</v>
      </c>
      <c r="CC93" s="514">
        <v>0</v>
      </c>
      <c r="CD93" s="514">
        <v>0</v>
      </c>
      <c r="CE93" s="514">
        <v>0</v>
      </c>
      <c r="CF93" s="514">
        <v>0</v>
      </c>
      <c r="CG93" s="514">
        <v>0</v>
      </c>
      <c r="CH93" s="514">
        <v>0</v>
      </c>
      <c r="CI93" s="514">
        <v>0</v>
      </c>
      <c r="CJ93" s="514">
        <v>0</v>
      </c>
      <c r="CK93" s="514">
        <v>0</v>
      </c>
      <c r="CL93" s="514">
        <v>0</v>
      </c>
      <c r="CM93" s="514">
        <v>0</v>
      </c>
      <c r="CN93" s="514">
        <v>0</v>
      </c>
      <c r="CO93" s="514">
        <v>0</v>
      </c>
      <c r="CP93" s="514">
        <v>0</v>
      </c>
      <c r="CQ93" s="514">
        <v>0</v>
      </c>
      <c r="CR93" s="514">
        <v>0</v>
      </c>
      <c r="CS93" s="514">
        <v>0</v>
      </c>
      <c r="CT93" s="514">
        <v>0</v>
      </c>
      <c r="CU93" s="514">
        <v>0</v>
      </c>
      <c r="CV93" s="514">
        <v>0</v>
      </c>
      <c r="CW93" s="514">
        <v>0</v>
      </c>
      <c r="CX93" s="514">
        <v>0</v>
      </c>
      <c r="CY93" s="514">
        <v>0</v>
      </c>
      <c r="CZ93" s="514">
        <v>0</v>
      </c>
      <c r="DA93" s="514">
        <v>0</v>
      </c>
      <c r="DB93" s="514">
        <v>0</v>
      </c>
      <c r="DC93" s="514">
        <v>0</v>
      </c>
      <c r="DD93" s="514">
        <v>0</v>
      </c>
      <c r="DE93" s="514">
        <v>0</v>
      </c>
      <c r="DF93" s="514">
        <v>0</v>
      </c>
      <c r="DG93" s="514">
        <v>0</v>
      </c>
      <c r="DH93" s="514">
        <v>0</v>
      </c>
      <c r="DI93" s="514">
        <v>0</v>
      </c>
      <c r="DJ93" s="514">
        <v>0</v>
      </c>
      <c r="DK93" s="514">
        <v>0</v>
      </c>
      <c r="DL93" s="514">
        <v>0</v>
      </c>
      <c r="DM93" s="514">
        <v>0</v>
      </c>
      <c r="DN93" s="514">
        <v>0</v>
      </c>
      <c r="DO93" s="514">
        <v>0</v>
      </c>
      <c r="DP93" s="514">
        <v>0</v>
      </c>
      <c r="DQ93" s="514">
        <v>0</v>
      </c>
      <c r="DR93" s="514">
        <v>0</v>
      </c>
      <c r="DS93" s="514">
        <v>0</v>
      </c>
      <c r="DT93" s="514">
        <v>0</v>
      </c>
      <c r="DU93" s="514">
        <v>0</v>
      </c>
      <c r="DV93" s="514">
        <v>0</v>
      </c>
      <c r="DW93" s="514">
        <v>0</v>
      </c>
      <c r="DX93" s="514">
        <v>0</v>
      </c>
      <c r="DY93" s="514">
        <v>0</v>
      </c>
      <c r="DZ93" s="514">
        <v>0</v>
      </c>
      <c r="EA93" s="514">
        <v>0</v>
      </c>
      <c r="EB93" s="514">
        <v>0</v>
      </c>
      <c r="EC93" s="514">
        <v>0</v>
      </c>
      <c r="ED93" s="514">
        <v>0</v>
      </c>
      <c r="EE93" s="514">
        <v>0</v>
      </c>
      <c r="EF93" s="514">
        <v>0</v>
      </c>
      <c r="EG93" s="514">
        <v>0</v>
      </c>
      <c r="EH93" s="514">
        <v>0</v>
      </c>
      <c r="EI93" s="514">
        <v>0</v>
      </c>
      <c r="EJ93" s="514">
        <v>0</v>
      </c>
      <c r="EK93" s="514">
        <v>0</v>
      </c>
      <c r="EL93" s="514">
        <v>0</v>
      </c>
      <c r="EM93" s="514">
        <v>0</v>
      </c>
      <c r="EN93" s="514">
        <v>0</v>
      </c>
      <c r="EO93" s="514">
        <v>0</v>
      </c>
      <c r="EP93" s="514">
        <v>0</v>
      </c>
      <c r="EQ93" s="514">
        <v>0</v>
      </c>
      <c r="ER93" s="514">
        <v>0</v>
      </c>
      <c r="ES93" s="514">
        <v>0</v>
      </c>
      <c r="ET93" s="514">
        <v>0</v>
      </c>
      <c r="EU93" s="514">
        <v>0</v>
      </c>
      <c r="EV93" s="514">
        <v>0</v>
      </c>
      <c r="EW93" s="514">
        <v>0</v>
      </c>
      <c r="EX93" s="514">
        <v>0</v>
      </c>
      <c r="EY93" s="514">
        <v>0</v>
      </c>
      <c r="EZ93" s="514">
        <v>0</v>
      </c>
      <c r="FA93" s="514">
        <v>0</v>
      </c>
      <c r="FB93" s="514">
        <v>0</v>
      </c>
      <c r="FC93" s="514">
        <v>0</v>
      </c>
      <c r="FD93" s="514">
        <v>0</v>
      </c>
      <c r="FE93" s="514">
        <v>0</v>
      </c>
      <c r="FF93" s="514">
        <v>0</v>
      </c>
      <c r="FG93" s="514">
        <v>0</v>
      </c>
      <c r="FH93" s="514">
        <v>0</v>
      </c>
      <c r="FI93" s="514">
        <v>0</v>
      </c>
      <c r="FJ93" s="514">
        <v>0</v>
      </c>
      <c r="FK93" s="514">
        <v>0</v>
      </c>
      <c r="FL93" s="514">
        <v>0</v>
      </c>
      <c r="FM93" s="514">
        <v>0</v>
      </c>
      <c r="FN93" s="514">
        <v>0</v>
      </c>
      <c r="FO93" s="514">
        <v>0</v>
      </c>
      <c r="FP93" s="514">
        <v>0</v>
      </c>
      <c r="FQ93" s="514">
        <v>0</v>
      </c>
    </row>
    <row r="94" spans="1:173" ht="16.5" hidden="1">
      <c r="A94" s="512" t="s">
        <v>658</v>
      </c>
      <c r="B94" s="512" t="s">
        <v>732</v>
      </c>
      <c r="C94" s="512" t="s">
        <v>721</v>
      </c>
      <c r="D94" s="513"/>
      <c r="E94" s="512" t="s">
        <v>721</v>
      </c>
      <c r="F94" s="512" t="s">
        <v>25</v>
      </c>
      <c r="G94" s="513"/>
      <c r="H94" s="514">
        <v>46</v>
      </c>
      <c r="I94" s="298" t="str">
        <f t="shared" si="6"/>
        <v>AOR100146</v>
      </c>
      <c r="J94" s="514">
        <v>3</v>
      </c>
      <c r="L94" s="512" t="s">
        <v>720</v>
      </c>
      <c r="M94" s="512" t="s">
        <v>739</v>
      </c>
      <c r="N94" s="512" t="s">
        <v>721</v>
      </c>
      <c r="O94" s="513"/>
      <c r="P94" s="512" t="s">
        <v>721</v>
      </c>
      <c r="Q94" s="512" t="s">
        <v>25</v>
      </c>
      <c r="R94" s="513"/>
      <c r="S94" s="514">
        <v>23</v>
      </c>
      <c r="T94" s="298" t="str">
        <f t="shared" si="7"/>
        <v>HSGA0123</v>
      </c>
      <c r="U94" s="514">
        <v>3320</v>
      </c>
      <c r="W94" s="512" t="s">
        <v>269</v>
      </c>
      <c r="X94" s="512" t="s">
        <v>843</v>
      </c>
      <c r="Y94" s="512" t="s">
        <v>721</v>
      </c>
      <c r="Z94" s="514">
        <v>10</v>
      </c>
      <c r="AA94" s="512" t="s">
        <v>721</v>
      </c>
      <c r="AB94" s="512" t="s">
        <v>26</v>
      </c>
      <c r="AC94" s="514">
        <v>0</v>
      </c>
      <c r="AD94" s="514">
        <v>49</v>
      </c>
      <c r="AE94" s="298" t="str">
        <f t="shared" si="8"/>
        <v>HNR100249</v>
      </c>
      <c r="AF94" s="514">
        <v>476</v>
      </c>
      <c r="AH94" s="512" t="s">
        <v>721</v>
      </c>
      <c r="AI94" s="512" t="s">
        <v>1030</v>
      </c>
      <c r="AJ94" s="512" t="s">
        <v>721</v>
      </c>
      <c r="AK94" s="513"/>
      <c r="AL94" s="512" t="s">
        <v>721</v>
      </c>
      <c r="AM94" s="512" t="s">
        <v>26</v>
      </c>
      <c r="AN94" s="513"/>
      <c r="AO94" s="514">
        <v>49</v>
      </c>
      <c r="AP94" s="513"/>
      <c r="AQ94" s="298" t="str">
        <f t="shared" si="9"/>
        <v>HOR100249</v>
      </c>
      <c r="AR94" s="514">
        <v>730</v>
      </c>
      <c r="AT94" s="512" t="s">
        <v>743</v>
      </c>
      <c r="AU94" s="512" t="s">
        <v>744</v>
      </c>
      <c r="AV94" s="512" t="s">
        <v>721</v>
      </c>
      <c r="AW94" s="513"/>
      <c r="AX94" s="512" t="s">
        <v>721</v>
      </c>
      <c r="AY94" s="512" t="s">
        <v>26</v>
      </c>
      <c r="AZ94" s="513"/>
      <c r="BA94" s="514">
        <v>60</v>
      </c>
      <c r="BB94" s="298" t="str">
        <f t="shared" si="10"/>
        <v>CLR100260</v>
      </c>
      <c r="BC94" s="514">
        <v>492</v>
      </c>
      <c r="BF94" s="512" t="s">
        <v>658</v>
      </c>
      <c r="BG94" s="512" t="s">
        <v>732</v>
      </c>
      <c r="BH94" s="512" t="s">
        <v>26</v>
      </c>
      <c r="BI94" s="514">
        <v>49</v>
      </c>
      <c r="BJ94" s="298" t="str">
        <f t="shared" si="11"/>
        <v>AOR100249</v>
      </c>
      <c r="BK94" s="514">
        <v>0</v>
      </c>
      <c r="BL94" s="514">
        <v>1</v>
      </c>
      <c r="BM94" s="514">
        <v>1</v>
      </c>
      <c r="BN94" s="514">
        <v>1</v>
      </c>
      <c r="BO94" s="514">
        <v>1</v>
      </c>
      <c r="BP94" s="514">
        <v>2</v>
      </c>
      <c r="BQ94" s="514">
        <v>2</v>
      </c>
      <c r="BR94" s="514">
        <v>2</v>
      </c>
      <c r="BS94" s="514">
        <v>3</v>
      </c>
      <c r="BT94" s="514">
        <v>0</v>
      </c>
      <c r="BU94" s="514">
        <v>0</v>
      </c>
      <c r="BV94" s="514">
        <v>0</v>
      </c>
      <c r="BW94" s="514">
        <v>0</v>
      </c>
      <c r="BX94" s="514">
        <v>0</v>
      </c>
      <c r="BY94" s="514">
        <v>0</v>
      </c>
      <c r="BZ94" s="514">
        <v>0</v>
      </c>
      <c r="CA94" s="514">
        <v>0</v>
      </c>
      <c r="CB94" s="514">
        <v>0</v>
      </c>
      <c r="CC94" s="514">
        <v>0</v>
      </c>
      <c r="CD94" s="514">
        <v>0</v>
      </c>
      <c r="CE94" s="514">
        <v>0</v>
      </c>
      <c r="CF94" s="514">
        <v>0</v>
      </c>
      <c r="CG94" s="514">
        <v>0</v>
      </c>
      <c r="CH94" s="514">
        <v>0</v>
      </c>
      <c r="CI94" s="514">
        <v>0</v>
      </c>
      <c r="CJ94" s="514">
        <v>0</v>
      </c>
      <c r="CK94" s="514">
        <v>0</v>
      </c>
      <c r="CL94" s="514">
        <v>0</v>
      </c>
      <c r="CM94" s="514">
        <v>0</v>
      </c>
      <c r="CN94" s="514">
        <v>0</v>
      </c>
      <c r="CO94" s="514">
        <v>0</v>
      </c>
      <c r="CP94" s="514">
        <v>0</v>
      </c>
      <c r="CQ94" s="514">
        <v>0</v>
      </c>
      <c r="CR94" s="514">
        <v>0</v>
      </c>
      <c r="CS94" s="514">
        <v>0</v>
      </c>
      <c r="CT94" s="514">
        <v>0</v>
      </c>
      <c r="CU94" s="514">
        <v>0</v>
      </c>
      <c r="CV94" s="514">
        <v>0</v>
      </c>
      <c r="CW94" s="514">
        <v>0</v>
      </c>
      <c r="CX94" s="514">
        <v>0</v>
      </c>
      <c r="CY94" s="514">
        <v>0</v>
      </c>
      <c r="CZ94" s="514">
        <v>0</v>
      </c>
      <c r="DA94" s="514">
        <v>0</v>
      </c>
      <c r="DB94" s="514">
        <v>0</v>
      </c>
      <c r="DC94" s="514">
        <v>0</v>
      </c>
      <c r="DD94" s="514">
        <v>0</v>
      </c>
      <c r="DE94" s="514">
        <v>0</v>
      </c>
      <c r="DF94" s="514">
        <v>0</v>
      </c>
      <c r="DG94" s="514">
        <v>0</v>
      </c>
      <c r="DH94" s="514">
        <v>0</v>
      </c>
      <c r="DI94" s="514">
        <v>0</v>
      </c>
      <c r="DJ94" s="514">
        <v>0</v>
      </c>
      <c r="DK94" s="514">
        <v>0</v>
      </c>
      <c r="DL94" s="514">
        <v>0</v>
      </c>
      <c r="DM94" s="514">
        <v>0</v>
      </c>
      <c r="DN94" s="514">
        <v>0</v>
      </c>
      <c r="DO94" s="514">
        <v>0</v>
      </c>
      <c r="DP94" s="514">
        <v>0</v>
      </c>
      <c r="DQ94" s="514">
        <v>0</v>
      </c>
      <c r="DR94" s="514">
        <v>0</v>
      </c>
      <c r="DS94" s="514">
        <v>0</v>
      </c>
      <c r="DT94" s="514">
        <v>0</v>
      </c>
      <c r="DU94" s="514">
        <v>0</v>
      </c>
      <c r="DV94" s="514">
        <v>0</v>
      </c>
      <c r="DW94" s="514">
        <v>0</v>
      </c>
      <c r="DX94" s="514">
        <v>0</v>
      </c>
      <c r="DY94" s="514">
        <v>0</v>
      </c>
      <c r="DZ94" s="514">
        <v>0</v>
      </c>
      <c r="EA94" s="514">
        <v>0</v>
      </c>
      <c r="EB94" s="514">
        <v>0</v>
      </c>
      <c r="EC94" s="514">
        <v>0</v>
      </c>
      <c r="ED94" s="514">
        <v>0</v>
      </c>
      <c r="EE94" s="514">
        <v>0</v>
      </c>
      <c r="EF94" s="514">
        <v>0</v>
      </c>
      <c r="EG94" s="514">
        <v>0</v>
      </c>
      <c r="EH94" s="514">
        <v>0</v>
      </c>
      <c r="EI94" s="514">
        <v>0</v>
      </c>
      <c r="EJ94" s="514">
        <v>0</v>
      </c>
      <c r="EK94" s="514">
        <v>0</v>
      </c>
      <c r="EL94" s="514">
        <v>0</v>
      </c>
      <c r="EM94" s="514">
        <v>0</v>
      </c>
      <c r="EN94" s="514">
        <v>0</v>
      </c>
      <c r="EO94" s="514">
        <v>0</v>
      </c>
      <c r="EP94" s="514">
        <v>0</v>
      </c>
      <c r="EQ94" s="514">
        <v>0</v>
      </c>
      <c r="ER94" s="514">
        <v>0</v>
      </c>
      <c r="ES94" s="514">
        <v>0</v>
      </c>
      <c r="ET94" s="514">
        <v>0</v>
      </c>
      <c r="EU94" s="514">
        <v>0</v>
      </c>
      <c r="EV94" s="514">
        <v>0</v>
      </c>
      <c r="EW94" s="514">
        <v>0</v>
      </c>
      <c r="EX94" s="514">
        <v>0</v>
      </c>
      <c r="EY94" s="514">
        <v>0</v>
      </c>
      <c r="EZ94" s="514">
        <v>0</v>
      </c>
      <c r="FA94" s="514">
        <v>0</v>
      </c>
      <c r="FB94" s="514">
        <v>0</v>
      </c>
      <c r="FC94" s="514">
        <v>0</v>
      </c>
      <c r="FD94" s="514">
        <v>0</v>
      </c>
      <c r="FE94" s="514">
        <v>0</v>
      </c>
      <c r="FF94" s="514">
        <v>0</v>
      </c>
      <c r="FG94" s="514">
        <v>0</v>
      </c>
      <c r="FH94" s="514">
        <v>0</v>
      </c>
      <c r="FI94" s="514">
        <v>0</v>
      </c>
      <c r="FJ94" s="514">
        <v>0</v>
      </c>
      <c r="FK94" s="514">
        <v>0</v>
      </c>
      <c r="FL94" s="514">
        <v>0</v>
      </c>
      <c r="FM94" s="514">
        <v>0</v>
      </c>
      <c r="FN94" s="514">
        <v>0</v>
      </c>
      <c r="FO94" s="514">
        <v>0</v>
      </c>
      <c r="FP94" s="514">
        <v>0</v>
      </c>
      <c r="FQ94" s="514">
        <v>0</v>
      </c>
    </row>
    <row r="95" spans="1:173" ht="16.5" hidden="1">
      <c r="A95" s="512" t="s">
        <v>658</v>
      </c>
      <c r="B95" s="512" t="s">
        <v>732</v>
      </c>
      <c r="C95" s="512" t="s">
        <v>721</v>
      </c>
      <c r="D95" s="513"/>
      <c r="E95" s="512" t="s">
        <v>721</v>
      </c>
      <c r="F95" s="512" t="s">
        <v>25</v>
      </c>
      <c r="G95" s="513"/>
      <c r="H95" s="514">
        <v>47</v>
      </c>
      <c r="I95" s="298" t="str">
        <f t="shared" si="6"/>
        <v>AOR100147</v>
      </c>
      <c r="J95" s="514">
        <v>3</v>
      </c>
      <c r="L95" s="512" t="s">
        <v>720</v>
      </c>
      <c r="M95" s="512" t="s">
        <v>739</v>
      </c>
      <c r="N95" s="512" t="s">
        <v>721</v>
      </c>
      <c r="O95" s="513"/>
      <c r="P95" s="512" t="s">
        <v>721</v>
      </c>
      <c r="Q95" s="512" t="s">
        <v>25</v>
      </c>
      <c r="R95" s="513"/>
      <c r="S95" s="514">
        <v>24</v>
      </c>
      <c r="T95" s="298" t="str">
        <f t="shared" si="7"/>
        <v>HSGA0124</v>
      </c>
      <c r="U95" s="514">
        <v>3453</v>
      </c>
      <c r="W95" s="512" t="s">
        <v>269</v>
      </c>
      <c r="X95" s="512" t="s">
        <v>843</v>
      </c>
      <c r="Y95" s="512" t="s">
        <v>721</v>
      </c>
      <c r="Z95" s="514">
        <v>10</v>
      </c>
      <c r="AA95" s="512" t="s">
        <v>721</v>
      </c>
      <c r="AB95" s="512" t="s">
        <v>26</v>
      </c>
      <c r="AC95" s="514">
        <v>0</v>
      </c>
      <c r="AD95" s="514">
        <v>50</v>
      </c>
      <c r="AE95" s="298" t="str">
        <f t="shared" si="8"/>
        <v>HNR100250</v>
      </c>
      <c r="AF95" s="514">
        <v>480</v>
      </c>
      <c r="AH95" s="512" t="s">
        <v>721</v>
      </c>
      <c r="AI95" s="512" t="s">
        <v>1030</v>
      </c>
      <c r="AJ95" s="512" t="s">
        <v>721</v>
      </c>
      <c r="AK95" s="513"/>
      <c r="AL95" s="512" t="s">
        <v>721</v>
      </c>
      <c r="AM95" s="512" t="s">
        <v>26</v>
      </c>
      <c r="AN95" s="513"/>
      <c r="AO95" s="514">
        <v>50</v>
      </c>
      <c r="AP95" s="513"/>
      <c r="AQ95" s="298" t="str">
        <f t="shared" si="9"/>
        <v>HOR100250</v>
      </c>
      <c r="AR95" s="514">
        <v>745</v>
      </c>
      <c r="AT95" s="512" t="s">
        <v>743</v>
      </c>
      <c r="AU95" s="512" t="s">
        <v>744</v>
      </c>
      <c r="AV95" s="512" t="s">
        <v>721</v>
      </c>
      <c r="AW95" s="513"/>
      <c r="AX95" s="512" t="s">
        <v>721</v>
      </c>
      <c r="AY95" s="512" t="s">
        <v>25</v>
      </c>
      <c r="AZ95" s="513"/>
      <c r="BA95" s="514">
        <v>61</v>
      </c>
      <c r="BB95" s="298" t="str">
        <f t="shared" si="10"/>
        <v>CLR100161</v>
      </c>
      <c r="BC95" s="514">
        <v>587</v>
      </c>
      <c r="BF95" s="512" t="s">
        <v>658</v>
      </c>
      <c r="BG95" s="512" t="s">
        <v>732</v>
      </c>
      <c r="BH95" s="512" t="s">
        <v>26</v>
      </c>
      <c r="BI95" s="514">
        <v>50</v>
      </c>
      <c r="BJ95" s="298" t="str">
        <f t="shared" si="11"/>
        <v>AOR100250</v>
      </c>
      <c r="BK95" s="514">
        <v>0</v>
      </c>
      <c r="BL95" s="514">
        <v>1</v>
      </c>
      <c r="BM95" s="514">
        <v>1</v>
      </c>
      <c r="BN95" s="514">
        <v>1</v>
      </c>
      <c r="BO95" s="514">
        <v>1</v>
      </c>
      <c r="BP95" s="514">
        <v>2</v>
      </c>
      <c r="BQ95" s="514">
        <v>2</v>
      </c>
      <c r="BR95" s="514">
        <v>2</v>
      </c>
      <c r="BS95" s="514">
        <v>3</v>
      </c>
      <c r="BT95" s="514">
        <v>0</v>
      </c>
      <c r="BU95" s="514">
        <v>0</v>
      </c>
      <c r="BV95" s="514">
        <v>0</v>
      </c>
      <c r="BW95" s="514">
        <v>0</v>
      </c>
      <c r="BX95" s="514">
        <v>0</v>
      </c>
      <c r="BY95" s="514">
        <v>0</v>
      </c>
      <c r="BZ95" s="514">
        <v>0</v>
      </c>
      <c r="CA95" s="514">
        <v>0</v>
      </c>
      <c r="CB95" s="514">
        <v>0</v>
      </c>
      <c r="CC95" s="514">
        <v>0</v>
      </c>
      <c r="CD95" s="514">
        <v>0</v>
      </c>
      <c r="CE95" s="514">
        <v>0</v>
      </c>
      <c r="CF95" s="514">
        <v>0</v>
      </c>
      <c r="CG95" s="514">
        <v>0</v>
      </c>
      <c r="CH95" s="514">
        <v>0</v>
      </c>
      <c r="CI95" s="514">
        <v>0</v>
      </c>
      <c r="CJ95" s="514">
        <v>0</v>
      </c>
      <c r="CK95" s="514">
        <v>0</v>
      </c>
      <c r="CL95" s="514">
        <v>0</v>
      </c>
      <c r="CM95" s="514">
        <v>0</v>
      </c>
      <c r="CN95" s="514">
        <v>0</v>
      </c>
      <c r="CO95" s="514">
        <v>0</v>
      </c>
      <c r="CP95" s="514">
        <v>0</v>
      </c>
      <c r="CQ95" s="514">
        <v>0</v>
      </c>
      <c r="CR95" s="514">
        <v>0</v>
      </c>
      <c r="CS95" s="514">
        <v>0</v>
      </c>
      <c r="CT95" s="514">
        <v>0</v>
      </c>
      <c r="CU95" s="514">
        <v>0</v>
      </c>
      <c r="CV95" s="514">
        <v>0</v>
      </c>
      <c r="CW95" s="514">
        <v>0</v>
      </c>
      <c r="CX95" s="514">
        <v>0</v>
      </c>
      <c r="CY95" s="514">
        <v>0</v>
      </c>
      <c r="CZ95" s="514">
        <v>0</v>
      </c>
      <c r="DA95" s="514">
        <v>0</v>
      </c>
      <c r="DB95" s="514">
        <v>0</v>
      </c>
      <c r="DC95" s="514">
        <v>0</v>
      </c>
      <c r="DD95" s="514">
        <v>0</v>
      </c>
      <c r="DE95" s="514">
        <v>0</v>
      </c>
      <c r="DF95" s="514">
        <v>0</v>
      </c>
      <c r="DG95" s="514">
        <v>0</v>
      </c>
      <c r="DH95" s="514">
        <v>0</v>
      </c>
      <c r="DI95" s="514">
        <v>0</v>
      </c>
      <c r="DJ95" s="514">
        <v>0</v>
      </c>
      <c r="DK95" s="514">
        <v>0</v>
      </c>
      <c r="DL95" s="514">
        <v>0</v>
      </c>
      <c r="DM95" s="514">
        <v>0</v>
      </c>
      <c r="DN95" s="514">
        <v>0</v>
      </c>
      <c r="DO95" s="514">
        <v>0</v>
      </c>
      <c r="DP95" s="514">
        <v>0</v>
      </c>
      <c r="DQ95" s="514">
        <v>0</v>
      </c>
      <c r="DR95" s="514">
        <v>0</v>
      </c>
      <c r="DS95" s="514">
        <v>0</v>
      </c>
      <c r="DT95" s="514">
        <v>0</v>
      </c>
      <c r="DU95" s="514">
        <v>0</v>
      </c>
      <c r="DV95" s="514">
        <v>0</v>
      </c>
      <c r="DW95" s="514">
        <v>0</v>
      </c>
      <c r="DX95" s="514">
        <v>0</v>
      </c>
      <c r="DY95" s="514">
        <v>0</v>
      </c>
      <c r="DZ95" s="514">
        <v>0</v>
      </c>
      <c r="EA95" s="514">
        <v>0</v>
      </c>
      <c r="EB95" s="514">
        <v>0</v>
      </c>
      <c r="EC95" s="514">
        <v>0</v>
      </c>
      <c r="ED95" s="514">
        <v>0</v>
      </c>
      <c r="EE95" s="514">
        <v>0</v>
      </c>
      <c r="EF95" s="514">
        <v>0</v>
      </c>
      <c r="EG95" s="514">
        <v>0</v>
      </c>
      <c r="EH95" s="514">
        <v>0</v>
      </c>
      <c r="EI95" s="514">
        <v>0</v>
      </c>
      <c r="EJ95" s="514">
        <v>0</v>
      </c>
      <c r="EK95" s="514">
        <v>0</v>
      </c>
      <c r="EL95" s="514">
        <v>0</v>
      </c>
      <c r="EM95" s="514">
        <v>0</v>
      </c>
      <c r="EN95" s="514">
        <v>0</v>
      </c>
      <c r="EO95" s="514">
        <v>0</v>
      </c>
      <c r="EP95" s="514">
        <v>0</v>
      </c>
      <c r="EQ95" s="514">
        <v>0</v>
      </c>
      <c r="ER95" s="514">
        <v>0</v>
      </c>
      <c r="ES95" s="514">
        <v>0</v>
      </c>
      <c r="ET95" s="514">
        <v>0</v>
      </c>
      <c r="EU95" s="514">
        <v>0</v>
      </c>
      <c r="EV95" s="514">
        <v>0</v>
      </c>
      <c r="EW95" s="514">
        <v>0</v>
      </c>
      <c r="EX95" s="514">
        <v>0</v>
      </c>
      <c r="EY95" s="514">
        <v>0</v>
      </c>
      <c r="EZ95" s="514">
        <v>0</v>
      </c>
      <c r="FA95" s="514">
        <v>0</v>
      </c>
      <c r="FB95" s="514">
        <v>0</v>
      </c>
      <c r="FC95" s="514">
        <v>0</v>
      </c>
      <c r="FD95" s="514">
        <v>0</v>
      </c>
      <c r="FE95" s="514">
        <v>0</v>
      </c>
      <c r="FF95" s="514">
        <v>0</v>
      </c>
      <c r="FG95" s="514">
        <v>0</v>
      </c>
      <c r="FH95" s="514">
        <v>0</v>
      </c>
      <c r="FI95" s="514">
        <v>0</v>
      </c>
      <c r="FJ95" s="514">
        <v>0</v>
      </c>
      <c r="FK95" s="514">
        <v>0</v>
      </c>
      <c r="FL95" s="514">
        <v>0</v>
      </c>
      <c r="FM95" s="514">
        <v>0</v>
      </c>
      <c r="FN95" s="514">
        <v>0</v>
      </c>
      <c r="FO95" s="514">
        <v>0</v>
      </c>
      <c r="FP95" s="514">
        <v>0</v>
      </c>
      <c r="FQ95" s="514">
        <v>0</v>
      </c>
    </row>
    <row r="96" spans="1:173" ht="16.5" hidden="1">
      <c r="A96" s="512" t="s">
        <v>658</v>
      </c>
      <c r="B96" s="512" t="s">
        <v>732</v>
      </c>
      <c r="C96" s="512" t="s">
        <v>721</v>
      </c>
      <c r="D96" s="513"/>
      <c r="E96" s="512" t="s">
        <v>721</v>
      </c>
      <c r="F96" s="512" t="s">
        <v>25</v>
      </c>
      <c r="G96" s="513"/>
      <c r="H96" s="514">
        <v>48</v>
      </c>
      <c r="I96" s="298" t="str">
        <f t="shared" si="6"/>
        <v>AOR100148</v>
      </c>
      <c r="J96" s="514">
        <v>3</v>
      </c>
      <c r="L96" s="512" t="s">
        <v>720</v>
      </c>
      <c r="M96" s="512" t="s">
        <v>739</v>
      </c>
      <c r="N96" s="512" t="s">
        <v>721</v>
      </c>
      <c r="O96" s="513"/>
      <c r="P96" s="512" t="s">
        <v>721</v>
      </c>
      <c r="Q96" s="512" t="s">
        <v>25</v>
      </c>
      <c r="R96" s="513"/>
      <c r="S96" s="514">
        <v>25</v>
      </c>
      <c r="T96" s="298" t="str">
        <f t="shared" si="7"/>
        <v>HSGA0125</v>
      </c>
      <c r="U96" s="514">
        <v>3621</v>
      </c>
      <c r="W96" s="512" t="s">
        <v>269</v>
      </c>
      <c r="X96" s="512" t="s">
        <v>843</v>
      </c>
      <c r="Y96" s="512" t="s">
        <v>721</v>
      </c>
      <c r="Z96" s="514">
        <v>10</v>
      </c>
      <c r="AA96" s="512" t="s">
        <v>721</v>
      </c>
      <c r="AB96" s="512" t="s">
        <v>26</v>
      </c>
      <c r="AC96" s="514">
        <v>0</v>
      </c>
      <c r="AD96" s="514">
        <v>51</v>
      </c>
      <c r="AE96" s="298" t="str">
        <f t="shared" si="8"/>
        <v>HNR100251</v>
      </c>
      <c r="AF96" s="514">
        <v>486</v>
      </c>
      <c r="AH96" s="512" t="s">
        <v>721</v>
      </c>
      <c r="AI96" s="512" t="s">
        <v>1030</v>
      </c>
      <c r="AJ96" s="512" t="s">
        <v>721</v>
      </c>
      <c r="AK96" s="513"/>
      <c r="AL96" s="512" t="s">
        <v>721</v>
      </c>
      <c r="AM96" s="512" t="s">
        <v>26</v>
      </c>
      <c r="AN96" s="513"/>
      <c r="AO96" s="514">
        <v>51</v>
      </c>
      <c r="AP96" s="513"/>
      <c r="AQ96" s="298" t="str">
        <f t="shared" si="9"/>
        <v>HOR100251</v>
      </c>
      <c r="AR96" s="514">
        <v>760</v>
      </c>
      <c r="AT96" s="512" t="s">
        <v>743</v>
      </c>
      <c r="AU96" s="512" t="s">
        <v>744</v>
      </c>
      <c r="AV96" s="512" t="s">
        <v>721</v>
      </c>
      <c r="AW96" s="513"/>
      <c r="AX96" s="512" t="s">
        <v>721</v>
      </c>
      <c r="AY96" s="512" t="s">
        <v>26</v>
      </c>
      <c r="AZ96" s="513"/>
      <c r="BA96" s="514">
        <v>61</v>
      </c>
      <c r="BB96" s="298" t="str">
        <f t="shared" si="10"/>
        <v>CLR100261</v>
      </c>
      <c r="BC96" s="514">
        <v>497</v>
      </c>
      <c r="BF96" s="512" t="s">
        <v>658</v>
      </c>
      <c r="BG96" s="512" t="s">
        <v>732</v>
      </c>
      <c r="BH96" s="512" t="s">
        <v>26</v>
      </c>
      <c r="BI96" s="514">
        <v>51</v>
      </c>
      <c r="BJ96" s="298" t="str">
        <f t="shared" si="11"/>
        <v>AOR100251</v>
      </c>
      <c r="BK96" s="514">
        <v>0</v>
      </c>
      <c r="BL96" s="514">
        <v>1</v>
      </c>
      <c r="BM96" s="514">
        <v>1</v>
      </c>
      <c r="BN96" s="514">
        <v>1</v>
      </c>
      <c r="BO96" s="514">
        <v>1</v>
      </c>
      <c r="BP96" s="514">
        <v>2</v>
      </c>
      <c r="BQ96" s="514">
        <v>2</v>
      </c>
      <c r="BR96" s="514">
        <v>2</v>
      </c>
      <c r="BS96" s="514">
        <v>3</v>
      </c>
      <c r="BT96" s="514">
        <v>0</v>
      </c>
      <c r="BU96" s="514">
        <v>0</v>
      </c>
      <c r="BV96" s="514">
        <v>0</v>
      </c>
      <c r="BW96" s="514">
        <v>0</v>
      </c>
      <c r="BX96" s="514">
        <v>0</v>
      </c>
      <c r="BY96" s="514">
        <v>0</v>
      </c>
      <c r="BZ96" s="514">
        <v>0</v>
      </c>
      <c r="CA96" s="514">
        <v>0</v>
      </c>
      <c r="CB96" s="514">
        <v>0</v>
      </c>
      <c r="CC96" s="514">
        <v>0</v>
      </c>
      <c r="CD96" s="514">
        <v>0</v>
      </c>
      <c r="CE96" s="514">
        <v>0</v>
      </c>
      <c r="CF96" s="514">
        <v>0</v>
      </c>
      <c r="CG96" s="514">
        <v>0</v>
      </c>
      <c r="CH96" s="514">
        <v>0</v>
      </c>
      <c r="CI96" s="514">
        <v>0</v>
      </c>
      <c r="CJ96" s="514">
        <v>0</v>
      </c>
      <c r="CK96" s="514">
        <v>0</v>
      </c>
      <c r="CL96" s="514">
        <v>0</v>
      </c>
      <c r="CM96" s="514">
        <v>0</v>
      </c>
      <c r="CN96" s="514">
        <v>0</v>
      </c>
      <c r="CO96" s="514">
        <v>0</v>
      </c>
      <c r="CP96" s="514">
        <v>0</v>
      </c>
      <c r="CQ96" s="514">
        <v>0</v>
      </c>
      <c r="CR96" s="514">
        <v>0</v>
      </c>
      <c r="CS96" s="514">
        <v>0</v>
      </c>
      <c r="CT96" s="514">
        <v>0</v>
      </c>
      <c r="CU96" s="514">
        <v>0</v>
      </c>
      <c r="CV96" s="514">
        <v>0</v>
      </c>
      <c r="CW96" s="514">
        <v>0</v>
      </c>
      <c r="CX96" s="514">
        <v>0</v>
      </c>
      <c r="CY96" s="514">
        <v>0</v>
      </c>
      <c r="CZ96" s="514">
        <v>0</v>
      </c>
      <c r="DA96" s="514">
        <v>0</v>
      </c>
      <c r="DB96" s="514">
        <v>0</v>
      </c>
      <c r="DC96" s="514">
        <v>0</v>
      </c>
      <c r="DD96" s="514">
        <v>0</v>
      </c>
      <c r="DE96" s="514">
        <v>0</v>
      </c>
      <c r="DF96" s="514">
        <v>0</v>
      </c>
      <c r="DG96" s="514">
        <v>0</v>
      </c>
      <c r="DH96" s="514">
        <v>0</v>
      </c>
      <c r="DI96" s="514">
        <v>0</v>
      </c>
      <c r="DJ96" s="514">
        <v>0</v>
      </c>
      <c r="DK96" s="514">
        <v>0</v>
      </c>
      <c r="DL96" s="514">
        <v>0</v>
      </c>
      <c r="DM96" s="514">
        <v>0</v>
      </c>
      <c r="DN96" s="514">
        <v>0</v>
      </c>
      <c r="DO96" s="514">
        <v>0</v>
      </c>
      <c r="DP96" s="514">
        <v>0</v>
      </c>
      <c r="DQ96" s="514">
        <v>0</v>
      </c>
      <c r="DR96" s="514">
        <v>0</v>
      </c>
      <c r="DS96" s="514">
        <v>0</v>
      </c>
      <c r="DT96" s="514">
        <v>0</v>
      </c>
      <c r="DU96" s="514">
        <v>0</v>
      </c>
      <c r="DV96" s="514">
        <v>0</v>
      </c>
      <c r="DW96" s="514">
        <v>0</v>
      </c>
      <c r="DX96" s="514">
        <v>0</v>
      </c>
      <c r="DY96" s="514">
        <v>0</v>
      </c>
      <c r="DZ96" s="514">
        <v>0</v>
      </c>
      <c r="EA96" s="514">
        <v>0</v>
      </c>
      <c r="EB96" s="514">
        <v>0</v>
      </c>
      <c r="EC96" s="514">
        <v>0</v>
      </c>
      <c r="ED96" s="514">
        <v>0</v>
      </c>
      <c r="EE96" s="514">
        <v>0</v>
      </c>
      <c r="EF96" s="514">
        <v>0</v>
      </c>
      <c r="EG96" s="514">
        <v>0</v>
      </c>
      <c r="EH96" s="514">
        <v>0</v>
      </c>
      <c r="EI96" s="514">
        <v>0</v>
      </c>
      <c r="EJ96" s="514">
        <v>0</v>
      </c>
      <c r="EK96" s="514">
        <v>0</v>
      </c>
      <c r="EL96" s="514">
        <v>0</v>
      </c>
      <c r="EM96" s="514">
        <v>0</v>
      </c>
      <c r="EN96" s="514">
        <v>0</v>
      </c>
      <c r="EO96" s="514">
        <v>0</v>
      </c>
      <c r="EP96" s="514">
        <v>0</v>
      </c>
      <c r="EQ96" s="514">
        <v>0</v>
      </c>
      <c r="ER96" s="514">
        <v>0</v>
      </c>
      <c r="ES96" s="514">
        <v>0</v>
      </c>
      <c r="ET96" s="514">
        <v>0</v>
      </c>
      <c r="EU96" s="514">
        <v>0</v>
      </c>
      <c r="EV96" s="514">
        <v>0</v>
      </c>
      <c r="EW96" s="514">
        <v>0</v>
      </c>
      <c r="EX96" s="514">
        <v>0</v>
      </c>
      <c r="EY96" s="514">
        <v>0</v>
      </c>
      <c r="EZ96" s="514">
        <v>0</v>
      </c>
      <c r="FA96" s="514">
        <v>0</v>
      </c>
      <c r="FB96" s="514">
        <v>0</v>
      </c>
      <c r="FC96" s="514">
        <v>0</v>
      </c>
      <c r="FD96" s="514">
        <v>0</v>
      </c>
      <c r="FE96" s="514">
        <v>0</v>
      </c>
      <c r="FF96" s="514">
        <v>0</v>
      </c>
      <c r="FG96" s="514">
        <v>0</v>
      </c>
      <c r="FH96" s="514">
        <v>0</v>
      </c>
      <c r="FI96" s="514">
        <v>0</v>
      </c>
      <c r="FJ96" s="514">
        <v>0</v>
      </c>
      <c r="FK96" s="514">
        <v>0</v>
      </c>
      <c r="FL96" s="514">
        <v>0</v>
      </c>
      <c r="FM96" s="514">
        <v>0</v>
      </c>
      <c r="FN96" s="514">
        <v>0</v>
      </c>
      <c r="FO96" s="514">
        <v>0</v>
      </c>
      <c r="FP96" s="514">
        <v>0</v>
      </c>
      <c r="FQ96" s="514">
        <v>0</v>
      </c>
    </row>
    <row r="97" spans="1:173" ht="16.5" hidden="1">
      <c r="A97" s="512" t="s">
        <v>658</v>
      </c>
      <c r="B97" s="512" t="s">
        <v>732</v>
      </c>
      <c r="C97" s="512" t="s">
        <v>721</v>
      </c>
      <c r="D97" s="513"/>
      <c r="E97" s="512" t="s">
        <v>721</v>
      </c>
      <c r="F97" s="512" t="s">
        <v>25</v>
      </c>
      <c r="G97" s="513"/>
      <c r="H97" s="514">
        <v>49</v>
      </c>
      <c r="I97" s="298" t="str">
        <f t="shared" si="6"/>
        <v>AOR100149</v>
      </c>
      <c r="J97" s="514">
        <v>3</v>
      </c>
      <c r="L97" s="512" t="s">
        <v>720</v>
      </c>
      <c r="M97" s="512" t="s">
        <v>739</v>
      </c>
      <c r="N97" s="512" t="s">
        <v>721</v>
      </c>
      <c r="O97" s="513"/>
      <c r="P97" s="512" t="s">
        <v>721</v>
      </c>
      <c r="Q97" s="512" t="s">
        <v>25</v>
      </c>
      <c r="R97" s="513"/>
      <c r="S97" s="514">
        <v>26</v>
      </c>
      <c r="T97" s="298" t="str">
        <f t="shared" si="7"/>
        <v>HSGA0126</v>
      </c>
      <c r="U97" s="514">
        <v>3772</v>
      </c>
      <c r="W97" s="512" t="s">
        <v>269</v>
      </c>
      <c r="X97" s="512" t="s">
        <v>843</v>
      </c>
      <c r="Y97" s="512" t="s">
        <v>721</v>
      </c>
      <c r="Z97" s="514">
        <v>10</v>
      </c>
      <c r="AA97" s="512" t="s">
        <v>721</v>
      </c>
      <c r="AB97" s="512" t="s">
        <v>26</v>
      </c>
      <c r="AC97" s="514">
        <v>0</v>
      </c>
      <c r="AD97" s="514">
        <v>52</v>
      </c>
      <c r="AE97" s="298" t="str">
        <f t="shared" si="8"/>
        <v>HNR100252</v>
      </c>
      <c r="AF97" s="514">
        <v>492</v>
      </c>
      <c r="AH97" s="512" t="s">
        <v>721</v>
      </c>
      <c r="AI97" s="512" t="s">
        <v>1030</v>
      </c>
      <c r="AJ97" s="512" t="s">
        <v>721</v>
      </c>
      <c r="AK97" s="513"/>
      <c r="AL97" s="512" t="s">
        <v>721</v>
      </c>
      <c r="AM97" s="512" t="s">
        <v>26</v>
      </c>
      <c r="AN97" s="513"/>
      <c r="AO97" s="514">
        <v>52</v>
      </c>
      <c r="AP97" s="513"/>
      <c r="AQ97" s="298" t="str">
        <f t="shared" si="9"/>
        <v>HOR100252</v>
      </c>
      <c r="AR97" s="514">
        <v>775</v>
      </c>
      <c r="AT97" s="512" t="s">
        <v>743</v>
      </c>
      <c r="AU97" s="512" t="s">
        <v>744</v>
      </c>
      <c r="AV97" s="512" t="s">
        <v>721</v>
      </c>
      <c r="AW97" s="513"/>
      <c r="AX97" s="512" t="s">
        <v>721</v>
      </c>
      <c r="AY97" s="512" t="s">
        <v>25</v>
      </c>
      <c r="AZ97" s="513"/>
      <c r="BA97" s="514">
        <v>62</v>
      </c>
      <c r="BB97" s="298" t="str">
        <f t="shared" si="10"/>
        <v>CLR100162</v>
      </c>
      <c r="BC97" s="514">
        <v>606</v>
      </c>
      <c r="BF97" s="512" t="s">
        <v>658</v>
      </c>
      <c r="BG97" s="512" t="s">
        <v>732</v>
      </c>
      <c r="BH97" s="512" t="s">
        <v>26</v>
      </c>
      <c r="BI97" s="514">
        <v>52</v>
      </c>
      <c r="BJ97" s="298" t="str">
        <f t="shared" si="11"/>
        <v>AOR100252</v>
      </c>
      <c r="BK97" s="514">
        <v>0</v>
      </c>
      <c r="BL97" s="514">
        <v>1</v>
      </c>
      <c r="BM97" s="514">
        <v>1</v>
      </c>
      <c r="BN97" s="514">
        <v>1</v>
      </c>
      <c r="BO97" s="514">
        <v>1</v>
      </c>
      <c r="BP97" s="514">
        <v>2</v>
      </c>
      <c r="BQ97" s="514">
        <v>2</v>
      </c>
      <c r="BR97" s="514">
        <v>2</v>
      </c>
      <c r="BS97" s="514">
        <v>3</v>
      </c>
      <c r="BT97" s="514">
        <v>0</v>
      </c>
      <c r="BU97" s="514">
        <v>0</v>
      </c>
      <c r="BV97" s="514">
        <v>0</v>
      </c>
      <c r="BW97" s="514">
        <v>0</v>
      </c>
      <c r="BX97" s="514">
        <v>0</v>
      </c>
      <c r="BY97" s="514">
        <v>0</v>
      </c>
      <c r="BZ97" s="514">
        <v>0</v>
      </c>
      <c r="CA97" s="514">
        <v>0</v>
      </c>
      <c r="CB97" s="514">
        <v>0</v>
      </c>
      <c r="CC97" s="514">
        <v>0</v>
      </c>
      <c r="CD97" s="514">
        <v>0</v>
      </c>
      <c r="CE97" s="514">
        <v>0</v>
      </c>
      <c r="CF97" s="514">
        <v>0</v>
      </c>
      <c r="CG97" s="514">
        <v>0</v>
      </c>
      <c r="CH97" s="514">
        <v>0</v>
      </c>
      <c r="CI97" s="514">
        <v>0</v>
      </c>
      <c r="CJ97" s="514">
        <v>0</v>
      </c>
      <c r="CK97" s="514">
        <v>0</v>
      </c>
      <c r="CL97" s="514">
        <v>0</v>
      </c>
      <c r="CM97" s="514">
        <v>0</v>
      </c>
      <c r="CN97" s="514">
        <v>0</v>
      </c>
      <c r="CO97" s="514">
        <v>0</v>
      </c>
      <c r="CP97" s="514">
        <v>0</v>
      </c>
      <c r="CQ97" s="514">
        <v>0</v>
      </c>
      <c r="CR97" s="514">
        <v>0</v>
      </c>
      <c r="CS97" s="514">
        <v>0</v>
      </c>
      <c r="CT97" s="514">
        <v>0</v>
      </c>
      <c r="CU97" s="514">
        <v>0</v>
      </c>
      <c r="CV97" s="514">
        <v>0</v>
      </c>
      <c r="CW97" s="514">
        <v>0</v>
      </c>
      <c r="CX97" s="514">
        <v>0</v>
      </c>
      <c r="CY97" s="514">
        <v>0</v>
      </c>
      <c r="CZ97" s="514">
        <v>0</v>
      </c>
      <c r="DA97" s="514">
        <v>0</v>
      </c>
      <c r="DB97" s="514">
        <v>0</v>
      </c>
      <c r="DC97" s="514">
        <v>0</v>
      </c>
      <c r="DD97" s="514">
        <v>0</v>
      </c>
      <c r="DE97" s="514">
        <v>0</v>
      </c>
      <c r="DF97" s="514">
        <v>0</v>
      </c>
      <c r="DG97" s="514">
        <v>0</v>
      </c>
      <c r="DH97" s="514">
        <v>0</v>
      </c>
      <c r="DI97" s="514">
        <v>0</v>
      </c>
      <c r="DJ97" s="514">
        <v>0</v>
      </c>
      <c r="DK97" s="514">
        <v>0</v>
      </c>
      <c r="DL97" s="514">
        <v>0</v>
      </c>
      <c r="DM97" s="514">
        <v>0</v>
      </c>
      <c r="DN97" s="514">
        <v>0</v>
      </c>
      <c r="DO97" s="514">
        <v>0</v>
      </c>
      <c r="DP97" s="514">
        <v>0</v>
      </c>
      <c r="DQ97" s="514">
        <v>0</v>
      </c>
      <c r="DR97" s="514">
        <v>0</v>
      </c>
      <c r="DS97" s="514">
        <v>0</v>
      </c>
      <c r="DT97" s="514">
        <v>0</v>
      </c>
      <c r="DU97" s="514">
        <v>0</v>
      </c>
      <c r="DV97" s="514">
        <v>0</v>
      </c>
      <c r="DW97" s="514">
        <v>0</v>
      </c>
      <c r="DX97" s="514">
        <v>0</v>
      </c>
      <c r="DY97" s="514">
        <v>0</v>
      </c>
      <c r="DZ97" s="514">
        <v>0</v>
      </c>
      <c r="EA97" s="514">
        <v>0</v>
      </c>
      <c r="EB97" s="514">
        <v>0</v>
      </c>
      <c r="EC97" s="514">
        <v>0</v>
      </c>
      <c r="ED97" s="514">
        <v>0</v>
      </c>
      <c r="EE97" s="514">
        <v>0</v>
      </c>
      <c r="EF97" s="514">
        <v>0</v>
      </c>
      <c r="EG97" s="514">
        <v>0</v>
      </c>
      <c r="EH97" s="514">
        <v>0</v>
      </c>
      <c r="EI97" s="514">
        <v>0</v>
      </c>
      <c r="EJ97" s="514">
        <v>0</v>
      </c>
      <c r="EK97" s="514">
        <v>0</v>
      </c>
      <c r="EL97" s="514">
        <v>0</v>
      </c>
      <c r="EM97" s="514">
        <v>0</v>
      </c>
      <c r="EN97" s="514">
        <v>0</v>
      </c>
      <c r="EO97" s="514">
        <v>0</v>
      </c>
      <c r="EP97" s="514">
        <v>0</v>
      </c>
      <c r="EQ97" s="514">
        <v>0</v>
      </c>
      <c r="ER97" s="514">
        <v>0</v>
      </c>
      <c r="ES97" s="514">
        <v>0</v>
      </c>
      <c r="ET97" s="514">
        <v>0</v>
      </c>
      <c r="EU97" s="514">
        <v>0</v>
      </c>
      <c r="EV97" s="514">
        <v>0</v>
      </c>
      <c r="EW97" s="514">
        <v>0</v>
      </c>
      <c r="EX97" s="514">
        <v>0</v>
      </c>
      <c r="EY97" s="514">
        <v>0</v>
      </c>
      <c r="EZ97" s="514">
        <v>0</v>
      </c>
      <c r="FA97" s="514">
        <v>0</v>
      </c>
      <c r="FB97" s="514">
        <v>0</v>
      </c>
      <c r="FC97" s="514">
        <v>0</v>
      </c>
      <c r="FD97" s="514">
        <v>0</v>
      </c>
      <c r="FE97" s="514">
        <v>0</v>
      </c>
      <c r="FF97" s="514">
        <v>0</v>
      </c>
      <c r="FG97" s="514">
        <v>0</v>
      </c>
      <c r="FH97" s="514">
        <v>0</v>
      </c>
      <c r="FI97" s="514">
        <v>0</v>
      </c>
      <c r="FJ97" s="514">
        <v>0</v>
      </c>
      <c r="FK97" s="514">
        <v>0</v>
      </c>
      <c r="FL97" s="514">
        <v>0</v>
      </c>
      <c r="FM97" s="514">
        <v>0</v>
      </c>
      <c r="FN97" s="514">
        <v>0</v>
      </c>
      <c r="FO97" s="514">
        <v>0</v>
      </c>
      <c r="FP97" s="514">
        <v>0</v>
      </c>
      <c r="FQ97" s="514">
        <v>0</v>
      </c>
    </row>
    <row r="98" spans="1:173" ht="16.5" hidden="1">
      <c r="A98" s="512" t="s">
        <v>658</v>
      </c>
      <c r="B98" s="512" t="s">
        <v>732</v>
      </c>
      <c r="C98" s="512" t="s">
        <v>721</v>
      </c>
      <c r="D98" s="513"/>
      <c r="E98" s="512" t="s">
        <v>721</v>
      </c>
      <c r="F98" s="512" t="s">
        <v>25</v>
      </c>
      <c r="G98" s="513"/>
      <c r="H98" s="514">
        <v>50</v>
      </c>
      <c r="I98" s="298" t="str">
        <f t="shared" si="6"/>
        <v>AOR100150</v>
      </c>
      <c r="J98" s="514">
        <v>3</v>
      </c>
      <c r="L98" s="512" t="s">
        <v>720</v>
      </c>
      <c r="M98" s="512" t="s">
        <v>739</v>
      </c>
      <c r="N98" s="512" t="s">
        <v>721</v>
      </c>
      <c r="O98" s="513"/>
      <c r="P98" s="512" t="s">
        <v>721</v>
      </c>
      <c r="Q98" s="512" t="s">
        <v>25</v>
      </c>
      <c r="R98" s="513"/>
      <c r="S98" s="514">
        <v>27</v>
      </c>
      <c r="T98" s="298" t="str">
        <f t="shared" si="7"/>
        <v>HSGA0127</v>
      </c>
      <c r="U98" s="514">
        <v>3956</v>
      </c>
      <c r="W98" s="512" t="s">
        <v>269</v>
      </c>
      <c r="X98" s="512" t="s">
        <v>843</v>
      </c>
      <c r="Y98" s="512" t="s">
        <v>721</v>
      </c>
      <c r="Z98" s="514">
        <v>10</v>
      </c>
      <c r="AA98" s="512" t="s">
        <v>721</v>
      </c>
      <c r="AB98" s="512" t="s">
        <v>26</v>
      </c>
      <c r="AC98" s="514">
        <v>0</v>
      </c>
      <c r="AD98" s="514">
        <v>53</v>
      </c>
      <c r="AE98" s="298" t="str">
        <f t="shared" si="8"/>
        <v>HNR100253</v>
      </c>
      <c r="AF98" s="514">
        <v>498</v>
      </c>
      <c r="AH98" s="512" t="s">
        <v>721</v>
      </c>
      <c r="AI98" s="512" t="s">
        <v>1030</v>
      </c>
      <c r="AJ98" s="512" t="s">
        <v>721</v>
      </c>
      <c r="AK98" s="513"/>
      <c r="AL98" s="512" t="s">
        <v>721</v>
      </c>
      <c r="AM98" s="512" t="s">
        <v>26</v>
      </c>
      <c r="AN98" s="513"/>
      <c r="AO98" s="514">
        <v>53</v>
      </c>
      <c r="AP98" s="513"/>
      <c r="AQ98" s="298" t="str">
        <f t="shared" si="9"/>
        <v>HOR100253</v>
      </c>
      <c r="AR98" s="514">
        <v>795</v>
      </c>
      <c r="AT98" s="512" t="s">
        <v>743</v>
      </c>
      <c r="AU98" s="512" t="s">
        <v>744</v>
      </c>
      <c r="AV98" s="512" t="s">
        <v>721</v>
      </c>
      <c r="AW98" s="513"/>
      <c r="AX98" s="512" t="s">
        <v>721</v>
      </c>
      <c r="AY98" s="512" t="s">
        <v>26</v>
      </c>
      <c r="AZ98" s="513"/>
      <c r="BA98" s="514">
        <v>62</v>
      </c>
      <c r="BB98" s="298" t="str">
        <f t="shared" si="10"/>
        <v>CLR100262</v>
      </c>
      <c r="BC98" s="514">
        <v>501</v>
      </c>
      <c r="BF98" s="512" t="s">
        <v>658</v>
      </c>
      <c r="BG98" s="512" t="s">
        <v>732</v>
      </c>
      <c r="BH98" s="512" t="s">
        <v>26</v>
      </c>
      <c r="BI98" s="514">
        <v>53</v>
      </c>
      <c r="BJ98" s="298" t="str">
        <f t="shared" si="11"/>
        <v>AOR100253</v>
      </c>
      <c r="BK98" s="514">
        <v>0</v>
      </c>
      <c r="BL98" s="514">
        <v>1</v>
      </c>
      <c r="BM98" s="514">
        <v>1</v>
      </c>
      <c r="BN98" s="514">
        <v>1</v>
      </c>
      <c r="BO98" s="514">
        <v>1</v>
      </c>
      <c r="BP98" s="514">
        <v>2</v>
      </c>
      <c r="BQ98" s="514">
        <v>2</v>
      </c>
      <c r="BR98" s="514">
        <v>2</v>
      </c>
      <c r="BS98" s="514">
        <v>3</v>
      </c>
      <c r="BT98" s="514">
        <v>0</v>
      </c>
      <c r="BU98" s="514">
        <v>0</v>
      </c>
      <c r="BV98" s="514">
        <v>0</v>
      </c>
      <c r="BW98" s="514">
        <v>0</v>
      </c>
      <c r="BX98" s="514">
        <v>0</v>
      </c>
      <c r="BY98" s="514">
        <v>0</v>
      </c>
      <c r="BZ98" s="514">
        <v>0</v>
      </c>
      <c r="CA98" s="514">
        <v>0</v>
      </c>
      <c r="CB98" s="514">
        <v>0</v>
      </c>
      <c r="CC98" s="514">
        <v>0</v>
      </c>
      <c r="CD98" s="514">
        <v>0</v>
      </c>
      <c r="CE98" s="514">
        <v>0</v>
      </c>
      <c r="CF98" s="514">
        <v>0</v>
      </c>
      <c r="CG98" s="514">
        <v>0</v>
      </c>
      <c r="CH98" s="514">
        <v>0</v>
      </c>
      <c r="CI98" s="514">
        <v>0</v>
      </c>
      <c r="CJ98" s="514">
        <v>0</v>
      </c>
      <c r="CK98" s="514">
        <v>0</v>
      </c>
      <c r="CL98" s="514">
        <v>0</v>
      </c>
      <c r="CM98" s="514">
        <v>0</v>
      </c>
      <c r="CN98" s="514">
        <v>0</v>
      </c>
      <c r="CO98" s="514">
        <v>0</v>
      </c>
      <c r="CP98" s="514">
        <v>0</v>
      </c>
      <c r="CQ98" s="514">
        <v>0</v>
      </c>
      <c r="CR98" s="514">
        <v>0</v>
      </c>
      <c r="CS98" s="514">
        <v>0</v>
      </c>
      <c r="CT98" s="514">
        <v>0</v>
      </c>
      <c r="CU98" s="514">
        <v>0</v>
      </c>
      <c r="CV98" s="514">
        <v>0</v>
      </c>
      <c r="CW98" s="514">
        <v>0</v>
      </c>
      <c r="CX98" s="514">
        <v>0</v>
      </c>
      <c r="CY98" s="514">
        <v>0</v>
      </c>
      <c r="CZ98" s="514">
        <v>0</v>
      </c>
      <c r="DA98" s="514">
        <v>0</v>
      </c>
      <c r="DB98" s="514">
        <v>0</v>
      </c>
      <c r="DC98" s="514">
        <v>0</v>
      </c>
      <c r="DD98" s="514">
        <v>0</v>
      </c>
      <c r="DE98" s="514">
        <v>0</v>
      </c>
      <c r="DF98" s="514">
        <v>0</v>
      </c>
      <c r="DG98" s="514">
        <v>0</v>
      </c>
      <c r="DH98" s="514">
        <v>0</v>
      </c>
      <c r="DI98" s="514">
        <v>0</v>
      </c>
      <c r="DJ98" s="514">
        <v>0</v>
      </c>
      <c r="DK98" s="514">
        <v>0</v>
      </c>
      <c r="DL98" s="514">
        <v>0</v>
      </c>
      <c r="DM98" s="514">
        <v>0</v>
      </c>
      <c r="DN98" s="514">
        <v>0</v>
      </c>
      <c r="DO98" s="514">
        <v>0</v>
      </c>
      <c r="DP98" s="514">
        <v>0</v>
      </c>
      <c r="DQ98" s="514">
        <v>0</v>
      </c>
      <c r="DR98" s="514">
        <v>0</v>
      </c>
      <c r="DS98" s="514">
        <v>0</v>
      </c>
      <c r="DT98" s="514">
        <v>0</v>
      </c>
      <c r="DU98" s="514">
        <v>0</v>
      </c>
      <c r="DV98" s="514">
        <v>0</v>
      </c>
      <c r="DW98" s="514">
        <v>0</v>
      </c>
      <c r="DX98" s="514">
        <v>0</v>
      </c>
      <c r="DY98" s="514">
        <v>0</v>
      </c>
      <c r="DZ98" s="514">
        <v>0</v>
      </c>
      <c r="EA98" s="514">
        <v>0</v>
      </c>
      <c r="EB98" s="514">
        <v>0</v>
      </c>
      <c r="EC98" s="514">
        <v>0</v>
      </c>
      <c r="ED98" s="514">
        <v>0</v>
      </c>
      <c r="EE98" s="514">
        <v>0</v>
      </c>
      <c r="EF98" s="514">
        <v>0</v>
      </c>
      <c r="EG98" s="514">
        <v>0</v>
      </c>
      <c r="EH98" s="514">
        <v>0</v>
      </c>
      <c r="EI98" s="514">
        <v>0</v>
      </c>
      <c r="EJ98" s="514">
        <v>0</v>
      </c>
      <c r="EK98" s="514">
        <v>0</v>
      </c>
      <c r="EL98" s="514">
        <v>0</v>
      </c>
      <c r="EM98" s="514">
        <v>0</v>
      </c>
      <c r="EN98" s="514">
        <v>0</v>
      </c>
      <c r="EO98" s="514">
        <v>0</v>
      </c>
      <c r="EP98" s="514">
        <v>0</v>
      </c>
      <c r="EQ98" s="514">
        <v>0</v>
      </c>
      <c r="ER98" s="514">
        <v>0</v>
      </c>
      <c r="ES98" s="514">
        <v>0</v>
      </c>
      <c r="ET98" s="514">
        <v>0</v>
      </c>
      <c r="EU98" s="514">
        <v>0</v>
      </c>
      <c r="EV98" s="514">
        <v>0</v>
      </c>
      <c r="EW98" s="514">
        <v>0</v>
      </c>
      <c r="EX98" s="514">
        <v>0</v>
      </c>
      <c r="EY98" s="514">
        <v>0</v>
      </c>
      <c r="EZ98" s="514">
        <v>0</v>
      </c>
      <c r="FA98" s="514">
        <v>0</v>
      </c>
      <c r="FB98" s="514">
        <v>0</v>
      </c>
      <c r="FC98" s="514">
        <v>0</v>
      </c>
      <c r="FD98" s="514">
        <v>0</v>
      </c>
      <c r="FE98" s="514">
        <v>0</v>
      </c>
      <c r="FF98" s="514">
        <v>0</v>
      </c>
      <c r="FG98" s="514">
        <v>0</v>
      </c>
      <c r="FH98" s="514">
        <v>0</v>
      </c>
      <c r="FI98" s="514">
        <v>0</v>
      </c>
      <c r="FJ98" s="514">
        <v>0</v>
      </c>
      <c r="FK98" s="514">
        <v>0</v>
      </c>
      <c r="FL98" s="514">
        <v>0</v>
      </c>
      <c r="FM98" s="514">
        <v>0</v>
      </c>
      <c r="FN98" s="514">
        <v>0</v>
      </c>
      <c r="FO98" s="514">
        <v>0</v>
      </c>
      <c r="FP98" s="514">
        <v>0</v>
      </c>
      <c r="FQ98" s="514">
        <v>0</v>
      </c>
    </row>
    <row r="99" spans="1:173" ht="16.5" hidden="1">
      <c r="A99" s="512" t="s">
        <v>658</v>
      </c>
      <c r="B99" s="512" t="s">
        <v>732</v>
      </c>
      <c r="C99" s="512" t="s">
        <v>721</v>
      </c>
      <c r="D99" s="513"/>
      <c r="E99" s="512" t="s">
        <v>721</v>
      </c>
      <c r="F99" s="512" t="s">
        <v>25</v>
      </c>
      <c r="G99" s="513"/>
      <c r="H99" s="514">
        <v>51</v>
      </c>
      <c r="I99" s="298" t="str">
        <f t="shared" si="6"/>
        <v>AOR100151</v>
      </c>
      <c r="J99" s="514">
        <v>3</v>
      </c>
      <c r="L99" s="512" t="s">
        <v>720</v>
      </c>
      <c r="M99" s="512" t="s">
        <v>739</v>
      </c>
      <c r="N99" s="512" t="s">
        <v>721</v>
      </c>
      <c r="O99" s="513"/>
      <c r="P99" s="512" t="s">
        <v>721</v>
      </c>
      <c r="Q99" s="512" t="s">
        <v>25</v>
      </c>
      <c r="R99" s="513"/>
      <c r="S99" s="514">
        <v>28</v>
      </c>
      <c r="T99" s="298" t="str">
        <f t="shared" si="7"/>
        <v>HSGA0128</v>
      </c>
      <c r="U99" s="514">
        <v>4174</v>
      </c>
      <c r="W99" s="512" t="s">
        <v>269</v>
      </c>
      <c r="X99" s="512" t="s">
        <v>843</v>
      </c>
      <c r="Y99" s="512" t="s">
        <v>721</v>
      </c>
      <c r="Z99" s="514">
        <v>10</v>
      </c>
      <c r="AA99" s="512" t="s">
        <v>721</v>
      </c>
      <c r="AB99" s="512" t="s">
        <v>26</v>
      </c>
      <c r="AC99" s="514">
        <v>0</v>
      </c>
      <c r="AD99" s="514">
        <v>54</v>
      </c>
      <c r="AE99" s="298" t="str">
        <f t="shared" si="8"/>
        <v>HNR100254</v>
      </c>
      <c r="AF99" s="514">
        <v>505</v>
      </c>
      <c r="AH99" s="512" t="s">
        <v>721</v>
      </c>
      <c r="AI99" s="512" t="s">
        <v>1030</v>
      </c>
      <c r="AJ99" s="512" t="s">
        <v>721</v>
      </c>
      <c r="AK99" s="513"/>
      <c r="AL99" s="512" t="s">
        <v>721</v>
      </c>
      <c r="AM99" s="512" t="s">
        <v>26</v>
      </c>
      <c r="AN99" s="513"/>
      <c r="AO99" s="514">
        <v>54</v>
      </c>
      <c r="AP99" s="513"/>
      <c r="AQ99" s="298" t="str">
        <f t="shared" si="9"/>
        <v>HOR100254</v>
      </c>
      <c r="AR99" s="514">
        <v>810</v>
      </c>
      <c r="AT99" s="512" t="s">
        <v>743</v>
      </c>
      <c r="AU99" s="512" t="s">
        <v>744</v>
      </c>
      <c r="AV99" s="512" t="s">
        <v>721</v>
      </c>
      <c r="AW99" s="513"/>
      <c r="AX99" s="512" t="s">
        <v>721</v>
      </c>
      <c r="AY99" s="512" t="s">
        <v>25</v>
      </c>
      <c r="AZ99" s="513"/>
      <c r="BA99" s="514">
        <v>63</v>
      </c>
      <c r="BB99" s="298" t="str">
        <f t="shared" si="10"/>
        <v>CLR100163</v>
      </c>
      <c r="BC99" s="514">
        <v>625</v>
      </c>
      <c r="BF99" s="512" t="s">
        <v>658</v>
      </c>
      <c r="BG99" s="512" t="s">
        <v>732</v>
      </c>
      <c r="BH99" s="512" t="s">
        <v>26</v>
      </c>
      <c r="BI99" s="514">
        <v>54</v>
      </c>
      <c r="BJ99" s="298" t="str">
        <f t="shared" si="11"/>
        <v>AOR100254</v>
      </c>
      <c r="BK99" s="514">
        <v>0</v>
      </c>
      <c r="BL99" s="514">
        <v>1</v>
      </c>
      <c r="BM99" s="514">
        <v>1</v>
      </c>
      <c r="BN99" s="514">
        <v>1</v>
      </c>
      <c r="BO99" s="514">
        <v>1</v>
      </c>
      <c r="BP99" s="514">
        <v>2</v>
      </c>
      <c r="BQ99" s="514">
        <v>2</v>
      </c>
      <c r="BR99" s="514">
        <v>2</v>
      </c>
      <c r="BS99" s="514">
        <v>3</v>
      </c>
      <c r="BT99" s="514">
        <v>0</v>
      </c>
      <c r="BU99" s="514">
        <v>0</v>
      </c>
      <c r="BV99" s="514">
        <v>0</v>
      </c>
      <c r="BW99" s="514">
        <v>0</v>
      </c>
      <c r="BX99" s="514">
        <v>0</v>
      </c>
      <c r="BY99" s="514">
        <v>0</v>
      </c>
      <c r="BZ99" s="514">
        <v>0</v>
      </c>
      <c r="CA99" s="514">
        <v>0</v>
      </c>
      <c r="CB99" s="514">
        <v>0</v>
      </c>
      <c r="CC99" s="514">
        <v>0</v>
      </c>
      <c r="CD99" s="514">
        <v>0</v>
      </c>
      <c r="CE99" s="514">
        <v>0</v>
      </c>
      <c r="CF99" s="514">
        <v>0</v>
      </c>
      <c r="CG99" s="514">
        <v>0</v>
      </c>
      <c r="CH99" s="514">
        <v>0</v>
      </c>
      <c r="CI99" s="514">
        <v>0</v>
      </c>
      <c r="CJ99" s="514">
        <v>0</v>
      </c>
      <c r="CK99" s="514">
        <v>0</v>
      </c>
      <c r="CL99" s="514">
        <v>0</v>
      </c>
      <c r="CM99" s="514">
        <v>0</v>
      </c>
      <c r="CN99" s="514">
        <v>0</v>
      </c>
      <c r="CO99" s="514">
        <v>0</v>
      </c>
      <c r="CP99" s="514">
        <v>0</v>
      </c>
      <c r="CQ99" s="514">
        <v>0</v>
      </c>
      <c r="CR99" s="514">
        <v>0</v>
      </c>
      <c r="CS99" s="514">
        <v>0</v>
      </c>
      <c r="CT99" s="514">
        <v>0</v>
      </c>
      <c r="CU99" s="514">
        <v>0</v>
      </c>
      <c r="CV99" s="514">
        <v>0</v>
      </c>
      <c r="CW99" s="514">
        <v>0</v>
      </c>
      <c r="CX99" s="514">
        <v>0</v>
      </c>
      <c r="CY99" s="514">
        <v>0</v>
      </c>
      <c r="CZ99" s="514">
        <v>0</v>
      </c>
      <c r="DA99" s="514">
        <v>0</v>
      </c>
      <c r="DB99" s="514">
        <v>0</v>
      </c>
      <c r="DC99" s="514">
        <v>0</v>
      </c>
      <c r="DD99" s="514">
        <v>0</v>
      </c>
      <c r="DE99" s="514">
        <v>0</v>
      </c>
      <c r="DF99" s="514">
        <v>0</v>
      </c>
      <c r="DG99" s="514">
        <v>0</v>
      </c>
      <c r="DH99" s="514">
        <v>0</v>
      </c>
      <c r="DI99" s="514">
        <v>0</v>
      </c>
      <c r="DJ99" s="514">
        <v>0</v>
      </c>
      <c r="DK99" s="514">
        <v>0</v>
      </c>
      <c r="DL99" s="514">
        <v>0</v>
      </c>
      <c r="DM99" s="514">
        <v>0</v>
      </c>
      <c r="DN99" s="514">
        <v>0</v>
      </c>
      <c r="DO99" s="514">
        <v>0</v>
      </c>
      <c r="DP99" s="514">
        <v>0</v>
      </c>
      <c r="DQ99" s="514">
        <v>0</v>
      </c>
      <c r="DR99" s="514">
        <v>0</v>
      </c>
      <c r="DS99" s="514">
        <v>0</v>
      </c>
      <c r="DT99" s="514">
        <v>0</v>
      </c>
      <c r="DU99" s="514">
        <v>0</v>
      </c>
      <c r="DV99" s="514">
        <v>0</v>
      </c>
      <c r="DW99" s="514">
        <v>0</v>
      </c>
      <c r="DX99" s="514">
        <v>0</v>
      </c>
      <c r="DY99" s="514">
        <v>0</v>
      </c>
      <c r="DZ99" s="514">
        <v>0</v>
      </c>
      <c r="EA99" s="514">
        <v>0</v>
      </c>
      <c r="EB99" s="514">
        <v>0</v>
      </c>
      <c r="EC99" s="514">
        <v>0</v>
      </c>
      <c r="ED99" s="514">
        <v>0</v>
      </c>
      <c r="EE99" s="514">
        <v>0</v>
      </c>
      <c r="EF99" s="514">
        <v>0</v>
      </c>
      <c r="EG99" s="514">
        <v>0</v>
      </c>
      <c r="EH99" s="514">
        <v>0</v>
      </c>
      <c r="EI99" s="514">
        <v>0</v>
      </c>
      <c r="EJ99" s="514">
        <v>0</v>
      </c>
      <c r="EK99" s="514">
        <v>0</v>
      </c>
      <c r="EL99" s="514">
        <v>0</v>
      </c>
      <c r="EM99" s="514">
        <v>0</v>
      </c>
      <c r="EN99" s="514">
        <v>0</v>
      </c>
      <c r="EO99" s="514">
        <v>0</v>
      </c>
      <c r="EP99" s="514">
        <v>0</v>
      </c>
      <c r="EQ99" s="514">
        <v>0</v>
      </c>
      <c r="ER99" s="514">
        <v>0</v>
      </c>
      <c r="ES99" s="514">
        <v>0</v>
      </c>
      <c r="ET99" s="514">
        <v>0</v>
      </c>
      <c r="EU99" s="514">
        <v>0</v>
      </c>
      <c r="EV99" s="514">
        <v>0</v>
      </c>
      <c r="EW99" s="514">
        <v>0</v>
      </c>
      <c r="EX99" s="514">
        <v>0</v>
      </c>
      <c r="EY99" s="514">
        <v>0</v>
      </c>
      <c r="EZ99" s="514">
        <v>0</v>
      </c>
      <c r="FA99" s="514">
        <v>0</v>
      </c>
      <c r="FB99" s="514">
        <v>0</v>
      </c>
      <c r="FC99" s="514">
        <v>0</v>
      </c>
      <c r="FD99" s="514">
        <v>0</v>
      </c>
      <c r="FE99" s="514">
        <v>0</v>
      </c>
      <c r="FF99" s="514">
        <v>0</v>
      </c>
      <c r="FG99" s="514">
        <v>0</v>
      </c>
      <c r="FH99" s="514">
        <v>0</v>
      </c>
      <c r="FI99" s="514">
        <v>0</v>
      </c>
      <c r="FJ99" s="514">
        <v>0</v>
      </c>
      <c r="FK99" s="514">
        <v>0</v>
      </c>
      <c r="FL99" s="514">
        <v>0</v>
      </c>
      <c r="FM99" s="514">
        <v>0</v>
      </c>
      <c r="FN99" s="514">
        <v>0</v>
      </c>
      <c r="FO99" s="514">
        <v>0</v>
      </c>
      <c r="FP99" s="514">
        <v>0</v>
      </c>
      <c r="FQ99" s="514">
        <v>0</v>
      </c>
    </row>
    <row r="100" spans="1:173" ht="16.5" hidden="1">
      <c r="A100" s="512" t="s">
        <v>658</v>
      </c>
      <c r="B100" s="512" t="s">
        <v>732</v>
      </c>
      <c r="C100" s="512" t="s">
        <v>721</v>
      </c>
      <c r="D100" s="513"/>
      <c r="E100" s="512" t="s">
        <v>721</v>
      </c>
      <c r="F100" s="512" t="s">
        <v>25</v>
      </c>
      <c r="G100" s="513"/>
      <c r="H100" s="514">
        <v>52</v>
      </c>
      <c r="I100" s="298" t="str">
        <f t="shared" si="6"/>
        <v>AOR100152</v>
      </c>
      <c r="J100" s="514">
        <v>3</v>
      </c>
      <c r="L100" s="512" t="s">
        <v>720</v>
      </c>
      <c r="M100" s="512" t="s">
        <v>739</v>
      </c>
      <c r="N100" s="512" t="s">
        <v>721</v>
      </c>
      <c r="O100" s="513"/>
      <c r="P100" s="512" t="s">
        <v>721</v>
      </c>
      <c r="Q100" s="512" t="s">
        <v>25</v>
      </c>
      <c r="R100" s="513"/>
      <c r="S100" s="514">
        <v>29</v>
      </c>
      <c r="T100" s="298" t="str">
        <f t="shared" si="7"/>
        <v>HSGA0129</v>
      </c>
      <c r="U100" s="514">
        <v>4400</v>
      </c>
      <c r="W100" s="512" t="s">
        <v>269</v>
      </c>
      <c r="X100" s="512" t="s">
        <v>843</v>
      </c>
      <c r="Y100" s="512" t="s">
        <v>721</v>
      </c>
      <c r="Z100" s="514">
        <v>10</v>
      </c>
      <c r="AA100" s="512" t="s">
        <v>721</v>
      </c>
      <c r="AB100" s="512" t="s">
        <v>26</v>
      </c>
      <c r="AC100" s="514">
        <v>0</v>
      </c>
      <c r="AD100" s="514">
        <v>55</v>
      </c>
      <c r="AE100" s="298" t="str">
        <f t="shared" si="8"/>
        <v>HNR100255</v>
      </c>
      <c r="AF100" s="514">
        <v>512</v>
      </c>
      <c r="AH100" s="512" t="s">
        <v>721</v>
      </c>
      <c r="AI100" s="512" t="s">
        <v>1030</v>
      </c>
      <c r="AJ100" s="512" t="s">
        <v>721</v>
      </c>
      <c r="AK100" s="513"/>
      <c r="AL100" s="512" t="s">
        <v>721</v>
      </c>
      <c r="AM100" s="512" t="s">
        <v>26</v>
      </c>
      <c r="AN100" s="513"/>
      <c r="AO100" s="514">
        <v>55</v>
      </c>
      <c r="AP100" s="513"/>
      <c r="AQ100" s="298" t="str">
        <f t="shared" si="9"/>
        <v>HOR100255</v>
      </c>
      <c r="AR100" s="514">
        <v>835</v>
      </c>
      <c r="AT100" s="512" t="s">
        <v>743</v>
      </c>
      <c r="AU100" s="512" t="s">
        <v>744</v>
      </c>
      <c r="AV100" s="512" t="s">
        <v>721</v>
      </c>
      <c r="AW100" s="513"/>
      <c r="AX100" s="512" t="s">
        <v>721</v>
      </c>
      <c r="AY100" s="512" t="s">
        <v>26</v>
      </c>
      <c r="AZ100" s="513"/>
      <c r="BA100" s="514">
        <v>63</v>
      </c>
      <c r="BB100" s="298" t="str">
        <f t="shared" si="10"/>
        <v>CLR100263</v>
      </c>
      <c r="BC100" s="514">
        <v>505</v>
      </c>
      <c r="BF100" s="512" t="s">
        <v>658</v>
      </c>
      <c r="BG100" s="512" t="s">
        <v>732</v>
      </c>
      <c r="BH100" s="512" t="s">
        <v>26</v>
      </c>
      <c r="BI100" s="514">
        <v>55</v>
      </c>
      <c r="BJ100" s="298" t="str">
        <f t="shared" si="11"/>
        <v>AOR100255</v>
      </c>
      <c r="BK100" s="514">
        <v>0</v>
      </c>
      <c r="BL100" s="514">
        <v>1</v>
      </c>
      <c r="BM100" s="514">
        <v>1</v>
      </c>
      <c r="BN100" s="514">
        <v>1</v>
      </c>
      <c r="BO100" s="514">
        <v>1</v>
      </c>
      <c r="BP100" s="514">
        <v>2</v>
      </c>
      <c r="BQ100" s="514">
        <v>2</v>
      </c>
      <c r="BR100" s="514">
        <v>2</v>
      </c>
      <c r="BS100" s="514">
        <v>3</v>
      </c>
      <c r="BT100" s="514">
        <v>0</v>
      </c>
      <c r="BU100" s="514">
        <v>0</v>
      </c>
      <c r="BV100" s="514">
        <v>0</v>
      </c>
      <c r="BW100" s="514">
        <v>0</v>
      </c>
      <c r="BX100" s="514">
        <v>0</v>
      </c>
      <c r="BY100" s="514">
        <v>0</v>
      </c>
      <c r="BZ100" s="514">
        <v>0</v>
      </c>
      <c r="CA100" s="514">
        <v>0</v>
      </c>
      <c r="CB100" s="514">
        <v>0</v>
      </c>
      <c r="CC100" s="514">
        <v>0</v>
      </c>
      <c r="CD100" s="514">
        <v>0</v>
      </c>
      <c r="CE100" s="514">
        <v>0</v>
      </c>
      <c r="CF100" s="514">
        <v>0</v>
      </c>
      <c r="CG100" s="514">
        <v>0</v>
      </c>
      <c r="CH100" s="514">
        <v>0</v>
      </c>
      <c r="CI100" s="514">
        <v>0</v>
      </c>
      <c r="CJ100" s="514">
        <v>0</v>
      </c>
      <c r="CK100" s="514">
        <v>0</v>
      </c>
      <c r="CL100" s="514">
        <v>0</v>
      </c>
      <c r="CM100" s="514">
        <v>0</v>
      </c>
      <c r="CN100" s="514">
        <v>0</v>
      </c>
      <c r="CO100" s="514">
        <v>0</v>
      </c>
      <c r="CP100" s="514">
        <v>0</v>
      </c>
      <c r="CQ100" s="514">
        <v>0</v>
      </c>
      <c r="CR100" s="514">
        <v>0</v>
      </c>
      <c r="CS100" s="514">
        <v>0</v>
      </c>
      <c r="CT100" s="514">
        <v>0</v>
      </c>
      <c r="CU100" s="514">
        <v>0</v>
      </c>
      <c r="CV100" s="514">
        <v>0</v>
      </c>
      <c r="CW100" s="514">
        <v>0</v>
      </c>
      <c r="CX100" s="514">
        <v>0</v>
      </c>
      <c r="CY100" s="514">
        <v>0</v>
      </c>
      <c r="CZ100" s="514">
        <v>0</v>
      </c>
      <c r="DA100" s="514">
        <v>0</v>
      </c>
      <c r="DB100" s="514">
        <v>0</v>
      </c>
      <c r="DC100" s="514">
        <v>0</v>
      </c>
      <c r="DD100" s="514">
        <v>0</v>
      </c>
      <c r="DE100" s="514">
        <v>0</v>
      </c>
      <c r="DF100" s="514">
        <v>0</v>
      </c>
      <c r="DG100" s="514">
        <v>0</v>
      </c>
      <c r="DH100" s="514">
        <v>0</v>
      </c>
      <c r="DI100" s="514">
        <v>0</v>
      </c>
      <c r="DJ100" s="514">
        <v>0</v>
      </c>
      <c r="DK100" s="514">
        <v>0</v>
      </c>
      <c r="DL100" s="514">
        <v>0</v>
      </c>
      <c r="DM100" s="514">
        <v>0</v>
      </c>
      <c r="DN100" s="514">
        <v>0</v>
      </c>
      <c r="DO100" s="514">
        <v>0</v>
      </c>
      <c r="DP100" s="514">
        <v>0</v>
      </c>
      <c r="DQ100" s="514">
        <v>0</v>
      </c>
      <c r="DR100" s="514">
        <v>0</v>
      </c>
      <c r="DS100" s="514">
        <v>0</v>
      </c>
      <c r="DT100" s="514">
        <v>0</v>
      </c>
      <c r="DU100" s="514">
        <v>0</v>
      </c>
      <c r="DV100" s="514">
        <v>0</v>
      </c>
      <c r="DW100" s="514">
        <v>0</v>
      </c>
      <c r="DX100" s="514">
        <v>0</v>
      </c>
      <c r="DY100" s="514">
        <v>0</v>
      </c>
      <c r="DZ100" s="514">
        <v>0</v>
      </c>
      <c r="EA100" s="514">
        <v>0</v>
      </c>
      <c r="EB100" s="514">
        <v>0</v>
      </c>
      <c r="EC100" s="514">
        <v>0</v>
      </c>
      <c r="ED100" s="514">
        <v>0</v>
      </c>
      <c r="EE100" s="514">
        <v>0</v>
      </c>
      <c r="EF100" s="514">
        <v>0</v>
      </c>
      <c r="EG100" s="514">
        <v>0</v>
      </c>
      <c r="EH100" s="514">
        <v>0</v>
      </c>
      <c r="EI100" s="514">
        <v>0</v>
      </c>
      <c r="EJ100" s="514">
        <v>0</v>
      </c>
      <c r="EK100" s="514">
        <v>0</v>
      </c>
      <c r="EL100" s="514">
        <v>0</v>
      </c>
      <c r="EM100" s="514">
        <v>0</v>
      </c>
      <c r="EN100" s="514">
        <v>0</v>
      </c>
      <c r="EO100" s="514">
        <v>0</v>
      </c>
      <c r="EP100" s="514">
        <v>0</v>
      </c>
      <c r="EQ100" s="514">
        <v>0</v>
      </c>
      <c r="ER100" s="514">
        <v>0</v>
      </c>
      <c r="ES100" s="514">
        <v>0</v>
      </c>
      <c r="ET100" s="514">
        <v>0</v>
      </c>
      <c r="EU100" s="514">
        <v>0</v>
      </c>
      <c r="EV100" s="514">
        <v>0</v>
      </c>
      <c r="EW100" s="514">
        <v>0</v>
      </c>
      <c r="EX100" s="514">
        <v>0</v>
      </c>
      <c r="EY100" s="514">
        <v>0</v>
      </c>
      <c r="EZ100" s="514">
        <v>0</v>
      </c>
      <c r="FA100" s="514">
        <v>0</v>
      </c>
      <c r="FB100" s="514">
        <v>0</v>
      </c>
      <c r="FC100" s="514">
        <v>0</v>
      </c>
      <c r="FD100" s="514">
        <v>0</v>
      </c>
      <c r="FE100" s="514">
        <v>0</v>
      </c>
      <c r="FF100" s="514">
        <v>0</v>
      </c>
      <c r="FG100" s="514">
        <v>0</v>
      </c>
      <c r="FH100" s="514">
        <v>0</v>
      </c>
      <c r="FI100" s="514">
        <v>0</v>
      </c>
      <c r="FJ100" s="514">
        <v>0</v>
      </c>
      <c r="FK100" s="514">
        <v>0</v>
      </c>
      <c r="FL100" s="514">
        <v>0</v>
      </c>
      <c r="FM100" s="514">
        <v>0</v>
      </c>
      <c r="FN100" s="514">
        <v>0</v>
      </c>
      <c r="FO100" s="514">
        <v>0</v>
      </c>
      <c r="FP100" s="514">
        <v>0</v>
      </c>
      <c r="FQ100" s="514">
        <v>0</v>
      </c>
    </row>
    <row r="101" spans="1:173" ht="16.5" hidden="1">
      <c r="A101" s="512" t="s">
        <v>658</v>
      </c>
      <c r="B101" s="512" t="s">
        <v>732</v>
      </c>
      <c r="C101" s="512" t="s">
        <v>721</v>
      </c>
      <c r="D101" s="513"/>
      <c r="E101" s="512" t="s">
        <v>721</v>
      </c>
      <c r="F101" s="512" t="s">
        <v>25</v>
      </c>
      <c r="G101" s="513"/>
      <c r="H101" s="514">
        <v>53</v>
      </c>
      <c r="I101" s="298" t="str">
        <f t="shared" si="6"/>
        <v>AOR100153</v>
      </c>
      <c r="J101" s="514">
        <v>3</v>
      </c>
      <c r="L101" s="512" t="s">
        <v>720</v>
      </c>
      <c r="M101" s="512" t="s">
        <v>739</v>
      </c>
      <c r="N101" s="512" t="s">
        <v>721</v>
      </c>
      <c r="O101" s="513"/>
      <c r="P101" s="512" t="s">
        <v>721</v>
      </c>
      <c r="Q101" s="512" t="s">
        <v>25</v>
      </c>
      <c r="R101" s="513"/>
      <c r="S101" s="514">
        <v>30</v>
      </c>
      <c r="T101" s="298" t="str">
        <f t="shared" si="7"/>
        <v>HSGA0130</v>
      </c>
      <c r="U101" s="514">
        <v>4632</v>
      </c>
      <c r="W101" s="512" t="s">
        <v>269</v>
      </c>
      <c r="X101" s="512" t="s">
        <v>843</v>
      </c>
      <c r="Y101" s="512" t="s">
        <v>721</v>
      </c>
      <c r="Z101" s="514">
        <v>10</v>
      </c>
      <c r="AA101" s="512" t="s">
        <v>721</v>
      </c>
      <c r="AB101" s="512" t="s">
        <v>26</v>
      </c>
      <c r="AC101" s="514">
        <v>0</v>
      </c>
      <c r="AD101" s="514">
        <v>56</v>
      </c>
      <c r="AE101" s="298" t="str">
        <f t="shared" si="8"/>
        <v>HNR100256</v>
      </c>
      <c r="AF101" s="514">
        <v>526</v>
      </c>
      <c r="AH101" s="512" t="s">
        <v>721</v>
      </c>
      <c r="AI101" s="512" t="s">
        <v>1030</v>
      </c>
      <c r="AJ101" s="512" t="s">
        <v>721</v>
      </c>
      <c r="AK101" s="513"/>
      <c r="AL101" s="512" t="s">
        <v>721</v>
      </c>
      <c r="AM101" s="512" t="s">
        <v>26</v>
      </c>
      <c r="AN101" s="513"/>
      <c r="AO101" s="514">
        <v>56</v>
      </c>
      <c r="AP101" s="513"/>
      <c r="AQ101" s="298" t="str">
        <f t="shared" si="9"/>
        <v>HOR100256</v>
      </c>
      <c r="AR101" s="514">
        <v>860</v>
      </c>
      <c r="AT101" s="512" t="s">
        <v>743</v>
      </c>
      <c r="AU101" s="512" t="s">
        <v>744</v>
      </c>
      <c r="AV101" s="512" t="s">
        <v>721</v>
      </c>
      <c r="AW101" s="513"/>
      <c r="AX101" s="512" t="s">
        <v>721</v>
      </c>
      <c r="AY101" s="512" t="s">
        <v>25</v>
      </c>
      <c r="AZ101" s="513"/>
      <c r="BA101" s="514">
        <v>64</v>
      </c>
      <c r="BB101" s="298" t="str">
        <f t="shared" si="10"/>
        <v>CLR100164</v>
      </c>
      <c r="BC101" s="514">
        <v>642</v>
      </c>
      <c r="BF101" s="512" t="s">
        <v>658</v>
      </c>
      <c r="BG101" s="512" t="s">
        <v>732</v>
      </c>
      <c r="BH101" s="512" t="s">
        <v>26</v>
      </c>
      <c r="BI101" s="514">
        <v>56</v>
      </c>
      <c r="BJ101" s="298" t="str">
        <f t="shared" si="11"/>
        <v>AOR100256</v>
      </c>
      <c r="BK101" s="514">
        <v>0</v>
      </c>
      <c r="BL101" s="514">
        <v>1</v>
      </c>
      <c r="BM101" s="514">
        <v>1</v>
      </c>
      <c r="BN101" s="514">
        <v>1</v>
      </c>
      <c r="BO101" s="514">
        <v>1</v>
      </c>
      <c r="BP101" s="514">
        <v>2</v>
      </c>
      <c r="BQ101" s="514">
        <v>2</v>
      </c>
      <c r="BR101" s="514">
        <v>2</v>
      </c>
      <c r="BS101" s="514">
        <v>3</v>
      </c>
      <c r="BT101" s="514">
        <v>0</v>
      </c>
      <c r="BU101" s="514">
        <v>0</v>
      </c>
      <c r="BV101" s="514">
        <v>0</v>
      </c>
      <c r="BW101" s="514">
        <v>0</v>
      </c>
      <c r="BX101" s="514">
        <v>0</v>
      </c>
      <c r="BY101" s="514">
        <v>0</v>
      </c>
      <c r="BZ101" s="514">
        <v>0</v>
      </c>
      <c r="CA101" s="514">
        <v>0</v>
      </c>
      <c r="CB101" s="514">
        <v>0</v>
      </c>
      <c r="CC101" s="514">
        <v>0</v>
      </c>
      <c r="CD101" s="514">
        <v>0</v>
      </c>
      <c r="CE101" s="514">
        <v>0</v>
      </c>
      <c r="CF101" s="514">
        <v>0</v>
      </c>
      <c r="CG101" s="514">
        <v>0</v>
      </c>
      <c r="CH101" s="514">
        <v>0</v>
      </c>
      <c r="CI101" s="514">
        <v>0</v>
      </c>
      <c r="CJ101" s="514">
        <v>0</v>
      </c>
      <c r="CK101" s="514">
        <v>0</v>
      </c>
      <c r="CL101" s="514">
        <v>0</v>
      </c>
      <c r="CM101" s="514">
        <v>0</v>
      </c>
      <c r="CN101" s="514">
        <v>0</v>
      </c>
      <c r="CO101" s="514">
        <v>0</v>
      </c>
      <c r="CP101" s="514">
        <v>0</v>
      </c>
      <c r="CQ101" s="514">
        <v>0</v>
      </c>
      <c r="CR101" s="514">
        <v>0</v>
      </c>
      <c r="CS101" s="514">
        <v>0</v>
      </c>
      <c r="CT101" s="514">
        <v>0</v>
      </c>
      <c r="CU101" s="514">
        <v>0</v>
      </c>
      <c r="CV101" s="514">
        <v>0</v>
      </c>
      <c r="CW101" s="514">
        <v>0</v>
      </c>
      <c r="CX101" s="514">
        <v>0</v>
      </c>
      <c r="CY101" s="514">
        <v>0</v>
      </c>
      <c r="CZ101" s="514">
        <v>0</v>
      </c>
      <c r="DA101" s="514">
        <v>0</v>
      </c>
      <c r="DB101" s="514">
        <v>0</v>
      </c>
      <c r="DC101" s="514">
        <v>0</v>
      </c>
      <c r="DD101" s="514">
        <v>0</v>
      </c>
      <c r="DE101" s="514">
        <v>0</v>
      </c>
      <c r="DF101" s="514">
        <v>0</v>
      </c>
      <c r="DG101" s="514">
        <v>0</v>
      </c>
      <c r="DH101" s="514">
        <v>0</v>
      </c>
      <c r="DI101" s="514">
        <v>0</v>
      </c>
      <c r="DJ101" s="514">
        <v>0</v>
      </c>
      <c r="DK101" s="514">
        <v>0</v>
      </c>
      <c r="DL101" s="514">
        <v>0</v>
      </c>
      <c r="DM101" s="514">
        <v>0</v>
      </c>
      <c r="DN101" s="514">
        <v>0</v>
      </c>
      <c r="DO101" s="514">
        <v>0</v>
      </c>
      <c r="DP101" s="514">
        <v>0</v>
      </c>
      <c r="DQ101" s="514">
        <v>0</v>
      </c>
      <c r="DR101" s="514">
        <v>0</v>
      </c>
      <c r="DS101" s="514">
        <v>0</v>
      </c>
      <c r="DT101" s="514">
        <v>0</v>
      </c>
      <c r="DU101" s="514">
        <v>0</v>
      </c>
      <c r="DV101" s="514">
        <v>0</v>
      </c>
      <c r="DW101" s="514">
        <v>0</v>
      </c>
      <c r="DX101" s="514">
        <v>0</v>
      </c>
      <c r="DY101" s="514">
        <v>0</v>
      </c>
      <c r="DZ101" s="514">
        <v>0</v>
      </c>
      <c r="EA101" s="514">
        <v>0</v>
      </c>
      <c r="EB101" s="514">
        <v>0</v>
      </c>
      <c r="EC101" s="514">
        <v>0</v>
      </c>
      <c r="ED101" s="514">
        <v>0</v>
      </c>
      <c r="EE101" s="514">
        <v>0</v>
      </c>
      <c r="EF101" s="514">
        <v>0</v>
      </c>
      <c r="EG101" s="514">
        <v>0</v>
      </c>
      <c r="EH101" s="514">
        <v>0</v>
      </c>
      <c r="EI101" s="514">
        <v>0</v>
      </c>
      <c r="EJ101" s="514">
        <v>0</v>
      </c>
      <c r="EK101" s="514">
        <v>0</v>
      </c>
      <c r="EL101" s="514">
        <v>0</v>
      </c>
      <c r="EM101" s="514">
        <v>0</v>
      </c>
      <c r="EN101" s="514">
        <v>0</v>
      </c>
      <c r="EO101" s="514">
        <v>0</v>
      </c>
      <c r="EP101" s="514">
        <v>0</v>
      </c>
      <c r="EQ101" s="514">
        <v>0</v>
      </c>
      <c r="ER101" s="514">
        <v>0</v>
      </c>
      <c r="ES101" s="514">
        <v>0</v>
      </c>
      <c r="ET101" s="514">
        <v>0</v>
      </c>
      <c r="EU101" s="514">
        <v>0</v>
      </c>
      <c r="EV101" s="514">
        <v>0</v>
      </c>
      <c r="EW101" s="514">
        <v>0</v>
      </c>
      <c r="EX101" s="514">
        <v>0</v>
      </c>
      <c r="EY101" s="514">
        <v>0</v>
      </c>
      <c r="EZ101" s="514">
        <v>0</v>
      </c>
      <c r="FA101" s="514">
        <v>0</v>
      </c>
      <c r="FB101" s="514">
        <v>0</v>
      </c>
      <c r="FC101" s="514">
        <v>0</v>
      </c>
      <c r="FD101" s="514">
        <v>0</v>
      </c>
      <c r="FE101" s="514">
        <v>0</v>
      </c>
      <c r="FF101" s="514">
        <v>0</v>
      </c>
      <c r="FG101" s="514">
        <v>0</v>
      </c>
      <c r="FH101" s="514">
        <v>0</v>
      </c>
      <c r="FI101" s="514">
        <v>0</v>
      </c>
      <c r="FJ101" s="514">
        <v>0</v>
      </c>
      <c r="FK101" s="514">
        <v>0</v>
      </c>
      <c r="FL101" s="514">
        <v>0</v>
      </c>
      <c r="FM101" s="514">
        <v>0</v>
      </c>
      <c r="FN101" s="514">
        <v>0</v>
      </c>
      <c r="FO101" s="514">
        <v>0</v>
      </c>
      <c r="FP101" s="514">
        <v>0</v>
      </c>
      <c r="FQ101" s="514">
        <v>0</v>
      </c>
    </row>
    <row r="102" spans="1:173" ht="16.5" hidden="1">
      <c r="A102" s="512" t="s">
        <v>658</v>
      </c>
      <c r="B102" s="512" t="s">
        <v>732</v>
      </c>
      <c r="C102" s="512" t="s">
        <v>721</v>
      </c>
      <c r="D102" s="513"/>
      <c r="E102" s="512" t="s">
        <v>721</v>
      </c>
      <c r="F102" s="512" t="s">
        <v>25</v>
      </c>
      <c r="G102" s="513"/>
      <c r="H102" s="514">
        <v>54</v>
      </c>
      <c r="I102" s="298" t="str">
        <f t="shared" si="6"/>
        <v>AOR100154</v>
      </c>
      <c r="J102" s="514">
        <v>3</v>
      </c>
      <c r="L102" s="512" t="s">
        <v>720</v>
      </c>
      <c r="M102" s="512" t="s">
        <v>739</v>
      </c>
      <c r="N102" s="512" t="s">
        <v>721</v>
      </c>
      <c r="O102" s="513"/>
      <c r="P102" s="512" t="s">
        <v>721</v>
      </c>
      <c r="Q102" s="512" t="s">
        <v>25</v>
      </c>
      <c r="R102" s="513"/>
      <c r="S102" s="514">
        <v>31</v>
      </c>
      <c r="T102" s="298" t="str">
        <f t="shared" si="7"/>
        <v>HSGA0131</v>
      </c>
      <c r="U102" s="514">
        <v>5000</v>
      </c>
      <c r="W102" s="512" t="s">
        <v>269</v>
      </c>
      <c r="X102" s="512" t="s">
        <v>843</v>
      </c>
      <c r="Y102" s="512" t="s">
        <v>721</v>
      </c>
      <c r="Z102" s="514">
        <v>10</v>
      </c>
      <c r="AA102" s="512" t="s">
        <v>721</v>
      </c>
      <c r="AB102" s="512" t="s">
        <v>26</v>
      </c>
      <c r="AC102" s="514">
        <v>0</v>
      </c>
      <c r="AD102" s="514">
        <v>57</v>
      </c>
      <c r="AE102" s="298" t="str">
        <f t="shared" si="8"/>
        <v>HNR100257</v>
      </c>
      <c r="AF102" s="514">
        <v>542</v>
      </c>
      <c r="AH102" s="512" t="s">
        <v>721</v>
      </c>
      <c r="AI102" s="512" t="s">
        <v>1030</v>
      </c>
      <c r="AJ102" s="512" t="s">
        <v>721</v>
      </c>
      <c r="AK102" s="513"/>
      <c r="AL102" s="512" t="s">
        <v>721</v>
      </c>
      <c r="AM102" s="512" t="s">
        <v>26</v>
      </c>
      <c r="AN102" s="513"/>
      <c r="AO102" s="514">
        <v>57</v>
      </c>
      <c r="AP102" s="513"/>
      <c r="AQ102" s="298" t="str">
        <f t="shared" si="9"/>
        <v>HOR100257</v>
      </c>
      <c r="AR102" s="514">
        <v>890</v>
      </c>
      <c r="AT102" s="512" t="s">
        <v>743</v>
      </c>
      <c r="AU102" s="512" t="s">
        <v>744</v>
      </c>
      <c r="AV102" s="512" t="s">
        <v>721</v>
      </c>
      <c r="AW102" s="513"/>
      <c r="AX102" s="512" t="s">
        <v>721</v>
      </c>
      <c r="AY102" s="512" t="s">
        <v>26</v>
      </c>
      <c r="AZ102" s="513"/>
      <c r="BA102" s="514">
        <v>64</v>
      </c>
      <c r="BB102" s="298" t="str">
        <f t="shared" si="10"/>
        <v>CLR100264</v>
      </c>
      <c r="BC102" s="514">
        <v>508</v>
      </c>
      <c r="BF102" s="512" t="s">
        <v>658</v>
      </c>
      <c r="BG102" s="512" t="s">
        <v>732</v>
      </c>
      <c r="BH102" s="512" t="s">
        <v>26</v>
      </c>
      <c r="BI102" s="514">
        <v>57</v>
      </c>
      <c r="BJ102" s="298" t="str">
        <f t="shared" si="11"/>
        <v>AOR100257</v>
      </c>
      <c r="BK102" s="514">
        <v>0</v>
      </c>
      <c r="BL102" s="514">
        <v>1</v>
      </c>
      <c r="BM102" s="514">
        <v>1</v>
      </c>
      <c r="BN102" s="514">
        <v>1</v>
      </c>
      <c r="BO102" s="514">
        <v>1</v>
      </c>
      <c r="BP102" s="514">
        <v>2</v>
      </c>
      <c r="BQ102" s="514">
        <v>2</v>
      </c>
      <c r="BR102" s="514">
        <v>2</v>
      </c>
      <c r="BS102" s="514">
        <v>3</v>
      </c>
      <c r="BT102" s="514">
        <v>0</v>
      </c>
      <c r="BU102" s="514">
        <v>0</v>
      </c>
      <c r="BV102" s="514">
        <v>0</v>
      </c>
      <c r="BW102" s="514">
        <v>0</v>
      </c>
      <c r="BX102" s="514">
        <v>0</v>
      </c>
      <c r="BY102" s="514">
        <v>0</v>
      </c>
      <c r="BZ102" s="514">
        <v>0</v>
      </c>
      <c r="CA102" s="514">
        <v>0</v>
      </c>
      <c r="CB102" s="514">
        <v>0</v>
      </c>
      <c r="CC102" s="514">
        <v>0</v>
      </c>
      <c r="CD102" s="514">
        <v>0</v>
      </c>
      <c r="CE102" s="514">
        <v>0</v>
      </c>
      <c r="CF102" s="514">
        <v>0</v>
      </c>
      <c r="CG102" s="514">
        <v>0</v>
      </c>
      <c r="CH102" s="514">
        <v>0</v>
      </c>
      <c r="CI102" s="514">
        <v>0</v>
      </c>
      <c r="CJ102" s="514">
        <v>0</v>
      </c>
      <c r="CK102" s="514">
        <v>0</v>
      </c>
      <c r="CL102" s="514">
        <v>0</v>
      </c>
      <c r="CM102" s="514">
        <v>0</v>
      </c>
      <c r="CN102" s="514">
        <v>0</v>
      </c>
      <c r="CO102" s="514">
        <v>0</v>
      </c>
      <c r="CP102" s="514">
        <v>0</v>
      </c>
      <c r="CQ102" s="514">
        <v>0</v>
      </c>
      <c r="CR102" s="514">
        <v>0</v>
      </c>
      <c r="CS102" s="514">
        <v>0</v>
      </c>
      <c r="CT102" s="514">
        <v>0</v>
      </c>
      <c r="CU102" s="514">
        <v>0</v>
      </c>
      <c r="CV102" s="514">
        <v>0</v>
      </c>
      <c r="CW102" s="514">
        <v>0</v>
      </c>
      <c r="CX102" s="514">
        <v>0</v>
      </c>
      <c r="CY102" s="514">
        <v>0</v>
      </c>
      <c r="CZ102" s="514">
        <v>0</v>
      </c>
      <c r="DA102" s="514">
        <v>0</v>
      </c>
      <c r="DB102" s="514">
        <v>0</v>
      </c>
      <c r="DC102" s="514">
        <v>0</v>
      </c>
      <c r="DD102" s="514">
        <v>0</v>
      </c>
      <c r="DE102" s="514">
        <v>0</v>
      </c>
      <c r="DF102" s="514">
        <v>0</v>
      </c>
      <c r="DG102" s="514">
        <v>0</v>
      </c>
      <c r="DH102" s="514">
        <v>0</v>
      </c>
      <c r="DI102" s="514">
        <v>0</v>
      </c>
      <c r="DJ102" s="514">
        <v>0</v>
      </c>
      <c r="DK102" s="514">
        <v>0</v>
      </c>
      <c r="DL102" s="514">
        <v>0</v>
      </c>
      <c r="DM102" s="514">
        <v>0</v>
      </c>
      <c r="DN102" s="514">
        <v>0</v>
      </c>
      <c r="DO102" s="514">
        <v>0</v>
      </c>
      <c r="DP102" s="514">
        <v>0</v>
      </c>
      <c r="DQ102" s="514">
        <v>0</v>
      </c>
      <c r="DR102" s="514">
        <v>0</v>
      </c>
      <c r="DS102" s="514">
        <v>0</v>
      </c>
      <c r="DT102" s="514">
        <v>0</v>
      </c>
      <c r="DU102" s="514">
        <v>0</v>
      </c>
      <c r="DV102" s="514">
        <v>0</v>
      </c>
      <c r="DW102" s="514">
        <v>0</v>
      </c>
      <c r="DX102" s="514">
        <v>0</v>
      </c>
      <c r="DY102" s="514">
        <v>0</v>
      </c>
      <c r="DZ102" s="514">
        <v>0</v>
      </c>
      <c r="EA102" s="514">
        <v>0</v>
      </c>
      <c r="EB102" s="514">
        <v>0</v>
      </c>
      <c r="EC102" s="514">
        <v>0</v>
      </c>
      <c r="ED102" s="514">
        <v>0</v>
      </c>
      <c r="EE102" s="514">
        <v>0</v>
      </c>
      <c r="EF102" s="514">
        <v>0</v>
      </c>
      <c r="EG102" s="514">
        <v>0</v>
      </c>
      <c r="EH102" s="514">
        <v>0</v>
      </c>
      <c r="EI102" s="514">
        <v>0</v>
      </c>
      <c r="EJ102" s="514">
        <v>0</v>
      </c>
      <c r="EK102" s="514">
        <v>0</v>
      </c>
      <c r="EL102" s="514">
        <v>0</v>
      </c>
      <c r="EM102" s="514">
        <v>0</v>
      </c>
      <c r="EN102" s="514">
        <v>0</v>
      </c>
      <c r="EO102" s="514">
        <v>0</v>
      </c>
      <c r="EP102" s="514">
        <v>0</v>
      </c>
      <c r="EQ102" s="514">
        <v>0</v>
      </c>
      <c r="ER102" s="514">
        <v>0</v>
      </c>
      <c r="ES102" s="514">
        <v>0</v>
      </c>
      <c r="ET102" s="514">
        <v>0</v>
      </c>
      <c r="EU102" s="514">
        <v>0</v>
      </c>
      <c r="EV102" s="514">
        <v>0</v>
      </c>
      <c r="EW102" s="514">
        <v>0</v>
      </c>
      <c r="EX102" s="514">
        <v>0</v>
      </c>
      <c r="EY102" s="514">
        <v>0</v>
      </c>
      <c r="EZ102" s="514">
        <v>0</v>
      </c>
      <c r="FA102" s="514">
        <v>0</v>
      </c>
      <c r="FB102" s="514">
        <v>0</v>
      </c>
      <c r="FC102" s="514">
        <v>0</v>
      </c>
      <c r="FD102" s="514">
        <v>0</v>
      </c>
      <c r="FE102" s="514">
        <v>0</v>
      </c>
      <c r="FF102" s="514">
        <v>0</v>
      </c>
      <c r="FG102" s="514">
        <v>0</v>
      </c>
      <c r="FH102" s="514">
        <v>0</v>
      </c>
      <c r="FI102" s="514">
        <v>0</v>
      </c>
      <c r="FJ102" s="514">
        <v>0</v>
      </c>
      <c r="FK102" s="514">
        <v>0</v>
      </c>
      <c r="FL102" s="514">
        <v>0</v>
      </c>
      <c r="FM102" s="514">
        <v>0</v>
      </c>
      <c r="FN102" s="514">
        <v>0</v>
      </c>
      <c r="FO102" s="514">
        <v>0</v>
      </c>
      <c r="FP102" s="514">
        <v>0</v>
      </c>
      <c r="FQ102" s="514">
        <v>0</v>
      </c>
    </row>
    <row r="103" spans="1:173" ht="16.5" hidden="1">
      <c r="A103" s="512" t="s">
        <v>658</v>
      </c>
      <c r="B103" s="512" t="s">
        <v>732</v>
      </c>
      <c r="C103" s="512" t="s">
        <v>721</v>
      </c>
      <c r="D103" s="513"/>
      <c r="E103" s="512" t="s">
        <v>721</v>
      </c>
      <c r="F103" s="512" t="s">
        <v>25</v>
      </c>
      <c r="G103" s="513"/>
      <c r="H103" s="514">
        <v>55</v>
      </c>
      <c r="I103" s="298" t="str">
        <f t="shared" si="6"/>
        <v>AOR100155</v>
      </c>
      <c r="J103" s="514">
        <v>3</v>
      </c>
      <c r="L103" s="512" t="s">
        <v>720</v>
      </c>
      <c r="M103" s="512" t="s">
        <v>739</v>
      </c>
      <c r="N103" s="512" t="s">
        <v>721</v>
      </c>
      <c r="O103" s="513"/>
      <c r="P103" s="512" t="s">
        <v>721</v>
      </c>
      <c r="Q103" s="512" t="s">
        <v>25</v>
      </c>
      <c r="R103" s="513"/>
      <c r="S103" s="514">
        <v>32</v>
      </c>
      <c r="T103" s="298" t="str">
        <f t="shared" si="7"/>
        <v>HSGA0132</v>
      </c>
      <c r="U103" s="514">
        <v>5393</v>
      </c>
      <c r="W103" s="512" t="s">
        <v>269</v>
      </c>
      <c r="X103" s="512" t="s">
        <v>843</v>
      </c>
      <c r="Y103" s="512" t="s">
        <v>721</v>
      </c>
      <c r="Z103" s="514">
        <v>10</v>
      </c>
      <c r="AA103" s="512" t="s">
        <v>721</v>
      </c>
      <c r="AB103" s="512" t="s">
        <v>26</v>
      </c>
      <c r="AC103" s="514">
        <v>0</v>
      </c>
      <c r="AD103" s="514">
        <v>58</v>
      </c>
      <c r="AE103" s="298" t="str">
        <f t="shared" si="8"/>
        <v>HNR100258</v>
      </c>
      <c r="AF103" s="514">
        <v>564</v>
      </c>
      <c r="AH103" s="512" t="s">
        <v>721</v>
      </c>
      <c r="AI103" s="512" t="s">
        <v>1030</v>
      </c>
      <c r="AJ103" s="512" t="s">
        <v>721</v>
      </c>
      <c r="AK103" s="513"/>
      <c r="AL103" s="512" t="s">
        <v>721</v>
      </c>
      <c r="AM103" s="512" t="s">
        <v>26</v>
      </c>
      <c r="AN103" s="513"/>
      <c r="AO103" s="514">
        <v>58</v>
      </c>
      <c r="AP103" s="513"/>
      <c r="AQ103" s="298" t="str">
        <f t="shared" si="9"/>
        <v>HOR100258</v>
      </c>
      <c r="AR103" s="514">
        <v>915</v>
      </c>
      <c r="AT103" s="512" t="s">
        <v>743</v>
      </c>
      <c r="AU103" s="512" t="s">
        <v>744</v>
      </c>
      <c r="AV103" s="512" t="s">
        <v>721</v>
      </c>
      <c r="AW103" s="513"/>
      <c r="AX103" s="512" t="s">
        <v>721</v>
      </c>
      <c r="AY103" s="512" t="s">
        <v>25</v>
      </c>
      <c r="AZ103" s="513"/>
      <c r="BA103" s="514">
        <v>65</v>
      </c>
      <c r="BB103" s="298" t="str">
        <f t="shared" si="10"/>
        <v>CLR100165</v>
      </c>
      <c r="BC103" s="514">
        <v>659</v>
      </c>
      <c r="BF103" s="512" t="s">
        <v>658</v>
      </c>
      <c r="BG103" s="512" t="s">
        <v>732</v>
      </c>
      <c r="BH103" s="512" t="s">
        <v>26</v>
      </c>
      <c r="BI103" s="514">
        <v>58</v>
      </c>
      <c r="BJ103" s="298" t="str">
        <f t="shared" si="11"/>
        <v>AOR100258</v>
      </c>
      <c r="BK103" s="514">
        <v>0</v>
      </c>
      <c r="BL103" s="514">
        <v>1</v>
      </c>
      <c r="BM103" s="514">
        <v>1</v>
      </c>
      <c r="BN103" s="514">
        <v>1</v>
      </c>
      <c r="BO103" s="514">
        <v>1</v>
      </c>
      <c r="BP103" s="514">
        <v>2</v>
      </c>
      <c r="BQ103" s="514">
        <v>2</v>
      </c>
      <c r="BR103" s="514">
        <v>2</v>
      </c>
      <c r="BS103" s="514">
        <v>3</v>
      </c>
      <c r="BT103" s="514">
        <v>0</v>
      </c>
      <c r="BU103" s="514">
        <v>0</v>
      </c>
      <c r="BV103" s="514">
        <v>0</v>
      </c>
      <c r="BW103" s="514">
        <v>0</v>
      </c>
      <c r="BX103" s="514">
        <v>0</v>
      </c>
      <c r="BY103" s="514">
        <v>0</v>
      </c>
      <c r="BZ103" s="514">
        <v>0</v>
      </c>
      <c r="CA103" s="514">
        <v>0</v>
      </c>
      <c r="CB103" s="514">
        <v>0</v>
      </c>
      <c r="CC103" s="514">
        <v>0</v>
      </c>
      <c r="CD103" s="514">
        <v>0</v>
      </c>
      <c r="CE103" s="514">
        <v>0</v>
      </c>
      <c r="CF103" s="514">
        <v>0</v>
      </c>
      <c r="CG103" s="514">
        <v>0</v>
      </c>
      <c r="CH103" s="514">
        <v>0</v>
      </c>
      <c r="CI103" s="514">
        <v>0</v>
      </c>
      <c r="CJ103" s="514">
        <v>0</v>
      </c>
      <c r="CK103" s="514">
        <v>0</v>
      </c>
      <c r="CL103" s="514">
        <v>0</v>
      </c>
      <c r="CM103" s="514">
        <v>0</v>
      </c>
      <c r="CN103" s="514">
        <v>0</v>
      </c>
      <c r="CO103" s="514">
        <v>0</v>
      </c>
      <c r="CP103" s="514">
        <v>0</v>
      </c>
      <c r="CQ103" s="514">
        <v>0</v>
      </c>
      <c r="CR103" s="514">
        <v>0</v>
      </c>
      <c r="CS103" s="514">
        <v>0</v>
      </c>
      <c r="CT103" s="514">
        <v>0</v>
      </c>
      <c r="CU103" s="514">
        <v>0</v>
      </c>
      <c r="CV103" s="514">
        <v>0</v>
      </c>
      <c r="CW103" s="514">
        <v>0</v>
      </c>
      <c r="CX103" s="514">
        <v>0</v>
      </c>
      <c r="CY103" s="514">
        <v>0</v>
      </c>
      <c r="CZ103" s="514">
        <v>0</v>
      </c>
      <c r="DA103" s="514">
        <v>0</v>
      </c>
      <c r="DB103" s="514">
        <v>0</v>
      </c>
      <c r="DC103" s="514">
        <v>0</v>
      </c>
      <c r="DD103" s="514">
        <v>0</v>
      </c>
      <c r="DE103" s="514">
        <v>0</v>
      </c>
      <c r="DF103" s="514">
        <v>0</v>
      </c>
      <c r="DG103" s="514">
        <v>0</v>
      </c>
      <c r="DH103" s="514">
        <v>0</v>
      </c>
      <c r="DI103" s="514">
        <v>0</v>
      </c>
      <c r="DJ103" s="514">
        <v>0</v>
      </c>
      <c r="DK103" s="514">
        <v>0</v>
      </c>
      <c r="DL103" s="514">
        <v>0</v>
      </c>
      <c r="DM103" s="514">
        <v>0</v>
      </c>
      <c r="DN103" s="514">
        <v>0</v>
      </c>
      <c r="DO103" s="514">
        <v>0</v>
      </c>
      <c r="DP103" s="514">
        <v>0</v>
      </c>
      <c r="DQ103" s="514">
        <v>0</v>
      </c>
      <c r="DR103" s="514">
        <v>0</v>
      </c>
      <c r="DS103" s="514">
        <v>0</v>
      </c>
      <c r="DT103" s="514">
        <v>0</v>
      </c>
      <c r="DU103" s="514">
        <v>0</v>
      </c>
      <c r="DV103" s="514">
        <v>0</v>
      </c>
      <c r="DW103" s="514">
        <v>0</v>
      </c>
      <c r="DX103" s="514">
        <v>0</v>
      </c>
      <c r="DY103" s="514">
        <v>0</v>
      </c>
      <c r="DZ103" s="514">
        <v>0</v>
      </c>
      <c r="EA103" s="514">
        <v>0</v>
      </c>
      <c r="EB103" s="514">
        <v>0</v>
      </c>
      <c r="EC103" s="514">
        <v>0</v>
      </c>
      <c r="ED103" s="514">
        <v>0</v>
      </c>
      <c r="EE103" s="514">
        <v>0</v>
      </c>
      <c r="EF103" s="514">
        <v>0</v>
      </c>
      <c r="EG103" s="514">
        <v>0</v>
      </c>
      <c r="EH103" s="514">
        <v>0</v>
      </c>
      <c r="EI103" s="514">
        <v>0</v>
      </c>
      <c r="EJ103" s="514">
        <v>0</v>
      </c>
      <c r="EK103" s="514">
        <v>0</v>
      </c>
      <c r="EL103" s="514">
        <v>0</v>
      </c>
      <c r="EM103" s="514">
        <v>0</v>
      </c>
      <c r="EN103" s="514">
        <v>0</v>
      </c>
      <c r="EO103" s="514">
        <v>0</v>
      </c>
      <c r="EP103" s="514">
        <v>0</v>
      </c>
      <c r="EQ103" s="514">
        <v>0</v>
      </c>
      <c r="ER103" s="514">
        <v>0</v>
      </c>
      <c r="ES103" s="514">
        <v>0</v>
      </c>
      <c r="ET103" s="514">
        <v>0</v>
      </c>
      <c r="EU103" s="514">
        <v>0</v>
      </c>
      <c r="EV103" s="514">
        <v>0</v>
      </c>
      <c r="EW103" s="514">
        <v>0</v>
      </c>
      <c r="EX103" s="514">
        <v>0</v>
      </c>
      <c r="EY103" s="514">
        <v>0</v>
      </c>
      <c r="EZ103" s="514">
        <v>0</v>
      </c>
      <c r="FA103" s="514">
        <v>0</v>
      </c>
      <c r="FB103" s="514">
        <v>0</v>
      </c>
      <c r="FC103" s="514">
        <v>0</v>
      </c>
      <c r="FD103" s="514">
        <v>0</v>
      </c>
      <c r="FE103" s="514">
        <v>0</v>
      </c>
      <c r="FF103" s="514">
        <v>0</v>
      </c>
      <c r="FG103" s="514">
        <v>0</v>
      </c>
      <c r="FH103" s="514">
        <v>0</v>
      </c>
      <c r="FI103" s="514">
        <v>0</v>
      </c>
      <c r="FJ103" s="514">
        <v>0</v>
      </c>
      <c r="FK103" s="514">
        <v>0</v>
      </c>
      <c r="FL103" s="514">
        <v>0</v>
      </c>
      <c r="FM103" s="514">
        <v>0</v>
      </c>
      <c r="FN103" s="514">
        <v>0</v>
      </c>
      <c r="FO103" s="514">
        <v>0</v>
      </c>
      <c r="FP103" s="514">
        <v>0</v>
      </c>
      <c r="FQ103" s="514">
        <v>0</v>
      </c>
    </row>
    <row r="104" spans="1:173" ht="16.5" hidden="1">
      <c r="A104" s="512" t="s">
        <v>658</v>
      </c>
      <c r="B104" s="512" t="s">
        <v>732</v>
      </c>
      <c r="C104" s="512" t="s">
        <v>721</v>
      </c>
      <c r="D104" s="513"/>
      <c r="E104" s="512" t="s">
        <v>721</v>
      </c>
      <c r="F104" s="512" t="s">
        <v>25</v>
      </c>
      <c r="G104" s="513"/>
      <c r="H104" s="514">
        <v>56</v>
      </c>
      <c r="I104" s="298" t="str">
        <f t="shared" si="6"/>
        <v>AOR100156</v>
      </c>
      <c r="J104" s="514">
        <v>3</v>
      </c>
      <c r="L104" s="512" t="s">
        <v>720</v>
      </c>
      <c r="M104" s="512" t="s">
        <v>739</v>
      </c>
      <c r="N104" s="512" t="s">
        <v>721</v>
      </c>
      <c r="O104" s="513"/>
      <c r="P104" s="512" t="s">
        <v>721</v>
      </c>
      <c r="Q104" s="512" t="s">
        <v>25</v>
      </c>
      <c r="R104" s="513"/>
      <c r="S104" s="514">
        <v>33</v>
      </c>
      <c r="T104" s="298" t="str">
        <f t="shared" si="7"/>
        <v>HSGA0133</v>
      </c>
      <c r="U104" s="514">
        <v>5813</v>
      </c>
      <c r="W104" s="512" t="s">
        <v>269</v>
      </c>
      <c r="X104" s="512" t="s">
        <v>843</v>
      </c>
      <c r="Y104" s="512" t="s">
        <v>721</v>
      </c>
      <c r="Z104" s="514">
        <v>10</v>
      </c>
      <c r="AA104" s="512" t="s">
        <v>721</v>
      </c>
      <c r="AB104" s="512" t="s">
        <v>26</v>
      </c>
      <c r="AC104" s="514">
        <v>0</v>
      </c>
      <c r="AD104" s="514">
        <v>59</v>
      </c>
      <c r="AE104" s="298" t="str">
        <f t="shared" si="8"/>
        <v>HNR100259</v>
      </c>
      <c r="AF104" s="514">
        <v>586</v>
      </c>
      <c r="AH104" s="512" t="s">
        <v>721</v>
      </c>
      <c r="AI104" s="512" t="s">
        <v>1030</v>
      </c>
      <c r="AJ104" s="512" t="s">
        <v>721</v>
      </c>
      <c r="AK104" s="513"/>
      <c r="AL104" s="512" t="s">
        <v>721</v>
      </c>
      <c r="AM104" s="512" t="s">
        <v>26</v>
      </c>
      <c r="AN104" s="513"/>
      <c r="AO104" s="514">
        <v>59</v>
      </c>
      <c r="AP104" s="513"/>
      <c r="AQ104" s="298" t="str">
        <f t="shared" si="9"/>
        <v>HOR100259</v>
      </c>
      <c r="AR104" s="514">
        <v>950</v>
      </c>
      <c r="AT104" s="512" t="s">
        <v>743</v>
      </c>
      <c r="AU104" s="512" t="s">
        <v>744</v>
      </c>
      <c r="AV104" s="512" t="s">
        <v>721</v>
      </c>
      <c r="AW104" s="513"/>
      <c r="AX104" s="512" t="s">
        <v>721</v>
      </c>
      <c r="AY104" s="512" t="s">
        <v>26</v>
      </c>
      <c r="AZ104" s="513"/>
      <c r="BA104" s="514">
        <v>65</v>
      </c>
      <c r="BB104" s="298" t="str">
        <f t="shared" si="10"/>
        <v>CLR100265</v>
      </c>
      <c r="BC104" s="514">
        <v>510</v>
      </c>
      <c r="BF104" s="512" t="s">
        <v>658</v>
      </c>
      <c r="BG104" s="512" t="s">
        <v>732</v>
      </c>
      <c r="BH104" s="512" t="s">
        <v>26</v>
      </c>
      <c r="BI104" s="514">
        <v>59</v>
      </c>
      <c r="BJ104" s="298" t="str">
        <f t="shared" si="11"/>
        <v>AOR100259</v>
      </c>
      <c r="BK104" s="514">
        <v>0</v>
      </c>
      <c r="BL104" s="514">
        <v>1</v>
      </c>
      <c r="BM104" s="514">
        <v>1</v>
      </c>
      <c r="BN104" s="514">
        <v>1</v>
      </c>
      <c r="BO104" s="514">
        <v>1</v>
      </c>
      <c r="BP104" s="514">
        <v>2</v>
      </c>
      <c r="BQ104" s="514">
        <v>2</v>
      </c>
      <c r="BR104" s="514">
        <v>2</v>
      </c>
      <c r="BS104" s="514">
        <v>3</v>
      </c>
      <c r="BT104" s="514">
        <v>0</v>
      </c>
      <c r="BU104" s="514">
        <v>0</v>
      </c>
      <c r="BV104" s="514">
        <v>0</v>
      </c>
      <c r="BW104" s="514">
        <v>0</v>
      </c>
      <c r="BX104" s="514">
        <v>0</v>
      </c>
      <c r="BY104" s="514">
        <v>0</v>
      </c>
      <c r="BZ104" s="514">
        <v>0</v>
      </c>
      <c r="CA104" s="514">
        <v>0</v>
      </c>
      <c r="CB104" s="514">
        <v>0</v>
      </c>
      <c r="CC104" s="514">
        <v>0</v>
      </c>
      <c r="CD104" s="514">
        <v>0</v>
      </c>
      <c r="CE104" s="514">
        <v>0</v>
      </c>
      <c r="CF104" s="514">
        <v>0</v>
      </c>
      <c r="CG104" s="514">
        <v>0</v>
      </c>
      <c r="CH104" s="514">
        <v>0</v>
      </c>
      <c r="CI104" s="514">
        <v>0</v>
      </c>
      <c r="CJ104" s="514">
        <v>0</v>
      </c>
      <c r="CK104" s="514">
        <v>0</v>
      </c>
      <c r="CL104" s="514">
        <v>0</v>
      </c>
      <c r="CM104" s="514">
        <v>0</v>
      </c>
      <c r="CN104" s="514">
        <v>0</v>
      </c>
      <c r="CO104" s="514">
        <v>0</v>
      </c>
      <c r="CP104" s="514">
        <v>0</v>
      </c>
      <c r="CQ104" s="514">
        <v>0</v>
      </c>
      <c r="CR104" s="514">
        <v>0</v>
      </c>
      <c r="CS104" s="514">
        <v>0</v>
      </c>
      <c r="CT104" s="514">
        <v>0</v>
      </c>
      <c r="CU104" s="514">
        <v>0</v>
      </c>
      <c r="CV104" s="514">
        <v>0</v>
      </c>
      <c r="CW104" s="514">
        <v>0</v>
      </c>
      <c r="CX104" s="514">
        <v>0</v>
      </c>
      <c r="CY104" s="514">
        <v>0</v>
      </c>
      <c r="CZ104" s="514">
        <v>0</v>
      </c>
      <c r="DA104" s="514">
        <v>0</v>
      </c>
      <c r="DB104" s="514">
        <v>0</v>
      </c>
      <c r="DC104" s="514">
        <v>0</v>
      </c>
      <c r="DD104" s="514">
        <v>0</v>
      </c>
      <c r="DE104" s="514">
        <v>0</v>
      </c>
      <c r="DF104" s="514">
        <v>0</v>
      </c>
      <c r="DG104" s="514">
        <v>0</v>
      </c>
      <c r="DH104" s="514">
        <v>0</v>
      </c>
      <c r="DI104" s="514">
        <v>0</v>
      </c>
      <c r="DJ104" s="514">
        <v>0</v>
      </c>
      <c r="DK104" s="514">
        <v>0</v>
      </c>
      <c r="DL104" s="514">
        <v>0</v>
      </c>
      <c r="DM104" s="514">
        <v>0</v>
      </c>
      <c r="DN104" s="514">
        <v>0</v>
      </c>
      <c r="DO104" s="514">
        <v>0</v>
      </c>
      <c r="DP104" s="514">
        <v>0</v>
      </c>
      <c r="DQ104" s="514">
        <v>0</v>
      </c>
      <c r="DR104" s="514">
        <v>0</v>
      </c>
      <c r="DS104" s="514">
        <v>0</v>
      </c>
      <c r="DT104" s="514">
        <v>0</v>
      </c>
      <c r="DU104" s="514">
        <v>0</v>
      </c>
      <c r="DV104" s="514">
        <v>0</v>
      </c>
      <c r="DW104" s="514">
        <v>0</v>
      </c>
      <c r="DX104" s="514">
        <v>0</v>
      </c>
      <c r="DY104" s="514">
        <v>0</v>
      </c>
      <c r="DZ104" s="514">
        <v>0</v>
      </c>
      <c r="EA104" s="514">
        <v>0</v>
      </c>
      <c r="EB104" s="514">
        <v>0</v>
      </c>
      <c r="EC104" s="514">
        <v>0</v>
      </c>
      <c r="ED104" s="514">
        <v>0</v>
      </c>
      <c r="EE104" s="514">
        <v>0</v>
      </c>
      <c r="EF104" s="514">
        <v>0</v>
      </c>
      <c r="EG104" s="514">
        <v>0</v>
      </c>
      <c r="EH104" s="514">
        <v>0</v>
      </c>
      <c r="EI104" s="514">
        <v>0</v>
      </c>
      <c r="EJ104" s="514">
        <v>0</v>
      </c>
      <c r="EK104" s="514">
        <v>0</v>
      </c>
      <c r="EL104" s="514">
        <v>0</v>
      </c>
      <c r="EM104" s="514">
        <v>0</v>
      </c>
      <c r="EN104" s="514">
        <v>0</v>
      </c>
      <c r="EO104" s="514">
        <v>0</v>
      </c>
      <c r="EP104" s="514">
        <v>0</v>
      </c>
      <c r="EQ104" s="514">
        <v>0</v>
      </c>
      <c r="ER104" s="514">
        <v>0</v>
      </c>
      <c r="ES104" s="514">
        <v>0</v>
      </c>
      <c r="ET104" s="514">
        <v>0</v>
      </c>
      <c r="EU104" s="514">
        <v>0</v>
      </c>
      <c r="EV104" s="514">
        <v>0</v>
      </c>
      <c r="EW104" s="514">
        <v>0</v>
      </c>
      <c r="EX104" s="514">
        <v>0</v>
      </c>
      <c r="EY104" s="514">
        <v>0</v>
      </c>
      <c r="EZ104" s="514">
        <v>0</v>
      </c>
      <c r="FA104" s="514">
        <v>0</v>
      </c>
      <c r="FB104" s="514">
        <v>0</v>
      </c>
      <c r="FC104" s="514">
        <v>0</v>
      </c>
      <c r="FD104" s="514">
        <v>0</v>
      </c>
      <c r="FE104" s="514">
        <v>0</v>
      </c>
      <c r="FF104" s="514">
        <v>0</v>
      </c>
      <c r="FG104" s="514">
        <v>0</v>
      </c>
      <c r="FH104" s="514">
        <v>0</v>
      </c>
      <c r="FI104" s="514">
        <v>0</v>
      </c>
      <c r="FJ104" s="514">
        <v>0</v>
      </c>
      <c r="FK104" s="514">
        <v>0</v>
      </c>
      <c r="FL104" s="514">
        <v>0</v>
      </c>
      <c r="FM104" s="514">
        <v>0</v>
      </c>
      <c r="FN104" s="514">
        <v>0</v>
      </c>
      <c r="FO104" s="514">
        <v>0</v>
      </c>
      <c r="FP104" s="514">
        <v>0</v>
      </c>
      <c r="FQ104" s="514">
        <v>0</v>
      </c>
    </row>
    <row r="105" spans="1:173" ht="16.5" hidden="1">
      <c r="A105" s="512" t="s">
        <v>658</v>
      </c>
      <c r="B105" s="512" t="s">
        <v>732</v>
      </c>
      <c r="C105" s="512" t="s">
        <v>721</v>
      </c>
      <c r="D105" s="513"/>
      <c r="E105" s="512" t="s">
        <v>721</v>
      </c>
      <c r="F105" s="512" t="s">
        <v>25</v>
      </c>
      <c r="G105" s="513"/>
      <c r="H105" s="514">
        <v>57</v>
      </c>
      <c r="I105" s="298" t="str">
        <f t="shared" si="6"/>
        <v>AOR100157</v>
      </c>
      <c r="J105" s="514">
        <v>3</v>
      </c>
      <c r="L105" s="512" t="s">
        <v>720</v>
      </c>
      <c r="M105" s="512" t="s">
        <v>739</v>
      </c>
      <c r="N105" s="512" t="s">
        <v>721</v>
      </c>
      <c r="O105" s="513"/>
      <c r="P105" s="512" t="s">
        <v>721</v>
      </c>
      <c r="Q105" s="512" t="s">
        <v>25</v>
      </c>
      <c r="R105" s="513"/>
      <c r="S105" s="514">
        <v>34</v>
      </c>
      <c r="T105" s="298" t="str">
        <f t="shared" si="7"/>
        <v>HSGA0134</v>
      </c>
      <c r="U105" s="514">
        <v>6240</v>
      </c>
      <c r="W105" s="512" t="s">
        <v>269</v>
      </c>
      <c r="X105" s="512" t="s">
        <v>843</v>
      </c>
      <c r="Y105" s="512" t="s">
        <v>721</v>
      </c>
      <c r="Z105" s="514">
        <v>10</v>
      </c>
      <c r="AA105" s="512" t="s">
        <v>721</v>
      </c>
      <c r="AB105" s="512" t="s">
        <v>26</v>
      </c>
      <c r="AC105" s="514">
        <v>0</v>
      </c>
      <c r="AD105" s="514">
        <v>60</v>
      </c>
      <c r="AE105" s="298" t="str">
        <f t="shared" si="8"/>
        <v>HNR100260</v>
      </c>
      <c r="AF105" s="514">
        <v>607</v>
      </c>
      <c r="AH105" s="512" t="s">
        <v>721</v>
      </c>
      <c r="AI105" s="512" t="s">
        <v>1030</v>
      </c>
      <c r="AJ105" s="512" t="s">
        <v>721</v>
      </c>
      <c r="AK105" s="513"/>
      <c r="AL105" s="512" t="s">
        <v>721</v>
      </c>
      <c r="AM105" s="512" t="s">
        <v>26</v>
      </c>
      <c r="AN105" s="513"/>
      <c r="AO105" s="514">
        <v>60</v>
      </c>
      <c r="AP105" s="513"/>
      <c r="AQ105" s="298" t="str">
        <f t="shared" si="9"/>
        <v>HOR100260</v>
      </c>
      <c r="AR105" s="514">
        <v>980</v>
      </c>
      <c r="AT105" s="512" t="s">
        <v>743</v>
      </c>
      <c r="AU105" s="512" t="s">
        <v>744</v>
      </c>
      <c r="AV105" s="512" t="s">
        <v>721</v>
      </c>
      <c r="AW105" s="513"/>
      <c r="AX105" s="512" t="s">
        <v>721</v>
      </c>
      <c r="AY105" s="512" t="s">
        <v>25</v>
      </c>
      <c r="AZ105" s="513"/>
      <c r="BA105" s="514">
        <v>66</v>
      </c>
      <c r="BB105" s="298" t="str">
        <f t="shared" si="10"/>
        <v>CLR100166</v>
      </c>
      <c r="BC105" s="514">
        <v>673</v>
      </c>
      <c r="BF105" s="512" t="s">
        <v>658</v>
      </c>
      <c r="BG105" s="512" t="s">
        <v>732</v>
      </c>
      <c r="BH105" s="512" t="s">
        <v>26</v>
      </c>
      <c r="BI105" s="514">
        <v>60</v>
      </c>
      <c r="BJ105" s="298" t="str">
        <f t="shared" si="11"/>
        <v>AOR100260</v>
      </c>
      <c r="BK105" s="514">
        <v>0</v>
      </c>
      <c r="BL105" s="514">
        <v>1</v>
      </c>
      <c r="BM105" s="514">
        <v>1</v>
      </c>
      <c r="BN105" s="514">
        <v>1</v>
      </c>
      <c r="BO105" s="514">
        <v>1</v>
      </c>
      <c r="BP105" s="514">
        <v>2</v>
      </c>
      <c r="BQ105" s="514">
        <v>2</v>
      </c>
      <c r="BR105" s="514">
        <v>2</v>
      </c>
      <c r="BS105" s="514">
        <v>3</v>
      </c>
      <c r="BT105" s="514">
        <v>0</v>
      </c>
      <c r="BU105" s="514">
        <v>0</v>
      </c>
      <c r="BV105" s="514">
        <v>0</v>
      </c>
      <c r="BW105" s="514">
        <v>0</v>
      </c>
      <c r="BX105" s="514">
        <v>0</v>
      </c>
      <c r="BY105" s="514">
        <v>0</v>
      </c>
      <c r="BZ105" s="514">
        <v>0</v>
      </c>
      <c r="CA105" s="514">
        <v>0</v>
      </c>
      <c r="CB105" s="514">
        <v>0</v>
      </c>
      <c r="CC105" s="514">
        <v>0</v>
      </c>
      <c r="CD105" s="514">
        <v>0</v>
      </c>
      <c r="CE105" s="514">
        <v>0</v>
      </c>
      <c r="CF105" s="514">
        <v>0</v>
      </c>
      <c r="CG105" s="514">
        <v>0</v>
      </c>
      <c r="CH105" s="514">
        <v>0</v>
      </c>
      <c r="CI105" s="514">
        <v>0</v>
      </c>
      <c r="CJ105" s="514">
        <v>0</v>
      </c>
      <c r="CK105" s="514">
        <v>0</v>
      </c>
      <c r="CL105" s="514">
        <v>0</v>
      </c>
      <c r="CM105" s="514">
        <v>0</v>
      </c>
      <c r="CN105" s="514">
        <v>0</v>
      </c>
      <c r="CO105" s="514">
        <v>0</v>
      </c>
      <c r="CP105" s="514">
        <v>0</v>
      </c>
      <c r="CQ105" s="514">
        <v>0</v>
      </c>
      <c r="CR105" s="514">
        <v>0</v>
      </c>
      <c r="CS105" s="514">
        <v>0</v>
      </c>
      <c r="CT105" s="514">
        <v>0</v>
      </c>
      <c r="CU105" s="514">
        <v>0</v>
      </c>
      <c r="CV105" s="514">
        <v>0</v>
      </c>
      <c r="CW105" s="514">
        <v>0</v>
      </c>
      <c r="CX105" s="514">
        <v>0</v>
      </c>
      <c r="CY105" s="514">
        <v>0</v>
      </c>
      <c r="CZ105" s="514">
        <v>0</v>
      </c>
      <c r="DA105" s="514">
        <v>0</v>
      </c>
      <c r="DB105" s="514">
        <v>0</v>
      </c>
      <c r="DC105" s="514">
        <v>0</v>
      </c>
      <c r="DD105" s="514">
        <v>0</v>
      </c>
      <c r="DE105" s="514">
        <v>0</v>
      </c>
      <c r="DF105" s="514">
        <v>0</v>
      </c>
      <c r="DG105" s="514">
        <v>0</v>
      </c>
      <c r="DH105" s="514">
        <v>0</v>
      </c>
      <c r="DI105" s="514">
        <v>0</v>
      </c>
      <c r="DJ105" s="514">
        <v>0</v>
      </c>
      <c r="DK105" s="514">
        <v>0</v>
      </c>
      <c r="DL105" s="514">
        <v>0</v>
      </c>
      <c r="DM105" s="514">
        <v>0</v>
      </c>
      <c r="DN105" s="514">
        <v>0</v>
      </c>
      <c r="DO105" s="514">
        <v>0</v>
      </c>
      <c r="DP105" s="514">
        <v>0</v>
      </c>
      <c r="DQ105" s="514">
        <v>0</v>
      </c>
      <c r="DR105" s="514">
        <v>0</v>
      </c>
      <c r="DS105" s="514">
        <v>0</v>
      </c>
      <c r="DT105" s="514">
        <v>0</v>
      </c>
      <c r="DU105" s="514">
        <v>0</v>
      </c>
      <c r="DV105" s="514">
        <v>0</v>
      </c>
      <c r="DW105" s="514">
        <v>0</v>
      </c>
      <c r="DX105" s="514">
        <v>0</v>
      </c>
      <c r="DY105" s="514">
        <v>0</v>
      </c>
      <c r="DZ105" s="514">
        <v>0</v>
      </c>
      <c r="EA105" s="514">
        <v>0</v>
      </c>
      <c r="EB105" s="514">
        <v>0</v>
      </c>
      <c r="EC105" s="514">
        <v>0</v>
      </c>
      <c r="ED105" s="514">
        <v>0</v>
      </c>
      <c r="EE105" s="514">
        <v>0</v>
      </c>
      <c r="EF105" s="514">
        <v>0</v>
      </c>
      <c r="EG105" s="514">
        <v>0</v>
      </c>
      <c r="EH105" s="514">
        <v>0</v>
      </c>
      <c r="EI105" s="514">
        <v>0</v>
      </c>
      <c r="EJ105" s="514">
        <v>0</v>
      </c>
      <c r="EK105" s="514">
        <v>0</v>
      </c>
      <c r="EL105" s="514">
        <v>0</v>
      </c>
      <c r="EM105" s="514">
        <v>0</v>
      </c>
      <c r="EN105" s="514">
        <v>0</v>
      </c>
      <c r="EO105" s="514">
        <v>0</v>
      </c>
      <c r="EP105" s="514">
        <v>0</v>
      </c>
      <c r="EQ105" s="514">
        <v>0</v>
      </c>
      <c r="ER105" s="514">
        <v>0</v>
      </c>
      <c r="ES105" s="514">
        <v>0</v>
      </c>
      <c r="ET105" s="514">
        <v>0</v>
      </c>
      <c r="EU105" s="514">
        <v>0</v>
      </c>
      <c r="EV105" s="514">
        <v>0</v>
      </c>
      <c r="EW105" s="514">
        <v>0</v>
      </c>
      <c r="EX105" s="514">
        <v>0</v>
      </c>
      <c r="EY105" s="514">
        <v>0</v>
      </c>
      <c r="EZ105" s="514">
        <v>0</v>
      </c>
      <c r="FA105" s="514">
        <v>0</v>
      </c>
      <c r="FB105" s="514">
        <v>0</v>
      </c>
      <c r="FC105" s="514">
        <v>0</v>
      </c>
      <c r="FD105" s="514">
        <v>0</v>
      </c>
      <c r="FE105" s="514">
        <v>0</v>
      </c>
      <c r="FF105" s="514">
        <v>0</v>
      </c>
      <c r="FG105" s="514">
        <v>0</v>
      </c>
      <c r="FH105" s="514">
        <v>0</v>
      </c>
      <c r="FI105" s="514">
        <v>0</v>
      </c>
      <c r="FJ105" s="514">
        <v>0</v>
      </c>
      <c r="FK105" s="514">
        <v>0</v>
      </c>
      <c r="FL105" s="514">
        <v>0</v>
      </c>
      <c r="FM105" s="514">
        <v>0</v>
      </c>
      <c r="FN105" s="514">
        <v>0</v>
      </c>
      <c r="FO105" s="514">
        <v>0</v>
      </c>
      <c r="FP105" s="514">
        <v>0</v>
      </c>
      <c r="FQ105" s="514">
        <v>0</v>
      </c>
    </row>
    <row r="106" spans="1:173" ht="16.5" hidden="1">
      <c r="A106" s="512" t="s">
        <v>658</v>
      </c>
      <c r="B106" s="512" t="s">
        <v>732</v>
      </c>
      <c r="C106" s="512" t="s">
        <v>721</v>
      </c>
      <c r="D106" s="513"/>
      <c r="E106" s="512" t="s">
        <v>721</v>
      </c>
      <c r="F106" s="512" t="s">
        <v>25</v>
      </c>
      <c r="G106" s="513"/>
      <c r="H106" s="514">
        <v>58</v>
      </c>
      <c r="I106" s="298" t="str">
        <f t="shared" si="6"/>
        <v>AOR100158</v>
      </c>
      <c r="J106" s="514">
        <v>3</v>
      </c>
      <c r="L106" s="512" t="s">
        <v>720</v>
      </c>
      <c r="M106" s="512" t="s">
        <v>739</v>
      </c>
      <c r="N106" s="512" t="s">
        <v>721</v>
      </c>
      <c r="O106" s="513"/>
      <c r="P106" s="512" t="s">
        <v>721</v>
      </c>
      <c r="Q106" s="512" t="s">
        <v>25</v>
      </c>
      <c r="R106" s="513"/>
      <c r="S106" s="514">
        <v>35</v>
      </c>
      <c r="T106" s="298" t="str">
        <f t="shared" si="7"/>
        <v>HSGA0135</v>
      </c>
      <c r="U106" s="514">
        <v>6675</v>
      </c>
      <c r="W106" s="512" t="s">
        <v>269</v>
      </c>
      <c r="X106" s="512" t="s">
        <v>843</v>
      </c>
      <c r="Y106" s="512" t="s">
        <v>721</v>
      </c>
      <c r="Z106" s="514">
        <v>10</v>
      </c>
      <c r="AA106" s="512" t="s">
        <v>721</v>
      </c>
      <c r="AB106" s="512" t="s">
        <v>26</v>
      </c>
      <c r="AC106" s="514">
        <v>0</v>
      </c>
      <c r="AD106" s="514">
        <v>61</v>
      </c>
      <c r="AE106" s="298" t="str">
        <f t="shared" si="8"/>
        <v>HNR100261</v>
      </c>
      <c r="AF106" s="514">
        <v>639</v>
      </c>
      <c r="AH106" s="512" t="s">
        <v>721</v>
      </c>
      <c r="AI106" s="512" t="s">
        <v>1030</v>
      </c>
      <c r="AJ106" s="512" t="s">
        <v>721</v>
      </c>
      <c r="AK106" s="513"/>
      <c r="AL106" s="512" t="s">
        <v>721</v>
      </c>
      <c r="AM106" s="512" t="s">
        <v>26</v>
      </c>
      <c r="AN106" s="513"/>
      <c r="AO106" s="514">
        <v>61</v>
      </c>
      <c r="AP106" s="513"/>
      <c r="AQ106" s="298" t="str">
        <f t="shared" si="9"/>
        <v>HOR100261</v>
      </c>
      <c r="AR106" s="514">
        <v>1025</v>
      </c>
      <c r="AT106" s="512" t="s">
        <v>743</v>
      </c>
      <c r="AU106" s="512" t="s">
        <v>744</v>
      </c>
      <c r="AV106" s="512" t="s">
        <v>721</v>
      </c>
      <c r="AW106" s="513"/>
      <c r="AX106" s="512" t="s">
        <v>721</v>
      </c>
      <c r="AY106" s="512" t="s">
        <v>26</v>
      </c>
      <c r="AZ106" s="513"/>
      <c r="BA106" s="514">
        <v>66</v>
      </c>
      <c r="BB106" s="298" t="str">
        <f t="shared" si="10"/>
        <v>CLR100266</v>
      </c>
      <c r="BC106" s="514">
        <v>510</v>
      </c>
      <c r="BF106" s="512" t="s">
        <v>658</v>
      </c>
      <c r="BG106" s="512" t="s">
        <v>732</v>
      </c>
      <c r="BH106" s="512" t="s">
        <v>26</v>
      </c>
      <c r="BI106" s="514">
        <v>61</v>
      </c>
      <c r="BJ106" s="298" t="str">
        <f t="shared" si="11"/>
        <v>AOR100261</v>
      </c>
      <c r="BK106" s="514">
        <v>0</v>
      </c>
      <c r="BL106" s="514">
        <v>1</v>
      </c>
      <c r="BM106" s="514">
        <v>1</v>
      </c>
      <c r="BN106" s="514">
        <v>2</v>
      </c>
      <c r="BO106" s="514">
        <v>2</v>
      </c>
      <c r="BP106" s="514">
        <v>2</v>
      </c>
      <c r="BQ106" s="514">
        <v>3</v>
      </c>
      <c r="BR106" s="514">
        <v>3</v>
      </c>
      <c r="BS106" s="514">
        <v>4</v>
      </c>
      <c r="BT106" s="514">
        <v>0</v>
      </c>
      <c r="BU106" s="514">
        <v>0</v>
      </c>
      <c r="BV106" s="514">
        <v>0</v>
      </c>
      <c r="BW106" s="514">
        <v>0</v>
      </c>
      <c r="BX106" s="514">
        <v>0</v>
      </c>
      <c r="BY106" s="514">
        <v>0</v>
      </c>
      <c r="BZ106" s="514">
        <v>0</v>
      </c>
      <c r="CA106" s="514">
        <v>0</v>
      </c>
      <c r="CB106" s="514">
        <v>0</v>
      </c>
      <c r="CC106" s="514">
        <v>0</v>
      </c>
      <c r="CD106" s="514">
        <v>0</v>
      </c>
      <c r="CE106" s="514">
        <v>0</v>
      </c>
      <c r="CF106" s="514">
        <v>0</v>
      </c>
      <c r="CG106" s="514">
        <v>0</v>
      </c>
      <c r="CH106" s="514">
        <v>0</v>
      </c>
      <c r="CI106" s="514">
        <v>0</v>
      </c>
      <c r="CJ106" s="514">
        <v>0</v>
      </c>
      <c r="CK106" s="514">
        <v>0</v>
      </c>
      <c r="CL106" s="514">
        <v>0</v>
      </c>
      <c r="CM106" s="514">
        <v>0</v>
      </c>
      <c r="CN106" s="514">
        <v>0</v>
      </c>
      <c r="CO106" s="514">
        <v>0</v>
      </c>
      <c r="CP106" s="514">
        <v>0</v>
      </c>
      <c r="CQ106" s="514">
        <v>0</v>
      </c>
      <c r="CR106" s="514">
        <v>0</v>
      </c>
      <c r="CS106" s="514">
        <v>0</v>
      </c>
      <c r="CT106" s="514">
        <v>0</v>
      </c>
      <c r="CU106" s="514">
        <v>0</v>
      </c>
      <c r="CV106" s="514">
        <v>0</v>
      </c>
      <c r="CW106" s="514">
        <v>0</v>
      </c>
      <c r="CX106" s="514">
        <v>0</v>
      </c>
      <c r="CY106" s="514">
        <v>0</v>
      </c>
      <c r="CZ106" s="514">
        <v>0</v>
      </c>
      <c r="DA106" s="514">
        <v>0</v>
      </c>
      <c r="DB106" s="514">
        <v>0</v>
      </c>
      <c r="DC106" s="514">
        <v>0</v>
      </c>
      <c r="DD106" s="514">
        <v>0</v>
      </c>
      <c r="DE106" s="514">
        <v>0</v>
      </c>
      <c r="DF106" s="514">
        <v>0</v>
      </c>
      <c r="DG106" s="514">
        <v>0</v>
      </c>
      <c r="DH106" s="514">
        <v>0</v>
      </c>
      <c r="DI106" s="514">
        <v>0</v>
      </c>
      <c r="DJ106" s="514">
        <v>0</v>
      </c>
      <c r="DK106" s="514">
        <v>0</v>
      </c>
      <c r="DL106" s="514">
        <v>0</v>
      </c>
      <c r="DM106" s="514">
        <v>0</v>
      </c>
      <c r="DN106" s="514">
        <v>0</v>
      </c>
      <c r="DO106" s="514">
        <v>0</v>
      </c>
      <c r="DP106" s="514">
        <v>0</v>
      </c>
      <c r="DQ106" s="514">
        <v>0</v>
      </c>
      <c r="DR106" s="514">
        <v>0</v>
      </c>
      <c r="DS106" s="514">
        <v>0</v>
      </c>
      <c r="DT106" s="514">
        <v>0</v>
      </c>
      <c r="DU106" s="514">
        <v>0</v>
      </c>
      <c r="DV106" s="514">
        <v>0</v>
      </c>
      <c r="DW106" s="514">
        <v>0</v>
      </c>
      <c r="DX106" s="514">
        <v>0</v>
      </c>
      <c r="DY106" s="514">
        <v>0</v>
      </c>
      <c r="DZ106" s="514">
        <v>0</v>
      </c>
      <c r="EA106" s="514">
        <v>0</v>
      </c>
      <c r="EB106" s="514">
        <v>0</v>
      </c>
      <c r="EC106" s="514">
        <v>0</v>
      </c>
      <c r="ED106" s="514">
        <v>0</v>
      </c>
      <c r="EE106" s="514">
        <v>0</v>
      </c>
      <c r="EF106" s="514">
        <v>0</v>
      </c>
      <c r="EG106" s="514">
        <v>0</v>
      </c>
      <c r="EH106" s="514">
        <v>0</v>
      </c>
      <c r="EI106" s="514">
        <v>0</v>
      </c>
      <c r="EJ106" s="514">
        <v>0</v>
      </c>
      <c r="EK106" s="514">
        <v>0</v>
      </c>
      <c r="EL106" s="514">
        <v>0</v>
      </c>
      <c r="EM106" s="514">
        <v>0</v>
      </c>
      <c r="EN106" s="514">
        <v>0</v>
      </c>
      <c r="EO106" s="514">
        <v>0</v>
      </c>
      <c r="EP106" s="514">
        <v>0</v>
      </c>
      <c r="EQ106" s="514">
        <v>0</v>
      </c>
      <c r="ER106" s="514">
        <v>0</v>
      </c>
      <c r="ES106" s="514">
        <v>0</v>
      </c>
      <c r="ET106" s="514">
        <v>0</v>
      </c>
      <c r="EU106" s="514">
        <v>0</v>
      </c>
      <c r="EV106" s="514">
        <v>0</v>
      </c>
      <c r="EW106" s="514">
        <v>0</v>
      </c>
      <c r="EX106" s="514">
        <v>0</v>
      </c>
      <c r="EY106" s="514">
        <v>0</v>
      </c>
      <c r="EZ106" s="514">
        <v>0</v>
      </c>
      <c r="FA106" s="514">
        <v>0</v>
      </c>
      <c r="FB106" s="514">
        <v>0</v>
      </c>
      <c r="FC106" s="514">
        <v>0</v>
      </c>
      <c r="FD106" s="514">
        <v>0</v>
      </c>
      <c r="FE106" s="514">
        <v>0</v>
      </c>
      <c r="FF106" s="514">
        <v>0</v>
      </c>
      <c r="FG106" s="514">
        <v>0</v>
      </c>
      <c r="FH106" s="514">
        <v>0</v>
      </c>
      <c r="FI106" s="514">
        <v>0</v>
      </c>
      <c r="FJ106" s="514">
        <v>0</v>
      </c>
      <c r="FK106" s="514">
        <v>0</v>
      </c>
      <c r="FL106" s="514">
        <v>0</v>
      </c>
      <c r="FM106" s="514">
        <v>0</v>
      </c>
      <c r="FN106" s="514">
        <v>0</v>
      </c>
      <c r="FO106" s="514">
        <v>0</v>
      </c>
      <c r="FP106" s="514">
        <v>0</v>
      </c>
      <c r="FQ106" s="514">
        <v>0</v>
      </c>
    </row>
    <row r="107" spans="1:173" ht="16.5" hidden="1">
      <c r="A107" s="512" t="s">
        <v>658</v>
      </c>
      <c r="B107" s="512" t="s">
        <v>732</v>
      </c>
      <c r="C107" s="512" t="s">
        <v>721</v>
      </c>
      <c r="D107" s="513"/>
      <c r="E107" s="512" t="s">
        <v>721</v>
      </c>
      <c r="F107" s="512" t="s">
        <v>25</v>
      </c>
      <c r="G107" s="513"/>
      <c r="H107" s="514">
        <v>59</v>
      </c>
      <c r="I107" s="298" t="str">
        <f t="shared" si="6"/>
        <v>AOR100159</v>
      </c>
      <c r="J107" s="514">
        <v>3</v>
      </c>
      <c r="L107" s="512" t="s">
        <v>720</v>
      </c>
      <c r="M107" s="512" t="s">
        <v>739</v>
      </c>
      <c r="N107" s="512" t="s">
        <v>721</v>
      </c>
      <c r="O107" s="513"/>
      <c r="P107" s="512" t="s">
        <v>721</v>
      </c>
      <c r="Q107" s="512" t="s">
        <v>25</v>
      </c>
      <c r="R107" s="513"/>
      <c r="S107" s="514">
        <v>36</v>
      </c>
      <c r="T107" s="298" t="str">
        <f t="shared" si="7"/>
        <v>HSGA0136</v>
      </c>
      <c r="U107" s="514">
        <v>7020</v>
      </c>
      <c r="W107" s="512" t="s">
        <v>269</v>
      </c>
      <c r="X107" s="512" t="s">
        <v>843</v>
      </c>
      <c r="Y107" s="512" t="s">
        <v>721</v>
      </c>
      <c r="Z107" s="514">
        <v>10</v>
      </c>
      <c r="AA107" s="512" t="s">
        <v>721</v>
      </c>
      <c r="AB107" s="512" t="s">
        <v>26</v>
      </c>
      <c r="AC107" s="514">
        <v>1</v>
      </c>
      <c r="AD107" s="514">
        <v>62</v>
      </c>
      <c r="AE107" s="298" t="str">
        <f t="shared" si="8"/>
        <v>HNR100262</v>
      </c>
      <c r="AF107" s="514">
        <v>672</v>
      </c>
      <c r="AH107" s="512" t="s">
        <v>721</v>
      </c>
      <c r="AI107" s="512" t="s">
        <v>1030</v>
      </c>
      <c r="AJ107" s="512" t="s">
        <v>721</v>
      </c>
      <c r="AK107" s="513"/>
      <c r="AL107" s="512" t="s">
        <v>721</v>
      </c>
      <c r="AM107" s="512" t="s">
        <v>26</v>
      </c>
      <c r="AN107" s="513"/>
      <c r="AO107" s="514">
        <v>62</v>
      </c>
      <c r="AP107" s="513"/>
      <c r="AQ107" s="298" t="str">
        <f t="shared" si="9"/>
        <v>HOR100262</v>
      </c>
      <c r="AR107" s="514">
        <v>1075</v>
      </c>
      <c r="AT107" s="512" t="s">
        <v>743</v>
      </c>
      <c r="AU107" s="512" t="s">
        <v>744</v>
      </c>
      <c r="AV107" s="512" t="s">
        <v>721</v>
      </c>
      <c r="AW107" s="513"/>
      <c r="AX107" s="512" t="s">
        <v>721</v>
      </c>
      <c r="AY107" s="512" t="s">
        <v>25</v>
      </c>
      <c r="AZ107" s="513"/>
      <c r="BA107" s="514">
        <v>67</v>
      </c>
      <c r="BB107" s="298" t="str">
        <f t="shared" si="10"/>
        <v>CLR100167</v>
      </c>
      <c r="BC107" s="514">
        <v>686</v>
      </c>
      <c r="BF107" s="512" t="s">
        <v>658</v>
      </c>
      <c r="BG107" s="512" t="s">
        <v>732</v>
      </c>
      <c r="BH107" s="512" t="s">
        <v>26</v>
      </c>
      <c r="BI107" s="514">
        <v>62</v>
      </c>
      <c r="BJ107" s="298" t="str">
        <f t="shared" si="11"/>
        <v>AOR100262</v>
      </c>
      <c r="BK107" s="514">
        <v>0</v>
      </c>
      <c r="BL107" s="514">
        <v>2</v>
      </c>
      <c r="BM107" s="514">
        <v>2</v>
      </c>
      <c r="BN107" s="514">
        <v>2</v>
      </c>
      <c r="BO107" s="514">
        <v>2</v>
      </c>
      <c r="BP107" s="514">
        <v>3</v>
      </c>
      <c r="BQ107" s="514">
        <v>3</v>
      </c>
      <c r="BR107" s="514">
        <v>4</v>
      </c>
      <c r="BS107" s="514">
        <v>4</v>
      </c>
      <c r="BT107" s="514">
        <v>0</v>
      </c>
      <c r="BU107" s="514">
        <v>0</v>
      </c>
      <c r="BV107" s="514">
        <v>0</v>
      </c>
      <c r="BW107" s="514">
        <v>0</v>
      </c>
      <c r="BX107" s="514">
        <v>0</v>
      </c>
      <c r="BY107" s="514">
        <v>0</v>
      </c>
      <c r="BZ107" s="514">
        <v>0</v>
      </c>
      <c r="CA107" s="514">
        <v>0</v>
      </c>
      <c r="CB107" s="514">
        <v>0</v>
      </c>
      <c r="CC107" s="514">
        <v>0</v>
      </c>
      <c r="CD107" s="514">
        <v>0</v>
      </c>
      <c r="CE107" s="514">
        <v>0</v>
      </c>
      <c r="CF107" s="514">
        <v>0</v>
      </c>
      <c r="CG107" s="514">
        <v>0</v>
      </c>
      <c r="CH107" s="514">
        <v>0</v>
      </c>
      <c r="CI107" s="514">
        <v>0</v>
      </c>
      <c r="CJ107" s="514">
        <v>0</v>
      </c>
      <c r="CK107" s="514">
        <v>0</v>
      </c>
      <c r="CL107" s="514">
        <v>0</v>
      </c>
      <c r="CM107" s="514">
        <v>0</v>
      </c>
      <c r="CN107" s="514">
        <v>0</v>
      </c>
      <c r="CO107" s="514">
        <v>0</v>
      </c>
      <c r="CP107" s="514">
        <v>0</v>
      </c>
      <c r="CQ107" s="514">
        <v>0</v>
      </c>
      <c r="CR107" s="514">
        <v>0</v>
      </c>
      <c r="CS107" s="514">
        <v>0</v>
      </c>
      <c r="CT107" s="514">
        <v>0</v>
      </c>
      <c r="CU107" s="514">
        <v>0</v>
      </c>
      <c r="CV107" s="514">
        <v>0</v>
      </c>
      <c r="CW107" s="514">
        <v>0</v>
      </c>
      <c r="CX107" s="514">
        <v>0</v>
      </c>
      <c r="CY107" s="514">
        <v>0</v>
      </c>
      <c r="CZ107" s="514">
        <v>0</v>
      </c>
      <c r="DA107" s="514">
        <v>0</v>
      </c>
      <c r="DB107" s="514">
        <v>0</v>
      </c>
      <c r="DC107" s="514">
        <v>0</v>
      </c>
      <c r="DD107" s="514">
        <v>0</v>
      </c>
      <c r="DE107" s="514">
        <v>0</v>
      </c>
      <c r="DF107" s="514">
        <v>0</v>
      </c>
      <c r="DG107" s="514">
        <v>0</v>
      </c>
      <c r="DH107" s="514">
        <v>0</v>
      </c>
      <c r="DI107" s="514">
        <v>0</v>
      </c>
      <c r="DJ107" s="514">
        <v>0</v>
      </c>
      <c r="DK107" s="514">
        <v>0</v>
      </c>
      <c r="DL107" s="514">
        <v>0</v>
      </c>
      <c r="DM107" s="514">
        <v>0</v>
      </c>
      <c r="DN107" s="514">
        <v>0</v>
      </c>
      <c r="DO107" s="514">
        <v>0</v>
      </c>
      <c r="DP107" s="514">
        <v>0</v>
      </c>
      <c r="DQ107" s="514">
        <v>0</v>
      </c>
      <c r="DR107" s="514">
        <v>0</v>
      </c>
      <c r="DS107" s="514">
        <v>0</v>
      </c>
      <c r="DT107" s="514">
        <v>0</v>
      </c>
      <c r="DU107" s="514">
        <v>0</v>
      </c>
      <c r="DV107" s="514">
        <v>0</v>
      </c>
      <c r="DW107" s="514">
        <v>0</v>
      </c>
      <c r="DX107" s="514">
        <v>0</v>
      </c>
      <c r="DY107" s="514">
        <v>0</v>
      </c>
      <c r="DZ107" s="514">
        <v>0</v>
      </c>
      <c r="EA107" s="514">
        <v>0</v>
      </c>
      <c r="EB107" s="514">
        <v>0</v>
      </c>
      <c r="EC107" s="514">
        <v>0</v>
      </c>
      <c r="ED107" s="514">
        <v>0</v>
      </c>
      <c r="EE107" s="514">
        <v>0</v>
      </c>
      <c r="EF107" s="514">
        <v>0</v>
      </c>
      <c r="EG107" s="514">
        <v>0</v>
      </c>
      <c r="EH107" s="514">
        <v>0</v>
      </c>
      <c r="EI107" s="514">
        <v>0</v>
      </c>
      <c r="EJ107" s="514">
        <v>0</v>
      </c>
      <c r="EK107" s="514">
        <v>0</v>
      </c>
      <c r="EL107" s="514">
        <v>0</v>
      </c>
      <c r="EM107" s="514">
        <v>0</v>
      </c>
      <c r="EN107" s="514">
        <v>0</v>
      </c>
      <c r="EO107" s="514">
        <v>0</v>
      </c>
      <c r="EP107" s="514">
        <v>0</v>
      </c>
      <c r="EQ107" s="514">
        <v>0</v>
      </c>
      <c r="ER107" s="514">
        <v>0</v>
      </c>
      <c r="ES107" s="514">
        <v>0</v>
      </c>
      <c r="ET107" s="514">
        <v>0</v>
      </c>
      <c r="EU107" s="514">
        <v>0</v>
      </c>
      <c r="EV107" s="514">
        <v>0</v>
      </c>
      <c r="EW107" s="514">
        <v>0</v>
      </c>
      <c r="EX107" s="514">
        <v>0</v>
      </c>
      <c r="EY107" s="514">
        <v>0</v>
      </c>
      <c r="EZ107" s="514">
        <v>0</v>
      </c>
      <c r="FA107" s="514">
        <v>0</v>
      </c>
      <c r="FB107" s="514">
        <v>0</v>
      </c>
      <c r="FC107" s="514">
        <v>0</v>
      </c>
      <c r="FD107" s="514">
        <v>0</v>
      </c>
      <c r="FE107" s="514">
        <v>0</v>
      </c>
      <c r="FF107" s="514">
        <v>0</v>
      </c>
      <c r="FG107" s="514">
        <v>0</v>
      </c>
      <c r="FH107" s="514">
        <v>0</v>
      </c>
      <c r="FI107" s="514">
        <v>0</v>
      </c>
      <c r="FJ107" s="514">
        <v>0</v>
      </c>
      <c r="FK107" s="514">
        <v>0</v>
      </c>
      <c r="FL107" s="514">
        <v>0</v>
      </c>
      <c r="FM107" s="514">
        <v>0</v>
      </c>
      <c r="FN107" s="514">
        <v>0</v>
      </c>
      <c r="FO107" s="514">
        <v>0</v>
      </c>
      <c r="FP107" s="514">
        <v>0</v>
      </c>
      <c r="FQ107" s="514">
        <v>0</v>
      </c>
    </row>
    <row r="108" spans="1:173" ht="16.5" hidden="1">
      <c r="A108" s="512" t="s">
        <v>658</v>
      </c>
      <c r="B108" s="512" t="s">
        <v>732</v>
      </c>
      <c r="C108" s="512" t="s">
        <v>721</v>
      </c>
      <c r="D108" s="513"/>
      <c r="E108" s="512" t="s">
        <v>721</v>
      </c>
      <c r="F108" s="512" t="s">
        <v>25</v>
      </c>
      <c r="G108" s="513"/>
      <c r="H108" s="514">
        <v>60</v>
      </c>
      <c r="I108" s="298" t="str">
        <f t="shared" si="6"/>
        <v>AOR100160</v>
      </c>
      <c r="J108" s="514">
        <v>3</v>
      </c>
      <c r="L108" s="512" t="s">
        <v>720</v>
      </c>
      <c r="M108" s="512" t="s">
        <v>739</v>
      </c>
      <c r="N108" s="512" t="s">
        <v>721</v>
      </c>
      <c r="O108" s="513"/>
      <c r="P108" s="512" t="s">
        <v>721</v>
      </c>
      <c r="Q108" s="512" t="s">
        <v>25</v>
      </c>
      <c r="R108" s="513"/>
      <c r="S108" s="514">
        <v>37</v>
      </c>
      <c r="T108" s="298" t="str">
        <f t="shared" si="7"/>
        <v>HSGA0137</v>
      </c>
      <c r="U108" s="514">
        <v>7361</v>
      </c>
      <c r="W108" s="512" t="s">
        <v>269</v>
      </c>
      <c r="X108" s="512" t="s">
        <v>843</v>
      </c>
      <c r="Y108" s="512" t="s">
        <v>721</v>
      </c>
      <c r="Z108" s="514">
        <v>10</v>
      </c>
      <c r="AA108" s="512" t="s">
        <v>721</v>
      </c>
      <c r="AB108" s="512" t="s">
        <v>26</v>
      </c>
      <c r="AC108" s="514">
        <v>2</v>
      </c>
      <c r="AD108" s="514">
        <v>63</v>
      </c>
      <c r="AE108" s="298" t="str">
        <f t="shared" si="8"/>
        <v>HNR100263</v>
      </c>
      <c r="AF108" s="514">
        <v>709</v>
      </c>
      <c r="AH108" s="512" t="s">
        <v>721</v>
      </c>
      <c r="AI108" s="512" t="s">
        <v>1030</v>
      </c>
      <c r="AJ108" s="512" t="s">
        <v>721</v>
      </c>
      <c r="AK108" s="513"/>
      <c r="AL108" s="512" t="s">
        <v>721</v>
      </c>
      <c r="AM108" s="512" t="s">
        <v>26</v>
      </c>
      <c r="AN108" s="513"/>
      <c r="AO108" s="514">
        <v>63</v>
      </c>
      <c r="AP108" s="513"/>
      <c r="AQ108" s="298" t="str">
        <f t="shared" si="9"/>
        <v>HOR100263</v>
      </c>
      <c r="AR108" s="514">
        <v>1125</v>
      </c>
      <c r="AT108" s="512" t="s">
        <v>743</v>
      </c>
      <c r="AU108" s="512" t="s">
        <v>744</v>
      </c>
      <c r="AV108" s="512" t="s">
        <v>721</v>
      </c>
      <c r="AW108" s="513"/>
      <c r="AX108" s="512" t="s">
        <v>721</v>
      </c>
      <c r="AY108" s="512" t="s">
        <v>26</v>
      </c>
      <c r="AZ108" s="513"/>
      <c r="BA108" s="514">
        <v>67</v>
      </c>
      <c r="BB108" s="298" t="str">
        <f t="shared" si="10"/>
        <v>CLR100267</v>
      </c>
      <c r="BC108" s="514">
        <v>510</v>
      </c>
      <c r="BF108" s="512" t="s">
        <v>658</v>
      </c>
      <c r="BG108" s="512" t="s">
        <v>732</v>
      </c>
      <c r="BH108" s="512" t="s">
        <v>26</v>
      </c>
      <c r="BI108" s="514">
        <v>63</v>
      </c>
      <c r="BJ108" s="298" t="str">
        <f t="shared" si="11"/>
        <v>AOR100263</v>
      </c>
      <c r="BK108" s="514">
        <v>0</v>
      </c>
      <c r="BL108" s="514">
        <v>2</v>
      </c>
      <c r="BM108" s="514">
        <v>2</v>
      </c>
      <c r="BN108" s="514">
        <v>2</v>
      </c>
      <c r="BO108" s="514">
        <v>2</v>
      </c>
      <c r="BP108" s="514">
        <v>3</v>
      </c>
      <c r="BQ108" s="514">
        <v>4</v>
      </c>
      <c r="BR108" s="514">
        <v>4</v>
      </c>
      <c r="BS108" s="514">
        <v>4</v>
      </c>
      <c r="BT108" s="514">
        <v>0</v>
      </c>
      <c r="BU108" s="514">
        <v>0</v>
      </c>
      <c r="BV108" s="514">
        <v>0</v>
      </c>
      <c r="BW108" s="514">
        <v>0</v>
      </c>
      <c r="BX108" s="514">
        <v>0</v>
      </c>
      <c r="BY108" s="514">
        <v>0</v>
      </c>
      <c r="BZ108" s="514">
        <v>0</v>
      </c>
      <c r="CA108" s="514">
        <v>0</v>
      </c>
      <c r="CB108" s="514">
        <v>0</v>
      </c>
      <c r="CC108" s="514">
        <v>0</v>
      </c>
      <c r="CD108" s="514">
        <v>0</v>
      </c>
      <c r="CE108" s="514">
        <v>0</v>
      </c>
      <c r="CF108" s="514">
        <v>0</v>
      </c>
      <c r="CG108" s="514">
        <v>0</v>
      </c>
      <c r="CH108" s="514">
        <v>0</v>
      </c>
      <c r="CI108" s="514">
        <v>0</v>
      </c>
      <c r="CJ108" s="514">
        <v>0</v>
      </c>
      <c r="CK108" s="514">
        <v>0</v>
      </c>
      <c r="CL108" s="514">
        <v>0</v>
      </c>
      <c r="CM108" s="514">
        <v>0</v>
      </c>
      <c r="CN108" s="514">
        <v>0</v>
      </c>
      <c r="CO108" s="514">
        <v>0</v>
      </c>
      <c r="CP108" s="514">
        <v>0</v>
      </c>
      <c r="CQ108" s="514">
        <v>0</v>
      </c>
      <c r="CR108" s="514">
        <v>0</v>
      </c>
      <c r="CS108" s="514">
        <v>0</v>
      </c>
      <c r="CT108" s="514">
        <v>0</v>
      </c>
      <c r="CU108" s="514">
        <v>0</v>
      </c>
      <c r="CV108" s="514">
        <v>0</v>
      </c>
      <c r="CW108" s="514">
        <v>0</v>
      </c>
      <c r="CX108" s="514">
        <v>0</v>
      </c>
      <c r="CY108" s="514">
        <v>0</v>
      </c>
      <c r="CZ108" s="514">
        <v>0</v>
      </c>
      <c r="DA108" s="514">
        <v>0</v>
      </c>
      <c r="DB108" s="514">
        <v>0</v>
      </c>
      <c r="DC108" s="514">
        <v>0</v>
      </c>
      <c r="DD108" s="514">
        <v>0</v>
      </c>
      <c r="DE108" s="514">
        <v>0</v>
      </c>
      <c r="DF108" s="514">
        <v>0</v>
      </c>
      <c r="DG108" s="514">
        <v>0</v>
      </c>
      <c r="DH108" s="514">
        <v>0</v>
      </c>
      <c r="DI108" s="514">
        <v>0</v>
      </c>
      <c r="DJ108" s="514">
        <v>0</v>
      </c>
      <c r="DK108" s="514">
        <v>0</v>
      </c>
      <c r="DL108" s="514">
        <v>0</v>
      </c>
      <c r="DM108" s="514">
        <v>0</v>
      </c>
      <c r="DN108" s="514">
        <v>0</v>
      </c>
      <c r="DO108" s="514">
        <v>0</v>
      </c>
      <c r="DP108" s="514">
        <v>0</v>
      </c>
      <c r="DQ108" s="514">
        <v>0</v>
      </c>
      <c r="DR108" s="514">
        <v>0</v>
      </c>
      <c r="DS108" s="514">
        <v>0</v>
      </c>
      <c r="DT108" s="514">
        <v>0</v>
      </c>
      <c r="DU108" s="514">
        <v>0</v>
      </c>
      <c r="DV108" s="514">
        <v>0</v>
      </c>
      <c r="DW108" s="514">
        <v>0</v>
      </c>
      <c r="DX108" s="514">
        <v>0</v>
      </c>
      <c r="DY108" s="514">
        <v>0</v>
      </c>
      <c r="DZ108" s="514">
        <v>0</v>
      </c>
      <c r="EA108" s="514">
        <v>0</v>
      </c>
      <c r="EB108" s="514">
        <v>0</v>
      </c>
      <c r="EC108" s="514">
        <v>0</v>
      </c>
      <c r="ED108" s="514">
        <v>0</v>
      </c>
      <c r="EE108" s="514">
        <v>0</v>
      </c>
      <c r="EF108" s="514">
        <v>0</v>
      </c>
      <c r="EG108" s="514">
        <v>0</v>
      </c>
      <c r="EH108" s="514">
        <v>0</v>
      </c>
      <c r="EI108" s="514">
        <v>0</v>
      </c>
      <c r="EJ108" s="514">
        <v>0</v>
      </c>
      <c r="EK108" s="514">
        <v>0</v>
      </c>
      <c r="EL108" s="514">
        <v>0</v>
      </c>
      <c r="EM108" s="514">
        <v>0</v>
      </c>
      <c r="EN108" s="514">
        <v>0</v>
      </c>
      <c r="EO108" s="514">
        <v>0</v>
      </c>
      <c r="EP108" s="514">
        <v>0</v>
      </c>
      <c r="EQ108" s="514">
        <v>0</v>
      </c>
      <c r="ER108" s="514">
        <v>0</v>
      </c>
      <c r="ES108" s="514">
        <v>0</v>
      </c>
      <c r="ET108" s="514">
        <v>0</v>
      </c>
      <c r="EU108" s="514">
        <v>0</v>
      </c>
      <c r="EV108" s="514">
        <v>0</v>
      </c>
      <c r="EW108" s="514">
        <v>0</v>
      </c>
      <c r="EX108" s="514">
        <v>0</v>
      </c>
      <c r="EY108" s="514">
        <v>0</v>
      </c>
      <c r="EZ108" s="514">
        <v>0</v>
      </c>
      <c r="FA108" s="514">
        <v>0</v>
      </c>
      <c r="FB108" s="514">
        <v>0</v>
      </c>
      <c r="FC108" s="514">
        <v>0</v>
      </c>
      <c r="FD108" s="514">
        <v>0</v>
      </c>
      <c r="FE108" s="514">
        <v>0</v>
      </c>
      <c r="FF108" s="514">
        <v>0</v>
      </c>
      <c r="FG108" s="514">
        <v>0</v>
      </c>
      <c r="FH108" s="514">
        <v>0</v>
      </c>
      <c r="FI108" s="514">
        <v>0</v>
      </c>
      <c r="FJ108" s="514">
        <v>0</v>
      </c>
      <c r="FK108" s="514">
        <v>0</v>
      </c>
      <c r="FL108" s="514">
        <v>0</v>
      </c>
      <c r="FM108" s="514">
        <v>0</v>
      </c>
      <c r="FN108" s="514">
        <v>0</v>
      </c>
      <c r="FO108" s="514">
        <v>0</v>
      </c>
      <c r="FP108" s="514">
        <v>0</v>
      </c>
      <c r="FQ108" s="514">
        <v>0</v>
      </c>
    </row>
    <row r="109" spans="1:173" ht="16.5" hidden="1">
      <c r="A109" s="512" t="s">
        <v>658</v>
      </c>
      <c r="B109" s="512" t="s">
        <v>732</v>
      </c>
      <c r="C109" s="512" t="s">
        <v>721</v>
      </c>
      <c r="D109" s="513"/>
      <c r="E109" s="512" t="s">
        <v>721</v>
      </c>
      <c r="F109" s="512" t="s">
        <v>25</v>
      </c>
      <c r="G109" s="513"/>
      <c r="H109" s="514">
        <v>61</v>
      </c>
      <c r="I109" s="298" t="str">
        <f t="shared" si="6"/>
        <v>AOR100161</v>
      </c>
      <c r="J109" s="514">
        <v>3</v>
      </c>
      <c r="L109" s="512" t="s">
        <v>720</v>
      </c>
      <c r="M109" s="512" t="s">
        <v>739</v>
      </c>
      <c r="N109" s="512" t="s">
        <v>721</v>
      </c>
      <c r="O109" s="513"/>
      <c r="P109" s="512" t="s">
        <v>721</v>
      </c>
      <c r="Q109" s="512" t="s">
        <v>25</v>
      </c>
      <c r="R109" s="513"/>
      <c r="S109" s="514">
        <v>38</v>
      </c>
      <c r="T109" s="298" t="str">
        <f t="shared" si="7"/>
        <v>HSGA0138</v>
      </c>
      <c r="U109" s="514">
        <v>7698</v>
      </c>
      <c r="W109" s="512" t="s">
        <v>269</v>
      </c>
      <c r="X109" s="512" t="s">
        <v>843</v>
      </c>
      <c r="Y109" s="512" t="s">
        <v>721</v>
      </c>
      <c r="Z109" s="514">
        <v>10</v>
      </c>
      <c r="AA109" s="512" t="s">
        <v>721</v>
      </c>
      <c r="AB109" s="512" t="s">
        <v>26</v>
      </c>
      <c r="AC109" s="514">
        <v>3</v>
      </c>
      <c r="AD109" s="514">
        <v>64</v>
      </c>
      <c r="AE109" s="298" t="str">
        <f t="shared" si="8"/>
        <v>HNR100264</v>
      </c>
      <c r="AF109" s="514">
        <v>747</v>
      </c>
      <c r="AH109" s="512" t="s">
        <v>721</v>
      </c>
      <c r="AI109" s="512" t="s">
        <v>1030</v>
      </c>
      <c r="AJ109" s="512" t="s">
        <v>721</v>
      </c>
      <c r="AK109" s="513"/>
      <c r="AL109" s="512" t="s">
        <v>721</v>
      </c>
      <c r="AM109" s="512" t="s">
        <v>26</v>
      </c>
      <c r="AN109" s="513"/>
      <c r="AO109" s="514">
        <v>64</v>
      </c>
      <c r="AP109" s="513"/>
      <c r="AQ109" s="298" t="str">
        <f t="shared" si="9"/>
        <v>HOR100264</v>
      </c>
      <c r="AR109" s="514">
        <v>1175</v>
      </c>
      <c r="AT109" s="512" t="s">
        <v>743</v>
      </c>
      <c r="AU109" s="512" t="s">
        <v>744</v>
      </c>
      <c r="AV109" s="512" t="s">
        <v>721</v>
      </c>
      <c r="AW109" s="513"/>
      <c r="AX109" s="512" t="s">
        <v>721</v>
      </c>
      <c r="AY109" s="512" t="s">
        <v>25</v>
      </c>
      <c r="AZ109" s="513"/>
      <c r="BA109" s="514">
        <v>68</v>
      </c>
      <c r="BB109" s="298" t="str">
        <f t="shared" si="10"/>
        <v>CLR100168</v>
      </c>
      <c r="BC109" s="514">
        <v>698</v>
      </c>
      <c r="BF109" s="512" t="s">
        <v>658</v>
      </c>
      <c r="BG109" s="512" t="s">
        <v>732</v>
      </c>
      <c r="BH109" s="512" t="s">
        <v>26</v>
      </c>
      <c r="BI109" s="514">
        <v>64</v>
      </c>
      <c r="BJ109" s="298" t="str">
        <f t="shared" si="11"/>
        <v>AOR100264</v>
      </c>
      <c r="BK109" s="514">
        <v>1</v>
      </c>
      <c r="BL109" s="514">
        <v>2</v>
      </c>
      <c r="BM109" s="514">
        <v>2</v>
      </c>
      <c r="BN109" s="514">
        <v>2</v>
      </c>
      <c r="BO109" s="514">
        <v>3</v>
      </c>
      <c r="BP109" s="514">
        <v>4</v>
      </c>
      <c r="BQ109" s="514">
        <v>3</v>
      </c>
      <c r="BR109" s="514">
        <v>4</v>
      </c>
      <c r="BS109" s="514">
        <v>4</v>
      </c>
      <c r="BT109" s="514">
        <v>0</v>
      </c>
      <c r="BU109" s="514">
        <v>0</v>
      </c>
      <c r="BV109" s="514">
        <v>0</v>
      </c>
      <c r="BW109" s="514">
        <v>0</v>
      </c>
      <c r="BX109" s="514">
        <v>0</v>
      </c>
      <c r="BY109" s="514">
        <v>0</v>
      </c>
      <c r="BZ109" s="514">
        <v>0</v>
      </c>
      <c r="CA109" s="514">
        <v>0</v>
      </c>
      <c r="CB109" s="514">
        <v>0</v>
      </c>
      <c r="CC109" s="514">
        <v>0</v>
      </c>
      <c r="CD109" s="514">
        <v>0</v>
      </c>
      <c r="CE109" s="514">
        <v>0</v>
      </c>
      <c r="CF109" s="514">
        <v>0</v>
      </c>
      <c r="CG109" s="514">
        <v>0</v>
      </c>
      <c r="CH109" s="514">
        <v>0</v>
      </c>
      <c r="CI109" s="514">
        <v>0</v>
      </c>
      <c r="CJ109" s="514">
        <v>0</v>
      </c>
      <c r="CK109" s="514">
        <v>0</v>
      </c>
      <c r="CL109" s="514">
        <v>0</v>
      </c>
      <c r="CM109" s="514">
        <v>0</v>
      </c>
      <c r="CN109" s="514">
        <v>0</v>
      </c>
      <c r="CO109" s="514">
        <v>0</v>
      </c>
      <c r="CP109" s="514">
        <v>0</v>
      </c>
      <c r="CQ109" s="514">
        <v>0</v>
      </c>
      <c r="CR109" s="514">
        <v>0</v>
      </c>
      <c r="CS109" s="514">
        <v>0</v>
      </c>
      <c r="CT109" s="514">
        <v>0</v>
      </c>
      <c r="CU109" s="514">
        <v>0</v>
      </c>
      <c r="CV109" s="514">
        <v>0</v>
      </c>
      <c r="CW109" s="514">
        <v>0</v>
      </c>
      <c r="CX109" s="514">
        <v>0</v>
      </c>
      <c r="CY109" s="514">
        <v>0</v>
      </c>
      <c r="CZ109" s="514">
        <v>0</v>
      </c>
      <c r="DA109" s="514">
        <v>0</v>
      </c>
      <c r="DB109" s="514">
        <v>0</v>
      </c>
      <c r="DC109" s="514">
        <v>0</v>
      </c>
      <c r="DD109" s="514">
        <v>0</v>
      </c>
      <c r="DE109" s="514">
        <v>0</v>
      </c>
      <c r="DF109" s="514">
        <v>0</v>
      </c>
      <c r="DG109" s="514">
        <v>0</v>
      </c>
      <c r="DH109" s="514">
        <v>0</v>
      </c>
      <c r="DI109" s="514">
        <v>0</v>
      </c>
      <c r="DJ109" s="514">
        <v>0</v>
      </c>
      <c r="DK109" s="514">
        <v>0</v>
      </c>
      <c r="DL109" s="514">
        <v>0</v>
      </c>
      <c r="DM109" s="514">
        <v>0</v>
      </c>
      <c r="DN109" s="514">
        <v>0</v>
      </c>
      <c r="DO109" s="514">
        <v>0</v>
      </c>
      <c r="DP109" s="514">
        <v>0</v>
      </c>
      <c r="DQ109" s="514">
        <v>0</v>
      </c>
      <c r="DR109" s="514">
        <v>0</v>
      </c>
      <c r="DS109" s="514">
        <v>0</v>
      </c>
      <c r="DT109" s="514">
        <v>0</v>
      </c>
      <c r="DU109" s="514">
        <v>0</v>
      </c>
      <c r="DV109" s="514">
        <v>0</v>
      </c>
      <c r="DW109" s="514">
        <v>0</v>
      </c>
      <c r="DX109" s="514">
        <v>0</v>
      </c>
      <c r="DY109" s="514">
        <v>0</v>
      </c>
      <c r="DZ109" s="514">
        <v>0</v>
      </c>
      <c r="EA109" s="514">
        <v>0</v>
      </c>
      <c r="EB109" s="514">
        <v>0</v>
      </c>
      <c r="EC109" s="514">
        <v>0</v>
      </c>
      <c r="ED109" s="514">
        <v>0</v>
      </c>
      <c r="EE109" s="514">
        <v>0</v>
      </c>
      <c r="EF109" s="514">
        <v>0</v>
      </c>
      <c r="EG109" s="514">
        <v>0</v>
      </c>
      <c r="EH109" s="514">
        <v>0</v>
      </c>
      <c r="EI109" s="514">
        <v>0</v>
      </c>
      <c r="EJ109" s="514">
        <v>0</v>
      </c>
      <c r="EK109" s="514">
        <v>0</v>
      </c>
      <c r="EL109" s="514">
        <v>0</v>
      </c>
      <c r="EM109" s="514">
        <v>0</v>
      </c>
      <c r="EN109" s="514">
        <v>0</v>
      </c>
      <c r="EO109" s="514">
        <v>0</v>
      </c>
      <c r="EP109" s="514">
        <v>0</v>
      </c>
      <c r="EQ109" s="514">
        <v>0</v>
      </c>
      <c r="ER109" s="514">
        <v>0</v>
      </c>
      <c r="ES109" s="514">
        <v>0</v>
      </c>
      <c r="ET109" s="514">
        <v>0</v>
      </c>
      <c r="EU109" s="514">
        <v>0</v>
      </c>
      <c r="EV109" s="514">
        <v>0</v>
      </c>
      <c r="EW109" s="514">
        <v>0</v>
      </c>
      <c r="EX109" s="514">
        <v>0</v>
      </c>
      <c r="EY109" s="514">
        <v>0</v>
      </c>
      <c r="EZ109" s="514">
        <v>0</v>
      </c>
      <c r="FA109" s="514">
        <v>0</v>
      </c>
      <c r="FB109" s="514">
        <v>0</v>
      </c>
      <c r="FC109" s="514">
        <v>0</v>
      </c>
      <c r="FD109" s="514">
        <v>0</v>
      </c>
      <c r="FE109" s="514">
        <v>0</v>
      </c>
      <c r="FF109" s="514">
        <v>0</v>
      </c>
      <c r="FG109" s="514">
        <v>0</v>
      </c>
      <c r="FH109" s="514">
        <v>0</v>
      </c>
      <c r="FI109" s="514">
        <v>0</v>
      </c>
      <c r="FJ109" s="514">
        <v>0</v>
      </c>
      <c r="FK109" s="514">
        <v>0</v>
      </c>
      <c r="FL109" s="514">
        <v>0</v>
      </c>
      <c r="FM109" s="514">
        <v>0</v>
      </c>
      <c r="FN109" s="514">
        <v>0</v>
      </c>
      <c r="FO109" s="514">
        <v>0</v>
      </c>
      <c r="FP109" s="514">
        <v>0</v>
      </c>
      <c r="FQ109" s="514">
        <v>0</v>
      </c>
    </row>
    <row r="110" spans="1:173" ht="16.5" hidden="1">
      <c r="A110" s="512" t="s">
        <v>658</v>
      </c>
      <c r="B110" s="512" t="s">
        <v>732</v>
      </c>
      <c r="C110" s="512" t="s">
        <v>721</v>
      </c>
      <c r="D110" s="513"/>
      <c r="E110" s="512" t="s">
        <v>721</v>
      </c>
      <c r="F110" s="512" t="s">
        <v>25</v>
      </c>
      <c r="G110" s="513"/>
      <c r="H110" s="514">
        <v>62</v>
      </c>
      <c r="I110" s="298" t="str">
        <f t="shared" si="6"/>
        <v>AOR100162</v>
      </c>
      <c r="J110" s="514">
        <v>3</v>
      </c>
      <c r="L110" s="512" t="s">
        <v>720</v>
      </c>
      <c r="M110" s="512" t="s">
        <v>739</v>
      </c>
      <c r="N110" s="512" t="s">
        <v>721</v>
      </c>
      <c r="O110" s="513"/>
      <c r="P110" s="512" t="s">
        <v>721</v>
      </c>
      <c r="Q110" s="512" t="s">
        <v>25</v>
      </c>
      <c r="R110" s="513"/>
      <c r="S110" s="514">
        <v>39</v>
      </c>
      <c r="T110" s="298" t="str">
        <f t="shared" si="7"/>
        <v>HSGA0139</v>
      </c>
      <c r="U110" s="514">
        <v>8050</v>
      </c>
      <c r="W110" s="512" t="s">
        <v>269</v>
      </c>
      <c r="X110" s="512" t="s">
        <v>843</v>
      </c>
      <c r="Y110" s="512" t="s">
        <v>721</v>
      </c>
      <c r="Z110" s="514">
        <v>10</v>
      </c>
      <c r="AA110" s="512" t="s">
        <v>721</v>
      </c>
      <c r="AB110" s="512" t="s">
        <v>26</v>
      </c>
      <c r="AC110" s="514">
        <v>4</v>
      </c>
      <c r="AD110" s="514">
        <v>65</v>
      </c>
      <c r="AE110" s="298" t="str">
        <f t="shared" si="8"/>
        <v>HNR100265</v>
      </c>
      <c r="AF110" s="514">
        <v>787</v>
      </c>
      <c r="AH110" s="512" t="s">
        <v>721</v>
      </c>
      <c r="AI110" s="512" t="s">
        <v>1030</v>
      </c>
      <c r="AJ110" s="512" t="s">
        <v>721</v>
      </c>
      <c r="AK110" s="513"/>
      <c r="AL110" s="512" t="s">
        <v>721</v>
      </c>
      <c r="AM110" s="512" t="s">
        <v>26</v>
      </c>
      <c r="AN110" s="513"/>
      <c r="AO110" s="514">
        <v>65</v>
      </c>
      <c r="AP110" s="513"/>
      <c r="AQ110" s="298" t="str">
        <f t="shared" si="9"/>
        <v>HOR100265</v>
      </c>
      <c r="AR110" s="514">
        <v>1230</v>
      </c>
      <c r="AT110" s="512" t="s">
        <v>743</v>
      </c>
      <c r="AU110" s="512" t="s">
        <v>744</v>
      </c>
      <c r="AV110" s="512" t="s">
        <v>721</v>
      </c>
      <c r="AW110" s="513"/>
      <c r="AX110" s="512" t="s">
        <v>721</v>
      </c>
      <c r="AY110" s="512" t="s">
        <v>26</v>
      </c>
      <c r="AZ110" s="513"/>
      <c r="BA110" s="514">
        <v>68</v>
      </c>
      <c r="BB110" s="298" t="str">
        <f t="shared" si="10"/>
        <v>CLR100268</v>
      </c>
      <c r="BC110" s="514">
        <v>509</v>
      </c>
      <c r="BF110" s="512" t="s">
        <v>658</v>
      </c>
      <c r="BG110" s="512" t="s">
        <v>732</v>
      </c>
      <c r="BH110" s="512" t="s">
        <v>26</v>
      </c>
      <c r="BI110" s="514">
        <v>65</v>
      </c>
      <c r="BJ110" s="298" t="str">
        <f t="shared" si="11"/>
        <v>AOR100265</v>
      </c>
      <c r="BK110" s="514">
        <v>1</v>
      </c>
      <c r="BL110" s="514">
        <v>2</v>
      </c>
      <c r="BM110" s="514">
        <v>2</v>
      </c>
      <c r="BN110" s="514">
        <v>3</v>
      </c>
      <c r="BO110" s="514">
        <v>3</v>
      </c>
      <c r="BP110" s="514">
        <v>4</v>
      </c>
      <c r="BQ110" s="514">
        <v>3</v>
      </c>
      <c r="BR110" s="514">
        <v>3</v>
      </c>
      <c r="BS110" s="514">
        <v>4</v>
      </c>
      <c r="BT110" s="514">
        <v>0</v>
      </c>
      <c r="BU110" s="514">
        <v>0</v>
      </c>
      <c r="BV110" s="514">
        <v>0</v>
      </c>
      <c r="BW110" s="514">
        <v>0</v>
      </c>
      <c r="BX110" s="514">
        <v>0</v>
      </c>
      <c r="BY110" s="514">
        <v>0</v>
      </c>
      <c r="BZ110" s="514">
        <v>0</v>
      </c>
      <c r="CA110" s="514">
        <v>0</v>
      </c>
      <c r="CB110" s="514">
        <v>0</v>
      </c>
      <c r="CC110" s="514">
        <v>0</v>
      </c>
      <c r="CD110" s="514">
        <v>0</v>
      </c>
      <c r="CE110" s="514">
        <v>0</v>
      </c>
      <c r="CF110" s="514">
        <v>0</v>
      </c>
      <c r="CG110" s="514">
        <v>0</v>
      </c>
      <c r="CH110" s="514">
        <v>0</v>
      </c>
      <c r="CI110" s="514">
        <v>0</v>
      </c>
      <c r="CJ110" s="514">
        <v>0</v>
      </c>
      <c r="CK110" s="514">
        <v>0</v>
      </c>
      <c r="CL110" s="514">
        <v>0</v>
      </c>
      <c r="CM110" s="514">
        <v>0</v>
      </c>
      <c r="CN110" s="514">
        <v>0</v>
      </c>
      <c r="CO110" s="514">
        <v>0</v>
      </c>
      <c r="CP110" s="514">
        <v>0</v>
      </c>
      <c r="CQ110" s="514">
        <v>0</v>
      </c>
      <c r="CR110" s="514">
        <v>0</v>
      </c>
      <c r="CS110" s="514">
        <v>0</v>
      </c>
      <c r="CT110" s="514">
        <v>0</v>
      </c>
      <c r="CU110" s="514">
        <v>0</v>
      </c>
      <c r="CV110" s="514">
        <v>0</v>
      </c>
      <c r="CW110" s="514">
        <v>0</v>
      </c>
      <c r="CX110" s="514">
        <v>0</v>
      </c>
      <c r="CY110" s="514">
        <v>0</v>
      </c>
      <c r="CZ110" s="514">
        <v>0</v>
      </c>
      <c r="DA110" s="514">
        <v>0</v>
      </c>
      <c r="DB110" s="514">
        <v>0</v>
      </c>
      <c r="DC110" s="514">
        <v>0</v>
      </c>
      <c r="DD110" s="514">
        <v>0</v>
      </c>
      <c r="DE110" s="514">
        <v>0</v>
      </c>
      <c r="DF110" s="514">
        <v>0</v>
      </c>
      <c r="DG110" s="514">
        <v>0</v>
      </c>
      <c r="DH110" s="514">
        <v>0</v>
      </c>
      <c r="DI110" s="514">
        <v>0</v>
      </c>
      <c r="DJ110" s="514">
        <v>0</v>
      </c>
      <c r="DK110" s="514">
        <v>0</v>
      </c>
      <c r="DL110" s="514">
        <v>0</v>
      </c>
      <c r="DM110" s="514">
        <v>0</v>
      </c>
      <c r="DN110" s="514">
        <v>0</v>
      </c>
      <c r="DO110" s="514">
        <v>0</v>
      </c>
      <c r="DP110" s="514">
        <v>0</v>
      </c>
      <c r="DQ110" s="514">
        <v>0</v>
      </c>
      <c r="DR110" s="514">
        <v>0</v>
      </c>
      <c r="DS110" s="514">
        <v>0</v>
      </c>
      <c r="DT110" s="514">
        <v>0</v>
      </c>
      <c r="DU110" s="514">
        <v>0</v>
      </c>
      <c r="DV110" s="514">
        <v>0</v>
      </c>
      <c r="DW110" s="514">
        <v>0</v>
      </c>
      <c r="DX110" s="514">
        <v>0</v>
      </c>
      <c r="DY110" s="514">
        <v>0</v>
      </c>
      <c r="DZ110" s="514">
        <v>0</v>
      </c>
      <c r="EA110" s="514">
        <v>0</v>
      </c>
      <c r="EB110" s="514">
        <v>0</v>
      </c>
      <c r="EC110" s="514">
        <v>0</v>
      </c>
      <c r="ED110" s="514">
        <v>0</v>
      </c>
      <c r="EE110" s="514">
        <v>0</v>
      </c>
      <c r="EF110" s="514">
        <v>0</v>
      </c>
      <c r="EG110" s="514">
        <v>0</v>
      </c>
      <c r="EH110" s="514">
        <v>0</v>
      </c>
      <c r="EI110" s="514">
        <v>0</v>
      </c>
      <c r="EJ110" s="514">
        <v>0</v>
      </c>
      <c r="EK110" s="514">
        <v>0</v>
      </c>
      <c r="EL110" s="514">
        <v>0</v>
      </c>
      <c r="EM110" s="514">
        <v>0</v>
      </c>
      <c r="EN110" s="514">
        <v>0</v>
      </c>
      <c r="EO110" s="514">
        <v>0</v>
      </c>
      <c r="EP110" s="514">
        <v>0</v>
      </c>
      <c r="EQ110" s="514">
        <v>0</v>
      </c>
      <c r="ER110" s="514">
        <v>0</v>
      </c>
      <c r="ES110" s="514">
        <v>0</v>
      </c>
      <c r="ET110" s="514">
        <v>0</v>
      </c>
      <c r="EU110" s="514">
        <v>0</v>
      </c>
      <c r="EV110" s="514">
        <v>0</v>
      </c>
      <c r="EW110" s="514">
        <v>0</v>
      </c>
      <c r="EX110" s="514">
        <v>0</v>
      </c>
      <c r="EY110" s="514">
        <v>0</v>
      </c>
      <c r="EZ110" s="514">
        <v>0</v>
      </c>
      <c r="FA110" s="514">
        <v>0</v>
      </c>
      <c r="FB110" s="514">
        <v>0</v>
      </c>
      <c r="FC110" s="514">
        <v>0</v>
      </c>
      <c r="FD110" s="514">
        <v>0</v>
      </c>
      <c r="FE110" s="514">
        <v>0</v>
      </c>
      <c r="FF110" s="514">
        <v>0</v>
      </c>
      <c r="FG110" s="514">
        <v>0</v>
      </c>
      <c r="FH110" s="514">
        <v>0</v>
      </c>
      <c r="FI110" s="514">
        <v>0</v>
      </c>
      <c r="FJ110" s="514">
        <v>0</v>
      </c>
      <c r="FK110" s="514">
        <v>0</v>
      </c>
      <c r="FL110" s="514">
        <v>0</v>
      </c>
      <c r="FM110" s="514">
        <v>0</v>
      </c>
      <c r="FN110" s="514">
        <v>0</v>
      </c>
      <c r="FO110" s="514">
        <v>0</v>
      </c>
      <c r="FP110" s="514">
        <v>0</v>
      </c>
      <c r="FQ110" s="514">
        <v>0</v>
      </c>
    </row>
    <row r="111" spans="1:173" ht="16.5" hidden="1">
      <c r="A111" s="512" t="s">
        <v>658</v>
      </c>
      <c r="B111" s="512" t="s">
        <v>732</v>
      </c>
      <c r="C111" s="512" t="s">
        <v>721</v>
      </c>
      <c r="D111" s="513"/>
      <c r="E111" s="512" t="s">
        <v>721</v>
      </c>
      <c r="F111" s="512" t="s">
        <v>25</v>
      </c>
      <c r="G111" s="513"/>
      <c r="H111" s="514">
        <v>63</v>
      </c>
      <c r="I111" s="298" t="str">
        <f t="shared" si="6"/>
        <v>AOR100163</v>
      </c>
      <c r="J111" s="514">
        <v>3</v>
      </c>
      <c r="L111" s="512" t="s">
        <v>720</v>
      </c>
      <c r="M111" s="512" t="s">
        <v>739</v>
      </c>
      <c r="N111" s="512" t="s">
        <v>721</v>
      </c>
      <c r="O111" s="513"/>
      <c r="P111" s="512" t="s">
        <v>721</v>
      </c>
      <c r="Q111" s="512" t="s">
        <v>25</v>
      </c>
      <c r="R111" s="513"/>
      <c r="S111" s="514">
        <v>40</v>
      </c>
      <c r="T111" s="298" t="str">
        <f t="shared" si="7"/>
        <v>HSGA0140</v>
      </c>
      <c r="U111" s="514">
        <v>8417</v>
      </c>
      <c r="W111" s="512" t="s">
        <v>269</v>
      </c>
      <c r="X111" s="512" t="s">
        <v>843</v>
      </c>
      <c r="Y111" s="512" t="s">
        <v>721</v>
      </c>
      <c r="Z111" s="514">
        <v>10</v>
      </c>
      <c r="AA111" s="512" t="s">
        <v>721</v>
      </c>
      <c r="AB111" s="512" t="s">
        <v>26</v>
      </c>
      <c r="AC111" s="514">
        <v>5</v>
      </c>
      <c r="AD111" s="514">
        <v>66</v>
      </c>
      <c r="AE111" s="298" t="str">
        <f t="shared" si="8"/>
        <v>HNR100266</v>
      </c>
      <c r="AF111" s="514">
        <v>835</v>
      </c>
      <c r="AH111" s="512" t="s">
        <v>721</v>
      </c>
      <c r="AI111" s="512" t="s">
        <v>1030</v>
      </c>
      <c r="AJ111" s="512" t="s">
        <v>721</v>
      </c>
      <c r="AK111" s="513"/>
      <c r="AL111" s="512" t="s">
        <v>721</v>
      </c>
      <c r="AM111" s="512" t="s">
        <v>26</v>
      </c>
      <c r="AN111" s="513"/>
      <c r="AO111" s="514">
        <v>66</v>
      </c>
      <c r="AP111" s="513"/>
      <c r="AQ111" s="298" t="str">
        <f t="shared" si="9"/>
        <v>HOR100266</v>
      </c>
      <c r="AR111" s="514">
        <v>1285</v>
      </c>
      <c r="AT111" s="512" t="s">
        <v>743</v>
      </c>
      <c r="AU111" s="512" t="s">
        <v>744</v>
      </c>
      <c r="AV111" s="512" t="s">
        <v>721</v>
      </c>
      <c r="AW111" s="513"/>
      <c r="AX111" s="512" t="s">
        <v>721</v>
      </c>
      <c r="AY111" s="512" t="s">
        <v>25</v>
      </c>
      <c r="AZ111" s="513"/>
      <c r="BA111" s="514">
        <v>69</v>
      </c>
      <c r="BB111" s="298" t="str">
        <f t="shared" si="10"/>
        <v>CLR100169</v>
      </c>
      <c r="BC111" s="514">
        <v>707</v>
      </c>
      <c r="BF111" s="512" t="s">
        <v>658</v>
      </c>
      <c r="BG111" s="512" t="s">
        <v>732</v>
      </c>
      <c r="BH111" s="512" t="s">
        <v>26</v>
      </c>
      <c r="BI111" s="514">
        <v>66</v>
      </c>
      <c r="BJ111" s="298" t="str">
        <f t="shared" si="11"/>
        <v>AOR100266</v>
      </c>
      <c r="BK111" s="514">
        <v>1</v>
      </c>
      <c r="BL111" s="514">
        <v>2</v>
      </c>
      <c r="BM111" s="514">
        <v>2</v>
      </c>
      <c r="BN111" s="514">
        <v>3</v>
      </c>
      <c r="BO111" s="514">
        <v>3</v>
      </c>
      <c r="BP111" s="514">
        <v>3</v>
      </c>
      <c r="BQ111" s="514">
        <v>3</v>
      </c>
      <c r="BR111" s="514">
        <v>3</v>
      </c>
      <c r="BS111" s="514">
        <v>4</v>
      </c>
      <c r="BT111" s="514">
        <v>0</v>
      </c>
      <c r="BU111" s="514">
        <v>0</v>
      </c>
      <c r="BV111" s="514">
        <v>0</v>
      </c>
      <c r="BW111" s="514">
        <v>0</v>
      </c>
      <c r="BX111" s="514">
        <v>0</v>
      </c>
      <c r="BY111" s="514">
        <v>0</v>
      </c>
      <c r="BZ111" s="514">
        <v>0</v>
      </c>
      <c r="CA111" s="514">
        <v>0</v>
      </c>
      <c r="CB111" s="514">
        <v>0</v>
      </c>
      <c r="CC111" s="514">
        <v>0</v>
      </c>
      <c r="CD111" s="514">
        <v>0</v>
      </c>
      <c r="CE111" s="514">
        <v>0</v>
      </c>
      <c r="CF111" s="514">
        <v>0</v>
      </c>
      <c r="CG111" s="514">
        <v>0</v>
      </c>
      <c r="CH111" s="514">
        <v>0</v>
      </c>
      <c r="CI111" s="514">
        <v>0</v>
      </c>
      <c r="CJ111" s="514">
        <v>0</v>
      </c>
      <c r="CK111" s="514">
        <v>0</v>
      </c>
      <c r="CL111" s="514">
        <v>0</v>
      </c>
      <c r="CM111" s="514">
        <v>0</v>
      </c>
      <c r="CN111" s="514">
        <v>0</v>
      </c>
      <c r="CO111" s="514">
        <v>0</v>
      </c>
      <c r="CP111" s="514">
        <v>0</v>
      </c>
      <c r="CQ111" s="514">
        <v>0</v>
      </c>
      <c r="CR111" s="514">
        <v>0</v>
      </c>
      <c r="CS111" s="514">
        <v>0</v>
      </c>
      <c r="CT111" s="514">
        <v>0</v>
      </c>
      <c r="CU111" s="514">
        <v>0</v>
      </c>
      <c r="CV111" s="514">
        <v>0</v>
      </c>
      <c r="CW111" s="514">
        <v>0</v>
      </c>
      <c r="CX111" s="514">
        <v>0</v>
      </c>
      <c r="CY111" s="514">
        <v>0</v>
      </c>
      <c r="CZ111" s="514">
        <v>0</v>
      </c>
      <c r="DA111" s="514">
        <v>0</v>
      </c>
      <c r="DB111" s="514">
        <v>0</v>
      </c>
      <c r="DC111" s="514">
        <v>0</v>
      </c>
      <c r="DD111" s="514">
        <v>0</v>
      </c>
      <c r="DE111" s="514">
        <v>0</v>
      </c>
      <c r="DF111" s="514">
        <v>0</v>
      </c>
      <c r="DG111" s="514">
        <v>0</v>
      </c>
      <c r="DH111" s="514">
        <v>0</v>
      </c>
      <c r="DI111" s="514">
        <v>0</v>
      </c>
      <c r="DJ111" s="514">
        <v>0</v>
      </c>
      <c r="DK111" s="514">
        <v>0</v>
      </c>
      <c r="DL111" s="514">
        <v>0</v>
      </c>
      <c r="DM111" s="514">
        <v>0</v>
      </c>
      <c r="DN111" s="514">
        <v>0</v>
      </c>
      <c r="DO111" s="514">
        <v>0</v>
      </c>
      <c r="DP111" s="514">
        <v>0</v>
      </c>
      <c r="DQ111" s="514">
        <v>0</v>
      </c>
      <c r="DR111" s="514">
        <v>0</v>
      </c>
      <c r="DS111" s="514">
        <v>0</v>
      </c>
      <c r="DT111" s="514">
        <v>0</v>
      </c>
      <c r="DU111" s="514">
        <v>0</v>
      </c>
      <c r="DV111" s="514">
        <v>0</v>
      </c>
      <c r="DW111" s="514">
        <v>0</v>
      </c>
      <c r="DX111" s="514">
        <v>0</v>
      </c>
      <c r="DY111" s="514">
        <v>0</v>
      </c>
      <c r="DZ111" s="514">
        <v>0</v>
      </c>
      <c r="EA111" s="514">
        <v>0</v>
      </c>
      <c r="EB111" s="514">
        <v>0</v>
      </c>
      <c r="EC111" s="514">
        <v>0</v>
      </c>
      <c r="ED111" s="514">
        <v>0</v>
      </c>
      <c r="EE111" s="514">
        <v>0</v>
      </c>
      <c r="EF111" s="514">
        <v>0</v>
      </c>
      <c r="EG111" s="514">
        <v>0</v>
      </c>
      <c r="EH111" s="514">
        <v>0</v>
      </c>
      <c r="EI111" s="514">
        <v>0</v>
      </c>
      <c r="EJ111" s="514">
        <v>0</v>
      </c>
      <c r="EK111" s="514">
        <v>0</v>
      </c>
      <c r="EL111" s="514">
        <v>0</v>
      </c>
      <c r="EM111" s="514">
        <v>0</v>
      </c>
      <c r="EN111" s="514">
        <v>0</v>
      </c>
      <c r="EO111" s="514">
        <v>0</v>
      </c>
      <c r="EP111" s="514">
        <v>0</v>
      </c>
      <c r="EQ111" s="514">
        <v>0</v>
      </c>
      <c r="ER111" s="514">
        <v>0</v>
      </c>
      <c r="ES111" s="514">
        <v>0</v>
      </c>
      <c r="ET111" s="514">
        <v>0</v>
      </c>
      <c r="EU111" s="514">
        <v>0</v>
      </c>
      <c r="EV111" s="514">
        <v>0</v>
      </c>
      <c r="EW111" s="514">
        <v>0</v>
      </c>
      <c r="EX111" s="514">
        <v>0</v>
      </c>
      <c r="EY111" s="514">
        <v>0</v>
      </c>
      <c r="EZ111" s="514">
        <v>0</v>
      </c>
      <c r="FA111" s="514">
        <v>0</v>
      </c>
      <c r="FB111" s="514">
        <v>0</v>
      </c>
      <c r="FC111" s="514">
        <v>0</v>
      </c>
      <c r="FD111" s="514">
        <v>0</v>
      </c>
      <c r="FE111" s="514">
        <v>0</v>
      </c>
      <c r="FF111" s="514">
        <v>0</v>
      </c>
      <c r="FG111" s="514">
        <v>0</v>
      </c>
      <c r="FH111" s="514">
        <v>0</v>
      </c>
      <c r="FI111" s="514">
        <v>0</v>
      </c>
      <c r="FJ111" s="514">
        <v>0</v>
      </c>
      <c r="FK111" s="514">
        <v>0</v>
      </c>
      <c r="FL111" s="514">
        <v>0</v>
      </c>
      <c r="FM111" s="514">
        <v>0</v>
      </c>
      <c r="FN111" s="514">
        <v>0</v>
      </c>
      <c r="FO111" s="514">
        <v>0</v>
      </c>
      <c r="FP111" s="514">
        <v>0</v>
      </c>
      <c r="FQ111" s="514">
        <v>0</v>
      </c>
    </row>
    <row r="112" spans="1:173" ht="16.5" hidden="1">
      <c r="A112" s="512" t="s">
        <v>658</v>
      </c>
      <c r="B112" s="512" t="s">
        <v>732</v>
      </c>
      <c r="C112" s="512" t="s">
        <v>721</v>
      </c>
      <c r="D112" s="513"/>
      <c r="E112" s="512" t="s">
        <v>721</v>
      </c>
      <c r="F112" s="512" t="s">
        <v>25</v>
      </c>
      <c r="G112" s="513"/>
      <c r="H112" s="514">
        <v>64</v>
      </c>
      <c r="I112" s="298" t="str">
        <f t="shared" si="6"/>
        <v>AOR100164</v>
      </c>
      <c r="J112" s="514">
        <v>3</v>
      </c>
      <c r="L112" s="512" t="s">
        <v>720</v>
      </c>
      <c r="M112" s="512" t="s">
        <v>739</v>
      </c>
      <c r="N112" s="512" t="s">
        <v>721</v>
      </c>
      <c r="O112" s="513"/>
      <c r="P112" s="512" t="s">
        <v>721</v>
      </c>
      <c r="Q112" s="512" t="s">
        <v>25</v>
      </c>
      <c r="R112" s="513"/>
      <c r="S112" s="514">
        <v>41</v>
      </c>
      <c r="T112" s="298" t="str">
        <f t="shared" si="7"/>
        <v>HSGA0141</v>
      </c>
      <c r="U112" s="514">
        <v>8801</v>
      </c>
      <c r="W112" s="512" t="s">
        <v>269</v>
      </c>
      <c r="X112" s="512" t="s">
        <v>843</v>
      </c>
      <c r="Y112" s="512" t="s">
        <v>721</v>
      </c>
      <c r="Z112" s="514">
        <v>10</v>
      </c>
      <c r="AA112" s="512" t="s">
        <v>721</v>
      </c>
      <c r="AB112" s="512" t="s">
        <v>26</v>
      </c>
      <c r="AC112" s="514">
        <v>6</v>
      </c>
      <c r="AD112" s="514">
        <v>67</v>
      </c>
      <c r="AE112" s="298" t="str">
        <f t="shared" si="8"/>
        <v>HNR100267</v>
      </c>
      <c r="AF112" s="514">
        <v>886</v>
      </c>
      <c r="AH112" s="512" t="s">
        <v>721</v>
      </c>
      <c r="AI112" s="512" t="s">
        <v>1030</v>
      </c>
      <c r="AJ112" s="512" t="s">
        <v>721</v>
      </c>
      <c r="AK112" s="513"/>
      <c r="AL112" s="512" t="s">
        <v>721</v>
      </c>
      <c r="AM112" s="512" t="s">
        <v>26</v>
      </c>
      <c r="AN112" s="513"/>
      <c r="AO112" s="514">
        <v>67</v>
      </c>
      <c r="AP112" s="513"/>
      <c r="AQ112" s="298" t="str">
        <f t="shared" si="9"/>
        <v>HOR100267</v>
      </c>
      <c r="AR112" s="514">
        <v>1340</v>
      </c>
      <c r="AT112" s="512" t="s">
        <v>743</v>
      </c>
      <c r="AU112" s="512" t="s">
        <v>744</v>
      </c>
      <c r="AV112" s="512" t="s">
        <v>721</v>
      </c>
      <c r="AW112" s="513"/>
      <c r="AX112" s="512" t="s">
        <v>721</v>
      </c>
      <c r="AY112" s="512" t="s">
        <v>26</v>
      </c>
      <c r="AZ112" s="513"/>
      <c r="BA112" s="514">
        <v>69</v>
      </c>
      <c r="BB112" s="298" t="str">
        <f t="shared" si="10"/>
        <v>CLR100269</v>
      </c>
      <c r="BC112" s="514">
        <v>507</v>
      </c>
      <c r="BF112" s="512" t="s">
        <v>658</v>
      </c>
      <c r="BG112" s="512" t="s">
        <v>732</v>
      </c>
      <c r="BH112" s="512" t="s">
        <v>26</v>
      </c>
      <c r="BI112" s="514">
        <v>67</v>
      </c>
      <c r="BJ112" s="298" t="str">
        <f t="shared" si="11"/>
        <v>AOR100267</v>
      </c>
      <c r="BK112" s="514">
        <v>1</v>
      </c>
      <c r="BL112" s="514">
        <v>2</v>
      </c>
      <c r="BM112" s="514">
        <v>3</v>
      </c>
      <c r="BN112" s="514">
        <v>4</v>
      </c>
      <c r="BO112" s="514">
        <v>3</v>
      </c>
      <c r="BP112" s="514">
        <v>4</v>
      </c>
      <c r="BQ112" s="514">
        <v>3</v>
      </c>
      <c r="BR112" s="514">
        <v>5</v>
      </c>
      <c r="BS112" s="514">
        <v>5</v>
      </c>
      <c r="BT112" s="514">
        <v>0</v>
      </c>
      <c r="BU112" s="514">
        <v>0</v>
      </c>
      <c r="BV112" s="514">
        <v>0</v>
      </c>
      <c r="BW112" s="514">
        <v>0</v>
      </c>
      <c r="BX112" s="514">
        <v>0</v>
      </c>
      <c r="BY112" s="514">
        <v>0</v>
      </c>
      <c r="BZ112" s="514">
        <v>0</v>
      </c>
      <c r="CA112" s="514">
        <v>0</v>
      </c>
      <c r="CB112" s="514">
        <v>0</v>
      </c>
      <c r="CC112" s="514">
        <v>0</v>
      </c>
      <c r="CD112" s="514">
        <v>0</v>
      </c>
      <c r="CE112" s="514">
        <v>0</v>
      </c>
      <c r="CF112" s="514">
        <v>0</v>
      </c>
      <c r="CG112" s="514">
        <v>0</v>
      </c>
      <c r="CH112" s="514">
        <v>0</v>
      </c>
      <c r="CI112" s="514">
        <v>0</v>
      </c>
      <c r="CJ112" s="514">
        <v>0</v>
      </c>
      <c r="CK112" s="514">
        <v>0</v>
      </c>
      <c r="CL112" s="514">
        <v>0</v>
      </c>
      <c r="CM112" s="514">
        <v>0</v>
      </c>
      <c r="CN112" s="514">
        <v>0</v>
      </c>
      <c r="CO112" s="514">
        <v>0</v>
      </c>
      <c r="CP112" s="514">
        <v>0</v>
      </c>
      <c r="CQ112" s="514">
        <v>0</v>
      </c>
      <c r="CR112" s="514">
        <v>0</v>
      </c>
      <c r="CS112" s="514">
        <v>0</v>
      </c>
      <c r="CT112" s="514">
        <v>0</v>
      </c>
      <c r="CU112" s="514">
        <v>0</v>
      </c>
      <c r="CV112" s="514">
        <v>0</v>
      </c>
      <c r="CW112" s="514">
        <v>0</v>
      </c>
      <c r="CX112" s="514">
        <v>0</v>
      </c>
      <c r="CY112" s="514">
        <v>0</v>
      </c>
      <c r="CZ112" s="514">
        <v>0</v>
      </c>
      <c r="DA112" s="514">
        <v>0</v>
      </c>
      <c r="DB112" s="514">
        <v>0</v>
      </c>
      <c r="DC112" s="514">
        <v>0</v>
      </c>
      <c r="DD112" s="514">
        <v>0</v>
      </c>
      <c r="DE112" s="514">
        <v>0</v>
      </c>
      <c r="DF112" s="514">
        <v>0</v>
      </c>
      <c r="DG112" s="514">
        <v>0</v>
      </c>
      <c r="DH112" s="514">
        <v>0</v>
      </c>
      <c r="DI112" s="514">
        <v>0</v>
      </c>
      <c r="DJ112" s="514">
        <v>0</v>
      </c>
      <c r="DK112" s="514">
        <v>0</v>
      </c>
      <c r="DL112" s="514">
        <v>0</v>
      </c>
      <c r="DM112" s="514">
        <v>0</v>
      </c>
      <c r="DN112" s="514">
        <v>0</v>
      </c>
      <c r="DO112" s="514">
        <v>0</v>
      </c>
      <c r="DP112" s="514">
        <v>0</v>
      </c>
      <c r="DQ112" s="514">
        <v>0</v>
      </c>
      <c r="DR112" s="514">
        <v>0</v>
      </c>
      <c r="DS112" s="514">
        <v>0</v>
      </c>
      <c r="DT112" s="514">
        <v>0</v>
      </c>
      <c r="DU112" s="514">
        <v>0</v>
      </c>
      <c r="DV112" s="514">
        <v>0</v>
      </c>
      <c r="DW112" s="514">
        <v>0</v>
      </c>
      <c r="DX112" s="514">
        <v>0</v>
      </c>
      <c r="DY112" s="514">
        <v>0</v>
      </c>
      <c r="DZ112" s="514">
        <v>0</v>
      </c>
      <c r="EA112" s="514">
        <v>0</v>
      </c>
      <c r="EB112" s="514">
        <v>0</v>
      </c>
      <c r="EC112" s="514">
        <v>0</v>
      </c>
      <c r="ED112" s="514">
        <v>0</v>
      </c>
      <c r="EE112" s="514">
        <v>0</v>
      </c>
      <c r="EF112" s="514">
        <v>0</v>
      </c>
      <c r="EG112" s="514">
        <v>0</v>
      </c>
      <c r="EH112" s="514">
        <v>0</v>
      </c>
      <c r="EI112" s="514">
        <v>0</v>
      </c>
      <c r="EJ112" s="514">
        <v>0</v>
      </c>
      <c r="EK112" s="514">
        <v>0</v>
      </c>
      <c r="EL112" s="514">
        <v>0</v>
      </c>
      <c r="EM112" s="514">
        <v>0</v>
      </c>
      <c r="EN112" s="514">
        <v>0</v>
      </c>
      <c r="EO112" s="514">
        <v>0</v>
      </c>
      <c r="EP112" s="514">
        <v>0</v>
      </c>
      <c r="EQ112" s="514">
        <v>0</v>
      </c>
      <c r="ER112" s="514">
        <v>0</v>
      </c>
      <c r="ES112" s="514">
        <v>0</v>
      </c>
      <c r="ET112" s="514">
        <v>0</v>
      </c>
      <c r="EU112" s="514">
        <v>0</v>
      </c>
      <c r="EV112" s="514">
        <v>0</v>
      </c>
      <c r="EW112" s="514">
        <v>0</v>
      </c>
      <c r="EX112" s="514">
        <v>0</v>
      </c>
      <c r="EY112" s="514">
        <v>0</v>
      </c>
      <c r="EZ112" s="514">
        <v>0</v>
      </c>
      <c r="FA112" s="514">
        <v>0</v>
      </c>
      <c r="FB112" s="514">
        <v>0</v>
      </c>
      <c r="FC112" s="514">
        <v>0</v>
      </c>
      <c r="FD112" s="514">
        <v>0</v>
      </c>
      <c r="FE112" s="514">
        <v>0</v>
      </c>
      <c r="FF112" s="514">
        <v>0</v>
      </c>
      <c r="FG112" s="514">
        <v>0</v>
      </c>
      <c r="FH112" s="514">
        <v>0</v>
      </c>
      <c r="FI112" s="514">
        <v>0</v>
      </c>
      <c r="FJ112" s="514">
        <v>0</v>
      </c>
      <c r="FK112" s="514">
        <v>0</v>
      </c>
      <c r="FL112" s="514">
        <v>0</v>
      </c>
      <c r="FM112" s="514">
        <v>0</v>
      </c>
      <c r="FN112" s="514">
        <v>0</v>
      </c>
      <c r="FO112" s="514">
        <v>0</v>
      </c>
      <c r="FP112" s="514">
        <v>0</v>
      </c>
      <c r="FQ112" s="514">
        <v>0</v>
      </c>
    </row>
    <row r="113" spans="1:173" ht="16.5" hidden="1">
      <c r="A113" s="512" t="s">
        <v>658</v>
      </c>
      <c r="B113" s="512" t="s">
        <v>732</v>
      </c>
      <c r="C113" s="512" t="s">
        <v>721</v>
      </c>
      <c r="D113" s="513"/>
      <c r="E113" s="512" t="s">
        <v>721</v>
      </c>
      <c r="F113" s="512" t="s">
        <v>25</v>
      </c>
      <c r="G113" s="513"/>
      <c r="H113" s="514">
        <v>65</v>
      </c>
      <c r="I113" s="298" t="str">
        <f t="shared" si="6"/>
        <v>AOR100165</v>
      </c>
      <c r="J113" s="514">
        <v>3</v>
      </c>
      <c r="L113" s="512" t="s">
        <v>720</v>
      </c>
      <c r="M113" s="512" t="s">
        <v>739</v>
      </c>
      <c r="N113" s="512" t="s">
        <v>721</v>
      </c>
      <c r="O113" s="513"/>
      <c r="P113" s="512" t="s">
        <v>721</v>
      </c>
      <c r="Q113" s="512" t="s">
        <v>25</v>
      </c>
      <c r="R113" s="513"/>
      <c r="S113" s="514">
        <v>42</v>
      </c>
      <c r="T113" s="298" t="str">
        <f t="shared" si="7"/>
        <v>HSGA0142</v>
      </c>
      <c r="U113" s="514">
        <v>9200</v>
      </c>
      <c r="W113" s="512" t="s">
        <v>269</v>
      </c>
      <c r="X113" s="512" t="s">
        <v>843</v>
      </c>
      <c r="Y113" s="512" t="s">
        <v>721</v>
      </c>
      <c r="Z113" s="514">
        <v>10</v>
      </c>
      <c r="AA113" s="512" t="s">
        <v>721</v>
      </c>
      <c r="AB113" s="512" t="s">
        <v>26</v>
      </c>
      <c r="AC113" s="514">
        <v>7</v>
      </c>
      <c r="AD113" s="514">
        <v>68</v>
      </c>
      <c r="AE113" s="298" t="str">
        <f t="shared" si="8"/>
        <v>HNR100268</v>
      </c>
      <c r="AF113" s="514">
        <v>940</v>
      </c>
      <c r="AH113" s="512" t="s">
        <v>721</v>
      </c>
      <c r="AI113" s="512" t="s">
        <v>1030</v>
      </c>
      <c r="AJ113" s="512" t="s">
        <v>721</v>
      </c>
      <c r="AK113" s="513"/>
      <c r="AL113" s="512" t="s">
        <v>721</v>
      </c>
      <c r="AM113" s="512" t="s">
        <v>26</v>
      </c>
      <c r="AN113" s="513"/>
      <c r="AO113" s="514">
        <v>68</v>
      </c>
      <c r="AP113" s="513"/>
      <c r="AQ113" s="298" t="str">
        <f t="shared" si="9"/>
        <v>HOR100268</v>
      </c>
      <c r="AR113" s="514">
        <v>1400</v>
      </c>
      <c r="AT113" s="512" t="s">
        <v>743</v>
      </c>
      <c r="AU113" s="512" t="s">
        <v>744</v>
      </c>
      <c r="AV113" s="512" t="s">
        <v>721</v>
      </c>
      <c r="AW113" s="513"/>
      <c r="AX113" s="512" t="s">
        <v>721</v>
      </c>
      <c r="AY113" s="512" t="s">
        <v>25</v>
      </c>
      <c r="AZ113" s="513"/>
      <c r="BA113" s="514">
        <v>70</v>
      </c>
      <c r="BB113" s="298" t="str">
        <f t="shared" si="10"/>
        <v>CLR100170</v>
      </c>
      <c r="BC113" s="514">
        <v>712</v>
      </c>
      <c r="BF113" s="512" t="s">
        <v>658</v>
      </c>
      <c r="BG113" s="512" t="s">
        <v>732</v>
      </c>
      <c r="BH113" s="512" t="s">
        <v>26</v>
      </c>
      <c r="BI113" s="514">
        <v>68</v>
      </c>
      <c r="BJ113" s="298" t="str">
        <f t="shared" si="11"/>
        <v>AOR100268</v>
      </c>
      <c r="BK113" s="514">
        <v>2</v>
      </c>
      <c r="BL113" s="514">
        <v>2</v>
      </c>
      <c r="BM113" s="514">
        <v>3</v>
      </c>
      <c r="BN113" s="514">
        <v>3</v>
      </c>
      <c r="BO113" s="514">
        <v>4</v>
      </c>
      <c r="BP113" s="514">
        <v>3</v>
      </c>
      <c r="BQ113" s="514">
        <v>4</v>
      </c>
      <c r="BR113" s="514">
        <v>5</v>
      </c>
      <c r="BS113" s="514">
        <v>5</v>
      </c>
      <c r="BT113" s="514">
        <v>0</v>
      </c>
      <c r="BU113" s="514">
        <v>0</v>
      </c>
      <c r="BV113" s="514">
        <v>0</v>
      </c>
      <c r="BW113" s="514">
        <v>0</v>
      </c>
      <c r="BX113" s="514">
        <v>0</v>
      </c>
      <c r="BY113" s="514">
        <v>0</v>
      </c>
      <c r="BZ113" s="514">
        <v>0</v>
      </c>
      <c r="CA113" s="514">
        <v>0</v>
      </c>
      <c r="CB113" s="514">
        <v>0</v>
      </c>
      <c r="CC113" s="514">
        <v>0</v>
      </c>
      <c r="CD113" s="514">
        <v>0</v>
      </c>
      <c r="CE113" s="514">
        <v>0</v>
      </c>
      <c r="CF113" s="514">
        <v>0</v>
      </c>
      <c r="CG113" s="514">
        <v>0</v>
      </c>
      <c r="CH113" s="514">
        <v>0</v>
      </c>
      <c r="CI113" s="514">
        <v>0</v>
      </c>
      <c r="CJ113" s="514">
        <v>0</v>
      </c>
      <c r="CK113" s="514">
        <v>0</v>
      </c>
      <c r="CL113" s="514">
        <v>0</v>
      </c>
      <c r="CM113" s="514">
        <v>0</v>
      </c>
      <c r="CN113" s="514">
        <v>0</v>
      </c>
      <c r="CO113" s="514">
        <v>0</v>
      </c>
      <c r="CP113" s="514">
        <v>0</v>
      </c>
      <c r="CQ113" s="514">
        <v>0</v>
      </c>
      <c r="CR113" s="514">
        <v>0</v>
      </c>
      <c r="CS113" s="514">
        <v>0</v>
      </c>
      <c r="CT113" s="514">
        <v>0</v>
      </c>
      <c r="CU113" s="514">
        <v>0</v>
      </c>
      <c r="CV113" s="514">
        <v>0</v>
      </c>
      <c r="CW113" s="514">
        <v>0</v>
      </c>
      <c r="CX113" s="514">
        <v>0</v>
      </c>
      <c r="CY113" s="514">
        <v>0</v>
      </c>
      <c r="CZ113" s="514">
        <v>0</v>
      </c>
      <c r="DA113" s="514">
        <v>0</v>
      </c>
      <c r="DB113" s="514">
        <v>0</v>
      </c>
      <c r="DC113" s="514">
        <v>0</v>
      </c>
      <c r="DD113" s="514">
        <v>0</v>
      </c>
      <c r="DE113" s="514">
        <v>0</v>
      </c>
      <c r="DF113" s="514">
        <v>0</v>
      </c>
      <c r="DG113" s="514">
        <v>0</v>
      </c>
      <c r="DH113" s="514">
        <v>0</v>
      </c>
      <c r="DI113" s="514">
        <v>0</v>
      </c>
      <c r="DJ113" s="514">
        <v>0</v>
      </c>
      <c r="DK113" s="514">
        <v>0</v>
      </c>
      <c r="DL113" s="514">
        <v>0</v>
      </c>
      <c r="DM113" s="514">
        <v>0</v>
      </c>
      <c r="DN113" s="514">
        <v>0</v>
      </c>
      <c r="DO113" s="514">
        <v>0</v>
      </c>
      <c r="DP113" s="514">
        <v>0</v>
      </c>
      <c r="DQ113" s="514">
        <v>0</v>
      </c>
      <c r="DR113" s="514">
        <v>0</v>
      </c>
      <c r="DS113" s="514">
        <v>0</v>
      </c>
      <c r="DT113" s="514">
        <v>0</v>
      </c>
      <c r="DU113" s="514">
        <v>0</v>
      </c>
      <c r="DV113" s="514">
        <v>0</v>
      </c>
      <c r="DW113" s="514">
        <v>0</v>
      </c>
      <c r="DX113" s="514">
        <v>0</v>
      </c>
      <c r="DY113" s="514">
        <v>0</v>
      </c>
      <c r="DZ113" s="514">
        <v>0</v>
      </c>
      <c r="EA113" s="514">
        <v>0</v>
      </c>
      <c r="EB113" s="514">
        <v>0</v>
      </c>
      <c r="EC113" s="514">
        <v>0</v>
      </c>
      <c r="ED113" s="514">
        <v>0</v>
      </c>
      <c r="EE113" s="514">
        <v>0</v>
      </c>
      <c r="EF113" s="514">
        <v>0</v>
      </c>
      <c r="EG113" s="514">
        <v>0</v>
      </c>
      <c r="EH113" s="514">
        <v>0</v>
      </c>
      <c r="EI113" s="514">
        <v>0</v>
      </c>
      <c r="EJ113" s="514">
        <v>0</v>
      </c>
      <c r="EK113" s="514">
        <v>0</v>
      </c>
      <c r="EL113" s="514">
        <v>0</v>
      </c>
      <c r="EM113" s="514">
        <v>0</v>
      </c>
      <c r="EN113" s="514">
        <v>0</v>
      </c>
      <c r="EO113" s="514">
        <v>0</v>
      </c>
      <c r="EP113" s="514">
        <v>0</v>
      </c>
      <c r="EQ113" s="514">
        <v>0</v>
      </c>
      <c r="ER113" s="514">
        <v>0</v>
      </c>
      <c r="ES113" s="514">
        <v>0</v>
      </c>
      <c r="ET113" s="514">
        <v>0</v>
      </c>
      <c r="EU113" s="514">
        <v>0</v>
      </c>
      <c r="EV113" s="514">
        <v>0</v>
      </c>
      <c r="EW113" s="514">
        <v>0</v>
      </c>
      <c r="EX113" s="514">
        <v>0</v>
      </c>
      <c r="EY113" s="514">
        <v>0</v>
      </c>
      <c r="EZ113" s="514">
        <v>0</v>
      </c>
      <c r="FA113" s="514">
        <v>0</v>
      </c>
      <c r="FB113" s="514">
        <v>0</v>
      </c>
      <c r="FC113" s="514">
        <v>0</v>
      </c>
      <c r="FD113" s="514">
        <v>0</v>
      </c>
      <c r="FE113" s="514">
        <v>0</v>
      </c>
      <c r="FF113" s="514">
        <v>0</v>
      </c>
      <c r="FG113" s="514">
        <v>0</v>
      </c>
      <c r="FH113" s="514">
        <v>0</v>
      </c>
      <c r="FI113" s="514">
        <v>0</v>
      </c>
      <c r="FJ113" s="514">
        <v>0</v>
      </c>
      <c r="FK113" s="514">
        <v>0</v>
      </c>
      <c r="FL113" s="514">
        <v>0</v>
      </c>
      <c r="FM113" s="514">
        <v>0</v>
      </c>
      <c r="FN113" s="514">
        <v>0</v>
      </c>
      <c r="FO113" s="514">
        <v>0</v>
      </c>
      <c r="FP113" s="514">
        <v>0</v>
      </c>
      <c r="FQ113" s="514">
        <v>0</v>
      </c>
    </row>
    <row r="114" spans="1:173" ht="16.5" hidden="1">
      <c r="A114" s="512" t="s">
        <v>658</v>
      </c>
      <c r="B114" s="512" t="s">
        <v>732</v>
      </c>
      <c r="C114" s="512" t="s">
        <v>721</v>
      </c>
      <c r="D114" s="513"/>
      <c r="E114" s="512" t="s">
        <v>721</v>
      </c>
      <c r="F114" s="512" t="s">
        <v>25</v>
      </c>
      <c r="G114" s="513"/>
      <c r="H114" s="514">
        <v>66</v>
      </c>
      <c r="I114" s="298" t="str">
        <f t="shared" si="6"/>
        <v>AOR100166</v>
      </c>
      <c r="J114" s="514">
        <v>3</v>
      </c>
      <c r="L114" s="512" t="s">
        <v>720</v>
      </c>
      <c r="M114" s="512" t="s">
        <v>739</v>
      </c>
      <c r="N114" s="512" t="s">
        <v>721</v>
      </c>
      <c r="O114" s="513"/>
      <c r="P114" s="512" t="s">
        <v>721</v>
      </c>
      <c r="Q114" s="512" t="s">
        <v>25</v>
      </c>
      <c r="R114" s="513"/>
      <c r="S114" s="514">
        <v>43</v>
      </c>
      <c r="T114" s="298" t="str">
        <f t="shared" si="7"/>
        <v>HSGA0143</v>
      </c>
      <c r="U114" s="514">
        <v>9616</v>
      </c>
      <c r="W114" s="512" t="s">
        <v>269</v>
      </c>
      <c r="X114" s="512" t="s">
        <v>843</v>
      </c>
      <c r="Y114" s="512" t="s">
        <v>721</v>
      </c>
      <c r="Z114" s="514">
        <v>10</v>
      </c>
      <c r="AA114" s="512" t="s">
        <v>721</v>
      </c>
      <c r="AB114" s="512" t="s">
        <v>26</v>
      </c>
      <c r="AC114" s="514">
        <v>8</v>
      </c>
      <c r="AD114" s="514">
        <v>69</v>
      </c>
      <c r="AE114" s="298" t="str">
        <f t="shared" si="8"/>
        <v>HNR100269</v>
      </c>
      <c r="AF114" s="514">
        <v>998</v>
      </c>
      <c r="AH114" s="512" t="s">
        <v>721</v>
      </c>
      <c r="AI114" s="512" t="s">
        <v>1030</v>
      </c>
      <c r="AJ114" s="512" t="s">
        <v>721</v>
      </c>
      <c r="AK114" s="513"/>
      <c r="AL114" s="512" t="s">
        <v>721</v>
      </c>
      <c r="AM114" s="512" t="s">
        <v>26</v>
      </c>
      <c r="AN114" s="513"/>
      <c r="AO114" s="514">
        <v>69</v>
      </c>
      <c r="AP114" s="513"/>
      <c r="AQ114" s="298" t="str">
        <f t="shared" si="9"/>
        <v>HOR100269</v>
      </c>
      <c r="AR114" s="514">
        <v>1460</v>
      </c>
      <c r="AT114" s="512" t="s">
        <v>743</v>
      </c>
      <c r="AU114" s="512" t="s">
        <v>744</v>
      </c>
      <c r="AV114" s="512" t="s">
        <v>721</v>
      </c>
      <c r="AW114" s="513"/>
      <c r="AX114" s="512" t="s">
        <v>721</v>
      </c>
      <c r="AY114" s="512" t="s">
        <v>26</v>
      </c>
      <c r="AZ114" s="513"/>
      <c r="BA114" s="514">
        <v>70</v>
      </c>
      <c r="BB114" s="298" t="str">
        <f t="shared" si="10"/>
        <v>CLR100270</v>
      </c>
      <c r="BC114" s="514">
        <v>502</v>
      </c>
      <c r="BF114" s="512" t="s">
        <v>658</v>
      </c>
      <c r="BG114" s="512" t="s">
        <v>732</v>
      </c>
      <c r="BH114" s="512" t="s">
        <v>26</v>
      </c>
      <c r="BI114" s="514">
        <v>69</v>
      </c>
      <c r="BJ114" s="298" t="str">
        <f t="shared" si="11"/>
        <v>AOR100269</v>
      </c>
      <c r="BK114" s="514">
        <v>2</v>
      </c>
      <c r="BL114" s="514">
        <v>2</v>
      </c>
      <c r="BM114" s="514">
        <v>2</v>
      </c>
      <c r="BN114" s="514">
        <v>2</v>
      </c>
      <c r="BO114" s="514">
        <v>3</v>
      </c>
      <c r="BP114" s="514">
        <v>4</v>
      </c>
      <c r="BQ114" s="514">
        <v>5</v>
      </c>
      <c r="BR114" s="514">
        <v>5</v>
      </c>
      <c r="BS114" s="514">
        <v>5</v>
      </c>
      <c r="BT114" s="514">
        <v>0</v>
      </c>
      <c r="BU114" s="514">
        <v>0</v>
      </c>
      <c r="BV114" s="514">
        <v>0</v>
      </c>
      <c r="BW114" s="514">
        <v>0</v>
      </c>
      <c r="BX114" s="514">
        <v>0</v>
      </c>
      <c r="BY114" s="514">
        <v>0</v>
      </c>
      <c r="BZ114" s="514">
        <v>0</v>
      </c>
      <c r="CA114" s="514">
        <v>0</v>
      </c>
      <c r="CB114" s="514">
        <v>0</v>
      </c>
      <c r="CC114" s="514">
        <v>0</v>
      </c>
      <c r="CD114" s="514">
        <v>0</v>
      </c>
      <c r="CE114" s="514">
        <v>0</v>
      </c>
      <c r="CF114" s="514">
        <v>0</v>
      </c>
      <c r="CG114" s="514">
        <v>0</v>
      </c>
      <c r="CH114" s="514">
        <v>0</v>
      </c>
      <c r="CI114" s="514">
        <v>0</v>
      </c>
      <c r="CJ114" s="514">
        <v>0</v>
      </c>
      <c r="CK114" s="514">
        <v>0</v>
      </c>
      <c r="CL114" s="514">
        <v>0</v>
      </c>
      <c r="CM114" s="514">
        <v>0</v>
      </c>
      <c r="CN114" s="514">
        <v>0</v>
      </c>
      <c r="CO114" s="514">
        <v>0</v>
      </c>
      <c r="CP114" s="514">
        <v>0</v>
      </c>
      <c r="CQ114" s="514">
        <v>0</v>
      </c>
      <c r="CR114" s="514">
        <v>0</v>
      </c>
      <c r="CS114" s="514">
        <v>0</v>
      </c>
      <c r="CT114" s="514">
        <v>0</v>
      </c>
      <c r="CU114" s="514">
        <v>0</v>
      </c>
      <c r="CV114" s="514">
        <v>0</v>
      </c>
      <c r="CW114" s="514">
        <v>0</v>
      </c>
      <c r="CX114" s="514">
        <v>0</v>
      </c>
      <c r="CY114" s="514">
        <v>0</v>
      </c>
      <c r="CZ114" s="514">
        <v>0</v>
      </c>
      <c r="DA114" s="514">
        <v>0</v>
      </c>
      <c r="DB114" s="514">
        <v>0</v>
      </c>
      <c r="DC114" s="514">
        <v>0</v>
      </c>
      <c r="DD114" s="514">
        <v>0</v>
      </c>
      <c r="DE114" s="514">
        <v>0</v>
      </c>
      <c r="DF114" s="514">
        <v>0</v>
      </c>
      <c r="DG114" s="514">
        <v>0</v>
      </c>
      <c r="DH114" s="514">
        <v>0</v>
      </c>
      <c r="DI114" s="514">
        <v>0</v>
      </c>
      <c r="DJ114" s="514">
        <v>0</v>
      </c>
      <c r="DK114" s="514">
        <v>0</v>
      </c>
      <c r="DL114" s="514">
        <v>0</v>
      </c>
      <c r="DM114" s="514">
        <v>0</v>
      </c>
      <c r="DN114" s="514">
        <v>0</v>
      </c>
      <c r="DO114" s="514">
        <v>0</v>
      </c>
      <c r="DP114" s="514">
        <v>0</v>
      </c>
      <c r="DQ114" s="514">
        <v>0</v>
      </c>
      <c r="DR114" s="514">
        <v>0</v>
      </c>
      <c r="DS114" s="514">
        <v>0</v>
      </c>
      <c r="DT114" s="514">
        <v>0</v>
      </c>
      <c r="DU114" s="514">
        <v>0</v>
      </c>
      <c r="DV114" s="514">
        <v>0</v>
      </c>
      <c r="DW114" s="514">
        <v>0</v>
      </c>
      <c r="DX114" s="514">
        <v>0</v>
      </c>
      <c r="DY114" s="514">
        <v>0</v>
      </c>
      <c r="DZ114" s="514">
        <v>0</v>
      </c>
      <c r="EA114" s="514">
        <v>0</v>
      </c>
      <c r="EB114" s="514">
        <v>0</v>
      </c>
      <c r="EC114" s="514">
        <v>0</v>
      </c>
      <c r="ED114" s="514">
        <v>0</v>
      </c>
      <c r="EE114" s="514">
        <v>0</v>
      </c>
      <c r="EF114" s="514">
        <v>0</v>
      </c>
      <c r="EG114" s="514">
        <v>0</v>
      </c>
      <c r="EH114" s="514">
        <v>0</v>
      </c>
      <c r="EI114" s="514">
        <v>0</v>
      </c>
      <c r="EJ114" s="514">
        <v>0</v>
      </c>
      <c r="EK114" s="514">
        <v>0</v>
      </c>
      <c r="EL114" s="514">
        <v>0</v>
      </c>
      <c r="EM114" s="514">
        <v>0</v>
      </c>
      <c r="EN114" s="514">
        <v>0</v>
      </c>
      <c r="EO114" s="514">
        <v>0</v>
      </c>
      <c r="EP114" s="514">
        <v>0</v>
      </c>
      <c r="EQ114" s="514">
        <v>0</v>
      </c>
      <c r="ER114" s="514">
        <v>0</v>
      </c>
      <c r="ES114" s="514">
        <v>0</v>
      </c>
      <c r="ET114" s="514">
        <v>0</v>
      </c>
      <c r="EU114" s="514">
        <v>0</v>
      </c>
      <c r="EV114" s="514">
        <v>0</v>
      </c>
      <c r="EW114" s="514">
        <v>0</v>
      </c>
      <c r="EX114" s="514">
        <v>0</v>
      </c>
      <c r="EY114" s="514">
        <v>0</v>
      </c>
      <c r="EZ114" s="514">
        <v>0</v>
      </c>
      <c r="FA114" s="514">
        <v>0</v>
      </c>
      <c r="FB114" s="514">
        <v>0</v>
      </c>
      <c r="FC114" s="514">
        <v>0</v>
      </c>
      <c r="FD114" s="514">
        <v>0</v>
      </c>
      <c r="FE114" s="514">
        <v>0</v>
      </c>
      <c r="FF114" s="514">
        <v>0</v>
      </c>
      <c r="FG114" s="514">
        <v>0</v>
      </c>
      <c r="FH114" s="514">
        <v>0</v>
      </c>
      <c r="FI114" s="514">
        <v>0</v>
      </c>
      <c r="FJ114" s="514">
        <v>0</v>
      </c>
      <c r="FK114" s="514">
        <v>0</v>
      </c>
      <c r="FL114" s="514">
        <v>0</v>
      </c>
      <c r="FM114" s="514">
        <v>0</v>
      </c>
      <c r="FN114" s="514">
        <v>0</v>
      </c>
      <c r="FO114" s="514">
        <v>0</v>
      </c>
      <c r="FP114" s="514">
        <v>0</v>
      </c>
      <c r="FQ114" s="514">
        <v>0</v>
      </c>
    </row>
    <row r="115" spans="1:173" ht="16.5" hidden="1">
      <c r="A115" s="512" t="s">
        <v>658</v>
      </c>
      <c r="B115" s="512" t="s">
        <v>732</v>
      </c>
      <c r="C115" s="512" t="s">
        <v>721</v>
      </c>
      <c r="D115" s="513"/>
      <c r="E115" s="512" t="s">
        <v>721</v>
      </c>
      <c r="F115" s="512" t="s">
        <v>25</v>
      </c>
      <c r="G115" s="513"/>
      <c r="H115" s="514">
        <v>67</v>
      </c>
      <c r="I115" s="298" t="str">
        <f t="shared" si="6"/>
        <v>AOR100167</v>
      </c>
      <c r="J115" s="514">
        <v>5</v>
      </c>
      <c r="L115" s="512" t="s">
        <v>720</v>
      </c>
      <c r="M115" s="512" t="s">
        <v>739</v>
      </c>
      <c r="N115" s="512" t="s">
        <v>721</v>
      </c>
      <c r="O115" s="513"/>
      <c r="P115" s="512" t="s">
        <v>721</v>
      </c>
      <c r="Q115" s="512" t="s">
        <v>25</v>
      </c>
      <c r="R115" s="513"/>
      <c r="S115" s="514">
        <v>44</v>
      </c>
      <c r="T115" s="298" t="str">
        <f t="shared" si="7"/>
        <v>HSGA0144</v>
      </c>
      <c r="U115" s="514">
        <v>10040</v>
      </c>
      <c r="W115" s="512" t="s">
        <v>269</v>
      </c>
      <c r="X115" s="512" t="s">
        <v>843</v>
      </c>
      <c r="Y115" s="512" t="s">
        <v>721</v>
      </c>
      <c r="Z115" s="514">
        <v>10</v>
      </c>
      <c r="AA115" s="512" t="s">
        <v>721</v>
      </c>
      <c r="AB115" s="512" t="s">
        <v>26</v>
      </c>
      <c r="AC115" s="514">
        <v>9</v>
      </c>
      <c r="AD115" s="514">
        <v>70</v>
      </c>
      <c r="AE115" s="298" t="str">
        <f t="shared" si="8"/>
        <v>HNR100270</v>
      </c>
      <c r="AF115" s="514">
        <v>1058</v>
      </c>
      <c r="AH115" s="512" t="s">
        <v>721</v>
      </c>
      <c r="AI115" s="512" t="s">
        <v>1030</v>
      </c>
      <c r="AJ115" s="512" t="s">
        <v>721</v>
      </c>
      <c r="AK115" s="513"/>
      <c r="AL115" s="512" t="s">
        <v>721</v>
      </c>
      <c r="AM115" s="512" t="s">
        <v>26</v>
      </c>
      <c r="AN115" s="513"/>
      <c r="AO115" s="514">
        <v>70</v>
      </c>
      <c r="AP115" s="513"/>
      <c r="AQ115" s="298" t="str">
        <f t="shared" si="9"/>
        <v>HOR100270</v>
      </c>
      <c r="AR115" s="514">
        <v>1530</v>
      </c>
      <c r="AT115" s="512" t="s">
        <v>743</v>
      </c>
      <c r="AU115" s="512" t="s">
        <v>744</v>
      </c>
      <c r="AV115" s="512" t="s">
        <v>721</v>
      </c>
      <c r="AW115" s="513"/>
      <c r="AX115" s="512" t="s">
        <v>721</v>
      </c>
      <c r="AY115" s="512" t="s">
        <v>25</v>
      </c>
      <c r="AZ115" s="513"/>
      <c r="BA115" s="514">
        <v>71</v>
      </c>
      <c r="BB115" s="298" t="str">
        <f t="shared" si="10"/>
        <v>CLR100171</v>
      </c>
      <c r="BC115" s="514">
        <v>719</v>
      </c>
      <c r="BF115" s="512" t="s">
        <v>658</v>
      </c>
      <c r="BG115" s="512" t="s">
        <v>732</v>
      </c>
      <c r="BH115" s="512" t="s">
        <v>26</v>
      </c>
      <c r="BI115" s="514">
        <v>70</v>
      </c>
      <c r="BJ115" s="298" t="str">
        <f t="shared" si="11"/>
        <v>AOR100270</v>
      </c>
      <c r="BK115" s="514">
        <v>1</v>
      </c>
      <c r="BL115" s="514">
        <v>1</v>
      </c>
      <c r="BM115" s="514">
        <v>2</v>
      </c>
      <c r="BN115" s="514">
        <v>2</v>
      </c>
      <c r="BO115" s="514">
        <v>3</v>
      </c>
      <c r="BP115" s="514">
        <v>4</v>
      </c>
      <c r="BQ115" s="514">
        <v>5</v>
      </c>
      <c r="BR115" s="514">
        <v>6</v>
      </c>
      <c r="BS115" s="514">
        <v>7</v>
      </c>
      <c r="BT115" s="514">
        <v>0</v>
      </c>
      <c r="BU115" s="514">
        <v>0</v>
      </c>
      <c r="BV115" s="514">
        <v>0</v>
      </c>
      <c r="BW115" s="514">
        <v>0</v>
      </c>
      <c r="BX115" s="514">
        <v>0</v>
      </c>
      <c r="BY115" s="514">
        <v>0</v>
      </c>
      <c r="BZ115" s="514">
        <v>0</v>
      </c>
      <c r="CA115" s="514">
        <v>0</v>
      </c>
      <c r="CB115" s="514">
        <v>0</v>
      </c>
      <c r="CC115" s="514">
        <v>0</v>
      </c>
      <c r="CD115" s="514">
        <v>0</v>
      </c>
      <c r="CE115" s="514">
        <v>0</v>
      </c>
      <c r="CF115" s="514">
        <v>0</v>
      </c>
      <c r="CG115" s="514">
        <v>0</v>
      </c>
      <c r="CH115" s="514">
        <v>0</v>
      </c>
      <c r="CI115" s="514">
        <v>0</v>
      </c>
      <c r="CJ115" s="514">
        <v>0</v>
      </c>
      <c r="CK115" s="514">
        <v>0</v>
      </c>
      <c r="CL115" s="514">
        <v>0</v>
      </c>
      <c r="CM115" s="514">
        <v>0</v>
      </c>
      <c r="CN115" s="514">
        <v>0</v>
      </c>
      <c r="CO115" s="514">
        <v>0</v>
      </c>
      <c r="CP115" s="514">
        <v>0</v>
      </c>
      <c r="CQ115" s="514">
        <v>0</v>
      </c>
      <c r="CR115" s="514">
        <v>0</v>
      </c>
      <c r="CS115" s="514">
        <v>0</v>
      </c>
      <c r="CT115" s="514">
        <v>0</v>
      </c>
      <c r="CU115" s="514">
        <v>0</v>
      </c>
      <c r="CV115" s="514">
        <v>0</v>
      </c>
      <c r="CW115" s="514">
        <v>0</v>
      </c>
      <c r="CX115" s="514">
        <v>0</v>
      </c>
      <c r="CY115" s="514">
        <v>0</v>
      </c>
      <c r="CZ115" s="514">
        <v>0</v>
      </c>
      <c r="DA115" s="514">
        <v>0</v>
      </c>
      <c r="DB115" s="514">
        <v>0</v>
      </c>
      <c r="DC115" s="514">
        <v>0</v>
      </c>
      <c r="DD115" s="514">
        <v>0</v>
      </c>
      <c r="DE115" s="514">
        <v>0</v>
      </c>
      <c r="DF115" s="514">
        <v>0</v>
      </c>
      <c r="DG115" s="514">
        <v>0</v>
      </c>
      <c r="DH115" s="514">
        <v>0</v>
      </c>
      <c r="DI115" s="514">
        <v>0</v>
      </c>
      <c r="DJ115" s="514">
        <v>0</v>
      </c>
      <c r="DK115" s="514">
        <v>0</v>
      </c>
      <c r="DL115" s="514">
        <v>0</v>
      </c>
      <c r="DM115" s="514">
        <v>0</v>
      </c>
      <c r="DN115" s="514">
        <v>0</v>
      </c>
      <c r="DO115" s="514">
        <v>0</v>
      </c>
      <c r="DP115" s="514">
        <v>0</v>
      </c>
      <c r="DQ115" s="514">
        <v>0</v>
      </c>
      <c r="DR115" s="514">
        <v>0</v>
      </c>
      <c r="DS115" s="514">
        <v>0</v>
      </c>
      <c r="DT115" s="514">
        <v>0</v>
      </c>
      <c r="DU115" s="514">
        <v>0</v>
      </c>
      <c r="DV115" s="514">
        <v>0</v>
      </c>
      <c r="DW115" s="514">
        <v>0</v>
      </c>
      <c r="DX115" s="514">
        <v>0</v>
      </c>
      <c r="DY115" s="514">
        <v>0</v>
      </c>
      <c r="DZ115" s="514">
        <v>0</v>
      </c>
      <c r="EA115" s="514">
        <v>0</v>
      </c>
      <c r="EB115" s="514">
        <v>0</v>
      </c>
      <c r="EC115" s="514">
        <v>0</v>
      </c>
      <c r="ED115" s="514">
        <v>0</v>
      </c>
      <c r="EE115" s="514">
        <v>0</v>
      </c>
      <c r="EF115" s="514">
        <v>0</v>
      </c>
      <c r="EG115" s="514">
        <v>0</v>
      </c>
      <c r="EH115" s="514">
        <v>0</v>
      </c>
      <c r="EI115" s="514">
        <v>0</v>
      </c>
      <c r="EJ115" s="514">
        <v>0</v>
      </c>
      <c r="EK115" s="514">
        <v>0</v>
      </c>
      <c r="EL115" s="514">
        <v>0</v>
      </c>
      <c r="EM115" s="514">
        <v>0</v>
      </c>
      <c r="EN115" s="514">
        <v>0</v>
      </c>
      <c r="EO115" s="514">
        <v>0</v>
      </c>
      <c r="EP115" s="514">
        <v>0</v>
      </c>
      <c r="EQ115" s="514">
        <v>0</v>
      </c>
      <c r="ER115" s="514">
        <v>0</v>
      </c>
      <c r="ES115" s="514">
        <v>0</v>
      </c>
      <c r="ET115" s="514">
        <v>0</v>
      </c>
      <c r="EU115" s="514">
        <v>0</v>
      </c>
      <c r="EV115" s="514">
        <v>0</v>
      </c>
      <c r="EW115" s="514">
        <v>0</v>
      </c>
      <c r="EX115" s="514">
        <v>0</v>
      </c>
      <c r="EY115" s="514">
        <v>0</v>
      </c>
      <c r="EZ115" s="514">
        <v>0</v>
      </c>
      <c r="FA115" s="514">
        <v>0</v>
      </c>
      <c r="FB115" s="514">
        <v>0</v>
      </c>
      <c r="FC115" s="514">
        <v>0</v>
      </c>
      <c r="FD115" s="514">
        <v>0</v>
      </c>
      <c r="FE115" s="514">
        <v>0</v>
      </c>
      <c r="FF115" s="514">
        <v>0</v>
      </c>
      <c r="FG115" s="514">
        <v>0</v>
      </c>
      <c r="FH115" s="514">
        <v>0</v>
      </c>
      <c r="FI115" s="514">
        <v>0</v>
      </c>
      <c r="FJ115" s="514">
        <v>0</v>
      </c>
      <c r="FK115" s="514">
        <v>0</v>
      </c>
      <c r="FL115" s="514">
        <v>0</v>
      </c>
      <c r="FM115" s="514">
        <v>0</v>
      </c>
      <c r="FN115" s="514">
        <v>0</v>
      </c>
      <c r="FO115" s="514">
        <v>0</v>
      </c>
      <c r="FP115" s="514">
        <v>0</v>
      </c>
      <c r="FQ115" s="514">
        <v>0</v>
      </c>
    </row>
    <row r="116" spans="1:173" ht="16.5" hidden="1">
      <c r="A116" s="512" t="s">
        <v>658</v>
      </c>
      <c r="B116" s="512" t="s">
        <v>732</v>
      </c>
      <c r="C116" s="512" t="s">
        <v>721</v>
      </c>
      <c r="D116" s="513"/>
      <c r="E116" s="512" t="s">
        <v>721</v>
      </c>
      <c r="F116" s="512" t="s">
        <v>25</v>
      </c>
      <c r="G116" s="513"/>
      <c r="H116" s="514">
        <v>68</v>
      </c>
      <c r="I116" s="298" t="str">
        <f t="shared" si="6"/>
        <v>AOR100168</v>
      </c>
      <c r="J116" s="514">
        <v>6</v>
      </c>
      <c r="L116" s="512" t="s">
        <v>720</v>
      </c>
      <c r="M116" s="512" t="s">
        <v>739</v>
      </c>
      <c r="N116" s="512" t="s">
        <v>721</v>
      </c>
      <c r="O116" s="513"/>
      <c r="P116" s="512" t="s">
        <v>721</v>
      </c>
      <c r="Q116" s="512" t="s">
        <v>25</v>
      </c>
      <c r="R116" s="513"/>
      <c r="S116" s="514">
        <v>45</v>
      </c>
      <c r="T116" s="298" t="str">
        <f t="shared" si="7"/>
        <v>HSGA0145</v>
      </c>
      <c r="U116" s="514">
        <v>10474</v>
      </c>
      <c r="W116" s="512" t="s">
        <v>269</v>
      </c>
      <c r="X116" s="512" t="s">
        <v>843</v>
      </c>
      <c r="Y116" s="512" t="s">
        <v>721</v>
      </c>
      <c r="Z116" s="514">
        <v>10</v>
      </c>
      <c r="AA116" s="512" t="s">
        <v>721</v>
      </c>
      <c r="AB116" s="512" t="s">
        <v>26</v>
      </c>
      <c r="AC116" s="514">
        <v>10</v>
      </c>
      <c r="AD116" s="514">
        <v>71</v>
      </c>
      <c r="AE116" s="298" t="str">
        <f t="shared" si="8"/>
        <v>HNR100271</v>
      </c>
      <c r="AF116" s="514">
        <v>1131</v>
      </c>
      <c r="AH116" s="512" t="s">
        <v>721</v>
      </c>
      <c r="AI116" s="512" t="s">
        <v>1030</v>
      </c>
      <c r="AJ116" s="512" t="s">
        <v>721</v>
      </c>
      <c r="AK116" s="513"/>
      <c r="AL116" s="512" t="s">
        <v>721</v>
      </c>
      <c r="AM116" s="512" t="s">
        <v>26</v>
      </c>
      <c r="AN116" s="513"/>
      <c r="AO116" s="514">
        <v>71</v>
      </c>
      <c r="AP116" s="513"/>
      <c r="AQ116" s="298" t="str">
        <f t="shared" si="9"/>
        <v>HOR100271</v>
      </c>
      <c r="AR116" s="514">
        <v>1590</v>
      </c>
      <c r="AT116" s="512" t="s">
        <v>743</v>
      </c>
      <c r="AU116" s="512" t="s">
        <v>744</v>
      </c>
      <c r="AV116" s="512" t="s">
        <v>721</v>
      </c>
      <c r="AW116" s="513"/>
      <c r="AX116" s="512" t="s">
        <v>721</v>
      </c>
      <c r="AY116" s="512" t="s">
        <v>26</v>
      </c>
      <c r="AZ116" s="513"/>
      <c r="BA116" s="514">
        <v>71</v>
      </c>
      <c r="BB116" s="298" t="str">
        <f t="shared" si="10"/>
        <v>CLR100271</v>
      </c>
      <c r="BC116" s="514">
        <v>499</v>
      </c>
      <c r="BF116" s="512" t="s">
        <v>658</v>
      </c>
      <c r="BG116" s="512" t="s">
        <v>732</v>
      </c>
      <c r="BH116" s="512" t="s">
        <v>26</v>
      </c>
      <c r="BI116" s="514">
        <v>71</v>
      </c>
      <c r="BJ116" s="298" t="str">
        <f t="shared" si="11"/>
        <v>AOR100271</v>
      </c>
      <c r="BK116" s="514">
        <v>1</v>
      </c>
      <c r="BL116" s="514">
        <v>2</v>
      </c>
      <c r="BM116" s="514">
        <v>2</v>
      </c>
      <c r="BN116" s="514">
        <v>2</v>
      </c>
      <c r="BO116" s="514">
        <v>3</v>
      </c>
      <c r="BP116" s="514">
        <v>4</v>
      </c>
      <c r="BQ116" s="514">
        <v>5</v>
      </c>
      <c r="BR116" s="514">
        <v>6</v>
      </c>
      <c r="BS116" s="514">
        <v>8</v>
      </c>
      <c r="BT116" s="514">
        <v>0</v>
      </c>
      <c r="BU116" s="514">
        <v>0</v>
      </c>
      <c r="BV116" s="514">
        <v>0</v>
      </c>
      <c r="BW116" s="514">
        <v>0</v>
      </c>
      <c r="BX116" s="514">
        <v>0</v>
      </c>
      <c r="BY116" s="514">
        <v>0</v>
      </c>
      <c r="BZ116" s="514">
        <v>0</v>
      </c>
      <c r="CA116" s="514">
        <v>0</v>
      </c>
      <c r="CB116" s="514">
        <v>0</v>
      </c>
      <c r="CC116" s="514">
        <v>0</v>
      </c>
      <c r="CD116" s="514">
        <v>0</v>
      </c>
      <c r="CE116" s="514">
        <v>0</v>
      </c>
      <c r="CF116" s="514">
        <v>0</v>
      </c>
      <c r="CG116" s="514">
        <v>0</v>
      </c>
      <c r="CH116" s="514">
        <v>0</v>
      </c>
      <c r="CI116" s="514">
        <v>0</v>
      </c>
      <c r="CJ116" s="514">
        <v>0</v>
      </c>
      <c r="CK116" s="514">
        <v>0</v>
      </c>
      <c r="CL116" s="514">
        <v>0</v>
      </c>
      <c r="CM116" s="514">
        <v>0</v>
      </c>
      <c r="CN116" s="514">
        <v>0</v>
      </c>
      <c r="CO116" s="514">
        <v>0</v>
      </c>
      <c r="CP116" s="514">
        <v>0</v>
      </c>
      <c r="CQ116" s="514">
        <v>0</v>
      </c>
      <c r="CR116" s="514">
        <v>0</v>
      </c>
      <c r="CS116" s="514">
        <v>0</v>
      </c>
      <c r="CT116" s="514">
        <v>0</v>
      </c>
      <c r="CU116" s="514">
        <v>0</v>
      </c>
      <c r="CV116" s="514">
        <v>0</v>
      </c>
      <c r="CW116" s="514">
        <v>0</v>
      </c>
      <c r="CX116" s="514">
        <v>0</v>
      </c>
      <c r="CY116" s="514">
        <v>0</v>
      </c>
      <c r="CZ116" s="514">
        <v>0</v>
      </c>
      <c r="DA116" s="514">
        <v>0</v>
      </c>
      <c r="DB116" s="514">
        <v>0</v>
      </c>
      <c r="DC116" s="514">
        <v>0</v>
      </c>
      <c r="DD116" s="514">
        <v>0</v>
      </c>
      <c r="DE116" s="514">
        <v>0</v>
      </c>
      <c r="DF116" s="514">
        <v>0</v>
      </c>
      <c r="DG116" s="514">
        <v>0</v>
      </c>
      <c r="DH116" s="514">
        <v>0</v>
      </c>
      <c r="DI116" s="514">
        <v>0</v>
      </c>
      <c r="DJ116" s="514">
        <v>0</v>
      </c>
      <c r="DK116" s="514">
        <v>0</v>
      </c>
      <c r="DL116" s="514">
        <v>0</v>
      </c>
      <c r="DM116" s="514">
        <v>0</v>
      </c>
      <c r="DN116" s="514">
        <v>0</v>
      </c>
      <c r="DO116" s="514">
        <v>0</v>
      </c>
      <c r="DP116" s="514">
        <v>0</v>
      </c>
      <c r="DQ116" s="514">
        <v>0</v>
      </c>
      <c r="DR116" s="514">
        <v>0</v>
      </c>
      <c r="DS116" s="514">
        <v>0</v>
      </c>
      <c r="DT116" s="514">
        <v>0</v>
      </c>
      <c r="DU116" s="514">
        <v>0</v>
      </c>
      <c r="DV116" s="514">
        <v>0</v>
      </c>
      <c r="DW116" s="514">
        <v>0</v>
      </c>
      <c r="DX116" s="514">
        <v>0</v>
      </c>
      <c r="DY116" s="514">
        <v>0</v>
      </c>
      <c r="DZ116" s="514">
        <v>0</v>
      </c>
      <c r="EA116" s="514">
        <v>0</v>
      </c>
      <c r="EB116" s="514">
        <v>0</v>
      </c>
      <c r="EC116" s="514">
        <v>0</v>
      </c>
      <c r="ED116" s="514">
        <v>0</v>
      </c>
      <c r="EE116" s="514">
        <v>0</v>
      </c>
      <c r="EF116" s="514">
        <v>0</v>
      </c>
      <c r="EG116" s="514">
        <v>0</v>
      </c>
      <c r="EH116" s="514">
        <v>0</v>
      </c>
      <c r="EI116" s="514">
        <v>0</v>
      </c>
      <c r="EJ116" s="514">
        <v>0</v>
      </c>
      <c r="EK116" s="514">
        <v>0</v>
      </c>
      <c r="EL116" s="514">
        <v>0</v>
      </c>
      <c r="EM116" s="514">
        <v>0</v>
      </c>
      <c r="EN116" s="514">
        <v>0</v>
      </c>
      <c r="EO116" s="514">
        <v>0</v>
      </c>
      <c r="EP116" s="514">
        <v>0</v>
      </c>
      <c r="EQ116" s="514">
        <v>0</v>
      </c>
      <c r="ER116" s="514">
        <v>0</v>
      </c>
      <c r="ES116" s="514">
        <v>0</v>
      </c>
      <c r="ET116" s="514">
        <v>0</v>
      </c>
      <c r="EU116" s="514">
        <v>0</v>
      </c>
      <c r="EV116" s="514">
        <v>0</v>
      </c>
      <c r="EW116" s="514">
        <v>0</v>
      </c>
      <c r="EX116" s="514">
        <v>0</v>
      </c>
      <c r="EY116" s="514">
        <v>0</v>
      </c>
      <c r="EZ116" s="514">
        <v>0</v>
      </c>
      <c r="FA116" s="514">
        <v>0</v>
      </c>
      <c r="FB116" s="514">
        <v>0</v>
      </c>
      <c r="FC116" s="514">
        <v>0</v>
      </c>
      <c r="FD116" s="514">
        <v>0</v>
      </c>
      <c r="FE116" s="514">
        <v>0</v>
      </c>
      <c r="FF116" s="514">
        <v>0</v>
      </c>
      <c r="FG116" s="514">
        <v>0</v>
      </c>
      <c r="FH116" s="514">
        <v>0</v>
      </c>
      <c r="FI116" s="514">
        <v>0</v>
      </c>
      <c r="FJ116" s="514">
        <v>0</v>
      </c>
      <c r="FK116" s="514">
        <v>0</v>
      </c>
      <c r="FL116" s="514">
        <v>0</v>
      </c>
      <c r="FM116" s="514">
        <v>0</v>
      </c>
      <c r="FN116" s="514">
        <v>0</v>
      </c>
      <c r="FO116" s="514">
        <v>0</v>
      </c>
      <c r="FP116" s="514">
        <v>0</v>
      </c>
      <c r="FQ116" s="514">
        <v>0</v>
      </c>
    </row>
    <row r="117" spans="1:173" ht="16.5" hidden="1">
      <c r="A117" s="506" t="s">
        <v>658</v>
      </c>
      <c r="B117" s="506" t="s">
        <v>841</v>
      </c>
      <c r="C117" s="506" t="s">
        <v>721</v>
      </c>
      <c r="D117" s="507"/>
      <c r="E117" s="506" t="s">
        <v>721</v>
      </c>
      <c r="F117" s="506" t="s">
        <v>26</v>
      </c>
      <c r="G117" s="507"/>
      <c r="H117" s="508">
        <v>71</v>
      </c>
      <c r="I117" s="298" t="str">
        <f t="shared" si="6"/>
        <v>末0271</v>
      </c>
      <c r="J117" s="508">
        <v>0</v>
      </c>
      <c r="L117" s="512" t="s">
        <v>720</v>
      </c>
      <c r="M117" s="512" t="s">
        <v>740</v>
      </c>
      <c r="N117" s="512" t="s">
        <v>721</v>
      </c>
      <c r="O117" s="513"/>
      <c r="P117" s="512" t="s">
        <v>721</v>
      </c>
      <c r="Q117" s="512" t="s">
        <v>25</v>
      </c>
      <c r="R117" s="513"/>
      <c r="S117" s="514">
        <v>20</v>
      </c>
      <c r="T117" s="298" t="str">
        <f t="shared" si="7"/>
        <v>HSGB0120</v>
      </c>
      <c r="U117" s="514">
        <v>3600</v>
      </c>
      <c r="W117" s="506" t="s">
        <v>269</v>
      </c>
      <c r="X117" s="512" t="s">
        <v>839</v>
      </c>
      <c r="Y117" s="506" t="s">
        <v>721</v>
      </c>
      <c r="Z117" s="508">
        <v>10</v>
      </c>
      <c r="AA117" s="506" t="s">
        <v>721</v>
      </c>
      <c r="AB117" s="506" t="s">
        <v>26</v>
      </c>
      <c r="AC117" s="508">
        <v>0</v>
      </c>
      <c r="AD117" s="508">
        <v>71</v>
      </c>
      <c r="AE117" s="298" t="str">
        <f t="shared" si="8"/>
        <v>末0271</v>
      </c>
      <c r="AF117" s="508">
        <v>0</v>
      </c>
      <c r="AH117" s="506" t="s">
        <v>720</v>
      </c>
      <c r="AI117" s="506" t="s">
        <v>839</v>
      </c>
      <c r="AJ117" s="506" t="s">
        <v>721</v>
      </c>
      <c r="AK117" s="507"/>
      <c r="AL117" s="506" t="s">
        <v>721</v>
      </c>
      <c r="AM117" s="506" t="s">
        <v>26</v>
      </c>
      <c r="AN117" s="507"/>
      <c r="AO117" s="508">
        <v>71</v>
      </c>
      <c r="AP117" s="556"/>
      <c r="AQ117" s="298" t="str">
        <f t="shared" si="9"/>
        <v>末0271</v>
      </c>
      <c r="AR117" s="508">
        <v>0</v>
      </c>
      <c r="AT117" s="506" t="s">
        <v>743</v>
      </c>
      <c r="AU117" s="506" t="s">
        <v>839</v>
      </c>
      <c r="AV117" s="506" t="s">
        <v>721</v>
      </c>
      <c r="AW117" s="507"/>
      <c r="AX117" s="506" t="s">
        <v>721</v>
      </c>
      <c r="AY117" s="506" t="s">
        <v>26</v>
      </c>
      <c r="AZ117" s="507"/>
      <c r="BA117" s="508">
        <v>71</v>
      </c>
      <c r="BB117" s="298" t="str">
        <f t="shared" si="10"/>
        <v>末0271</v>
      </c>
      <c r="BC117" s="508">
        <v>0</v>
      </c>
      <c r="BF117" s="509" t="s">
        <v>658</v>
      </c>
      <c r="BG117" s="509" t="s">
        <v>841</v>
      </c>
      <c r="BH117" s="509" t="s">
        <v>26</v>
      </c>
      <c r="BI117" s="510">
        <v>45</v>
      </c>
      <c r="BJ117" s="298" t="str">
        <f t="shared" si="11"/>
        <v>末0245</v>
      </c>
      <c r="BK117" s="510">
        <v>0</v>
      </c>
      <c r="BL117" s="510">
        <v>1</v>
      </c>
      <c r="BM117" s="510">
        <v>1</v>
      </c>
      <c r="BN117" s="510">
        <v>1</v>
      </c>
      <c r="BO117" s="510">
        <v>1</v>
      </c>
      <c r="BP117" s="510">
        <v>2</v>
      </c>
      <c r="BQ117" s="510">
        <v>2</v>
      </c>
      <c r="BR117" s="510">
        <v>2</v>
      </c>
      <c r="BS117" s="510">
        <v>3</v>
      </c>
      <c r="BT117" s="510">
        <v>0</v>
      </c>
      <c r="BU117" s="510">
        <v>0</v>
      </c>
      <c r="BV117" s="510">
        <v>0</v>
      </c>
      <c r="BW117" s="510">
        <v>0</v>
      </c>
      <c r="BX117" s="510">
        <v>0</v>
      </c>
      <c r="BY117" s="510">
        <v>0</v>
      </c>
      <c r="BZ117" s="510">
        <v>0</v>
      </c>
      <c r="CA117" s="510">
        <v>0</v>
      </c>
      <c r="CB117" s="510">
        <v>0</v>
      </c>
      <c r="CC117" s="510">
        <v>0</v>
      </c>
      <c r="CD117" s="510">
        <v>0</v>
      </c>
      <c r="CE117" s="510">
        <v>0</v>
      </c>
      <c r="CF117" s="510">
        <v>0</v>
      </c>
      <c r="CG117" s="510">
        <v>0</v>
      </c>
      <c r="CH117" s="510">
        <v>0</v>
      </c>
      <c r="CI117" s="510">
        <v>0</v>
      </c>
      <c r="CJ117" s="510">
        <v>0</v>
      </c>
      <c r="CK117" s="510">
        <v>0</v>
      </c>
      <c r="CL117" s="510">
        <v>0</v>
      </c>
      <c r="CM117" s="510">
        <v>0</v>
      </c>
      <c r="CN117" s="510">
        <v>0</v>
      </c>
      <c r="CO117" s="510">
        <v>0</v>
      </c>
      <c r="CP117" s="510">
        <v>0</v>
      </c>
      <c r="CQ117" s="510">
        <v>0</v>
      </c>
      <c r="CR117" s="510">
        <v>0</v>
      </c>
      <c r="CS117" s="510">
        <v>0</v>
      </c>
      <c r="CT117" s="510">
        <v>0</v>
      </c>
      <c r="CU117" s="510">
        <v>0</v>
      </c>
      <c r="CV117" s="510">
        <v>0</v>
      </c>
      <c r="CW117" s="510">
        <v>0</v>
      </c>
      <c r="CX117" s="510">
        <v>0</v>
      </c>
      <c r="CY117" s="510">
        <v>0</v>
      </c>
      <c r="CZ117" s="510">
        <v>0</v>
      </c>
      <c r="DA117" s="510">
        <v>0</v>
      </c>
      <c r="DB117" s="510">
        <v>0</v>
      </c>
      <c r="DC117" s="510">
        <v>0</v>
      </c>
      <c r="DD117" s="510">
        <v>0</v>
      </c>
      <c r="DE117" s="510">
        <v>0</v>
      </c>
      <c r="DF117" s="510">
        <v>0</v>
      </c>
      <c r="DG117" s="510">
        <v>0</v>
      </c>
      <c r="DH117" s="510">
        <v>0</v>
      </c>
      <c r="DI117" s="510">
        <v>0</v>
      </c>
      <c r="DJ117" s="510">
        <v>0</v>
      </c>
      <c r="DK117" s="510">
        <v>0</v>
      </c>
      <c r="DL117" s="510">
        <v>0</v>
      </c>
      <c r="DM117" s="510">
        <v>0</v>
      </c>
      <c r="DN117" s="510">
        <v>0</v>
      </c>
      <c r="DO117" s="510">
        <v>0</v>
      </c>
      <c r="DP117" s="510">
        <v>0</v>
      </c>
      <c r="DQ117" s="510">
        <v>0</v>
      </c>
      <c r="DR117" s="510">
        <v>0</v>
      </c>
      <c r="DS117" s="510">
        <v>0</v>
      </c>
      <c r="DT117" s="510">
        <v>0</v>
      </c>
      <c r="DU117" s="510">
        <v>0</v>
      </c>
      <c r="DV117" s="510">
        <v>0</v>
      </c>
      <c r="DW117" s="510">
        <v>0</v>
      </c>
      <c r="DX117" s="510">
        <v>0</v>
      </c>
      <c r="DY117" s="510">
        <v>0</v>
      </c>
      <c r="DZ117" s="510">
        <v>0</v>
      </c>
      <c r="EA117" s="510">
        <v>0</v>
      </c>
      <c r="EB117" s="510">
        <v>0</v>
      </c>
      <c r="EC117" s="510">
        <v>0</v>
      </c>
      <c r="ED117" s="510">
        <v>0</v>
      </c>
      <c r="EE117" s="510">
        <v>0</v>
      </c>
      <c r="EF117" s="510">
        <v>0</v>
      </c>
      <c r="EG117" s="510">
        <v>0</v>
      </c>
      <c r="EH117" s="510">
        <v>0</v>
      </c>
      <c r="EI117" s="510">
        <v>0</v>
      </c>
      <c r="EJ117" s="510">
        <v>0</v>
      </c>
      <c r="EK117" s="510">
        <v>0</v>
      </c>
      <c r="EL117" s="510">
        <v>0</v>
      </c>
      <c r="EM117" s="510">
        <v>0</v>
      </c>
      <c r="EN117" s="510">
        <v>0</v>
      </c>
      <c r="EO117" s="510">
        <v>0</v>
      </c>
      <c r="EP117" s="510">
        <v>0</v>
      </c>
      <c r="EQ117" s="510">
        <v>0</v>
      </c>
      <c r="ER117" s="510">
        <v>0</v>
      </c>
      <c r="ES117" s="510">
        <v>0</v>
      </c>
      <c r="ET117" s="510">
        <v>0</v>
      </c>
      <c r="EU117" s="510">
        <v>0</v>
      </c>
      <c r="EV117" s="510">
        <v>0</v>
      </c>
      <c r="EW117" s="510">
        <v>0</v>
      </c>
      <c r="EX117" s="510">
        <v>0</v>
      </c>
      <c r="EY117" s="510">
        <v>0</v>
      </c>
      <c r="EZ117" s="510">
        <v>0</v>
      </c>
      <c r="FA117" s="510">
        <v>0</v>
      </c>
      <c r="FB117" s="510">
        <v>0</v>
      </c>
      <c r="FC117" s="510">
        <v>0</v>
      </c>
      <c r="FD117" s="510">
        <v>0</v>
      </c>
      <c r="FE117" s="510">
        <v>0</v>
      </c>
      <c r="FF117" s="510">
        <v>0</v>
      </c>
      <c r="FG117" s="510">
        <v>0</v>
      </c>
      <c r="FH117" s="510">
        <v>0</v>
      </c>
      <c r="FI117" s="510">
        <v>0</v>
      </c>
      <c r="FJ117" s="510">
        <v>0</v>
      </c>
      <c r="FK117" s="510">
        <v>0</v>
      </c>
      <c r="FL117" s="510">
        <v>0</v>
      </c>
      <c r="FM117" s="510">
        <v>0</v>
      </c>
      <c r="FN117" s="510">
        <v>0</v>
      </c>
      <c r="FO117" s="510">
        <v>0</v>
      </c>
      <c r="FP117" s="510">
        <v>0</v>
      </c>
      <c r="FQ117" s="510">
        <v>0</v>
      </c>
    </row>
    <row r="118" spans="1:173" ht="16.5" hidden="1">
      <c r="L118" s="512" t="s">
        <v>720</v>
      </c>
      <c r="M118" s="512" t="s">
        <v>740</v>
      </c>
      <c r="N118" s="512" t="s">
        <v>721</v>
      </c>
      <c r="O118" s="513"/>
      <c r="P118" s="512" t="s">
        <v>721</v>
      </c>
      <c r="Q118" s="512" t="s">
        <v>25</v>
      </c>
      <c r="R118" s="513"/>
      <c r="S118" s="514">
        <v>21</v>
      </c>
      <c r="T118" s="298" t="str">
        <f t="shared" si="7"/>
        <v>HSGB0121</v>
      </c>
      <c r="U118" s="514">
        <v>3667</v>
      </c>
    </row>
    <row r="119" spans="1:173" ht="16.5" hidden="1">
      <c r="L119" s="512" t="s">
        <v>720</v>
      </c>
      <c r="M119" s="512" t="s">
        <v>740</v>
      </c>
      <c r="N119" s="512" t="s">
        <v>721</v>
      </c>
      <c r="O119" s="513"/>
      <c r="P119" s="512" t="s">
        <v>721</v>
      </c>
      <c r="Q119" s="512" t="s">
        <v>25</v>
      </c>
      <c r="R119" s="513"/>
      <c r="S119" s="514">
        <v>22</v>
      </c>
      <c r="T119" s="298" t="str">
        <f t="shared" si="7"/>
        <v>HSGB0122</v>
      </c>
      <c r="U119" s="514">
        <v>3758</v>
      </c>
    </row>
    <row r="120" spans="1:173" ht="16.5" hidden="1">
      <c r="L120" s="512" t="s">
        <v>720</v>
      </c>
      <c r="M120" s="512" t="s">
        <v>740</v>
      </c>
      <c r="N120" s="512" t="s">
        <v>721</v>
      </c>
      <c r="O120" s="513"/>
      <c r="P120" s="512" t="s">
        <v>721</v>
      </c>
      <c r="Q120" s="512" t="s">
        <v>25</v>
      </c>
      <c r="R120" s="513"/>
      <c r="S120" s="514">
        <v>23</v>
      </c>
      <c r="T120" s="298" t="str">
        <f t="shared" si="7"/>
        <v>HSGB0123</v>
      </c>
      <c r="U120" s="514">
        <v>3875</v>
      </c>
    </row>
    <row r="121" spans="1:173" ht="16.5" hidden="1">
      <c r="L121" s="512" t="s">
        <v>720</v>
      </c>
      <c r="M121" s="512" t="s">
        <v>740</v>
      </c>
      <c r="N121" s="512" t="s">
        <v>721</v>
      </c>
      <c r="O121" s="513"/>
      <c r="P121" s="512" t="s">
        <v>721</v>
      </c>
      <c r="Q121" s="512" t="s">
        <v>25</v>
      </c>
      <c r="R121" s="513"/>
      <c r="S121" s="514">
        <v>24</v>
      </c>
      <c r="T121" s="298" t="str">
        <f t="shared" si="7"/>
        <v>HSGB0124</v>
      </c>
      <c r="U121" s="514">
        <v>4031</v>
      </c>
    </row>
    <row r="122" spans="1:173" ht="16.5" hidden="1">
      <c r="L122" s="512" t="s">
        <v>720</v>
      </c>
      <c r="M122" s="512" t="s">
        <v>740</v>
      </c>
      <c r="N122" s="512" t="s">
        <v>721</v>
      </c>
      <c r="O122" s="513"/>
      <c r="P122" s="512" t="s">
        <v>721</v>
      </c>
      <c r="Q122" s="512" t="s">
        <v>25</v>
      </c>
      <c r="R122" s="513"/>
      <c r="S122" s="514">
        <v>25</v>
      </c>
      <c r="T122" s="298" t="str">
        <f t="shared" si="7"/>
        <v>HSGB0125</v>
      </c>
      <c r="U122" s="514">
        <v>4198</v>
      </c>
    </row>
    <row r="123" spans="1:173" ht="16.5" hidden="1">
      <c r="L123" s="512" t="s">
        <v>720</v>
      </c>
      <c r="M123" s="512" t="s">
        <v>740</v>
      </c>
      <c r="N123" s="512" t="s">
        <v>721</v>
      </c>
      <c r="O123" s="513"/>
      <c r="P123" s="512" t="s">
        <v>721</v>
      </c>
      <c r="Q123" s="512" t="s">
        <v>25</v>
      </c>
      <c r="R123" s="513"/>
      <c r="S123" s="514">
        <v>26</v>
      </c>
      <c r="T123" s="298" t="str">
        <f t="shared" si="7"/>
        <v>HSGB0126</v>
      </c>
      <c r="U123" s="514">
        <v>4373</v>
      </c>
    </row>
    <row r="124" spans="1:173" ht="16.5" hidden="1">
      <c r="L124" s="512" t="s">
        <v>720</v>
      </c>
      <c r="M124" s="512" t="s">
        <v>740</v>
      </c>
      <c r="N124" s="512" t="s">
        <v>721</v>
      </c>
      <c r="O124" s="513"/>
      <c r="P124" s="512" t="s">
        <v>721</v>
      </c>
      <c r="Q124" s="512" t="s">
        <v>25</v>
      </c>
      <c r="R124" s="513"/>
      <c r="S124" s="514">
        <v>27</v>
      </c>
      <c r="T124" s="298" t="str">
        <f t="shared" si="7"/>
        <v>HSGB0127</v>
      </c>
      <c r="U124" s="514">
        <v>4586</v>
      </c>
    </row>
    <row r="125" spans="1:173" ht="16.5" hidden="1">
      <c r="L125" s="512" t="s">
        <v>720</v>
      </c>
      <c r="M125" s="512" t="s">
        <v>740</v>
      </c>
      <c r="N125" s="512" t="s">
        <v>721</v>
      </c>
      <c r="O125" s="513"/>
      <c r="P125" s="512" t="s">
        <v>721</v>
      </c>
      <c r="Q125" s="512" t="s">
        <v>25</v>
      </c>
      <c r="R125" s="513"/>
      <c r="S125" s="514">
        <v>28</v>
      </c>
      <c r="T125" s="298" t="str">
        <f t="shared" si="7"/>
        <v>HSGB0128</v>
      </c>
      <c r="U125" s="514">
        <v>4840</v>
      </c>
    </row>
    <row r="126" spans="1:173" ht="16.5" hidden="1">
      <c r="L126" s="512" t="s">
        <v>720</v>
      </c>
      <c r="M126" s="512" t="s">
        <v>740</v>
      </c>
      <c r="N126" s="512" t="s">
        <v>721</v>
      </c>
      <c r="O126" s="513"/>
      <c r="P126" s="512" t="s">
        <v>721</v>
      </c>
      <c r="Q126" s="512" t="s">
        <v>25</v>
      </c>
      <c r="R126" s="513"/>
      <c r="S126" s="514">
        <v>29</v>
      </c>
      <c r="T126" s="298" t="str">
        <f t="shared" si="7"/>
        <v>HSGB0129</v>
      </c>
      <c r="U126" s="514">
        <v>5102</v>
      </c>
    </row>
    <row r="127" spans="1:173" ht="16.5" hidden="1">
      <c r="L127" s="512" t="s">
        <v>720</v>
      </c>
      <c r="M127" s="512" t="s">
        <v>740</v>
      </c>
      <c r="N127" s="512" t="s">
        <v>721</v>
      </c>
      <c r="O127" s="513"/>
      <c r="P127" s="512" t="s">
        <v>721</v>
      </c>
      <c r="Q127" s="512" t="s">
        <v>25</v>
      </c>
      <c r="R127" s="513"/>
      <c r="S127" s="514">
        <v>30</v>
      </c>
      <c r="T127" s="298" t="str">
        <f t="shared" si="7"/>
        <v>HSGB0130</v>
      </c>
      <c r="U127" s="514">
        <v>5372</v>
      </c>
    </row>
    <row r="128" spans="1:173" ht="16.5" hidden="1">
      <c r="L128" s="512" t="s">
        <v>720</v>
      </c>
      <c r="M128" s="512" t="s">
        <v>740</v>
      </c>
      <c r="N128" s="512" t="s">
        <v>721</v>
      </c>
      <c r="O128" s="513"/>
      <c r="P128" s="512" t="s">
        <v>721</v>
      </c>
      <c r="Q128" s="512" t="s">
        <v>25</v>
      </c>
      <c r="R128" s="513"/>
      <c r="S128" s="514">
        <v>31</v>
      </c>
      <c r="T128" s="298" t="str">
        <f t="shared" si="7"/>
        <v>HSGB0131</v>
      </c>
      <c r="U128" s="514">
        <v>5799</v>
      </c>
    </row>
    <row r="129" spans="12:21" ht="16.5" hidden="1">
      <c r="L129" s="512" t="s">
        <v>720</v>
      </c>
      <c r="M129" s="512" t="s">
        <v>740</v>
      </c>
      <c r="N129" s="512" t="s">
        <v>721</v>
      </c>
      <c r="O129" s="513"/>
      <c r="P129" s="512" t="s">
        <v>721</v>
      </c>
      <c r="Q129" s="512" t="s">
        <v>25</v>
      </c>
      <c r="R129" s="513"/>
      <c r="S129" s="514">
        <v>32</v>
      </c>
      <c r="T129" s="298" t="str">
        <f t="shared" si="7"/>
        <v>HSGB0132</v>
      </c>
      <c r="U129" s="514">
        <v>6254</v>
      </c>
    </row>
    <row r="130" spans="12:21" ht="16.5" hidden="1">
      <c r="L130" s="512" t="s">
        <v>720</v>
      </c>
      <c r="M130" s="512" t="s">
        <v>740</v>
      </c>
      <c r="N130" s="512" t="s">
        <v>721</v>
      </c>
      <c r="O130" s="513"/>
      <c r="P130" s="512" t="s">
        <v>721</v>
      </c>
      <c r="Q130" s="512" t="s">
        <v>25</v>
      </c>
      <c r="R130" s="513"/>
      <c r="S130" s="514">
        <v>33</v>
      </c>
      <c r="T130" s="298" t="str">
        <f t="shared" ref="T130:T193" si="12">M130&amp;TEXT(Q130,"00")&amp;TEXT(S130,"00")</f>
        <v>HSGB0133</v>
      </c>
      <c r="U130" s="514">
        <v>6740</v>
      </c>
    </row>
    <row r="131" spans="12:21" ht="16.5" hidden="1">
      <c r="L131" s="512" t="s">
        <v>720</v>
      </c>
      <c r="M131" s="512" t="s">
        <v>740</v>
      </c>
      <c r="N131" s="512" t="s">
        <v>721</v>
      </c>
      <c r="O131" s="513"/>
      <c r="P131" s="512" t="s">
        <v>721</v>
      </c>
      <c r="Q131" s="512" t="s">
        <v>25</v>
      </c>
      <c r="R131" s="513"/>
      <c r="S131" s="514">
        <v>34</v>
      </c>
      <c r="T131" s="298" t="str">
        <f t="shared" si="12"/>
        <v>HSGB0134</v>
      </c>
      <c r="U131" s="514">
        <v>7235</v>
      </c>
    </row>
    <row r="132" spans="12:21" ht="16.5" hidden="1">
      <c r="L132" s="512" t="s">
        <v>720</v>
      </c>
      <c r="M132" s="512" t="s">
        <v>740</v>
      </c>
      <c r="N132" s="512" t="s">
        <v>721</v>
      </c>
      <c r="O132" s="513"/>
      <c r="P132" s="512" t="s">
        <v>721</v>
      </c>
      <c r="Q132" s="512" t="s">
        <v>25</v>
      </c>
      <c r="R132" s="513"/>
      <c r="S132" s="514">
        <v>35</v>
      </c>
      <c r="T132" s="298" t="str">
        <f t="shared" si="12"/>
        <v>HSGB0135</v>
      </c>
      <c r="U132" s="514">
        <v>7739</v>
      </c>
    </row>
    <row r="133" spans="12:21" ht="16.5" hidden="1">
      <c r="L133" s="512" t="s">
        <v>720</v>
      </c>
      <c r="M133" s="512" t="s">
        <v>740</v>
      </c>
      <c r="N133" s="512" t="s">
        <v>721</v>
      </c>
      <c r="O133" s="513"/>
      <c r="P133" s="512" t="s">
        <v>721</v>
      </c>
      <c r="Q133" s="512" t="s">
        <v>25</v>
      </c>
      <c r="R133" s="513"/>
      <c r="S133" s="514">
        <v>36</v>
      </c>
      <c r="T133" s="298" t="str">
        <f t="shared" si="12"/>
        <v>HSGB0136</v>
      </c>
      <c r="U133" s="514">
        <v>8195</v>
      </c>
    </row>
    <row r="134" spans="12:21" ht="16.5" hidden="1">
      <c r="L134" s="512" t="s">
        <v>720</v>
      </c>
      <c r="M134" s="512" t="s">
        <v>740</v>
      </c>
      <c r="N134" s="512" t="s">
        <v>721</v>
      </c>
      <c r="O134" s="513"/>
      <c r="P134" s="512" t="s">
        <v>721</v>
      </c>
      <c r="Q134" s="512" t="s">
        <v>25</v>
      </c>
      <c r="R134" s="513"/>
      <c r="S134" s="514">
        <v>37</v>
      </c>
      <c r="T134" s="298" t="str">
        <f t="shared" si="12"/>
        <v>HSGB0137</v>
      </c>
      <c r="U134" s="514">
        <v>8593</v>
      </c>
    </row>
    <row r="135" spans="12:21" ht="16.5" hidden="1">
      <c r="L135" s="512" t="s">
        <v>720</v>
      </c>
      <c r="M135" s="512" t="s">
        <v>740</v>
      </c>
      <c r="N135" s="512" t="s">
        <v>721</v>
      </c>
      <c r="O135" s="513"/>
      <c r="P135" s="512" t="s">
        <v>721</v>
      </c>
      <c r="Q135" s="512" t="s">
        <v>25</v>
      </c>
      <c r="R135" s="513"/>
      <c r="S135" s="514">
        <v>38</v>
      </c>
      <c r="T135" s="298" t="str">
        <f t="shared" si="12"/>
        <v>HSGB0138</v>
      </c>
      <c r="U135" s="514">
        <v>8986</v>
      </c>
    </row>
    <row r="136" spans="12:21" ht="16.5" hidden="1">
      <c r="L136" s="512" t="s">
        <v>720</v>
      </c>
      <c r="M136" s="512" t="s">
        <v>740</v>
      </c>
      <c r="N136" s="512" t="s">
        <v>721</v>
      </c>
      <c r="O136" s="513"/>
      <c r="P136" s="512" t="s">
        <v>721</v>
      </c>
      <c r="Q136" s="512" t="s">
        <v>25</v>
      </c>
      <c r="R136" s="513"/>
      <c r="S136" s="514">
        <v>39</v>
      </c>
      <c r="T136" s="298" t="str">
        <f t="shared" si="12"/>
        <v>HSGB0139</v>
      </c>
      <c r="U136" s="514">
        <v>9397</v>
      </c>
    </row>
    <row r="137" spans="12:21" ht="16.5" hidden="1">
      <c r="L137" s="512" t="s">
        <v>720</v>
      </c>
      <c r="M137" s="512" t="s">
        <v>740</v>
      </c>
      <c r="N137" s="512" t="s">
        <v>721</v>
      </c>
      <c r="O137" s="513"/>
      <c r="P137" s="512" t="s">
        <v>721</v>
      </c>
      <c r="Q137" s="512" t="s">
        <v>25</v>
      </c>
      <c r="R137" s="513"/>
      <c r="S137" s="514">
        <v>40</v>
      </c>
      <c r="T137" s="298" t="str">
        <f t="shared" si="12"/>
        <v>HSGB0140</v>
      </c>
      <c r="U137" s="514">
        <v>9826</v>
      </c>
    </row>
    <row r="138" spans="12:21" ht="16.5" hidden="1">
      <c r="L138" s="512" t="s">
        <v>720</v>
      </c>
      <c r="M138" s="512" t="s">
        <v>740</v>
      </c>
      <c r="N138" s="512" t="s">
        <v>721</v>
      </c>
      <c r="O138" s="513"/>
      <c r="P138" s="512" t="s">
        <v>721</v>
      </c>
      <c r="Q138" s="512" t="s">
        <v>25</v>
      </c>
      <c r="R138" s="513"/>
      <c r="S138" s="514">
        <v>41</v>
      </c>
      <c r="T138" s="298" t="str">
        <f t="shared" si="12"/>
        <v>HSGB0141</v>
      </c>
      <c r="U138" s="514">
        <v>10273</v>
      </c>
    </row>
    <row r="139" spans="12:21" ht="16.5" hidden="1">
      <c r="L139" s="512" t="s">
        <v>720</v>
      </c>
      <c r="M139" s="512" t="s">
        <v>740</v>
      </c>
      <c r="N139" s="512" t="s">
        <v>721</v>
      </c>
      <c r="O139" s="513"/>
      <c r="P139" s="512" t="s">
        <v>721</v>
      </c>
      <c r="Q139" s="512" t="s">
        <v>25</v>
      </c>
      <c r="R139" s="513"/>
      <c r="S139" s="514">
        <v>42</v>
      </c>
      <c r="T139" s="298" t="str">
        <f t="shared" si="12"/>
        <v>HSGB0142</v>
      </c>
      <c r="U139" s="514">
        <v>10739</v>
      </c>
    </row>
    <row r="140" spans="12:21" ht="16.5" hidden="1">
      <c r="L140" s="512" t="s">
        <v>720</v>
      </c>
      <c r="M140" s="512" t="s">
        <v>740</v>
      </c>
      <c r="N140" s="512" t="s">
        <v>721</v>
      </c>
      <c r="O140" s="513"/>
      <c r="P140" s="512" t="s">
        <v>721</v>
      </c>
      <c r="Q140" s="512" t="s">
        <v>25</v>
      </c>
      <c r="R140" s="513"/>
      <c r="S140" s="514">
        <v>43</v>
      </c>
      <c r="T140" s="298" t="str">
        <f t="shared" si="12"/>
        <v>HSGB0143</v>
      </c>
      <c r="U140" s="514">
        <v>11225</v>
      </c>
    </row>
    <row r="141" spans="12:21" ht="16.5" hidden="1">
      <c r="L141" s="512" t="s">
        <v>720</v>
      </c>
      <c r="M141" s="512" t="s">
        <v>740</v>
      </c>
      <c r="N141" s="512" t="s">
        <v>721</v>
      </c>
      <c r="O141" s="513"/>
      <c r="P141" s="512" t="s">
        <v>721</v>
      </c>
      <c r="Q141" s="512" t="s">
        <v>25</v>
      </c>
      <c r="R141" s="513"/>
      <c r="S141" s="514">
        <v>44</v>
      </c>
      <c r="T141" s="298" t="str">
        <f t="shared" si="12"/>
        <v>HSGB0144</v>
      </c>
      <c r="U141" s="514">
        <v>11720</v>
      </c>
    </row>
    <row r="142" spans="12:21" ht="16.5" hidden="1">
      <c r="L142" s="512" t="s">
        <v>720</v>
      </c>
      <c r="M142" s="512" t="s">
        <v>740</v>
      </c>
      <c r="N142" s="512" t="s">
        <v>721</v>
      </c>
      <c r="O142" s="513"/>
      <c r="P142" s="512" t="s">
        <v>721</v>
      </c>
      <c r="Q142" s="512" t="s">
        <v>25</v>
      </c>
      <c r="R142" s="513"/>
      <c r="S142" s="514">
        <v>45</v>
      </c>
      <c r="T142" s="298" t="str">
        <f t="shared" si="12"/>
        <v>HSGB0145</v>
      </c>
      <c r="U142" s="514">
        <v>12226</v>
      </c>
    </row>
    <row r="143" spans="12:21" ht="16.5" hidden="1">
      <c r="L143" s="512" t="s">
        <v>720</v>
      </c>
      <c r="M143" s="512" t="s">
        <v>740</v>
      </c>
      <c r="N143" s="512" t="s">
        <v>721</v>
      </c>
      <c r="O143" s="513"/>
      <c r="P143" s="512" t="s">
        <v>721</v>
      </c>
      <c r="Q143" s="512" t="s">
        <v>25</v>
      </c>
      <c r="R143" s="513"/>
      <c r="S143" s="514">
        <v>46</v>
      </c>
      <c r="T143" s="298" t="str">
        <f t="shared" si="12"/>
        <v>HSGB0146</v>
      </c>
      <c r="U143" s="514">
        <v>12744</v>
      </c>
    </row>
    <row r="144" spans="12:21" ht="16.5" hidden="1">
      <c r="L144" s="512" t="s">
        <v>720</v>
      </c>
      <c r="M144" s="512" t="s">
        <v>740</v>
      </c>
      <c r="N144" s="512" t="s">
        <v>721</v>
      </c>
      <c r="O144" s="513"/>
      <c r="P144" s="512" t="s">
        <v>721</v>
      </c>
      <c r="Q144" s="512" t="s">
        <v>25</v>
      </c>
      <c r="R144" s="513"/>
      <c r="S144" s="514">
        <v>47</v>
      </c>
      <c r="T144" s="298" t="str">
        <f t="shared" si="12"/>
        <v>HSGB0147</v>
      </c>
      <c r="U144" s="514">
        <v>13277</v>
      </c>
    </row>
    <row r="145" spans="12:21" ht="16.5" hidden="1">
      <c r="L145" s="512" t="s">
        <v>720</v>
      </c>
      <c r="M145" s="512" t="s">
        <v>740</v>
      </c>
      <c r="N145" s="512" t="s">
        <v>721</v>
      </c>
      <c r="O145" s="513"/>
      <c r="P145" s="512" t="s">
        <v>721</v>
      </c>
      <c r="Q145" s="512" t="s">
        <v>25</v>
      </c>
      <c r="R145" s="513"/>
      <c r="S145" s="514">
        <v>48</v>
      </c>
      <c r="T145" s="298" t="str">
        <f t="shared" si="12"/>
        <v>HSGB0148</v>
      </c>
      <c r="U145" s="514">
        <v>13829</v>
      </c>
    </row>
    <row r="146" spans="12:21" ht="16.5" hidden="1">
      <c r="L146" s="512" t="s">
        <v>720</v>
      </c>
      <c r="M146" s="512" t="s">
        <v>740</v>
      </c>
      <c r="N146" s="512" t="s">
        <v>721</v>
      </c>
      <c r="O146" s="513"/>
      <c r="P146" s="512" t="s">
        <v>721</v>
      </c>
      <c r="Q146" s="512" t="s">
        <v>25</v>
      </c>
      <c r="R146" s="513"/>
      <c r="S146" s="514">
        <v>49</v>
      </c>
      <c r="T146" s="298" t="str">
        <f t="shared" si="12"/>
        <v>HSGB0149</v>
      </c>
      <c r="U146" s="514">
        <v>14326</v>
      </c>
    </row>
    <row r="147" spans="12:21" ht="16.5" hidden="1">
      <c r="L147" s="512" t="s">
        <v>720</v>
      </c>
      <c r="M147" s="512" t="s">
        <v>740</v>
      </c>
      <c r="N147" s="512" t="s">
        <v>721</v>
      </c>
      <c r="O147" s="513"/>
      <c r="P147" s="512" t="s">
        <v>721</v>
      </c>
      <c r="Q147" s="512" t="s">
        <v>25</v>
      </c>
      <c r="R147" s="513"/>
      <c r="S147" s="514">
        <v>50</v>
      </c>
      <c r="T147" s="298" t="str">
        <f t="shared" si="12"/>
        <v>HSGB0150</v>
      </c>
      <c r="U147" s="514">
        <v>14765</v>
      </c>
    </row>
    <row r="148" spans="12:21" ht="16.5" hidden="1">
      <c r="L148" s="512" t="s">
        <v>720</v>
      </c>
      <c r="M148" s="512" t="s">
        <v>740</v>
      </c>
      <c r="N148" s="512" t="s">
        <v>721</v>
      </c>
      <c r="O148" s="513"/>
      <c r="P148" s="512" t="s">
        <v>721</v>
      </c>
      <c r="Q148" s="512" t="s">
        <v>25</v>
      </c>
      <c r="R148" s="513"/>
      <c r="S148" s="514">
        <v>51</v>
      </c>
      <c r="T148" s="298" t="str">
        <f t="shared" si="12"/>
        <v>HSGB0151</v>
      </c>
      <c r="U148" s="514">
        <v>15147</v>
      </c>
    </row>
    <row r="149" spans="12:21" ht="16.5" hidden="1">
      <c r="L149" s="512" t="s">
        <v>720</v>
      </c>
      <c r="M149" s="512" t="s">
        <v>740</v>
      </c>
      <c r="N149" s="512" t="s">
        <v>721</v>
      </c>
      <c r="O149" s="513"/>
      <c r="P149" s="512" t="s">
        <v>721</v>
      </c>
      <c r="Q149" s="512" t="s">
        <v>25</v>
      </c>
      <c r="R149" s="513"/>
      <c r="S149" s="514">
        <v>52</v>
      </c>
      <c r="T149" s="298" t="str">
        <f t="shared" si="12"/>
        <v>HSGB0152</v>
      </c>
      <c r="U149" s="514">
        <v>15466</v>
      </c>
    </row>
    <row r="150" spans="12:21" ht="16.5" hidden="1">
      <c r="L150" s="512" t="s">
        <v>720</v>
      </c>
      <c r="M150" s="512" t="s">
        <v>740</v>
      </c>
      <c r="N150" s="512" t="s">
        <v>721</v>
      </c>
      <c r="O150" s="513"/>
      <c r="P150" s="512" t="s">
        <v>721</v>
      </c>
      <c r="Q150" s="512" t="s">
        <v>25</v>
      </c>
      <c r="R150" s="513"/>
      <c r="S150" s="514">
        <v>53</v>
      </c>
      <c r="T150" s="298" t="str">
        <f t="shared" si="12"/>
        <v>HSGB0153</v>
      </c>
      <c r="U150" s="514">
        <v>15718</v>
      </c>
    </row>
    <row r="151" spans="12:21" ht="16.5" hidden="1">
      <c r="L151" s="512" t="s">
        <v>720</v>
      </c>
      <c r="M151" s="512" t="s">
        <v>740</v>
      </c>
      <c r="N151" s="512" t="s">
        <v>721</v>
      </c>
      <c r="O151" s="513"/>
      <c r="P151" s="512" t="s">
        <v>721</v>
      </c>
      <c r="Q151" s="512" t="s">
        <v>25</v>
      </c>
      <c r="R151" s="513"/>
      <c r="S151" s="514">
        <v>54</v>
      </c>
      <c r="T151" s="298" t="str">
        <f t="shared" si="12"/>
        <v>HSGB0154</v>
      </c>
      <c r="U151" s="514">
        <v>16005</v>
      </c>
    </row>
    <row r="152" spans="12:21" ht="16.5" hidden="1">
      <c r="L152" s="512" t="s">
        <v>720</v>
      </c>
      <c r="M152" s="512" t="s">
        <v>740</v>
      </c>
      <c r="N152" s="512" t="s">
        <v>721</v>
      </c>
      <c r="O152" s="513"/>
      <c r="P152" s="512" t="s">
        <v>721</v>
      </c>
      <c r="Q152" s="512" t="s">
        <v>25</v>
      </c>
      <c r="R152" s="513"/>
      <c r="S152" s="514">
        <v>55</v>
      </c>
      <c r="T152" s="298" t="str">
        <f t="shared" si="12"/>
        <v>HSGB0155</v>
      </c>
      <c r="U152" s="514">
        <v>16327</v>
      </c>
    </row>
    <row r="153" spans="12:21" ht="16.5" hidden="1">
      <c r="L153" s="512" t="s">
        <v>720</v>
      </c>
      <c r="M153" s="512" t="s">
        <v>740</v>
      </c>
      <c r="N153" s="512" t="s">
        <v>721</v>
      </c>
      <c r="O153" s="513"/>
      <c r="P153" s="512" t="s">
        <v>721</v>
      </c>
      <c r="Q153" s="512" t="s">
        <v>25</v>
      </c>
      <c r="R153" s="513"/>
      <c r="S153" s="514">
        <v>56</v>
      </c>
      <c r="T153" s="298" t="str">
        <f t="shared" si="12"/>
        <v>HSGB0156</v>
      </c>
      <c r="U153" s="514">
        <v>16686</v>
      </c>
    </row>
    <row r="154" spans="12:21" ht="16.5" hidden="1">
      <c r="L154" s="512" t="s">
        <v>720</v>
      </c>
      <c r="M154" s="512" t="s">
        <v>740</v>
      </c>
      <c r="N154" s="512" t="s">
        <v>721</v>
      </c>
      <c r="O154" s="513"/>
      <c r="P154" s="512" t="s">
        <v>721</v>
      </c>
      <c r="Q154" s="512" t="s">
        <v>25</v>
      </c>
      <c r="R154" s="513"/>
      <c r="S154" s="514">
        <v>57</v>
      </c>
      <c r="T154" s="298" t="str">
        <f t="shared" si="12"/>
        <v>HSGB0157</v>
      </c>
      <c r="U154" s="514">
        <v>17079</v>
      </c>
    </row>
    <row r="155" spans="12:21" ht="16.5" hidden="1">
      <c r="L155" s="512" t="s">
        <v>720</v>
      </c>
      <c r="M155" s="512" t="s">
        <v>740</v>
      </c>
      <c r="N155" s="512" t="s">
        <v>721</v>
      </c>
      <c r="O155" s="513"/>
      <c r="P155" s="512" t="s">
        <v>721</v>
      </c>
      <c r="Q155" s="512" t="s">
        <v>25</v>
      </c>
      <c r="R155" s="513"/>
      <c r="S155" s="514">
        <v>58</v>
      </c>
      <c r="T155" s="298" t="str">
        <f t="shared" si="12"/>
        <v>HSGB0158</v>
      </c>
      <c r="U155" s="514">
        <v>17503</v>
      </c>
    </row>
    <row r="156" spans="12:21" ht="16.5" hidden="1">
      <c r="L156" s="512" t="s">
        <v>720</v>
      </c>
      <c r="M156" s="512" t="s">
        <v>740</v>
      </c>
      <c r="N156" s="512" t="s">
        <v>721</v>
      </c>
      <c r="O156" s="513"/>
      <c r="P156" s="512" t="s">
        <v>721</v>
      </c>
      <c r="Q156" s="512" t="s">
        <v>25</v>
      </c>
      <c r="R156" s="513"/>
      <c r="S156" s="514">
        <v>59</v>
      </c>
      <c r="T156" s="298" t="str">
        <f t="shared" si="12"/>
        <v>HSGB0159</v>
      </c>
      <c r="U156" s="514">
        <v>18047</v>
      </c>
    </row>
    <row r="157" spans="12:21" ht="16.5" hidden="1">
      <c r="L157" s="512" t="s">
        <v>720</v>
      </c>
      <c r="M157" s="512" t="s">
        <v>740</v>
      </c>
      <c r="N157" s="512" t="s">
        <v>721</v>
      </c>
      <c r="O157" s="513"/>
      <c r="P157" s="512" t="s">
        <v>721</v>
      </c>
      <c r="Q157" s="512" t="s">
        <v>25</v>
      </c>
      <c r="R157" s="513"/>
      <c r="S157" s="514">
        <v>60</v>
      </c>
      <c r="T157" s="298" t="str">
        <f t="shared" si="12"/>
        <v>HSGB0160</v>
      </c>
      <c r="U157" s="514">
        <v>18716</v>
      </c>
    </row>
    <row r="158" spans="12:21" ht="16.5" hidden="1">
      <c r="L158" s="512" t="s">
        <v>720</v>
      </c>
      <c r="M158" s="512" t="s">
        <v>740</v>
      </c>
      <c r="N158" s="512" t="s">
        <v>721</v>
      </c>
      <c r="O158" s="513"/>
      <c r="P158" s="512" t="s">
        <v>721</v>
      </c>
      <c r="Q158" s="512" t="s">
        <v>25</v>
      </c>
      <c r="R158" s="513"/>
      <c r="S158" s="514">
        <v>61</v>
      </c>
      <c r="T158" s="298" t="str">
        <f t="shared" si="12"/>
        <v>HSGB0161</v>
      </c>
      <c r="U158" s="514">
        <v>19518</v>
      </c>
    </row>
    <row r="159" spans="12:21" ht="16.5" hidden="1">
      <c r="L159" s="512" t="s">
        <v>720</v>
      </c>
      <c r="M159" s="512" t="s">
        <v>740</v>
      </c>
      <c r="N159" s="512" t="s">
        <v>721</v>
      </c>
      <c r="O159" s="513"/>
      <c r="P159" s="512" t="s">
        <v>721</v>
      </c>
      <c r="Q159" s="512" t="s">
        <v>25</v>
      </c>
      <c r="R159" s="513"/>
      <c r="S159" s="514">
        <v>62</v>
      </c>
      <c r="T159" s="298" t="str">
        <f t="shared" si="12"/>
        <v>HSGB0162</v>
      </c>
      <c r="U159" s="514">
        <v>20463</v>
      </c>
    </row>
    <row r="160" spans="12:21" ht="16.5" hidden="1">
      <c r="L160" s="512" t="s">
        <v>720</v>
      </c>
      <c r="M160" s="512" t="s">
        <v>740</v>
      </c>
      <c r="N160" s="512" t="s">
        <v>721</v>
      </c>
      <c r="O160" s="513"/>
      <c r="P160" s="512" t="s">
        <v>721</v>
      </c>
      <c r="Q160" s="512" t="s">
        <v>25</v>
      </c>
      <c r="R160" s="513"/>
      <c r="S160" s="514">
        <v>63</v>
      </c>
      <c r="T160" s="298" t="str">
        <f t="shared" si="12"/>
        <v>HSGB0163</v>
      </c>
      <c r="U160" s="514">
        <v>21569</v>
      </c>
    </row>
    <row r="161" spans="12:21" ht="16.5" hidden="1">
      <c r="L161" s="512" t="s">
        <v>720</v>
      </c>
      <c r="M161" s="512" t="s">
        <v>740</v>
      </c>
      <c r="N161" s="512" t="s">
        <v>721</v>
      </c>
      <c r="O161" s="513"/>
      <c r="P161" s="512" t="s">
        <v>721</v>
      </c>
      <c r="Q161" s="512" t="s">
        <v>25</v>
      </c>
      <c r="R161" s="513"/>
      <c r="S161" s="514">
        <v>64</v>
      </c>
      <c r="T161" s="298" t="str">
        <f t="shared" si="12"/>
        <v>HSGB0164</v>
      </c>
      <c r="U161" s="514">
        <v>22830</v>
      </c>
    </row>
    <row r="162" spans="12:21" ht="16.5" hidden="1">
      <c r="L162" s="512" t="s">
        <v>720</v>
      </c>
      <c r="M162" s="512" t="s">
        <v>740</v>
      </c>
      <c r="N162" s="512" t="s">
        <v>721</v>
      </c>
      <c r="O162" s="513"/>
      <c r="P162" s="512" t="s">
        <v>721</v>
      </c>
      <c r="Q162" s="512" t="s">
        <v>25</v>
      </c>
      <c r="R162" s="513"/>
      <c r="S162" s="514">
        <v>65</v>
      </c>
      <c r="T162" s="298" t="str">
        <f t="shared" si="12"/>
        <v>HSGB0165</v>
      </c>
      <c r="U162" s="514">
        <v>24252</v>
      </c>
    </row>
    <row r="163" spans="12:21" ht="16.5" hidden="1">
      <c r="L163" s="512" t="s">
        <v>720</v>
      </c>
      <c r="M163" s="512" t="s">
        <v>740</v>
      </c>
      <c r="N163" s="512" t="s">
        <v>721</v>
      </c>
      <c r="O163" s="513"/>
      <c r="P163" s="512" t="s">
        <v>721</v>
      </c>
      <c r="Q163" s="512" t="s">
        <v>25</v>
      </c>
      <c r="R163" s="513"/>
      <c r="S163" s="514">
        <v>66</v>
      </c>
      <c r="T163" s="298" t="str">
        <f t="shared" si="12"/>
        <v>HSGB0166</v>
      </c>
      <c r="U163" s="514">
        <v>25842</v>
      </c>
    </row>
    <row r="164" spans="12:21" ht="16.5" hidden="1">
      <c r="L164" s="512" t="s">
        <v>720</v>
      </c>
      <c r="M164" s="512" t="s">
        <v>740</v>
      </c>
      <c r="N164" s="512" t="s">
        <v>721</v>
      </c>
      <c r="O164" s="513"/>
      <c r="P164" s="512" t="s">
        <v>721</v>
      </c>
      <c r="Q164" s="512" t="s">
        <v>25</v>
      </c>
      <c r="R164" s="513"/>
      <c r="S164" s="514">
        <v>67</v>
      </c>
      <c r="T164" s="298" t="str">
        <f t="shared" si="12"/>
        <v>HSGB0167</v>
      </c>
      <c r="U164" s="514">
        <v>27609</v>
      </c>
    </row>
    <row r="165" spans="12:21" ht="16.5" hidden="1">
      <c r="L165" s="512" t="s">
        <v>720</v>
      </c>
      <c r="M165" s="512" t="s">
        <v>740</v>
      </c>
      <c r="N165" s="512" t="s">
        <v>721</v>
      </c>
      <c r="O165" s="513"/>
      <c r="P165" s="512" t="s">
        <v>721</v>
      </c>
      <c r="Q165" s="512" t="s">
        <v>25</v>
      </c>
      <c r="R165" s="513"/>
      <c r="S165" s="514">
        <v>68</v>
      </c>
      <c r="T165" s="298" t="str">
        <f t="shared" si="12"/>
        <v>HSGB0168</v>
      </c>
      <c r="U165" s="514">
        <v>29567</v>
      </c>
    </row>
    <row r="166" spans="12:21" ht="16.5" hidden="1">
      <c r="L166" s="512" t="s">
        <v>720</v>
      </c>
      <c r="M166" s="512" t="s">
        <v>740</v>
      </c>
      <c r="N166" s="512" t="s">
        <v>721</v>
      </c>
      <c r="O166" s="513"/>
      <c r="P166" s="512" t="s">
        <v>721</v>
      </c>
      <c r="Q166" s="512" t="s">
        <v>25</v>
      </c>
      <c r="R166" s="513"/>
      <c r="S166" s="514">
        <v>69</v>
      </c>
      <c r="T166" s="298" t="str">
        <f t="shared" si="12"/>
        <v>HSGB0169</v>
      </c>
      <c r="U166" s="514">
        <v>31714</v>
      </c>
    </row>
    <row r="167" spans="12:21" ht="16.5" hidden="1">
      <c r="L167" s="512" t="s">
        <v>720</v>
      </c>
      <c r="M167" s="512" t="s">
        <v>740</v>
      </c>
      <c r="N167" s="512" t="s">
        <v>721</v>
      </c>
      <c r="O167" s="513"/>
      <c r="P167" s="512" t="s">
        <v>721</v>
      </c>
      <c r="Q167" s="512" t="s">
        <v>25</v>
      </c>
      <c r="R167" s="513"/>
      <c r="S167" s="514">
        <v>70</v>
      </c>
      <c r="T167" s="298" t="str">
        <f t="shared" si="12"/>
        <v>HSGB0170</v>
      </c>
      <c r="U167" s="514">
        <v>34060</v>
      </c>
    </row>
    <row r="168" spans="12:21" ht="16.5" hidden="1">
      <c r="L168" s="512" t="s">
        <v>720</v>
      </c>
      <c r="M168" s="512" t="s">
        <v>740</v>
      </c>
      <c r="N168" s="512" t="s">
        <v>721</v>
      </c>
      <c r="O168" s="513"/>
      <c r="P168" s="512" t="s">
        <v>721</v>
      </c>
      <c r="Q168" s="512" t="s">
        <v>25</v>
      </c>
      <c r="R168" s="513"/>
      <c r="S168" s="514">
        <v>71</v>
      </c>
      <c r="T168" s="298" t="str">
        <f t="shared" si="12"/>
        <v>HSGB0171</v>
      </c>
      <c r="U168" s="514">
        <v>36622</v>
      </c>
    </row>
    <row r="169" spans="12:21" ht="16.5" hidden="1">
      <c r="L169" s="512" t="s">
        <v>720</v>
      </c>
      <c r="M169" s="512" t="s">
        <v>740</v>
      </c>
      <c r="N169" s="512" t="s">
        <v>721</v>
      </c>
      <c r="O169" s="513"/>
      <c r="P169" s="512" t="s">
        <v>721</v>
      </c>
      <c r="Q169" s="512" t="s">
        <v>26</v>
      </c>
      <c r="R169" s="513"/>
      <c r="S169" s="514">
        <v>20</v>
      </c>
      <c r="T169" s="298" t="str">
        <f t="shared" si="12"/>
        <v>HSGB0220</v>
      </c>
      <c r="U169" s="514">
        <v>4324</v>
      </c>
    </row>
    <row r="170" spans="12:21" ht="16.5" hidden="1">
      <c r="L170" s="512" t="s">
        <v>720</v>
      </c>
      <c r="M170" s="512" t="s">
        <v>740</v>
      </c>
      <c r="N170" s="512" t="s">
        <v>721</v>
      </c>
      <c r="O170" s="513"/>
      <c r="P170" s="512" t="s">
        <v>721</v>
      </c>
      <c r="Q170" s="512" t="s">
        <v>26</v>
      </c>
      <c r="R170" s="513"/>
      <c r="S170" s="514">
        <v>21</v>
      </c>
      <c r="T170" s="298" t="str">
        <f t="shared" si="12"/>
        <v>HSGB0221</v>
      </c>
      <c r="U170" s="514">
        <v>4361</v>
      </c>
    </row>
    <row r="171" spans="12:21" ht="16.5" hidden="1">
      <c r="L171" s="512" t="s">
        <v>720</v>
      </c>
      <c r="M171" s="512" t="s">
        <v>740</v>
      </c>
      <c r="N171" s="512" t="s">
        <v>721</v>
      </c>
      <c r="O171" s="513"/>
      <c r="P171" s="512" t="s">
        <v>721</v>
      </c>
      <c r="Q171" s="512" t="s">
        <v>26</v>
      </c>
      <c r="R171" s="513"/>
      <c r="S171" s="514">
        <v>22</v>
      </c>
      <c r="T171" s="298" t="str">
        <f t="shared" si="12"/>
        <v>HSGB0222</v>
      </c>
      <c r="U171" s="514">
        <v>4417</v>
      </c>
    </row>
    <row r="172" spans="12:21" ht="16.5" hidden="1">
      <c r="L172" s="512" t="s">
        <v>720</v>
      </c>
      <c r="M172" s="512" t="s">
        <v>740</v>
      </c>
      <c r="N172" s="512" t="s">
        <v>721</v>
      </c>
      <c r="O172" s="513"/>
      <c r="P172" s="512" t="s">
        <v>721</v>
      </c>
      <c r="Q172" s="512" t="s">
        <v>26</v>
      </c>
      <c r="R172" s="513"/>
      <c r="S172" s="514">
        <v>23</v>
      </c>
      <c r="T172" s="298" t="str">
        <f t="shared" si="12"/>
        <v>HSGB0223</v>
      </c>
      <c r="U172" s="514">
        <v>4493</v>
      </c>
    </row>
    <row r="173" spans="12:21" ht="16.5" hidden="1">
      <c r="L173" s="512" t="s">
        <v>720</v>
      </c>
      <c r="M173" s="512" t="s">
        <v>740</v>
      </c>
      <c r="N173" s="512" t="s">
        <v>721</v>
      </c>
      <c r="O173" s="513"/>
      <c r="P173" s="512" t="s">
        <v>721</v>
      </c>
      <c r="Q173" s="512" t="s">
        <v>26</v>
      </c>
      <c r="R173" s="513"/>
      <c r="S173" s="514">
        <v>24</v>
      </c>
      <c r="T173" s="298" t="str">
        <f t="shared" si="12"/>
        <v>HSGB0224</v>
      </c>
      <c r="U173" s="514">
        <v>4595</v>
      </c>
    </row>
    <row r="174" spans="12:21" ht="16.5" hidden="1">
      <c r="L174" s="512" t="s">
        <v>720</v>
      </c>
      <c r="M174" s="512" t="s">
        <v>740</v>
      </c>
      <c r="N174" s="512" t="s">
        <v>721</v>
      </c>
      <c r="O174" s="513"/>
      <c r="P174" s="512" t="s">
        <v>721</v>
      </c>
      <c r="Q174" s="512" t="s">
        <v>26</v>
      </c>
      <c r="R174" s="513"/>
      <c r="S174" s="514">
        <v>25</v>
      </c>
      <c r="T174" s="298" t="str">
        <f t="shared" si="12"/>
        <v>HSGB0225</v>
      </c>
      <c r="U174" s="514">
        <v>4725</v>
      </c>
    </row>
    <row r="175" spans="12:21" ht="16.5" hidden="1">
      <c r="L175" s="512" t="s">
        <v>720</v>
      </c>
      <c r="M175" s="512" t="s">
        <v>740</v>
      </c>
      <c r="N175" s="512" t="s">
        <v>721</v>
      </c>
      <c r="O175" s="513"/>
      <c r="P175" s="512" t="s">
        <v>721</v>
      </c>
      <c r="Q175" s="512" t="s">
        <v>26</v>
      </c>
      <c r="R175" s="513"/>
      <c r="S175" s="514">
        <v>26</v>
      </c>
      <c r="T175" s="298" t="str">
        <f t="shared" si="12"/>
        <v>HSGB0226</v>
      </c>
      <c r="U175" s="514">
        <v>4883</v>
      </c>
    </row>
    <row r="176" spans="12:21" ht="16.5" hidden="1">
      <c r="L176" s="512" t="s">
        <v>720</v>
      </c>
      <c r="M176" s="512" t="s">
        <v>740</v>
      </c>
      <c r="N176" s="512" t="s">
        <v>721</v>
      </c>
      <c r="O176" s="513"/>
      <c r="P176" s="512" t="s">
        <v>721</v>
      </c>
      <c r="Q176" s="512" t="s">
        <v>26</v>
      </c>
      <c r="R176" s="513"/>
      <c r="S176" s="514">
        <v>27</v>
      </c>
      <c r="T176" s="298" t="str">
        <f t="shared" si="12"/>
        <v>HSGB0227</v>
      </c>
      <c r="U176" s="514">
        <v>5071</v>
      </c>
    </row>
    <row r="177" spans="12:21" ht="16.5" hidden="1">
      <c r="L177" s="512" t="s">
        <v>720</v>
      </c>
      <c r="M177" s="512" t="s">
        <v>740</v>
      </c>
      <c r="N177" s="512" t="s">
        <v>721</v>
      </c>
      <c r="O177" s="513"/>
      <c r="P177" s="512" t="s">
        <v>721</v>
      </c>
      <c r="Q177" s="512" t="s">
        <v>26</v>
      </c>
      <c r="R177" s="513"/>
      <c r="S177" s="514">
        <v>28</v>
      </c>
      <c r="T177" s="298" t="str">
        <f t="shared" si="12"/>
        <v>HSGB0228</v>
      </c>
      <c r="U177" s="514">
        <v>5292</v>
      </c>
    </row>
    <row r="178" spans="12:21" ht="16.5" hidden="1">
      <c r="L178" s="512" t="s">
        <v>720</v>
      </c>
      <c r="M178" s="512" t="s">
        <v>740</v>
      </c>
      <c r="N178" s="512" t="s">
        <v>721</v>
      </c>
      <c r="O178" s="513"/>
      <c r="P178" s="512" t="s">
        <v>721</v>
      </c>
      <c r="Q178" s="512" t="s">
        <v>26</v>
      </c>
      <c r="R178" s="513"/>
      <c r="S178" s="514">
        <v>29</v>
      </c>
      <c r="T178" s="298" t="str">
        <f t="shared" si="12"/>
        <v>HSGB0229</v>
      </c>
      <c r="U178" s="514">
        <v>5525</v>
      </c>
    </row>
    <row r="179" spans="12:21" ht="16.5" hidden="1">
      <c r="L179" s="512" t="s">
        <v>720</v>
      </c>
      <c r="M179" s="512" t="s">
        <v>740</v>
      </c>
      <c r="N179" s="512" t="s">
        <v>721</v>
      </c>
      <c r="O179" s="513"/>
      <c r="P179" s="512" t="s">
        <v>721</v>
      </c>
      <c r="Q179" s="512" t="s">
        <v>26</v>
      </c>
      <c r="R179" s="513"/>
      <c r="S179" s="514">
        <v>30</v>
      </c>
      <c r="T179" s="298" t="str">
        <f t="shared" si="12"/>
        <v>HSGB0230</v>
      </c>
      <c r="U179" s="514">
        <v>5769</v>
      </c>
    </row>
    <row r="180" spans="12:21" ht="16.5" hidden="1">
      <c r="L180" s="512" t="s">
        <v>720</v>
      </c>
      <c r="M180" s="512" t="s">
        <v>740</v>
      </c>
      <c r="N180" s="512" t="s">
        <v>721</v>
      </c>
      <c r="O180" s="513"/>
      <c r="P180" s="512" t="s">
        <v>721</v>
      </c>
      <c r="Q180" s="512" t="s">
        <v>26</v>
      </c>
      <c r="R180" s="513"/>
      <c r="S180" s="514">
        <v>31</v>
      </c>
      <c r="T180" s="298" t="str">
        <f t="shared" si="12"/>
        <v>HSGB0231</v>
      </c>
      <c r="U180" s="514">
        <v>6027</v>
      </c>
    </row>
    <row r="181" spans="12:21" ht="16.5" hidden="1">
      <c r="L181" s="512" t="s">
        <v>720</v>
      </c>
      <c r="M181" s="512" t="s">
        <v>740</v>
      </c>
      <c r="N181" s="512" t="s">
        <v>721</v>
      </c>
      <c r="O181" s="513"/>
      <c r="P181" s="512" t="s">
        <v>721</v>
      </c>
      <c r="Q181" s="512" t="s">
        <v>26</v>
      </c>
      <c r="R181" s="513"/>
      <c r="S181" s="514">
        <v>32</v>
      </c>
      <c r="T181" s="298" t="str">
        <f t="shared" si="12"/>
        <v>HSGB0232</v>
      </c>
      <c r="U181" s="514">
        <v>6297</v>
      </c>
    </row>
    <row r="182" spans="12:21" ht="16.5" hidden="1">
      <c r="L182" s="512" t="s">
        <v>720</v>
      </c>
      <c r="M182" s="512" t="s">
        <v>740</v>
      </c>
      <c r="N182" s="512" t="s">
        <v>721</v>
      </c>
      <c r="O182" s="513"/>
      <c r="P182" s="512" t="s">
        <v>721</v>
      </c>
      <c r="Q182" s="512" t="s">
        <v>26</v>
      </c>
      <c r="R182" s="513"/>
      <c r="S182" s="514">
        <v>33</v>
      </c>
      <c r="T182" s="298" t="str">
        <f t="shared" si="12"/>
        <v>HSGB0233</v>
      </c>
      <c r="U182" s="514">
        <v>6583</v>
      </c>
    </row>
    <row r="183" spans="12:21" ht="16.5" hidden="1">
      <c r="L183" s="512" t="s">
        <v>720</v>
      </c>
      <c r="M183" s="512" t="s">
        <v>740</v>
      </c>
      <c r="N183" s="512" t="s">
        <v>721</v>
      </c>
      <c r="O183" s="513"/>
      <c r="P183" s="512" t="s">
        <v>721</v>
      </c>
      <c r="Q183" s="512" t="s">
        <v>26</v>
      </c>
      <c r="R183" s="513"/>
      <c r="S183" s="514">
        <v>34</v>
      </c>
      <c r="T183" s="298" t="str">
        <f t="shared" si="12"/>
        <v>HSGB0234</v>
      </c>
      <c r="U183" s="514">
        <v>6881</v>
      </c>
    </row>
    <row r="184" spans="12:21" ht="16.5" hidden="1">
      <c r="L184" s="512" t="s">
        <v>720</v>
      </c>
      <c r="M184" s="512" t="s">
        <v>740</v>
      </c>
      <c r="N184" s="512" t="s">
        <v>721</v>
      </c>
      <c r="O184" s="513"/>
      <c r="P184" s="512" t="s">
        <v>721</v>
      </c>
      <c r="Q184" s="512" t="s">
        <v>26</v>
      </c>
      <c r="R184" s="513"/>
      <c r="S184" s="514">
        <v>35</v>
      </c>
      <c r="T184" s="298" t="str">
        <f t="shared" si="12"/>
        <v>HSGB0235</v>
      </c>
      <c r="U184" s="514">
        <v>7190</v>
      </c>
    </row>
    <row r="185" spans="12:21" ht="16.5" hidden="1">
      <c r="L185" s="512" t="s">
        <v>720</v>
      </c>
      <c r="M185" s="512" t="s">
        <v>740</v>
      </c>
      <c r="N185" s="512" t="s">
        <v>721</v>
      </c>
      <c r="O185" s="513"/>
      <c r="P185" s="512" t="s">
        <v>721</v>
      </c>
      <c r="Q185" s="512" t="s">
        <v>26</v>
      </c>
      <c r="R185" s="513"/>
      <c r="S185" s="514">
        <v>36</v>
      </c>
      <c r="T185" s="298" t="str">
        <f t="shared" si="12"/>
        <v>HSGB0236</v>
      </c>
      <c r="U185" s="514">
        <v>7510</v>
      </c>
    </row>
    <row r="186" spans="12:21" ht="16.5" hidden="1">
      <c r="L186" s="512" t="s">
        <v>720</v>
      </c>
      <c r="M186" s="512" t="s">
        <v>740</v>
      </c>
      <c r="N186" s="512" t="s">
        <v>721</v>
      </c>
      <c r="O186" s="513"/>
      <c r="P186" s="512" t="s">
        <v>721</v>
      </c>
      <c r="Q186" s="512" t="s">
        <v>26</v>
      </c>
      <c r="R186" s="513"/>
      <c r="S186" s="514">
        <v>37</v>
      </c>
      <c r="T186" s="298" t="str">
        <f t="shared" si="12"/>
        <v>HSGB0237</v>
      </c>
      <c r="U186" s="514">
        <v>7843</v>
      </c>
    </row>
    <row r="187" spans="12:21" ht="16.5" hidden="1">
      <c r="L187" s="512" t="s">
        <v>720</v>
      </c>
      <c r="M187" s="512" t="s">
        <v>740</v>
      </c>
      <c r="N187" s="512" t="s">
        <v>721</v>
      </c>
      <c r="O187" s="513"/>
      <c r="P187" s="512" t="s">
        <v>721</v>
      </c>
      <c r="Q187" s="512" t="s">
        <v>26</v>
      </c>
      <c r="R187" s="513"/>
      <c r="S187" s="514">
        <v>38</v>
      </c>
      <c r="T187" s="298" t="str">
        <f t="shared" si="12"/>
        <v>HSGB0238</v>
      </c>
      <c r="U187" s="514">
        <v>8188</v>
      </c>
    </row>
    <row r="188" spans="12:21" ht="16.5" hidden="1">
      <c r="L188" s="512" t="s">
        <v>720</v>
      </c>
      <c r="M188" s="512" t="s">
        <v>740</v>
      </c>
      <c r="N188" s="512" t="s">
        <v>721</v>
      </c>
      <c r="O188" s="513"/>
      <c r="P188" s="512" t="s">
        <v>721</v>
      </c>
      <c r="Q188" s="512" t="s">
        <v>26</v>
      </c>
      <c r="R188" s="513"/>
      <c r="S188" s="514">
        <v>39</v>
      </c>
      <c r="T188" s="298" t="str">
        <f t="shared" si="12"/>
        <v>HSGB0239</v>
      </c>
      <c r="U188" s="514">
        <v>8529</v>
      </c>
    </row>
    <row r="189" spans="12:21" ht="16.5" hidden="1">
      <c r="L189" s="512" t="s">
        <v>720</v>
      </c>
      <c r="M189" s="512" t="s">
        <v>740</v>
      </c>
      <c r="N189" s="512" t="s">
        <v>721</v>
      </c>
      <c r="O189" s="513"/>
      <c r="P189" s="512" t="s">
        <v>721</v>
      </c>
      <c r="Q189" s="512" t="s">
        <v>26</v>
      </c>
      <c r="R189" s="513"/>
      <c r="S189" s="514">
        <v>40</v>
      </c>
      <c r="T189" s="298" t="str">
        <f t="shared" si="12"/>
        <v>HSGB0240</v>
      </c>
      <c r="U189" s="514">
        <v>8864</v>
      </c>
    </row>
    <row r="190" spans="12:21" ht="16.5" hidden="1">
      <c r="L190" s="512" t="s">
        <v>720</v>
      </c>
      <c r="M190" s="512" t="s">
        <v>740</v>
      </c>
      <c r="N190" s="512" t="s">
        <v>721</v>
      </c>
      <c r="O190" s="513"/>
      <c r="P190" s="512" t="s">
        <v>721</v>
      </c>
      <c r="Q190" s="512" t="s">
        <v>26</v>
      </c>
      <c r="R190" s="513"/>
      <c r="S190" s="514">
        <v>41</v>
      </c>
      <c r="T190" s="298" t="str">
        <f t="shared" si="12"/>
        <v>HSGB0241</v>
      </c>
      <c r="U190" s="514">
        <v>9194</v>
      </c>
    </row>
    <row r="191" spans="12:21" ht="16.5" hidden="1">
      <c r="L191" s="512" t="s">
        <v>720</v>
      </c>
      <c r="M191" s="512" t="s">
        <v>740</v>
      </c>
      <c r="N191" s="512" t="s">
        <v>721</v>
      </c>
      <c r="O191" s="513"/>
      <c r="P191" s="512" t="s">
        <v>721</v>
      </c>
      <c r="Q191" s="512" t="s">
        <v>26</v>
      </c>
      <c r="R191" s="513"/>
      <c r="S191" s="514">
        <v>42</v>
      </c>
      <c r="T191" s="298" t="str">
        <f t="shared" si="12"/>
        <v>HSGB0242</v>
      </c>
      <c r="U191" s="514">
        <v>9519</v>
      </c>
    </row>
    <row r="192" spans="12:21" ht="16.5" hidden="1">
      <c r="L192" s="512" t="s">
        <v>720</v>
      </c>
      <c r="M192" s="512" t="s">
        <v>740</v>
      </c>
      <c r="N192" s="512" t="s">
        <v>721</v>
      </c>
      <c r="O192" s="513"/>
      <c r="P192" s="512" t="s">
        <v>721</v>
      </c>
      <c r="Q192" s="512" t="s">
        <v>26</v>
      </c>
      <c r="R192" s="513"/>
      <c r="S192" s="514">
        <v>43</v>
      </c>
      <c r="T192" s="298" t="str">
        <f t="shared" si="12"/>
        <v>HSGB0243</v>
      </c>
      <c r="U192" s="514">
        <v>9840</v>
      </c>
    </row>
    <row r="193" spans="12:21" ht="16.5" hidden="1">
      <c r="L193" s="512" t="s">
        <v>720</v>
      </c>
      <c r="M193" s="512" t="s">
        <v>740</v>
      </c>
      <c r="N193" s="512" t="s">
        <v>721</v>
      </c>
      <c r="O193" s="513"/>
      <c r="P193" s="512" t="s">
        <v>721</v>
      </c>
      <c r="Q193" s="512" t="s">
        <v>26</v>
      </c>
      <c r="R193" s="513"/>
      <c r="S193" s="514">
        <v>44</v>
      </c>
      <c r="T193" s="298" t="str">
        <f t="shared" si="12"/>
        <v>HSGB0244</v>
      </c>
      <c r="U193" s="514">
        <v>10149</v>
      </c>
    </row>
    <row r="194" spans="12:21" ht="16.5" hidden="1">
      <c r="L194" s="512" t="s">
        <v>720</v>
      </c>
      <c r="M194" s="512" t="s">
        <v>740</v>
      </c>
      <c r="N194" s="512" t="s">
        <v>721</v>
      </c>
      <c r="O194" s="513"/>
      <c r="P194" s="512" t="s">
        <v>721</v>
      </c>
      <c r="Q194" s="512" t="s">
        <v>26</v>
      </c>
      <c r="R194" s="513"/>
      <c r="S194" s="514">
        <v>45</v>
      </c>
      <c r="T194" s="298" t="str">
        <f t="shared" ref="T194:T257" si="13">M194&amp;TEXT(Q194,"00")&amp;TEXT(S194,"00")</f>
        <v>HSGB0245</v>
      </c>
      <c r="U194" s="514">
        <v>10447</v>
      </c>
    </row>
    <row r="195" spans="12:21" ht="16.5" hidden="1">
      <c r="L195" s="512" t="s">
        <v>720</v>
      </c>
      <c r="M195" s="512" t="s">
        <v>740</v>
      </c>
      <c r="N195" s="512" t="s">
        <v>721</v>
      </c>
      <c r="O195" s="513"/>
      <c r="P195" s="512" t="s">
        <v>721</v>
      </c>
      <c r="Q195" s="512" t="s">
        <v>26</v>
      </c>
      <c r="R195" s="513"/>
      <c r="S195" s="514">
        <v>46</v>
      </c>
      <c r="T195" s="298" t="str">
        <f t="shared" si="13"/>
        <v>HSGB0246</v>
      </c>
      <c r="U195" s="514">
        <v>10733</v>
      </c>
    </row>
    <row r="196" spans="12:21" ht="16.5" hidden="1">
      <c r="L196" s="512" t="s">
        <v>720</v>
      </c>
      <c r="M196" s="512" t="s">
        <v>740</v>
      </c>
      <c r="N196" s="512" t="s">
        <v>721</v>
      </c>
      <c r="O196" s="513"/>
      <c r="P196" s="512" t="s">
        <v>721</v>
      </c>
      <c r="Q196" s="512" t="s">
        <v>26</v>
      </c>
      <c r="R196" s="513"/>
      <c r="S196" s="514">
        <v>47</v>
      </c>
      <c r="T196" s="298" t="str">
        <f t="shared" si="13"/>
        <v>HSGB0247</v>
      </c>
      <c r="U196" s="514">
        <v>11007</v>
      </c>
    </row>
    <row r="197" spans="12:21" ht="16.5" hidden="1">
      <c r="L197" s="512" t="s">
        <v>720</v>
      </c>
      <c r="M197" s="512" t="s">
        <v>740</v>
      </c>
      <c r="N197" s="512" t="s">
        <v>721</v>
      </c>
      <c r="O197" s="513"/>
      <c r="P197" s="512" t="s">
        <v>721</v>
      </c>
      <c r="Q197" s="512" t="s">
        <v>26</v>
      </c>
      <c r="R197" s="513"/>
      <c r="S197" s="514">
        <v>48</v>
      </c>
      <c r="T197" s="298" t="str">
        <f t="shared" si="13"/>
        <v>HSGB0248</v>
      </c>
      <c r="U197" s="514">
        <v>11267</v>
      </c>
    </row>
    <row r="198" spans="12:21" ht="16.5" hidden="1">
      <c r="L198" s="512" t="s">
        <v>720</v>
      </c>
      <c r="M198" s="512" t="s">
        <v>740</v>
      </c>
      <c r="N198" s="512" t="s">
        <v>721</v>
      </c>
      <c r="O198" s="513"/>
      <c r="P198" s="512" t="s">
        <v>721</v>
      </c>
      <c r="Q198" s="512" t="s">
        <v>26</v>
      </c>
      <c r="R198" s="513"/>
      <c r="S198" s="514">
        <v>49</v>
      </c>
      <c r="T198" s="298" t="str">
        <f t="shared" si="13"/>
        <v>HSGB0249</v>
      </c>
      <c r="U198" s="514">
        <v>11505</v>
      </c>
    </row>
    <row r="199" spans="12:21" ht="16.5" hidden="1">
      <c r="L199" s="512" t="s">
        <v>720</v>
      </c>
      <c r="M199" s="512" t="s">
        <v>740</v>
      </c>
      <c r="N199" s="512" t="s">
        <v>721</v>
      </c>
      <c r="O199" s="513"/>
      <c r="P199" s="512" t="s">
        <v>721</v>
      </c>
      <c r="Q199" s="512" t="s">
        <v>26</v>
      </c>
      <c r="R199" s="513"/>
      <c r="S199" s="514">
        <v>50</v>
      </c>
      <c r="T199" s="298" t="str">
        <f t="shared" si="13"/>
        <v>HSGB0250</v>
      </c>
      <c r="U199" s="514">
        <v>11721</v>
      </c>
    </row>
    <row r="200" spans="12:21" ht="16.5" hidden="1">
      <c r="L200" s="512" t="s">
        <v>720</v>
      </c>
      <c r="M200" s="512" t="s">
        <v>740</v>
      </c>
      <c r="N200" s="512" t="s">
        <v>721</v>
      </c>
      <c r="O200" s="513"/>
      <c r="P200" s="512" t="s">
        <v>721</v>
      </c>
      <c r="Q200" s="512" t="s">
        <v>26</v>
      </c>
      <c r="R200" s="513"/>
      <c r="S200" s="514">
        <v>51</v>
      </c>
      <c r="T200" s="298" t="str">
        <f t="shared" si="13"/>
        <v>HSGB0251</v>
      </c>
      <c r="U200" s="514">
        <v>11915</v>
      </c>
    </row>
    <row r="201" spans="12:21" ht="16.5" hidden="1">
      <c r="L201" s="512" t="s">
        <v>720</v>
      </c>
      <c r="M201" s="512" t="s">
        <v>740</v>
      </c>
      <c r="N201" s="512" t="s">
        <v>721</v>
      </c>
      <c r="O201" s="513"/>
      <c r="P201" s="512" t="s">
        <v>721</v>
      </c>
      <c r="Q201" s="512" t="s">
        <v>26</v>
      </c>
      <c r="R201" s="513"/>
      <c r="S201" s="514">
        <v>52</v>
      </c>
      <c r="T201" s="298" t="str">
        <f t="shared" si="13"/>
        <v>HSGB0252</v>
      </c>
      <c r="U201" s="514">
        <v>12085</v>
      </c>
    </row>
    <row r="202" spans="12:21" ht="16.5" hidden="1">
      <c r="L202" s="512" t="s">
        <v>720</v>
      </c>
      <c r="M202" s="512" t="s">
        <v>740</v>
      </c>
      <c r="N202" s="512" t="s">
        <v>721</v>
      </c>
      <c r="O202" s="513"/>
      <c r="P202" s="512" t="s">
        <v>721</v>
      </c>
      <c r="Q202" s="512" t="s">
        <v>26</v>
      </c>
      <c r="R202" s="513"/>
      <c r="S202" s="514">
        <v>53</v>
      </c>
      <c r="T202" s="298" t="str">
        <f t="shared" si="13"/>
        <v>HSGB0253</v>
      </c>
      <c r="U202" s="514">
        <v>12232</v>
      </c>
    </row>
    <row r="203" spans="12:21" ht="16.5" hidden="1">
      <c r="L203" s="512" t="s">
        <v>720</v>
      </c>
      <c r="M203" s="512" t="s">
        <v>740</v>
      </c>
      <c r="N203" s="512" t="s">
        <v>721</v>
      </c>
      <c r="O203" s="513"/>
      <c r="P203" s="512" t="s">
        <v>721</v>
      </c>
      <c r="Q203" s="512" t="s">
        <v>26</v>
      </c>
      <c r="R203" s="513"/>
      <c r="S203" s="514">
        <v>54</v>
      </c>
      <c r="T203" s="298" t="str">
        <f t="shared" si="13"/>
        <v>HSGB0254</v>
      </c>
      <c r="U203" s="514">
        <v>12414</v>
      </c>
    </row>
    <row r="204" spans="12:21" ht="16.5" hidden="1">
      <c r="L204" s="512" t="s">
        <v>720</v>
      </c>
      <c r="M204" s="512" t="s">
        <v>740</v>
      </c>
      <c r="N204" s="512" t="s">
        <v>721</v>
      </c>
      <c r="O204" s="513"/>
      <c r="P204" s="512" t="s">
        <v>721</v>
      </c>
      <c r="Q204" s="512" t="s">
        <v>26</v>
      </c>
      <c r="R204" s="513"/>
      <c r="S204" s="514">
        <v>55</v>
      </c>
      <c r="T204" s="298" t="str">
        <f t="shared" si="13"/>
        <v>HSGB0255</v>
      </c>
      <c r="U204" s="514">
        <v>12632</v>
      </c>
    </row>
    <row r="205" spans="12:21" ht="16.5" hidden="1">
      <c r="L205" s="512" t="s">
        <v>720</v>
      </c>
      <c r="M205" s="512" t="s">
        <v>740</v>
      </c>
      <c r="N205" s="512" t="s">
        <v>721</v>
      </c>
      <c r="O205" s="513"/>
      <c r="P205" s="512" t="s">
        <v>721</v>
      </c>
      <c r="Q205" s="512" t="s">
        <v>26</v>
      </c>
      <c r="R205" s="513"/>
      <c r="S205" s="514">
        <v>56</v>
      </c>
      <c r="T205" s="298" t="str">
        <f t="shared" si="13"/>
        <v>HSGB0256</v>
      </c>
      <c r="U205" s="514">
        <v>12886</v>
      </c>
    </row>
    <row r="206" spans="12:21" ht="16.5" hidden="1">
      <c r="L206" s="512" t="s">
        <v>720</v>
      </c>
      <c r="M206" s="512" t="s">
        <v>740</v>
      </c>
      <c r="N206" s="512" t="s">
        <v>721</v>
      </c>
      <c r="O206" s="513"/>
      <c r="P206" s="512" t="s">
        <v>721</v>
      </c>
      <c r="Q206" s="512" t="s">
        <v>26</v>
      </c>
      <c r="R206" s="513"/>
      <c r="S206" s="514">
        <v>57</v>
      </c>
      <c r="T206" s="298" t="str">
        <f t="shared" si="13"/>
        <v>HSGB0257</v>
      </c>
      <c r="U206" s="514">
        <v>13176</v>
      </c>
    </row>
    <row r="207" spans="12:21" ht="16.5" hidden="1">
      <c r="L207" s="512" t="s">
        <v>720</v>
      </c>
      <c r="M207" s="512" t="s">
        <v>740</v>
      </c>
      <c r="N207" s="512" t="s">
        <v>721</v>
      </c>
      <c r="O207" s="513"/>
      <c r="P207" s="512" t="s">
        <v>721</v>
      </c>
      <c r="Q207" s="512" t="s">
        <v>26</v>
      </c>
      <c r="R207" s="513"/>
      <c r="S207" s="514">
        <v>58</v>
      </c>
      <c r="T207" s="298" t="str">
        <f t="shared" si="13"/>
        <v>HSGB0258</v>
      </c>
      <c r="U207" s="514">
        <v>13502</v>
      </c>
    </row>
    <row r="208" spans="12:21" ht="16.5" hidden="1">
      <c r="L208" s="512" t="s">
        <v>720</v>
      </c>
      <c r="M208" s="512" t="s">
        <v>740</v>
      </c>
      <c r="N208" s="512" t="s">
        <v>721</v>
      </c>
      <c r="O208" s="513"/>
      <c r="P208" s="512" t="s">
        <v>721</v>
      </c>
      <c r="Q208" s="512" t="s">
        <v>26</v>
      </c>
      <c r="R208" s="513"/>
      <c r="S208" s="514">
        <v>59</v>
      </c>
      <c r="T208" s="298" t="str">
        <f t="shared" si="13"/>
        <v>HSGB0259</v>
      </c>
      <c r="U208" s="514">
        <v>13928</v>
      </c>
    </row>
    <row r="209" spans="12:21" ht="16.5" hidden="1">
      <c r="L209" s="512" t="s">
        <v>720</v>
      </c>
      <c r="M209" s="512" t="s">
        <v>740</v>
      </c>
      <c r="N209" s="512" t="s">
        <v>721</v>
      </c>
      <c r="O209" s="513"/>
      <c r="P209" s="512" t="s">
        <v>721</v>
      </c>
      <c r="Q209" s="512" t="s">
        <v>26</v>
      </c>
      <c r="R209" s="513"/>
      <c r="S209" s="514">
        <v>60</v>
      </c>
      <c r="T209" s="298" t="str">
        <f t="shared" si="13"/>
        <v>HSGB0260</v>
      </c>
      <c r="U209" s="514">
        <v>14457</v>
      </c>
    </row>
    <row r="210" spans="12:21" ht="16.5" hidden="1">
      <c r="L210" s="512" t="s">
        <v>720</v>
      </c>
      <c r="M210" s="512" t="s">
        <v>740</v>
      </c>
      <c r="N210" s="512" t="s">
        <v>721</v>
      </c>
      <c r="O210" s="513"/>
      <c r="P210" s="512" t="s">
        <v>721</v>
      </c>
      <c r="Q210" s="512" t="s">
        <v>26</v>
      </c>
      <c r="R210" s="513"/>
      <c r="S210" s="514">
        <v>61</v>
      </c>
      <c r="T210" s="298" t="str">
        <f t="shared" si="13"/>
        <v>HSGB0261</v>
      </c>
      <c r="U210" s="514">
        <v>15096</v>
      </c>
    </row>
    <row r="211" spans="12:21" ht="16.5" hidden="1">
      <c r="L211" s="512" t="s">
        <v>720</v>
      </c>
      <c r="M211" s="512" t="s">
        <v>740</v>
      </c>
      <c r="N211" s="512" t="s">
        <v>721</v>
      </c>
      <c r="O211" s="513"/>
      <c r="P211" s="512" t="s">
        <v>721</v>
      </c>
      <c r="Q211" s="512" t="s">
        <v>26</v>
      </c>
      <c r="R211" s="513"/>
      <c r="S211" s="514">
        <v>62</v>
      </c>
      <c r="T211" s="298" t="str">
        <f t="shared" si="13"/>
        <v>HSGB0262</v>
      </c>
      <c r="U211" s="514">
        <v>15850</v>
      </c>
    </row>
    <row r="212" spans="12:21" ht="16.5" hidden="1">
      <c r="L212" s="512" t="s">
        <v>720</v>
      </c>
      <c r="M212" s="512" t="s">
        <v>740</v>
      </c>
      <c r="N212" s="512" t="s">
        <v>721</v>
      </c>
      <c r="O212" s="513"/>
      <c r="P212" s="512" t="s">
        <v>721</v>
      </c>
      <c r="Q212" s="512" t="s">
        <v>26</v>
      </c>
      <c r="R212" s="513"/>
      <c r="S212" s="514">
        <v>63</v>
      </c>
      <c r="T212" s="298" t="str">
        <f t="shared" si="13"/>
        <v>HSGB0263</v>
      </c>
      <c r="U212" s="514">
        <v>16734</v>
      </c>
    </row>
    <row r="213" spans="12:21" ht="16.5" hidden="1">
      <c r="L213" s="512" t="s">
        <v>720</v>
      </c>
      <c r="M213" s="512" t="s">
        <v>740</v>
      </c>
      <c r="N213" s="512" t="s">
        <v>721</v>
      </c>
      <c r="O213" s="513"/>
      <c r="P213" s="512" t="s">
        <v>721</v>
      </c>
      <c r="Q213" s="512" t="s">
        <v>26</v>
      </c>
      <c r="R213" s="513"/>
      <c r="S213" s="514">
        <v>64</v>
      </c>
      <c r="T213" s="298" t="str">
        <f t="shared" si="13"/>
        <v>HSGB0264</v>
      </c>
      <c r="U213" s="514">
        <v>17741</v>
      </c>
    </row>
    <row r="214" spans="12:21" ht="16.5" hidden="1">
      <c r="L214" s="512" t="s">
        <v>720</v>
      </c>
      <c r="M214" s="512" t="s">
        <v>740</v>
      </c>
      <c r="N214" s="512" t="s">
        <v>721</v>
      </c>
      <c r="O214" s="513"/>
      <c r="P214" s="512" t="s">
        <v>721</v>
      </c>
      <c r="Q214" s="512" t="s">
        <v>26</v>
      </c>
      <c r="R214" s="513"/>
      <c r="S214" s="514">
        <v>65</v>
      </c>
      <c r="T214" s="298" t="str">
        <f t="shared" si="13"/>
        <v>HSGB0265</v>
      </c>
      <c r="U214" s="514">
        <v>18876</v>
      </c>
    </row>
    <row r="215" spans="12:21" ht="16.5" hidden="1">
      <c r="L215" s="512" t="s">
        <v>720</v>
      </c>
      <c r="M215" s="512" t="s">
        <v>740</v>
      </c>
      <c r="N215" s="512" t="s">
        <v>721</v>
      </c>
      <c r="O215" s="513"/>
      <c r="P215" s="512" t="s">
        <v>721</v>
      </c>
      <c r="Q215" s="512" t="s">
        <v>26</v>
      </c>
      <c r="R215" s="513"/>
      <c r="S215" s="514">
        <v>66</v>
      </c>
      <c r="T215" s="298" t="str">
        <f t="shared" si="13"/>
        <v>HSGB0266</v>
      </c>
      <c r="U215" s="514">
        <v>20143</v>
      </c>
    </row>
    <row r="216" spans="12:21" ht="16.5" hidden="1">
      <c r="L216" s="512" t="s">
        <v>720</v>
      </c>
      <c r="M216" s="512" t="s">
        <v>740</v>
      </c>
      <c r="N216" s="512" t="s">
        <v>721</v>
      </c>
      <c r="O216" s="513"/>
      <c r="P216" s="512" t="s">
        <v>721</v>
      </c>
      <c r="Q216" s="512" t="s">
        <v>26</v>
      </c>
      <c r="R216" s="513"/>
      <c r="S216" s="514">
        <v>67</v>
      </c>
      <c r="T216" s="298" t="str">
        <f t="shared" si="13"/>
        <v>HSGB0267</v>
      </c>
      <c r="U216" s="514">
        <v>21548</v>
      </c>
    </row>
    <row r="217" spans="12:21" ht="16.5" hidden="1">
      <c r="L217" s="512" t="s">
        <v>720</v>
      </c>
      <c r="M217" s="512" t="s">
        <v>740</v>
      </c>
      <c r="N217" s="512" t="s">
        <v>721</v>
      </c>
      <c r="O217" s="513"/>
      <c r="P217" s="512" t="s">
        <v>721</v>
      </c>
      <c r="Q217" s="512" t="s">
        <v>26</v>
      </c>
      <c r="R217" s="513"/>
      <c r="S217" s="514">
        <v>68</v>
      </c>
      <c r="T217" s="298" t="str">
        <f t="shared" si="13"/>
        <v>HSGB0268</v>
      </c>
      <c r="U217" s="514">
        <v>23102</v>
      </c>
    </row>
    <row r="218" spans="12:21" ht="16.5" hidden="1">
      <c r="L218" s="512" t="s">
        <v>720</v>
      </c>
      <c r="M218" s="512" t="s">
        <v>740</v>
      </c>
      <c r="N218" s="512" t="s">
        <v>721</v>
      </c>
      <c r="O218" s="513"/>
      <c r="P218" s="512" t="s">
        <v>721</v>
      </c>
      <c r="Q218" s="512" t="s">
        <v>26</v>
      </c>
      <c r="R218" s="513"/>
      <c r="S218" s="514">
        <v>69</v>
      </c>
      <c r="T218" s="298" t="str">
        <f t="shared" si="13"/>
        <v>HSGB0269</v>
      </c>
      <c r="U218" s="514">
        <v>24801</v>
      </c>
    </row>
    <row r="219" spans="12:21" ht="16.5" hidden="1">
      <c r="L219" s="512" t="s">
        <v>720</v>
      </c>
      <c r="M219" s="512" t="s">
        <v>740</v>
      </c>
      <c r="N219" s="512" t="s">
        <v>721</v>
      </c>
      <c r="O219" s="513"/>
      <c r="P219" s="512" t="s">
        <v>721</v>
      </c>
      <c r="Q219" s="512" t="s">
        <v>26</v>
      </c>
      <c r="R219" s="513"/>
      <c r="S219" s="514">
        <v>70</v>
      </c>
      <c r="T219" s="298" t="str">
        <f t="shared" si="13"/>
        <v>HSGB0270</v>
      </c>
      <c r="U219" s="514">
        <v>26654</v>
      </c>
    </row>
    <row r="220" spans="12:21" ht="16.5" hidden="1">
      <c r="L220" s="512" t="s">
        <v>720</v>
      </c>
      <c r="M220" s="512" t="s">
        <v>740</v>
      </c>
      <c r="N220" s="512" t="s">
        <v>721</v>
      </c>
      <c r="O220" s="513"/>
      <c r="P220" s="512" t="s">
        <v>721</v>
      </c>
      <c r="Q220" s="512" t="s">
        <v>26</v>
      </c>
      <c r="R220" s="513"/>
      <c r="S220" s="514">
        <v>71</v>
      </c>
      <c r="T220" s="298" t="str">
        <f t="shared" si="13"/>
        <v>HSGB0271</v>
      </c>
      <c r="U220" s="514">
        <v>28669</v>
      </c>
    </row>
    <row r="221" spans="12:21" ht="16.5" hidden="1">
      <c r="L221" s="512" t="s">
        <v>720</v>
      </c>
      <c r="M221" s="512" t="s">
        <v>740</v>
      </c>
      <c r="N221" s="512" t="s">
        <v>721</v>
      </c>
      <c r="O221" s="513"/>
      <c r="P221" s="512" t="s">
        <v>721</v>
      </c>
      <c r="Q221" s="512" t="s">
        <v>25</v>
      </c>
      <c r="R221" s="513"/>
      <c r="S221" s="514">
        <v>15</v>
      </c>
      <c r="T221" s="298" t="str">
        <f t="shared" si="13"/>
        <v>HSGB0115</v>
      </c>
      <c r="U221" s="514">
        <v>3537</v>
      </c>
    </row>
    <row r="222" spans="12:21" ht="16.5" hidden="1">
      <c r="L222" s="512" t="s">
        <v>720</v>
      </c>
      <c r="M222" s="512" t="s">
        <v>740</v>
      </c>
      <c r="N222" s="512" t="s">
        <v>721</v>
      </c>
      <c r="O222" s="513"/>
      <c r="P222" s="512" t="s">
        <v>721</v>
      </c>
      <c r="Q222" s="512" t="s">
        <v>25</v>
      </c>
      <c r="R222" s="513"/>
      <c r="S222" s="514">
        <v>16</v>
      </c>
      <c r="T222" s="298" t="str">
        <f t="shared" si="13"/>
        <v>HSGB0116</v>
      </c>
      <c r="U222" s="514">
        <v>3537</v>
      </c>
    </row>
    <row r="223" spans="12:21" ht="16.5" hidden="1">
      <c r="L223" s="512" t="s">
        <v>720</v>
      </c>
      <c r="M223" s="512" t="s">
        <v>740</v>
      </c>
      <c r="N223" s="512" t="s">
        <v>721</v>
      </c>
      <c r="O223" s="513"/>
      <c r="P223" s="512" t="s">
        <v>721</v>
      </c>
      <c r="Q223" s="512" t="s">
        <v>25</v>
      </c>
      <c r="R223" s="513"/>
      <c r="S223" s="514">
        <v>17</v>
      </c>
      <c r="T223" s="298" t="str">
        <f t="shared" si="13"/>
        <v>HSGB0117</v>
      </c>
      <c r="U223" s="514">
        <v>3537</v>
      </c>
    </row>
    <row r="224" spans="12:21" ht="16.5" hidden="1">
      <c r="L224" s="512" t="s">
        <v>720</v>
      </c>
      <c r="M224" s="512" t="s">
        <v>740</v>
      </c>
      <c r="N224" s="512" t="s">
        <v>721</v>
      </c>
      <c r="O224" s="513"/>
      <c r="P224" s="512" t="s">
        <v>721</v>
      </c>
      <c r="Q224" s="512" t="s">
        <v>25</v>
      </c>
      <c r="R224" s="513"/>
      <c r="S224" s="514">
        <v>18</v>
      </c>
      <c r="T224" s="298" t="str">
        <f t="shared" si="13"/>
        <v>HSGB0118</v>
      </c>
      <c r="U224" s="514">
        <v>3537</v>
      </c>
    </row>
    <row r="225" spans="12:21" ht="16.5" hidden="1">
      <c r="L225" s="512" t="s">
        <v>720</v>
      </c>
      <c r="M225" s="512" t="s">
        <v>740</v>
      </c>
      <c r="N225" s="512" t="s">
        <v>721</v>
      </c>
      <c r="O225" s="513"/>
      <c r="P225" s="512" t="s">
        <v>721</v>
      </c>
      <c r="Q225" s="512" t="s">
        <v>25</v>
      </c>
      <c r="R225" s="513"/>
      <c r="S225" s="514">
        <v>19</v>
      </c>
      <c r="T225" s="298" t="str">
        <f t="shared" si="13"/>
        <v>HSGB0119</v>
      </c>
      <c r="U225" s="514">
        <v>3557</v>
      </c>
    </row>
    <row r="226" spans="12:21" ht="16.5" hidden="1">
      <c r="L226" s="512" t="s">
        <v>720</v>
      </c>
      <c r="M226" s="512" t="s">
        <v>740</v>
      </c>
      <c r="N226" s="512" t="s">
        <v>721</v>
      </c>
      <c r="O226" s="513"/>
      <c r="P226" s="512" t="s">
        <v>721</v>
      </c>
      <c r="Q226" s="512" t="s">
        <v>26</v>
      </c>
      <c r="R226" s="513"/>
      <c r="S226" s="514">
        <v>15</v>
      </c>
      <c r="T226" s="298" t="str">
        <f t="shared" si="13"/>
        <v>HSGB0215</v>
      </c>
      <c r="U226" s="514">
        <v>4302</v>
      </c>
    </row>
    <row r="227" spans="12:21" ht="16.5" hidden="1">
      <c r="L227" s="512" t="s">
        <v>720</v>
      </c>
      <c r="M227" s="512" t="s">
        <v>740</v>
      </c>
      <c r="N227" s="512" t="s">
        <v>721</v>
      </c>
      <c r="O227" s="513"/>
      <c r="P227" s="512" t="s">
        <v>721</v>
      </c>
      <c r="Q227" s="512" t="s">
        <v>26</v>
      </c>
      <c r="R227" s="513"/>
      <c r="S227" s="514">
        <v>16</v>
      </c>
      <c r="T227" s="298" t="str">
        <f t="shared" si="13"/>
        <v>HSGB0216</v>
      </c>
      <c r="U227" s="514">
        <v>4302</v>
      </c>
    </row>
    <row r="228" spans="12:21" ht="16.5" hidden="1">
      <c r="L228" s="512" t="s">
        <v>720</v>
      </c>
      <c r="M228" s="512" t="s">
        <v>740</v>
      </c>
      <c r="N228" s="512" t="s">
        <v>721</v>
      </c>
      <c r="O228" s="513"/>
      <c r="P228" s="512" t="s">
        <v>721</v>
      </c>
      <c r="Q228" s="512" t="s">
        <v>26</v>
      </c>
      <c r="R228" s="513"/>
      <c r="S228" s="514">
        <v>17</v>
      </c>
      <c r="T228" s="298" t="str">
        <f t="shared" si="13"/>
        <v>HSGB0217</v>
      </c>
      <c r="U228" s="514">
        <v>4302</v>
      </c>
    </row>
    <row r="229" spans="12:21" ht="16.5" hidden="1">
      <c r="L229" s="512" t="s">
        <v>720</v>
      </c>
      <c r="M229" s="512" t="s">
        <v>740</v>
      </c>
      <c r="N229" s="512" t="s">
        <v>721</v>
      </c>
      <c r="O229" s="513"/>
      <c r="P229" s="512" t="s">
        <v>721</v>
      </c>
      <c r="Q229" s="512" t="s">
        <v>26</v>
      </c>
      <c r="R229" s="513"/>
      <c r="S229" s="514">
        <v>18</v>
      </c>
      <c r="T229" s="298" t="str">
        <f t="shared" si="13"/>
        <v>HSGB0218</v>
      </c>
      <c r="U229" s="514">
        <v>4302</v>
      </c>
    </row>
    <row r="230" spans="12:21" ht="16.5" hidden="1">
      <c r="L230" s="512" t="s">
        <v>720</v>
      </c>
      <c r="M230" s="512" t="s">
        <v>740</v>
      </c>
      <c r="N230" s="512" t="s">
        <v>721</v>
      </c>
      <c r="O230" s="513"/>
      <c r="P230" s="512" t="s">
        <v>721</v>
      </c>
      <c r="Q230" s="512" t="s">
        <v>26</v>
      </c>
      <c r="R230" s="513"/>
      <c r="S230" s="514">
        <v>19</v>
      </c>
      <c r="T230" s="298" t="str">
        <f t="shared" si="13"/>
        <v>HSGB0219</v>
      </c>
      <c r="U230" s="514">
        <v>4304</v>
      </c>
    </row>
    <row r="231" spans="12:21" ht="16.5" hidden="1">
      <c r="L231" s="512" t="s">
        <v>720</v>
      </c>
      <c r="M231" s="512" t="s">
        <v>722</v>
      </c>
      <c r="N231" s="512" t="s">
        <v>721</v>
      </c>
      <c r="O231" s="513"/>
      <c r="P231" s="512" t="s">
        <v>721</v>
      </c>
      <c r="Q231" s="512" t="s">
        <v>25</v>
      </c>
      <c r="R231" s="513"/>
      <c r="S231" s="514">
        <v>20</v>
      </c>
      <c r="T231" s="298" t="str">
        <f t="shared" si="13"/>
        <v>HSGC0120</v>
      </c>
      <c r="U231" s="514">
        <v>3994</v>
      </c>
    </row>
    <row r="232" spans="12:21" ht="16.5" hidden="1">
      <c r="L232" s="512" t="s">
        <v>720</v>
      </c>
      <c r="M232" s="512" t="s">
        <v>722</v>
      </c>
      <c r="N232" s="512" t="s">
        <v>721</v>
      </c>
      <c r="O232" s="513"/>
      <c r="P232" s="512" t="s">
        <v>721</v>
      </c>
      <c r="Q232" s="512" t="s">
        <v>25</v>
      </c>
      <c r="R232" s="513"/>
      <c r="S232" s="514">
        <v>21</v>
      </c>
      <c r="T232" s="298" t="str">
        <f t="shared" si="13"/>
        <v>HSGC0121</v>
      </c>
      <c r="U232" s="514">
        <v>4068</v>
      </c>
    </row>
    <row r="233" spans="12:21" ht="16.5" hidden="1">
      <c r="L233" s="512" t="s">
        <v>720</v>
      </c>
      <c r="M233" s="512" t="s">
        <v>722</v>
      </c>
      <c r="N233" s="512" t="s">
        <v>721</v>
      </c>
      <c r="O233" s="513"/>
      <c r="P233" s="512" t="s">
        <v>721</v>
      </c>
      <c r="Q233" s="512" t="s">
        <v>25</v>
      </c>
      <c r="R233" s="513"/>
      <c r="S233" s="514">
        <v>22</v>
      </c>
      <c r="T233" s="298" t="str">
        <f t="shared" si="13"/>
        <v>HSGC0122</v>
      </c>
      <c r="U233" s="514">
        <v>4170</v>
      </c>
    </row>
    <row r="234" spans="12:21" ht="16.5" hidden="1">
      <c r="L234" s="512" t="s">
        <v>720</v>
      </c>
      <c r="M234" s="512" t="s">
        <v>722</v>
      </c>
      <c r="N234" s="512" t="s">
        <v>721</v>
      </c>
      <c r="O234" s="513"/>
      <c r="P234" s="512" t="s">
        <v>721</v>
      </c>
      <c r="Q234" s="512" t="s">
        <v>25</v>
      </c>
      <c r="R234" s="513"/>
      <c r="S234" s="514">
        <v>23</v>
      </c>
      <c r="T234" s="298" t="str">
        <f t="shared" si="13"/>
        <v>HSGC0123</v>
      </c>
      <c r="U234" s="514">
        <v>4300</v>
      </c>
    </row>
    <row r="235" spans="12:21" ht="16.5" hidden="1">
      <c r="L235" s="512" t="s">
        <v>720</v>
      </c>
      <c r="M235" s="512" t="s">
        <v>722</v>
      </c>
      <c r="N235" s="512" t="s">
        <v>721</v>
      </c>
      <c r="O235" s="513"/>
      <c r="P235" s="512" t="s">
        <v>721</v>
      </c>
      <c r="Q235" s="512" t="s">
        <v>25</v>
      </c>
      <c r="R235" s="513"/>
      <c r="S235" s="514">
        <v>24</v>
      </c>
      <c r="T235" s="298" t="str">
        <f t="shared" si="13"/>
        <v>HSGC0124</v>
      </c>
      <c r="U235" s="514">
        <v>4473</v>
      </c>
    </row>
    <row r="236" spans="12:21" ht="16.5" hidden="1">
      <c r="L236" s="512" t="s">
        <v>720</v>
      </c>
      <c r="M236" s="512" t="s">
        <v>722</v>
      </c>
      <c r="N236" s="512" t="s">
        <v>721</v>
      </c>
      <c r="O236" s="513"/>
      <c r="P236" s="512" t="s">
        <v>721</v>
      </c>
      <c r="Q236" s="512" t="s">
        <v>25</v>
      </c>
      <c r="R236" s="513"/>
      <c r="S236" s="514">
        <v>25</v>
      </c>
      <c r="T236" s="298" t="str">
        <f t="shared" si="13"/>
        <v>HSGC0125</v>
      </c>
      <c r="U236" s="514">
        <v>4625</v>
      </c>
    </row>
    <row r="237" spans="12:21" ht="16.5" hidden="1">
      <c r="L237" s="512" t="s">
        <v>720</v>
      </c>
      <c r="M237" s="512" t="s">
        <v>722</v>
      </c>
      <c r="N237" s="512" t="s">
        <v>721</v>
      </c>
      <c r="O237" s="513"/>
      <c r="P237" s="512" t="s">
        <v>721</v>
      </c>
      <c r="Q237" s="512" t="s">
        <v>25</v>
      </c>
      <c r="R237" s="513"/>
      <c r="S237" s="514">
        <v>26</v>
      </c>
      <c r="T237" s="298" t="str">
        <f t="shared" si="13"/>
        <v>HSGC0126</v>
      </c>
      <c r="U237" s="514">
        <v>4819</v>
      </c>
    </row>
    <row r="238" spans="12:21" ht="16.5" hidden="1">
      <c r="L238" s="512" t="s">
        <v>720</v>
      </c>
      <c r="M238" s="512" t="s">
        <v>722</v>
      </c>
      <c r="N238" s="512" t="s">
        <v>721</v>
      </c>
      <c r="O238" s="513"/>
      <c r="P238" s="512" t="s">
        <v>721</v>
      </c>
      <c r="Q238" s="512" t="s">
        <v>25</v>
      </c>
      <c r="R238" s="513"/>
      <c r="S238" s="514">
        <v>27</v>
      </c>
      <c r="T238" s="298" t="str">
        <f t="shared" si="13"/>
        <v>HSGC0127</v>
      </c>
      <c r="U238" s="514">
        <v>5055</v>
      </c>
    </row>
    <row r="239" spans="12:21" ht="16.5" hidden="1">
      <c r="L239" s="512" t="s">
        <v>720</v>
      </c>
      <c r="M239" s="512" t="s">
        <v>722</v>
      </c>
      <c r="N239" s="512" t="s">
        <v>721</v>
      </c>
      <c r="O239" s="513"/>
      <c r="P239" s="512" t="s">
        <v>721</v>
      </c>
      <c r="Q239" s="512" t="s">
        <v>25</v>
      </c>
      <c r="R239" s="513"/>
      <c r="S239" s="514">
        <v>28</v>
      </c>
      <c r="T239" s="298" t="str">
        <f t="shared" si="13"/>
        <v>HSGC0128</v>
      </c>
      <c r="U239" s="514">
        <v>5335</v>
      </c>
    </row>
    <row r="240" spans="12:21" ht="16.5" hidden="1">
      <c r="L240" s="512" t="s">
        <v>720</v>
      </c>
      <c r="M240" s="512" t="s">
        <v>722</v>
      </c>
      <c r="N240" s="512" t="s">
        <v>721</v>
      </c>
      <c r="O240" s="513"/>
      <c r="P240" s="512" t="s">
        <v>721</v>
      </c>
      <c r="Q240" s="512" t="s">
        <v>25</v>
      </c>
      <c r="R240" s="513"/>
      <c r="S240" s="514">
        <v>29</v>
      </c>
      <c r="T240" s="298" t="str">
        <f t="shared" si="13"/>
        <v>HSGC0129</v>
      </c>
      <c r="U240" s="514">
        <v>5624</v>
      </c>
    </row>
    <row r="241" spans="12:21" ht="16.5" hidden="1">
      <c r="L241" s="512" t="s">
        <v>720</v>
      </c>
      <c r="M241" s="512" t="s">
        <v>722</v>
      </c>
      <c r="N241" s="512" t="s">
        <v>721</v>
      </c>
      <c r="O241" s="513"/>
      <c r="P241" s="512" t="s">
        <v>721</v>
      </c>
      <c r="Q241" s="512" t="s">
        <v>25</v>
      </c>
      <c r="R241" s="513"/>
      <c r="S241" s="514">
        <v>30</v>
      </c>
      <c r="T241" s="298" t="str">
        <f t="shared" si="13"/>
        <v>HSGC0130</v>
      </c>
      <c r="U241" s="514">
        <v>5919</v>
      </c>
    </row>
    <row r="242" spans="12:21" ht="16.5" hidden="1">
      <c r="L242" s="512" t="s">
        <v>720</v>
      </c>
      <c r="M242" s="512" t="s">
        <v>722</v>
      </c>
      <c r="N242" s="512" t="s">
        <v>721</v>
      </c>
      <c r="O242" s="513"/>
      <c r="P242" s="512" t="s">
        <v>721</v>
      </c>
      <c r="Q242" s="512" t="s">
        <v>25</v>
      </c>
      <c r="R242" s="513"/>
      <c r="S242" s="514">
        <v>31</v>
      </c>
      <c r="T242" s="298" t="str">
        <f t="shared" si="13"/>
        <v>HSGC0131</v>
      </c>
      <c r="U242" s="514">
        <v>6392</v>
      </c>
    </row>
    <row r="243" spans="12:21" ht="16.5" hidden="1">
      <c r="L243" s="512" t="s">
        <v>720</v>
      </c>
      <c r="M243" s="512" t="s">
        <v>722</v>
      </c>
      <c r="N243" s="512" t="s">
        <v>721</v>
      </c>
      <c r="O243" s="513"/>
      <c r="P243" s="512" t="s">
        <v>721</v>
      </c>
      <c r="Q243" s="512" t="s">
        <v>25</v>
      </c>
      <c r="R243" s="513"/>
      <c r="S243" s="514">
        <v>32</v>
      </c>
      <c r="T243" s="298" t="str">
        <f t="shared" si="13"/>
        <v>HSGC0132</v>
      </c>
      <c r="U243" s="514">
        <v>6893</v>
      </c>
    </row>
    <row r="244" spans="12:21" ht="16.5" hidden="1">
      <c r="L244" s="512" t="s">
        <v>720</v>
      </c>
      <c r="M244" s="512" t="s">
        <v>722</v>
      </c>
      <c r="N244" s="512" t="s">
        <v>721</v>
      </c>
      <c r="O244" s="513"/>
      <c r="P244" s="512" t="s">
        <v>721</v>
      </c>
      <c r="Q244" s="512" t="s">
        <v>25</v>
      </c>
      <c r="R244" s="513"/>
      <c r="S244" s="514">
        <v>33</v>
      </c>
      <c r="T244" s="298" t="str">
        <f t="shared" si="13"/>
        <v>HSGC0133</v>
      </c>
      <c r="U244" s="514">
        <v>7429</v>
      </c>
    </row>
    <row r="245" spans="12:21" ht="16.5" hidden="1">
      <c r="L245" s="512" t="s">
        <v>720</v>
      </c>
      <c r="M245" s="512" t="s">
        <v>722</v>
      </c>
      <c r="N245" s="512" t="s">
        <v>721</v>
      </c>
      <c r="O245" s="513"/>
      <c r="P245" s="512" t="s">
        <v>721</v>
      </c>
      <c r="Q245" s="512" t="s">
        <v>25</v>
      </c>
      <c r="R245" s="513"/>
      <c r="S245" s="514">
        <v>34</v>
      </c>
      <c r="T245" s="298" t="str">
        <f t="shared" si="13"/>
        <v>HSGC0134</v>
      </c>
      <c r="U245" s="514">
        <v>7974</v>
      </c>
    </row>
    <row r="246" spans="12:21" ht="16.5" hidden="1">
      <c r="L246" s="512" t="s">
        <v>720</v>
      </c>
      <c r="M246" s="512" t="s">
        <v>722</v>
      </c>
      <c r="N246" s="512" t="s">
        <v>721</v>
      </c>
      <c r="O246" s="513"/>
      <c r="P246" s="512" t="s">
        <v>721</v>
      </c>
      <c r="Q246" s="512" t="s">
        <v>25</v>
      </c>
      <c r="R246" s="513"/>
      <c r="S246" s="514">
        <v>35</v>
      </c>
      <c r="T246" s="298" t="str">
        <f t="shared" si="13"/>
        <v>HSGC0135</v>
      </c>
      <c r="U246" s="514">
        <v>8528</v>
      </c>
    </row>
    <row r="247" spans="12:21" ht="16.5" hidden="1">
      <c r="L247" s="512" t="s">
        <v>720</v>
      </c>
      <c r="M247" s="512" t="s">
        <v>722</v>
      </c>
      <c r="N247" s="512" t="s">
        <v>721</v>
      </c>
      <c r="O247" s="513"/>
      <c r="P247" s="512" t="s">
        <v>721</v>
      </c>
      <c r="Q247" s="512" t="s">
        <v>25</v>
      </c>
      <c r="R247" s="513"/>
      <c r="S247" s="514">
        <v>36</v>
      </c>
      <c r="T247" s="298" t="str">
        <f t="shared" si="13"/>
        <v>HSGC0136</v>
      </c>
      <c r="U247" s="514">
        <v>9092</v>
      </c>
    </row>
    <row r="248" spans="12:21" ht="16.5" hidden="1">
      <c r="L248" s="512" t="s">
        <v>720</v>
      </c>
      <c r="M248" s="512" t="s">
        <v>722</v>
      </c>
      <c r="N248" s="512" t="s">
        <v>721</v>
      </c>
      <c r="O248" s="513"/>
      <c r="P248" s="512" t="s">
        <v>721</v>
      </c>
      <c r="Q248" s="512" t="s">
        <v>25</v>
      </c>
      <c r="R248" s="513"/>
      <c r="S248" s="514">
        <v>37</v>
      </c>
      <c r="T248" s="298" t="str">
        <f t="shared" si="13"/>
        <v>HSGC0137</v>
      </c>
      <c r="U248" s="514">
        <v>9534</v>
      </c>
    </row>
    <row r="249" spans="12:21" ht="16.5" hidden="1">
      <c r="L249" s="512" t="s">
        <v>720</v>
      </c>
      <c r="M249" s="512" t="s">
        <v>722</v>
      </c>
      <c r="N249" s="512" t="s">
        <v>721</v>
      </c>
      <c r="O249" s="513"/>
      <c r="P249" s="512" t="s">
        <v>721</v>
      </c>
      <c r="Q249" s="512" t="s">
        <v>25</v>
      </c>
      <c r="R249" s="513"/>
      <c r="S249" s="514">
        <v>38</v>
      </c>
      <c r="T249" s="298" t="str">
        <f t="shared" si="13"/>
        <v>HSGC0138</v>
      </c>
      <c r="U249" s="514">
        <v>9971</v>
      </c>
    </row>
    <row r="250" spans="12:21" ht="16.5" hidden="1">
      <c r="L250" s="512" t="s">
        <v>720</v>
      </c>
      <c r="M250" s="512" t="s">
        <v>722</v>
      </c>
      <c r="N250" s="512" t="s">
        <v>721</v>
      </c>
      <c r="O250" s="513"/>
      <c r="P250" s="512" t="s">
        <v>721</v>
      </c>
      <c r="Q250" s="512" t="s">
        <v>25</v>
      </c>
      <c r="R250" s="513"/>
      <c r="S250" s="514">
        <v>39</v>
      </c>
      <c r="T250" s="298" t="str">
        <f t="shared" si="13"/>
        <v>HSGC0139</v>
      </c>
      <c r="U250" s="514">
        <v>10427</v>
      </c>
    </row>
    <row r="251" spans="12:21" ht="16.5" hidden="1">
      <c r="L251" s="512" t="s">
        <v>720</v>
      </c>
      <c r="M251" s="512" t="s">
        <v>722</v>
      </c>
      <c r="N251" s="512" t="s">
        <v>721</v>
      </c>
      <c r="O251" s="513"/>
      <c r="P251" s="512" t="s">
        <v>721</v>
      </c>
      <c r="Q251" s="512" t="s">
        <v>25</v>
      </c>
      <c r="R251" s="513"/>
      <c r="S251" s="514">
        <v>40</v>
      </c>
      <c r="T251" s="298" t="str">
        <f t="shared" si="13"/>
        <v>HSGC0140</v>
      </c>
      <c r="U251" s="514">
        <v>10902</v>
      </c>
    </row>
    <row r="252" spans="12:21" ht="16.5" hidden="1">
      <c r="L252" s="512" t="s">
        <v>720</v>
      </c>
      <c r="M252" s="512" t="s">
        <v>722</v>
      </c>
      <c r="N252" s="512" t="s">
        <v>721</v>
      </c>
      <c r="O252" s="513"/>
      <c r="P252" s="512" t="s">
        <v>721</v>
      </c>
      <c r="Q252" s="512" t="s">
        <v>25</v>
      </c>
      <c r="R252" s="513"/>
      <c r="S252" s="514">
        <v>41</v>
      </c>
      <c r="T252" s="298" t="str">
        <f t="shared" si="13"/>
        <v>HSGC0141</v>
      </c>
      <c r="U252" s="514">
        <v>11399</v>
      </c>
    </row>
    <row r="253" spans="12:21" ht="16.5" hidden="1">
      <c r="L253" s="512" t="s">
        <v>720</v>
      </c>
      <c r="M253" s="512" t="s">
        <v>722</v>
      </c>
      <c r="N253" s="512" t="s">
        <v>721</v>
      </c>
      <c r="O253" s="513"/>
      <c r="P253" s="512" t="s">
        <v>721</v>
      </c>
      <c r="Q253" s="512" t="s">
        <v>25</v>
      </c>
      <c r="R253" s="513"/>
      <c r="S253" s="514">
        <v>42</v>
      </c>
      <c r="T253" s="298" t="str">
        <f t="shared" si="13"/>
        <v>HSGC0142</v>
      </c>
      <c r="U253" s="514">
        <v>11916</v>
      </c>
    </row>
    <row r="254" spans="12:21" ht="16.5" hidden="1">
      <c r="L254" s="512" t="s">
        <v>720</v>
      </c>
      <c r="M254" s="512" t="s">
        <v>722</v>
      </c>
      <c r="N254" s="512" t="s">
        <v>721</v>
      </c>
      <c r="O254" s="513"/>
      <c r="P254" s="512" t="s">
        <v>721</v>
      </c>
      <c r="Q254" s="512" t="s">
        <v>25</v>
      </c>
      <c r="R254" s="513"/>
      <c r="S254" s="514">
        <v>43</v>
      </c>
      <c r="T254" s="298" t="str">
        <f t="shared" si="13"/>
        <v>HSGC0143</v>
      </c>
      <c r="U254" s="514">
        <v>12455</v>
      </c>
    </row>
    <row r="255" spans="12:21" ht="16.5" hidden="1">
      <c r="L255" s="512" t="s">
        <v>720</v>
      </c>
      <c r="M255" s="512" t="s">
        <v>722</v>
      </c>
      <c r="N255" s="512" t="s">
        <v>721</v>
      </c>
      <c r="O255" s="513"/>
      <c r="P255" s="512" t="s">
        <v>721</v>
      </c>
      <c r="Q255" s="512" t="s">
        <v>25</v>
      </c>
      <c r="R255" s="513"/>
      <c r="S255" s="514">
        <v>44</v>
      </c>
      <c r="T255" s="298" t="str">
        <f t="shared" si="13"/>
        <v>HSGC0144</v>
      </c>
      <c r="U255" s="514">
        <v>13004</v>
      </c>
    </row>
    <row r="256" spans="12:21" ht="16.5" hidden="1">
      <c r="L256" s="512" t="s">
        <v>720</v>
      </c>
      <c r="M256" s="512" t="s">
        <v>722</v>
      </c>
      <c r="N256" s="512" t="s">
        <v>721</v>
      </c>
      <c r="O256" s="513"/>
      <c r="P256" s="512" t="s">
        <v>721</v>
      </c>
      <c r="Q256" s="512" t="s">
        <v>25</v>
      </c>
      <c r="R256" s="513"/>
      <c r="S256" s="514">
        <v>45</v>
      </c>
      <c r="T256" s="298" t="str">
        <f t="shared" si="13"/>
        <v>HSGC0145</v>
      </c>
      <c r="U256" s="514">
        <v>13566</v>
      </c>
    </row>
    <row r="257" spans="12:21" ht="16.5" hidden="1">
      <c r="L257" s="512" t="s">
        <v>720</v>
      </c>
      <c r="M257" s="512" t="s">
        <v>722</v>
      </c>
      <c r="N257" s="512" t="s">
        <v>721</v>
      </c>
      <c r="O257" s="513"/>
      <c r="P257" s="512" t="s">
        <v>721</v>
      </c>
      <c r="Q257" s="512" t="s">
        <v>25</v>
      </c>
      <c r="R257" s="513"/>
      <c r="S257" s="514">
        <v>46</v>
      </c>
      <c r="T257" s="298" t="str">
        <f t="shared" si="13"/>
        <v>HSGC0146</v>
      </c>
      <c r="U257" s="514">
        <v>14141</v>
      </c>
    </row>
    <row r="258" spans="12:21" ht="16.5" hidden="1">
      <c r="L258" s="512" t="s">
        <v>720</v>
      </c>
      <c r="M258" s="512" t="s">
        <v>722</v>
      </c>
      <c r="N258" s="512" t="s">
        <v>721</v>
      </c>
      <c r="O258" s="513"/>
      <c r="P258" s="512" t="s">
        <v>721</v>
      </c>
      <c r="Q258" s="512" t="s">
        <v>25</v>
      </c>
      <c r="R258" s="513"/>
      <c r="S258" s="514">
        <v>47</v>
      </c>
      <c r="T258" s="298" t="str">
        <f t="shared" ref="T258:T321" si="14">M258&amp;TEXT(Q258,"00")&amp;TEXT(S258,"00")</f>
        <v>HSGC0147</v>
      </c>
      <c r="U258" s="514">
        <v>14732</v>
      </c>
    </row>
    <row r="259" spans="12:21" ht="16.5" hidden="1">
      <c r="L259" s="512" t="s">
        <v>720</v>
      </c>
      <c r="M259" s="512" t="s">
        <v>722</v>
      </c>
      <c r="N259" s="512" t="s">
        <v>721</v>
      </c>
      <c r="O259" s="513"/>
      <c r="P259" s="512" t="s">
        <v>721</v>
      </c>
      <c r="Q259" s="512" t="s">
        <v>25</v>
      </c>
      <c r="R259" s="513"/>
      <c r="S259" s="514">
        <v>48</v>
      </c>
      <c r="T259" s="298" t="str">
        <f t="shared" si="14"/>
        <v>HSGC0148</v>
      </c>
      <c r="U259" s="514">
        <v>15344</v>
      </c>
    </row>
    <row r="260" spans="12:21" ht="16.5" hidden="1">
      <c r="L260" s="512" t="s">
        <v>720</v>
      </c>
      <c r="M260" s="512" t="s">
        <v>722</v>
      </c>
      <c r="N260" s="512" t="s">
        <v>721</v>
      </c>
      <c r="O260" s="513"/>
      <c r="P260" s="512" t="s">
        <v>721</v>
      </c>
      <c r="Q260" s="512" t="s">
        <v>25</v>
      </c>
      <c r="R260" s="513"/>
      <c r="S260" s="514">
        <v>49</v>
      </c>
      <c r="T260" s="298" t="str">
        <f t="shared" si="14"/>
        <v>HSGC0149</v>
      </c>
      <c r="U260" s="514">
        <v>15895</v>
      </c>
    </row>
    <row r="261" spans="12:21" ht="16.5" hidden="1">
      <c r="L261" s="512" t="s">
        <v>720</v>
      </c>
      <c r="M261" s="512" t="s">
        <v>722</v>
      </c>
      <c r="N261" s="512" t="s">
        <v>721</v>
      </c>
      <c r="O261" s="513"/>
      <c r="P261" s="512" t="s">
        <v>721</v>
      </c>
      <c r="Q261" s="512" t="s">
        <v>25</v>
      </c>
      <c r="R261" s="513"/>
      <c r="S261" s="514">
        <v>50</v>
      </c>
      <c r="T261" s="298" t="str">
        <f t="shared" si="14"/>
        <v>HSGC0150</v>
      </c>
      <c r="U261" s="514">
        <v>16383</v>
      </c>
    </row>
    <row r="262" spans="12:21" ht="16.5" hidden="1">
      <c r="L262" s="512" t="s">
        <v>720</v>
      </c>
      <c r="M262" s="512" t="s">
        <v>722</v>
      </c>
      <c r="N262" s="512" t="s">
        <v>721</v>
      </c>
      <c r="O262" s="513"/>
      <c r="P262" s="512" t="s">
        <v>721</v>
      </c>
      <c r="Q262" s="512" t="s">
        <v>25</v>
      </c>
      <c r="R262" s="513"/>
      <c r="S262" s="514">
        <v>51</v>
      </c>
      <c r="T262" s="298" t="str">
        <f t="shared" si="14"/>
        <v>HSGC0151</v>
      </c>
      <c r="U262" s="514">
        <v>16806</v>
      </c>
    </row>
    <row r="263" spans="12:21" ht="16.5" hidden="1">
      <c r="L263" s="512" t="s">
        <v>720</v>
      </c>
      <c r="M263" s="512" t="s">
        <v>722</v>
      </c>
      <c r="N263" s="512" t="s">
        <v>721</v>
      </c>
      <c r="O263" s="513"/>
      <c r="P263" s="512" t="s">
        <v>721</v>
      </c>
      <c r="Q263" s="512" t="s">
        <v>25</v>
      </c>
      <c r="R263" s="513"/>
      <c r="S263" s="514">
        <v>52</v>
      </c>
      <c r="T263" s="298" t="str">
        <f t="shared" si="14"/>
        <v>HSGC0152</v>
      </c>
      <c r="U263" s="514">
        <v>17160</v>
      </c>
    </row>
    <row r="264" spans="12:21" ht="16.5" hidden="1">
      <c r="L264" s="512" t="s">
        <v>720</v>
      </c>
      <c r="M264" s="512" t="s">
        <v>722</v>
      </c>
      <c r="N264" s="512" t="s">
        <v>721</v>
      </c>
      <c r="O264" s="513"/>
      <c r="P264" s="512" t="s">
        <v>721</v>
      </c>
      <c r="Q264" s="512" t="s">
        <v>25</v>
      </c>
      <c r="R264" s="513"/>
      <c r="S264" s="514">
        <v>53</v>
      </c>
      <c r="T264" s="298" t="str">
        <f t="shared" si="14"/>
        <v>HSGC0153</v>
      </c>
      <c r="U264" s="514">
        <v>17440</v>
      </c>
    </row>
    <row r="265" spans="12:21" ht="16.5" hidden="1">
      <c r="L265" s="512" t="s">
        <v>720</v>
      </c>
      <c r="M265" s="512" t="s">
        <v>722</v>
      </c>
      <c r="N265" s="512" t="s">
        <v>721</v>
      </c>
      <c r="O265" s="513"/>
      <c r="P265" s="512" t="s">
        <v>721</v>
      </c>
      <c r="Q265" s="512" t="s">
        <v>25</v>
      </c>
      <c r="R265" s="513"/>
      <c r="S265" s="514">
        <v>54</v>
      </c>
      <c r="T265" s="298" t="str">
        <f t="shared" si="14"/>
        <v>HSGC0154</v>
      </c>
      <c r="U265" s="514">
        <v>17758</v>
      </c>
    </row>
    <row r="266" spans="12:21" ht="16.5" hidden="1">
      <c r="L266" s="512" t="s">
        <v>720</v>
      </c>
      <c r="M266" s="512" t="s">
        <v>722</v>
      </c>
      <c r="N266" s="512" t="s">
        <v>721</v>
      </c>
      <c r="O266" s="513"/>
      <c r="P266" s="512" t="s">
        <v>721</v>
      </c>
      <c r="Q266" s="512" t="s">
        <v>25</v>
      </c>
      <c r="R266" s="513"/>
      <c r="S266" s="514">
        <v>55</v>
      </c>
      <c r="T266" s="298" t="str">
        <f t="shared" si="14"/>
        <v>HSGC0155</v>
      </c>
      <c r="U266" s="514">
        <v>18116</v>
      </c>
    </row>
    <row r="267" spans="12:21" ht="16.5" hidden="1">
      <c r="L267" s="512" t="s">
        <v>720</v>
      </c>
      <c r="M267" s="512" t="s">
        <v>722</v>
      </c>
      <c r="N267" s="512" t="s">
        <v>721</v>
      </c>
      <c r="O267" s="513"/>
      <c r="P267" s="512" t="s">
        <v>721</v>
      </c>
      <c r="Q267" s="512" t="s">
        <v>25</v>
      </c>
      <c r="R267" s="513"/>
      <c r="S267" s="514">
        <v>56</v>
      </c>
      <c r="T267" s="298" t="str">
        <f t="shared" si="14"/>
        <v>HSGC0156</v>
      </c>
      <c r="U267" s="514">
        <v>18514</v>
      </c>
    </row>
    <row r="268" spans="12:21" ht="16.5" hidden="1">
      <c r="L268" s="512" t="s">
        <v>720</v>
      </c>
      <c r="M268" s="512" t="s">
        <v>722</v>
      </c>
      <c r="N268" s="512" t="s">
        <v>721</v>
      </c>
      <c r="O268" s="513"/>
      <c r="P268" s="512" t="s">
        <v>721</v>
      </c>
      <c r="Q268" s="512" t="s">
        <v>25</v>
      </c>
      <c r="R268" s="513"/>
      <c r="S268" s="514">
        <v>57</v>
      </c>
      <c r="T268" s="298" t="str">
        <f t="shared" si="14"/>
        <v>HSGC0157</v>
      </c>
      <c r="U268" s="514">
        <v>18950</v>
      </c>
    </row>
    <row r="269" spans="12:21" ht="16.5" hidden="1">
      <c r="L269" s="512" t="s">
        <v>720</v>
      </c>
      <c r="M269" s="512" t="s">
        <v>722</v>
      </c>
      <c r="N269" s="512" t="s">
        <v>721</v>
      </c>
      <c r="O269" s="513"/>
      <c r="P269" s="512" t="s">
        <v>721</v>
      </c>
      <c r="Q269" s="512" t="s">
        <v>25</v>
      </c>
      <c r="R269" s="513"/>
      <c r="S269" s="514">
        <v>58</v>
      </c>
      <c r="T269" s="298" t="str">
        <f t="shared" si="14"/>
        <v>HSGC0158</v>
      </c>
      <c r="U269" s="514">
        <v>19421</v>
      </c>
    </row>
    <row r="270" spans="12:21" ht="16.5" hidden="1">
      <c r="L270" s="512" t="s">
        <v>720</v>
      </c>
      <c r="M270" s="512" t="s">
        <v>722</v>
      </c>
      <c r="N270" s="512" t="s">
        <v>721</v>
      </c>
      <c r="O270" s="513"/>
      <c r="P270" s="512" t="s">
        <v>721</v>
      </c>
      <c r="Q270" s="512" t="s">
        <v>25</v>
      </c>
      <c r="R270" s="513"/>
      <c r="S270" s="514">
        <v>59</v>
      </c>
      <c r="T270" s="298" t="str">
        <f t="shared" si="14"/>
        <v>HSGC0159</v>
      </c>
      <c r="U270" s="514">
        <v>20024</v>
      </c>
    </row>
    <row r="271" spans="12:21" ht="16.5" hidden="1">
      <c r="L271" s="512" t="s">
        <v>720</v>
      </c>
      <c r="M271" s="512" t="s">
        <v>722</v>
      </c>
      <c r="N271" s="512" t="s">
        <v>721</v>
      </c>
      <c r="O271" s="513"/>
      <c r="P271" s="512" t="s">
        <v>721</v>
      </c>
      <c r="Q271" s="512" t="s">
        <v>25</v>
      </c>
      <c r="R271" s="513"/>
      <c r="S271" s="514">
        <v>60</v>
      </c>
      <c r="T271" s="298" t="str">
        <f t="shared" si="14"/>
        <v>HSGC0160</v>
      </c>
      <c r="U271" s="514">
        <v>20767</v>
      </c>
    </row>
    <row r="272" spans="12:21" ht="16.5" hidden="1">
      <c r="L272" s="512" t="s">
        <v>720</v>
      </c>
      <c r="M272" s="512" t="s">
        <v>722</v>
      </c>
      <c r="N272" s="512" t="s">
        <v>721</v>
      </c>
      <c r="O272" s="513"/>
      <c r="P272" s="512" t="s">
        <v>721</v>
      </c>
      <c r="Q272" s="512" t="s">
        <v>25</v>
      </c>
      <c r="R272" s="513"/>
      <c r="S272" s="514">
        <v>61</v>
      </c>
      <c r="T272" s="298" t="str">
        <f t="shared" si="14"/>
        <v>HSGC0161</v>
      </c>
      <c r="U272" s="514">
        <v>21657</v>
      </c>
    </row>
    <row r="273" spans="12:21" ht="16.5" hidden="1">
      <c r="L273" s="512" t="s">
        <v>720</v>
      </c>
      <c r="M273" s="512" t="s">
        <v>722</v>
      </c>
      <c r="N273" s="512" t="s">
        <v>721</v>
      </c>
      <c r="O273" s="513"/>
      <c r="P273" s="512" t="s">
        <v>721</v>
      </c>
      <c r="Q273" s="512" t="s">
        <v>25</v>
      </c>
      <c r="R273" s="513"/>
      <c r="S273" s="514">
        <v>62</v>
      </c>
      <c r="T273" s="298" t="str">
        <f t="shared" si="14"/>
        <v>HSGC0162</v>
      </c>
      <c r="U273" s="514">
        <v>22705</v>
      </c>
    </row>
    <row r="274" spans="12:21" ht="16.5" hidden="1">
      <c r="L274" s="512" t="s">
        <v>720</v>
      </c>
      <c r="M274" s="512" t="s">
        <v>722</v>
      </c>
      <c r="N274" s="512" t="s">
        <v>721</v>
      </c>
      <c r="O274" s="513"/>
      <c r="P274" s="512" t="s">
        <v>721</v>
      </c>
      <c r="Q274" s="512" t="s">
        <v>25</v>
      </c>
      <c r="R274" s="513"/>
      <c r="S274" s="514">
        <v>63</v>
      </c>
      <c r="T274" s="298" t="str">
        <f t="shared" si="14"/>
        <v>HSGC0163</v>
      </c>
      <c r="U274" s="514">
        <v>23932</v>
      </c>
    </row>
    <row r="275" spans="12:21" ht="16.5" hidden="1">
      <c r="L275" s="512" t="s">
        <v>720</v>
      </c>
      <c r="M275" s="512" t="s">
        <v>722</v>
      </c>
      <c r="N275" s="512" t="s">
        <v>721</v>
      </c>
      <c r="O275" s="513"/>
      <c r="P275" s="512" t="s">
        <v>721</v>
      </c>
      <c r="Q275" s="512" t="s">
        <v>25</v>
      </c>
      <c r="R275" s="513"/>
      <c r="S275" s="514">
        <v>64</v>
      </c>
      <c r="T275" s="298" t="str">
        <f t="shared" si="14"/>
        <v>HSGC0164</v>
      </c>
      <c r="U275" s="514">
        <v>25331</v>
      </c>
    </row>
    <row r="276" spans="12:21" ht="16.5" hidden="1">
      <c r="L276" s="512" t="s">
        <v>720</v>
      </c>
      <c r="M276" s="512" t="s">
        <v>722</v>
      </c>
      <c r="N276" s="512" t="s">
        <v>721</v>
      </c>
      <c r="O276" s="513"/>
      <c r="P276" s="512" t="s">
        <v>721</v>
      </c>
      <c r="Q276" s="512" t="s">
        <v>25</v>
      </c>
      <c r="R276" s="513"/>
      <c r="S276" s="514">
        <v>65</v>
      </c>
      <c r="T276" s="298" t="str">
        <f t="shared" si="14"/>
        <v>HSGC0165</v>
      </c>
      <c r="U276" s="514">
        <v>26909</v>
      </c>
    </row>
    <row r="277" spans="12:21" ht="16.5" hidden="1">
      <c r="L277" s="512" t="s">
        <v>720</v>
      </c>
      <c r="M277" s="512" t="s">
        <v>722</v>
      </c>
      <c r="N277" s="512" t="s">
        <v>721</v>
      </c>
      <c r="O277" s="513"/>
      <c r="P277" s="512" t="s">
        <v>721</v>
      </c>
      <c r="Q277" s="512" t="s">
        <v>25</v>
      </c>
      <c r="R277" s="513"/>
      <c r="S277" s="514">
        <v>66</v>
      </c>
      <c r="T277" s="298" t="str">
        <f t="shared" si="14"/>
        <v>HSGC0166</v>
      </c>
      <c r="U277" s="514">
        <v>28673</v>
      </c>
    </row>
    <row r="278" spans="12:21" ht="16.5" hidden="1">
      <c r="L278" s="512" t="s">
        <v>720</v>
      </c>
      <c r="M278" s="512" t="s">
        <v>722</v>
      </c>
      <c r="N278" s="512" t="s">
        <v>721</v>
      </c>
      <c r="O278" s="513"/>
      <c r="P278" s="512" t="s">
        <v>721</v>
      </c>
      <c r="Q278" s="512" t="s">
        <v>25</v>
      </c>
      <c r="R278" s="513"/>
      <c r="S278" s="514">
        <v>67</v>
      </c>
      <c r="T278" s="298" t="str">
        <f t="shared" si="14"/>
        <v>HSGC0167</v>
      </c>
      <c r="U278" s="514">
        <v>30633</v>
      </c>
    </row>
    <row r="279" spans="12:21" ht="16.5" hidden="1">
      <c r="L279" s="512" t="s">
        <v>720</v>
      </c>
      <c r="M279" s="512" t="s">
        <v>722</v>
      </c>
      <c r="N279" s="512" t="s">
        <v>721</v>
      </c>
      <c r="O279" s="513"/>
      <c r="P279" s="512" t="s">
        <v>721</v>
      </c>
      <c r="Q279" s="512" t="s">
        <v>25</v>
      </c>
      <c r="R279" s="513"/>
      <c r="S279" s="514">
        <v>68</v>
      </c>
      <c r="T279" s="298" t="str">
        <f t="shared" si="14"/>
        <v>HSGC0168</v>
      </c>
      <c r="U279" s="514">
        <v>32807</v>
      </c>
    </row>
    <row r="280" spans="12:21" ht="16.5" hidden="1">
      <c r="L280" s="512" t="s">
        <v>720</v>
      </c>
      <c r="M280" s="512" t="s">
        <v>722</v>
      </c>
      <c r="N280" s="512" t="s">
        <v>721</v>
      </c>
      <c r="O280" s="513"/>
      <c r="P280" s="512" t="s">
        <v>721</v>
      </c>
      <c r="Q280" s="512" t="s">
        <v>25</v>
      </c>
      <c r="R280" s="513"/>
      <c r="S280" s="514">
        <v>69</v>
      </c>
      <c r="T280" s="298" t="str">
        <f t="shared" si="14"/>
        <v>HSGC0169</v>
      </c>
      <c r="U280" s="514">
        <v>35188</v>
      </c>
    </row>
    <row r="281" spans="12:21" ht="16.5" hidden="1">
      <c r="L281" s="512" t="s">
        <v>720</v>
      </c>
      <c r="M281" s="512" t="s">
        <v>722</v>
      </c>
      <c r="N281" s="512" t="s">
        <v>721</v>
      </c>
      <c r="O281" s="513"/>
      <c r="P281" s="512" t="s">
        <v>721</v>
      </c>
      <c r="Q281" s="512" t="s">
        <v>25</v>
      </c>
      <c r="R281" s="513"/>
      <c r="S281" s="514">
        <v>70</v>
      </c>
      <c r="T281" s="298" t="str">
        <f t="shared" si="14"/>
        <v>HSGC0170</v>
      </c>
      <c r="U281" s="514">
        <v>37791</v>
      </c>
    </row>
    <row r="282" spans="12:21" ht="16.5" hidden="1">
      <c r="L282" s="512" t="s">
        <v>720</v>
      </c>
      <c r="M282" s="512" t="s">
        <v>722</v>
      </c>
      <c r="N282" s="512" t="s">
        <v>721</v>
      </c>
      <c r="O282" s="513"/>
      <c r="P282" s="512" t="s">
        <v>721</v>
      </c>
      <c r="Q282" s="512" t="s">
        <v>25</v>
      </c>
      <c r="R282" s="513"/>
      <c r="S282" s="514">
        <v>71</v>
      </c>
      <c r="T282" s="298" t="str">
        <f t="shared" si="14"/>
        <v>HSGC0171</v>
      </c>
      <c r="U282" s="514">
        <v>40635</v>
      </c>
    </row>
    <row r="283" spans="12:21" ht="16.5" hidden="1">
      <c r="L283" s="512" t="s">
        <v>720</v>
      </c>
      <c r="M283" s="512" t="s">
        <v>722</v>
      </c>
      <c r="N283" s="512" t="s">
        <v>721</v>
      </c>
      <c r="O283" s="513"/>
      <c r="P283" s="512" t="s">
        <v>721</v>
      </c>
      <c r="Q283" s="512" t="s">
        <v>26</v>
      </c>
      <c r="R283" s="513"/>
      <c r="S283" s="514">
        <v>20</v>
      </c>
      <c r="T283" s="298" t="str">
        <f t="shared" si="14"/>
        <v>HSGC0220</v>
      </c>
      <c r="U283" s="514">
        <v>4798</v>
      </c>
    </row>
    <row r="284" spans="12:21" ht="16.5" hidden="1">
      <c r="L284" s="512" t="s">
        <v>720</v>
      </c>
      <c r="M284" s="512" t="s">
        <v>722</v>
      </c>
      <c r="N284" s="512" t="s">
        <v>721</v>
      </c>
      <c r="O284" s="513"/>
      <c r="P284" s="512" t="s">
        <v>721</v>
      </c>
      <c r="Q284" s="512" t="s">
        <v>26</v>
      </c>
      <c r="R284" s="513"/>
      <c r="S284" s="514">
        <v>21</v>
      </c>
      <c r="T284" s="298" t="str">
        <f t="shared" si="14"/>
        <v>HSGC0221</v>
      </c>
      <c r="U284" s="514">
        <v>4839</v>
      </c>
    </row>
    <row r="285" spans="12:21" ht="16.5" hidden="1">
      <c r="L285" s="512" t="s">
        <v>720</v>
      </c>
      <c r="M285" s="512" t="s">
        <v>722</v>
      </c>
      <c r="N285" s="512" t="s">
        <v>721</v>
      </c>
      <c r="O285" s="513"/>
      <c r="P285" s="512" t="s">
        <v>721</v>
      </c>
      <c r="Q285" s="512" t="s">
        <v>26</v>
      </c>
      <c r="R285" s="513"/>
      <c r="S285" s="514">
        <v>22</v>
      </c>
      <c r="T285" s="298" t="str">
        <f t="shared" si="14"/>
        <v>HSGC0222</v>
      </c>
      <c r="U285" s="514">
        <v>4901</v>
      </c>
    </row>
    <row r="286" spans="12:21" ht="16.5" hidden="1">
      <c r="L286" s="512" t="s">
        <v>720</v>
      </c>
      <c r="M286" s="512" t="s">
        <v>722</v>
      </c>
      <c r="N286" s="512" t="s">
        <v>721</v>
      </c>
      <c r="O286" s="513"/>
      <c r="P286" s="512" t="s">
        <v>721</v>
      </c>
      <c r="Q286" s="512" t="s">
        <v>26</v>
      </c>
      <c r="R286" s="513"/>
      <c r="S286" s="514">
        <v>23</v>
      </c>
      <c r="T286" s="298" t="str">
        <f t="shared" si="14"/>
        <v>HSGC0223</v>
      </c>
      <c r="U286" s="514">
        <v>4985</v>
      </c>
    </row>
    <row r="287" spans="12:21" ht="16.5" hidden="1">
      <c r="L287" s="512" t="s">
        <v>720</v>
      </c>
      <c r="M287" s="512" t="s">
        <v>722</v>
      </c>
      <c r="N287" s="512" t="s">
        <v>721</v>
      </c>
      <c r="O287" s="513"/>
      <c r="P287" s="512" t="s">
        <v>721</v>
      </c>
      <c r="Q287" s="512" t="s">
        <v>26</v>
      </c>
      <c r="R287" s="513"/>
      <c r="S287" s="514">
        <v>24</v>
      </c>
      <c r="T287" s="298" t="str">
        <f t="shared" si="14"/>
        <v>HSGC0224</v>
      </c>
      <c r="U287" s="514">
        <v>5098</v>
      </c>
    </row>
    <row r="288" spans="12:21" ht="16.5" hidden="1">
      <c r="L288" s="512" t="s">
        <v>720</v>
      </c>
      <c r="M288" s="512" t="s">
        <v>722</v>
      </c>
      <c r="N288" s="512" t="s">
        <v>721</v>
      </c>
      <c r="O288" s="513"/>
      <c r="P288" s="512" t="s">
        <v>721</v>
      </c>
      <c r="Q288" s="512" t="s">
        <v>26</v>
      </c>
      <c r="R288" s="513"/>
      <c r="S288" s="514">
        <v>25</v>
      </c>
      <c r="T288" s="298" t="str">
        <f t="shared" si="14"/>
        <v>HSGC0225</v>
      </c>
      <c r="U288" s="514">
        <v>5242</v>
      </c>
    </row>
    <row r="289" spans="12:21" ht="16.5" hidden="1">
      <c r="L289" s="512" t="s">
        <v>720</v>
      </c>
      <c r="M289" s="512" t="s">
        <v>722</v>
      </c>
      <c r="N289" s="512" t="s">
        <v>721</v>
      </c>
      <c r="O289" s="513"/>
      <c r="P289" s="512" t="s">
        <v>721</v>
      </c>
      <c r="Q289" s="512" t="s">
        <v>26</v>
      </c>
      <c r="R289" s="513"/>
      <c r="S289" s="514">
        <v>26</v>
      </c>
      <c r="T289" s="298" t="str">
        <f t="shared" si="14"/>
        <v>HSGC0226</v>
      </c>
      <c r="U289" s="514">
        <v>5418</v>
      </c>
    </row>
    <row r="290" spans="12:21" ht="16.5" hidden="1">
      <c r="L290" s="512" t="s">
        <v>720</v>
      </c>
      <c r="M290" s="512" t="s">
        <v>722</v>
      </c>
      <c r="N290" s="512" t="s">
        <v>721</v>
      </c>
      <c r="O290" s="513"/>
      <c r="P290" s="512" t="s">
        <v>721</v>
      </c>
      <c r="Q290" s="512" t="s">
        <v>26</v>
      </c>
      <c r="R290" s="513"/>
      <c r="S290" s="514">
        <v>27</v>
      </c>
      <c r="T290" s="298" t="str">
        <f t="shared" si="14"/>
        <v>HSGC0227</v>
      </c>
      <c r="U290" s="514">
        <v>5627</v>
      </c>
    </row>
    <row r="291" spans="12:21" ht="16.5" hidden="1">
      <c r="L291" s="512" t="s">
        <v>720</v>
      </c>
      <c r="M291" s="512" t="s">
        <v>722</v>
      </c>
      <c r="N291" s="512" t="s">
        <v>721</v>
      </c>
      <c r="O291" s="513"/>
      <c r="P291" s="512" t="s">
        <v>721</v>
      </c>
      <c r="Q291" s="512" t="s">
        <v>26</v>
      </c>
      <c r="R291" s="513"/>
      <c r="S291" s="514">
        <v>28</v>
      </c>
      <c r="T291" s="298" t="str">
        <f t="shared" si="14"/>
        <v>HSGC0228</v>
      </c>
      <c r="U291" s="514">
        <v>5872</v>
      </c>
    </row>
    <row r="292" spans="12:21" ht="16.5" hidden="1">
      <c r="L292" s="512" t="s">
        <v>720</v>
      </c>
      <c r="M292" s="512" t="s">
        <v>722</v>
      </c>
      <c r="N292" s="512" t="s">
        <v>721</v>
      </c>
      <c r="O292" s="513"/>
      <c r="P292" s="512" t="s">
        <v>721</v>
      </c>
      <c r="Q292" s="512" t="s">
        <v>26</v>
      </c>
      <c r="R292" s="513"/>
      <c r="S292" s="514">
        <v>29</v>
      </c>
      <c r="T292" s="298" t="str">
        <f t="shared" si="14"/>
        <v>HSGC0229</v>
      </c>
      <c r="U292" s="514">
        <v>6130</v>
      </c>
    </row>
    <row r="293" spans="12:21" ht="16.5" hidden="1">
      <c r="L293" s="512" t="s">
        <v>720</v>
      </c>
      <c r="M293" s="512" t="s">
        <v>722</v>
      </c>
      <c r="N293" s="512" t="s">
        <v>721</v>
      </c>
      <c r="O293" s="513"/>
      <c r="P293" s="512" t="s">
        <v>721</v>
      </c>
      <c r="Q293" s="512" t="s">
        <v>26</v>
      </c>
      <c r="R293" s="513"/>
      <c r="S293" s="514">
        <v>30</v>
      </c>
      <c r="T293" s="298" t="str">
        <f t="shared" si="14"/>
        <v>HSGC0230</v>
      </c>
      <c r="U293" s="514">
        <v>6402</v>
      </c>
    </row>
    <row r="294" spans="12:21" ht="16.5" hidden="1">
      <c r="L294" s="512" t="s">
        <v>720</v>
      </c>
      <c r="M294" s="512" t="s">
        <v>722</v>
      </c>
      <c r="N294" s="512" t="s">
        <v>721</v>
      </c>
      <c r="O294" s="513"/>
      <c r="P294" s="512" t="s">
        <v>721</v>
      </c>
      <c r="Q294" s="512" t="s">
        <v>26</v>
      </c>
      <c r="R294" s="513"/>
      <c r="S294" s="514">
        <v>31</v>
      </c>
      <c r="T294" s="298" t="str">
        <f t="shared" si="14"/>
        <v>HSGC0231</v>
      </c>
      <c r="U294" s="514">
        <v>6687</v>
      </c>
    </row>
    <row r="295" spans="12:21" ht="16.5" hidden="1">
      <c r="L295" s="512" t="s">
        <v>720</v>
      </c>
      <c r="M295" s="512" t="s">
        <v>722</v>
      </c>
      <c r="N295" s="512" t="s">
        <v>721</v>
      </c>
      <c r="O295" s="513"/>
      <c r="P295" s="512" t="s">
        <v>721</v>
      </c>
      <c r="Q295" s="512" t="s">
        <v>26</v>
      </c>
      <c r="R295" s="513"/>
      <c r="S295" s="514">
        <v>32</v>
      </c>
      <c r="T295" s="298" t="str">
        <f t="shared" si="14"/>
        <v>HSGC0232</v>
      </c>
      <c r="U295" s="514">
        <v>6987</v>
      </c>
    </row>
    <row r="296" spans="12:21" ht="16.5" hidden="1">
      <c r="L296" s="512" t="s">
        <v>720</v>
      </c>
      <c r="M296" s="512" t="s">
        <v>722</v>
      </c>
      <c r="N296" s="512" t="s">
        <v>721</v>
      </c>
      <c r="O296" s="513"/>
      <c r="P296" s="512" t="s">
        <v>721</v>
      </c>
      <c r="Q296" s="512" t="s">
        <v>26</v>
      </c>
      <c r="R296" s="513"/>
      <c r="S296" s="514">
        <v>33</v>
      </c>
      <c r="T296" s="298" t="str">
        <f t="shared" si="14"/>
        <v>HSGC0233</v>
      </c>
      <c r="U296" s="514">
        <v>7305</v>
      </c>
    </row>
    <row r="297" spans="12:21" ht="16.5" hidden="1">
      <c r="L297" s="512" t="s">
        <v>720</v>
      </c>
      <c r="M297" s="512" t="s">
        <v>722</v>
      </c>
      <c r="N297" s="512" t="s">
        <v>721</v>
      </c>
      <c r="O297" s="513"/>
      <c r="P297" s="512" t="s">
        <v>721</v>
      </c>
      <c r="Q297" s="512" t="s">
        <v>26</v>
      </c>
      <c r="R297" s="513"/>
      <c r="S297" s="514">
        <v>34</v>
      </c>
      <c r="T297" s="298" t="str">
        <f t="shared" si="14"/>
        <v>HSGC0234</v>
      </c>
      <c r="U297" s="514">
        <v>7635</v>
      </c>
    </row>
    <row r="298" spans="12:21" ht="16.5" hidden="1">
      <c r="L298" s="512" t="s">
        <v>720</v>
      </c>
      <c r="M298" s="512" t="s">
        <v>722</v>
      </c>
      <c r="N298" s="512" t="s">
        <v>721</v>
      </c>
      <c r="O298" s="513"/>
      <c r="P298" s="512" t="s">
        <v>721</v>
      </c>
      <c r="Q298" s="512" t="s">
        <v>26</v>
      </c>
      <c r="R298" s="513"/>
      <c r="S298" s="514">
        <v>35</v>
      </c>
      <c r="T298" s="298" t="str">
        <f t="shared" si="14"/>
        <v>HSGC0235</v>
      </c>
      <c r="U298" s="514">
        <v>7977</v>
      </c>
    </row>
    <row r="299" spans="12:21" ht="16.5" hidden="1">
      <c r="L299" s="512" t="s">
        <v>720</v>
      </c>
      <c r="M299" s="512" t="s">
        <v>722</v>
      </c>
      <c r="N299" s="512" t="s">
        <v>721</v>
      </c>
      <c r="O299" s="513"/>
      <c r="P299" s="512" t="s">
        <v>721</v>
      </c>
      <c r="Q299" s="512" t="s">
        <v>26</v>
      </c>
      <c r="R299" s="513"/>
      <c r="S299" s="514">
        <v>36</v>
      </c>
      <c r="T299" s="298" t="str">
        <f t="shared" si="14"/>
        <v>HSGC0236</v>
      </c>
      <c r="U299" s="514">
        <v>8333</v>
      </c>
    </row>
    <row r="300" spans="12:21" ht="16.5" hidden="1">
      <c r="L300" s="512" t="s">
        <v>720</v>
      </c>
      <c r="M300" s="512" t="s">
        <v>722</v>
      </c>
      <c r="N300" s="512" t="s">
        <v>721</v>
      </c>
      <c r="O300" s="513"/>
      <c r="P300" s="512" t="s">
        <v>721</v>
      </c>
      <c r="Q300" s="512" t="s">
        <v>26</v>
      </c>
      <c r="R300" s="513"/>
      <c r="S300" s="514">
        <v>37</v>
      </c>
      <c r="T300" s="298" t="str">
        <f t="shared" si="14"/>
        <v>HSGC0237</v>
      </c>
      <c r="U300" s="514">
        <v>8702</v>
      </c>
    </row>
    <row r="301" spans="12:21" ht="16.5" hidden="1">
      <c r="L301" s="512" t="s">
        <v>720</v>
      </c>
      <c r="M301" s="512" t="s">
        <v>722</v>
      </c>
      <c r="N301" s="512" t="s">
        <v>721</v>
      </c>
      <c r="O301" s="513"/>
      <c r="P301" s="512" t="s">
        <v>721</v>
      </c>
      <c r="Q301" s="512" t="s">
        <v>26</v>
      </c>
      <c r="R301" s="513"/>
      <c r="S301" s="514">
        <v>38</v>
      </c>
      <c r="T301" s="298" t="str">
        <f t="shared" si="14"/>
        <v>HSGC0238</v>
      </c>
      <c r="U301" s="514">
        <v>9085</v>
      </c>
    </row>
    <row r="302" spans="12:21" ht="16.5" hidden="1">
      <c r="L302" s="512" t="s">
        <v>720</v>
      </c>
      <c r="M302" s="512" t="s">
        <v>722</v>
      </c>
      <c r="N302" s="512" t="s">
        <v>721</v>
      </c>
      <c r="O302" s="513"/>
      <c r="P302" s="512" t="s">
        <v>721</v>
      </c>
      <c r="Q302" s="512" t="s">
        <v>26</v>
      </c>
      <c r="R302" s="513"/>
      <c r="S302" s="514">
        <v>39</v>
      </c>
      <c r="T302" s="298" t="str">
        <f t="shared" si="14"/>
        <v>HSGC0239</v>
      </c>
      <c r="U302" s="514">
        <v>9463</v>
      </c>
    </row>
    <row r="303" spans="12:21" ht="16.5" hidden="1">
      <c r="L303" s="512" t="s">
        <v>720</v>
      </c>
      <c r="M303" s="512" t="s">
        <v>722</v>
      </c>
      <c r="N303" s="512" t="s">
        <v>721</v>
      </c>
      <c r="O303" s="513"/>
      <c r="P303" s="512" t="s">
        <v>721</v>
      </c>
      <c r="Q303" s="512" t="s">
        <v>26</v>
      </c>
      <c r="R303" s="513"/>
      <c r="S303" s="514">
        <v>40</v>
      </c>
      <c r="T303" s="298" t="str">
        <f t="shared" si="14"/>
        <v>HSGC0240</v>
      </c>
      <c r="U303" s="514">
        <v>9835</v>
      </c>
    </row>
    <row r="304" spans="12:21" ht="16.5" hidden="1">
      <c r="L304" s="512" t="s">
        <v>720</v>
      </c>
      <c r="M304" s="512" t="s">
        <v>722</v>
      </c>
      <c r="N304" s="512" t="s">
        <v>721</v>
      </c>
      <c r="O304" s="513"/>
      <c r="P304" s="512" t="s">
        <v>721</v>
      </c>
      <c r="Q304" s="512" t="s">
        <v>26</v>
      </c>
      <c r="R304" s="513"/>
      <c r="S304" s="514">
        <v>41</v>
      </c>
      <c r="T304" s="298" t="str">
        <f t="shared" si="14"/>
        <v>HSGC0241</v>
      </c>
      <c r="U304" s="514">
        <v>10201</v>
      </c>
    </row>
    <row r="305" spans="12:21" ht="16.5" hidden="1">
      <c r="L305" s="512" t="s">
        <v>720</v>
      </c>
      <c r="M305" s="512" t="s">
        <v>722</v>
      </c>
      <c r="N305" s="512" t="s">
        <v>721</v>
      </c>
      <c r="O305" s="513"/>
      <c r="P305" s="512" t="s">
        <v>721</v>
      </c>
      <c r="Q305" s="512" t="s">
        <v>26</v>
      </c>
      <c r="R305" s="513"/>
      <c r="S305" s="514">
        <v>42</v>
      </c>
      <c r="T305" s="298" t="str">
        <f t="shared" si="14"/>
        <v>HSGC0242</v>
      </c>
      <c r="U305" s="514">
        <v>10562</v>
      </c>
    </row>
    <row r="306" spans="12:21" ht="16.5" hidden="1">
      <c r="L306" s="512" t="s">
        <v>720</v>
      </c>
      <c r="M306" s="512" t="s">
        <v>722</v>
      </c>
      <c r="N306" s="512" t="s">
        <v>721</v>
      </c>
      <c r="O306" s="513"/>
      <c r="P306" s="512" t="s">
        <v>721</v>
      </c>
      <c r="Q306" s="512" t="s">
        <v>26</v>
      </c>
      <c r="R306" s="513"/>
      <c r="S306" s="514">
        <v>43</v>
      </c>
      <c r="T306" s="298" t="str">
        <f t="shared" si="14"/>
        <v>HSGC0243</v>
      </c>
      <c r="U306" s="514">
        <v>10918</v>
      </c>
    </row>
    <row r="307" spans="12:21" ht="16.5" hidden="1">
      <c r="L307" s="512" t="s">
        <v>720</v>
      </c>
      <c r="M307" s="512" t="s">
        <v>722</v>
      </c>
      <c r="N307" s="512" t="s">
        <v>721</v>
      </c>
      <c r="O307" s="513"/>
      <c r="P307" s="512" t="s">
        <v>721</v>
      </c>
      <c r="Q307" s="512" t="s">
        <v>26</v>
      </c>
      <c r="R307" s="513"/>
      <c r="S307" s="514">
        <v>44</v>
      </c>
      <c r="T307" s="298" t="str">
        <f t="shared" si="14"/>
        <v>HSGC0244</v>
      </c>
      <c r="U307" s="514">
        <v>11261</v>
      </c>
    </row>
    <row r="308" spans="12:21" ht="16.5" hidden="1">
      <c r="L308" s="512" t="s">
        <v>720</v>
      </c>
      <c r="M308" s="512" t="s">
        <v>722</v>
      </c>
      <c r="N308" s="512" t="s">
        <v>721</v>
      </c>
      <c r="O308" s="513"/>
      <c r="P308" s="512" t="s">
        <v>721</v>
      </c>
      <c r="Q308" s="512" t="s">
        <v>26</v>
      </c>
      <c r="R308" s="513"/>
      <c r="S308" s="514">
        <v>45</v>
      </c>
      <c r="T308" s="298" t="str">
        <f t="shared" si="14"/>
        <v>HSGC0245</v>
      </c>
      <c r="U308" s="514">
        <v>11592</v>
      </c>
    </row>
    <row r="309" spans="12:21" ht="16.5" hidden="1">
      <c r="L309" s="512" t="s">
        <v>720</v>
      </c>
      <c r="M309" s="512" t="s">
        <v>722</v>
      </c>
      <c r="N309" s="512" t="s">
        <v>721</v>
      </c>
      <c r="O309" s="513"/>
      <c r="P309" s="512" t="s">
        <v>721</v>
      </c>
      <c r="Q309" s="512" t="s">
        <v>26</v>
      </c>
      <c r="R309" s="513"/>
      <c r="S309" s="514">
        <v>46</v>
      </c>
      <c r="T309" s="298" t="str">
        <f t="shared" si="14"/>
        <v>HSGC0246</v>
      </c>
      <c r="U309" s="514">
        <v>11909</v>
      </c>
    </row>
    <row r="310" spans="12:21" ht="16.5" hidden="1">
      <c r="L310" s="512" t="s">
        <v>720</v>
      </c>
      <c r="M310" s="512" t="s">
        <v>722</v>
      </c>
      <c r="N310" s="512" t="s">
        <v>721</v>
      </c>
      <c r="O310" s="513"/>
      <c r="P310" s="512" t="s">
        <v>721</v>
      </c>
      <c r="Q310" s="512" t="s">
        <v>26</v>
      </c>
      <c r="R310" s="513"/>
      <c r="S310" s="514">
        <v>47</v>
      </c>
      <c r="T310" s="298" t="str">
        <f t="shared" si="14"/>
        <v>HSGC0247</v>
      </c>
      <c r="U310" s="514">
        <v>12213</v>
      </c>
    </row>
    <row r="311" spans="12:21" ht="16.5" hidden="1">
      <c r="L311" s="512" t="s">
        <v>720</v>
      </c>
      <c r="M311" s="512" t="s">
        <v>722</v>
      </c>
      <c r="N311" s="512" t="s">
        <v>721</v>
      </c>
      <c r="O311" s="513"/>
      <c r="P311" s="512" t="s">
        <v>721</v>
      </c>
      <c r="Q311" s="512" t="s">
        <v>26</v>
      </c>
      <c r="R311" s="513"/>
      <c r="S311" s="514">
        <v>48</v>
      </c>
      <c r="T311" s="298" t="str">
        <f t="shared" si="14"/>
        <v>HSGC0248</v>
      </c>
      <c r="U311" s="514">
        <v>12501</v>
      </c>
    </row>
    <row r="312" spans="12:21" ht="16.5" hidden="1">
      <c r="L312" s="512" t="s">
        <v>720</v>
      </c>
      <c r="M312" s="512" t="s">
        <v>722</v>
      </c>
      <c r="N312" s="512" t="s">
        <v>721</v>
      </c>
      <c r="O312" s="513"/>
      <c r="P312" s="512" t="s">
        <v>721</v>
      </c>
      <c r="Q312" s="512" t="s">
        <v>26</v>
      </c>
      <c r="R312" s="513"/>
      <c r="S312" s="514">
        <v>49</v>
      </c>
      <c r="T312" s="298" t="str">
        <f t="shared" si="14"/>
        <v>HSGC0249</v>
      </c>
      <c r="U312" s="514">
        <v>12765</v>
      </c>
    </row>
    <row r="313" spans="12:21" ht="16.5" hidden="1">
      <c r="L313" s="512" t="s">
        <v>720</v>
      </c>
      <c r="M313" s="512" t="s">
        <v>722</v>
      </c>
      <c r="N313" s="512" t="s">
        <v>721</v>
      </c>
      <c r="O313" s="513"/>
      <c r="P313" s="512" t="s">
        <v>721</v>
      </c>
      <c r="Q313" s="512" t="s">
        <v>26</v>
      </c>
      <c r="R313" s="513"/>
      <c r="S313" s="514">
        <v>50</v>
      </c>
      <c r="T313" s="298" t="str">
        <f t="shared" si="14"/>
        <v>HSGC0250</v>
      </c>
      <c r="U313" s="514">
        <v>13005</v>
      </c>
    </row>
    <row r="314" spans="12:21" ht="16.5" hidden="1">
      <c r="L314" s="512" t="s">
        <v>720</v>
      </c>
      <c r="M314" s="512" t="s">
        <v>722</v>
      </c>
      <c r="N314" s="512" t="s">
        <v>721</v>
      </c>
      <c r="O314" s="513"/>
      <c r="P314" s="512" t="s">
        <v>721</v>
      </c>
      <c r="Q314" s="512" t="s">
        <v>26</v>
      </c>
      <c r="R314" s="513"/>
      <c r="S314" s="514">
        <v>51</v>
      </c>
      <c r="T314" s="298" t="str">
        <f t="shared" si="14"/>
        <v>HSGC0251</v>
      </c>
      <c r="U314" s="514">
        <v>13220</v>
      </c>
    </row>
    <row r="315" spans="12:21" ht="16.5" hidden="1">
      <c r="L315" s="512" t="s">
        <v>720</v>
      </c>
      <c r="M315" s="512" t="s">
        <v>722</v>
      </c>
      <c r="N315" s="512" t="s">
        <v>721</v>
      </c>
      <c r="O315" s="513"/>
      <c r="P315" s="512" t="s">
        <v>721</v>
      </c>
      <c r="Q315" s="512" t="s">
        <v>26</v>
      </c>
      <c r="R315" s="513"/>
      <c r="S315" s="514">
        <v>52</v>
      </c>
      <c r="T315" s="298" t="str">
        <f t="shared" si="14"/>
        <v>HSGC0252</v>
      </c>
      <c r="U315" s="514">
        <v>13409</v>
      </c>
    </row>
    <row r="316" spans="12:21" ht="16.5" hidden="1">
      <c r="L316" s="512" t="s">
        <v>720</v>
      </c>
      <c r="M316" s="512" t="s">
        <v>722</v>
      </c>
      <c r="N316" s="512" t="s">
        <v>721</v>
      </c>
      <c r="O316" s="513"/>
      <c r="P316" s="512" t="s">
        <v>721</v>
      </c>
      <c r="Q316" s="512" t="s">
        <v>26</v>
      </c>
      <c r="R316" s="513"/>
      <c r="S316" s="514">
        <v>53</v>
      </c>
      <c r="T316" s="298" t="str">
        <f t="shared" si="14"/>
        <v>HSGC0253</v>
      </c>
      <c r="U316" s="514">
        <v>13572</v>
      </c>
    </row>
    <row r="317" spans="12:21" ht="16.5" hidden="1">
      <c r="L317" s="512" t="s">
        <v>720</v>
      </c>
      <c r="M317" s="512" t="s">
        <v>722</v>
      </c>
      <c r="N317" s="512" t="s">
        <v>721</v>
      </c>
      <c r="O317" s="513"/>
      <c r="P317" s="512" t="s">
        <v>721</v>
      </c>
      <c r="Q317" s="512" t="s">
        <v>26</v>
      </c>
      <c r="R317" s="513"/>
      <c r="S317" s="514">
        <v>54</v>
      </c>
      <c r="T317" s="298" t="str">
        <f t="shared" si="14"/>
        <v>HSGC0254</v>
      </c>
      <c r="U317" s="514">
        <v>13774</v>
      </c>
    </row>
    <row r="318" spans="12:21" ht="16.5" hidden="1">
      <c r="L318" s="512" t="s">
        <v>720</v>
      </c>
      <c r="M318" s="512" t="s">
        <v>722</v>
      </c>
      <c r="N318" s="512" t="s">
        <v>721</v>
      </c>
      <c r="O318" s="513"/>
      <c r="P318" s="512" t="s">
        <v>721</v>
      </c>
      <c r="Q318" s="512" t="s">
        <v>26</v>
      </c>
      <c r="R318" s="513"/>
      <c r="S318" s="514">
        <v>55</v>
      </c>
      <c r="T318" s="298" t="str">
        <f t="shared" si="14"/>
        <v>HSGC0255</v>
      </c>
      <c r="U318" s="514">
        <v>14016</v>
      </c>
    </row>
    <row r="319" spans="12:21" ht="16.5" hidden="1">
      <c r="L319" s="512" t="s">
        <v>720</v>
      </c>
      <c r="M319" s="512" t="s">
        <v>722</v>
      </c>
      <c r="N319" s="512" t="s">
        <v>721</v>
      </c>
      <c r="O319" s="513"/>
      <c r="P319" s="512" t="s">
        <v>721</v>
      </c>
      <c r="Q319" s="512" t="s">
        <v>26</v>
      </c>
      <c r="R319" s="513"/>
      <c r="S319" s="514">
        <v>56</v>
      </c>
      <c r="T319" s="298" t="str">
        <f t="shared" si="14"/>
        <v>HSGC0256</v>
      </c>
      <c r="U319" s="514">
        <v>14298</v>
      </c>
    </row>
    <row r="320" spans="12:21" ht="16.5" hidden="1">
      <c r="L320" s="512" t="s">
        <v>720</v>
      </c>
      <c r="M320" s="512" t="s">
        <v>722</v>
      </c>
      <c r="N320" s="512" t="s">
        <v>721</v>
      </c>
      <c r="O320" s="513"/>
      <c r="P320" s="512" t="s">
        <v>721</v>
      </c>
      <c r="Q320" s="512" t="s">
        <v>26</v>
      </c>
      <c r="R320" s="513"/>
      <c r="S320" s="514">
        <v>57</v>
      </c>
      <c r="T320" s="298" t="str">
        <f t="shared" si="14"/>
        <v>HSGC0257</v>
      </c>
      <c r="U320" s="514">
        <v>14620</v>
      </c>
    </row>
    <row r="321" spans="12:21" ht="16.5" hidden="1">
      <c r="L321" s="512" t="s">
        <v>720</v>
      </c>
      <c r="M321" s="512" t="s">
        <v>722</v>
      </c>
      <c r="N321" s="512" t="s">
        <v>721</v>
      </c>
      <c r="O321" s="513"/>
      <c r="P321" s="512" t="s">
        <v>721</v>
      </c>
      <c r="Q321" s="512" t="s">
        <v>26</v>
      </c>
      <c r="R321" s="513"/>
      <c r="S321" s="514">
        <v>58</v>
      </c>
      <c r="T321" s="298" t="str">
        <f t="shared" si="14"/>
        <v>HSGC0258</v>
      </c>
      <c r="U321" s="514">
        <v>14982</v>
      </c>
    </row>
    <row r="322" spans="12:21" ht="16.5" hidden="1">
      <c r="L322" s="512" t="s">
        <v>720</v>
      </c>
      <c r="M322" s="512" t="s">
        <v>722</v>
      </c>
      <c r="N322" s="512" t="s">
        <v>721</v>
      </c>
      <c r="O322" s="513"/>
      <c r="P322" s="512" t="s">
        <v>721</v>
      </c>
      <c r="Q322" s="512" t="s">
        <v>26</v>
      </c>
      <c r="R322" s="513"/>
      <c r="S322" s="514">
        <v>59</v>
      </c>
      <c r="T322" s="298" t="str">
        <f t="shared" ref="T322:T385" si="15">M322&amp;TEXT(Q322,"00")&amp;TEXT(S322,"00")</f>
        <v>HSGC0259</v>
      </c>
      <c r="U322" s="514">
        <v>15454</v>
      </c>
    </row>
    <row r="323" spans="12:21" ht="16.5" hidden="1">
      <c r="L323" s="512" t="s">
        <v>720</v>
      </c>
      <c r="M323" s="512" t="s">
        <v>722</v>
      </c>
      <c r="N323" s="512" t="s">
        <v>721</v>
      </c>
      <c r="O323" s="513"/>
      <c r="P323" s="512" t="s">
        <v>721</v>
      </c>
      <c r="Q323" s="512" t="s">
        <v>26</v>
      </c>
      <c r="R323" s="513"/>
      <c r="S323" s="514">
        <v>60</v>
      </c>
      <c r="T323" s="298" t="str">
        <f t="shared" si="15"/>
        <v>HSGC0260</v>
      </c>
      <c r="U323" s="514">
        <v>16041</v>
      </c>
    </row>
    <row r="324" spans="12:21" ht="16.5" hidden="1">
      <c r="L324" s="512" t="s">
        <v>720</v>
      </c>
      <c r="M324" s="512" t="s">
        <v>722</v>
      </c>
      <c r="N324" s="512" t="s">
        <v>721</v>
      </c>
      <c r="O324" s="513"/>
      <c r="P324" s="512" t="s">
        <v>721</v>
      </c>
      <c r="Q324" s="512" t="s">
        <v>26</v>
      </c>
      <c r="R324" s="513"/>
      <c r="S324" s="514">
        <v>61</v>
      </c>
      <c r="T324" s="298" t="str">
        <f t="shared" si="15"/>
        <v>HSGC0261</v>
      </c>
      <c r="U324" s="514">
        <v>16749</v>
      </c>
    </row>
    <row r="325" spans="12:21" ht="16.5" hidden="1">
      <c r="L325" s="512" t="s">
        <v>720</v>
      </c>
      <c r="M325" s="512" t="s">
        <v>722</v>
      </c>
      <c r="N325" s="512" t="s">
        <v>721</v>
      </c>
      <c r="O325" s="513"/>
      <c r="P325" s="512" t="s">
        <v>721</v>
      </c>
      <c r="Q325" s="512" t="s">
        <v>26</v>
      </c>
      <c r="R325" s="513"/>
      <c r="S325" s="514">
        <v>62</v>
      </c>
      <c r="T325" s="298" t="str">
        <f t="shared" si="15"/>
        <v>HSGC0262</v>
      </c>
      <c r="U325" s="514">
        <v>17587</v>
      </c>
    </row>
    <row r="326" spans="12:21" ht="16.5" hidden="1">
      <c r="L326" s="512" t="s">
        <v>720</v>
      </c>
      <c r="M326" s="512" t="s">
        <v>722</v>
      </c>
      <c r="N326" s="512" t="s">
        <v>721</v>
      </c>
      <c r="O326" s="513"/>
      <c r="P326" s="512" t="s">
        <v>721</v>
      </c>
      <c r="Q326" s="512" t="s">
        <v>26</v>
      </c>
      <c r="R326" s="513"/>
      <c r="S326" s="514">
        <v>63</v>
      </c>
      <c r="T326" s="298" t="str">
        <f t="shared" si="15"/>
        <v>HSGC0263</v>
      </c>
      <c r="U326" s="514">
        <v>18568</v>
      </c>
    </row>
    <row r="327" spans="12:21" ht="16.5" hidden="1">
      <c r="L327" s="512" t="s">
        <v>720</v>
      </c>
      <c r="M327" s="512" t="s">
        <v>722</v>
      </c>
      <c r="N327" s="512" t="s">
        <v>721</v>
      </c>
      <c r="O327" s="513"/>
      <c r="P327" s="512" t="s">
        <v>721</v>
      </c>
      <c r="Q327" s="512" t="s">
        <v>26</v>
      </c>
      <c r="R327" s="513"/>
      <c r="S327" s="514">
        <v>64</v>
      </c>
      <c r="T327" s="298" t="str">
        <f t="shared" si="15"/>
        <v>HSGC0264</v>
      </c>
      <c r="U327" s="514">
        <v>19685</v>
      </c>
    </row>
    <row r="328" spans="12:21" ht="16.5" hidden="1">
      <c r="L328" s="512" t="s">
        <v>720</v>
      </c>
      <c r="M328" s="512" t="s">
        <v>722</v>
      </c>
      <c r="N328" s="512" t="s">
        <v>721</v>
      </c>
      <c r="O328" s="513"/>
      <c r="P328" s="512" t="s">
        <v>721</v>
      </c>
      <c r="Q328" s="512" t="s">
        <v>26</v>
      </c>
      <c r="R328" s="513"/>
      <c r="S328" s="514">
        <v>65</v>
      </c>
      <c r="T328" s="298" t="str">
        <f t="shared" si="15"/>
        <v>HSGC0265</v>
      </c>
      <c r="U328" s="514">
        <v>20944</v>
      </c>
    </row>
    <row r="329" spans="12:21" ht="16.5" hidden="1">
      <c r="L329" s="512" t="s">
        <v>720</v>
      </c>
      <c r="M329" s="512" t="s">
        <v>722</v>
      </c>
      <c r="N329" s="512" t="s">
        <v>721</v>
      </c>
      <c r="O329" s="513"/>
      <c r="P329" s="512" t="s">
        <v>721</v>
      </c>
      <c r="Q329" s="512" t="s">
        <v>26</v>
      </c>
      <c r="R329" s="513"/>
      <c r="S329" s="514">
        <v>66</v>
      </c>
      <c r="T329" s="298" t="str">
        <f t="shared" si="15"/>
        <v>HSGC0266</v>
      </c>
      <c r="U329" s="514">
        <v>22350</v>
      </c>
    </row>
    <row r="330" spans="12:21" ht="16.5" hidden="1">
      <c r="L330" s="512" t="s">
        <v>720</v>
      </c>
      <c r="M330" s="512" t="s">
        <v>722</v>
      </c>
      <c r="N330" s="512" t="s">
        <v>721</v>
      </c>
      <c r="O330" s="513"/>
      <c r="P330" s="512" t="s">
        <v>721</v>
      </c>
      <c r="Q330" s="512" t="s">
        <v>26</v>
      </c>
      <c r="R330" s="513"/>
      <c r="S330" s="514">
        <v>67</v>
      </c>
      <c r="T330" s="298" t="str">
        <f t="shared" si="15"/>
        <v>HSGC0267</v>
      </c>
      <c r="U330" s="514">
        <v>23909</v>
      </c>
    </row>
    <row r="331" spans="12:21" ht="16.5" hidden="1">
      <c r="L331" s="512" t="s">
        <v>720</v>
      </c>
      <c r="M331" s="512" t="s">
        <v>722</v>
      </c>
      <c r="N331" s="512" t="s">
        <v>721</v>
      </c>
      <c r="O331" s="513"/>
      <c r="P331" s="512" t="s">
        <v>721</v>
      </c>
      <c r="Q331" s="512" t="s">
        <v>26</v>
      </c>
      <c r="R331" s="513"/>
      <c r="S331" s="514">
        <v>68</v>
      </c>
      <c r="T331" s="298" t="str">
        <f t="shared" si="15"/>
        <v>HSGC0268</v>
      </c>
      <c r="U331" s="514">
        <v>25633</v>
      </c>
    </row>
    <row r="332" spans="12:21" ht="16.5" hidden="1">
      <c r="L332" s="512" t="s">
        <v>720</v>
      </c>
      <c r="M332" s="512" t="s">
        <v>722</v>
      </c>
      <c r="N332" s="512" t="s">
        <v>721</v>
      </c>
      <c r="O332" s="513"/>
      <c r="P332" s="512" t="s">
        <v>721</v>
      </c>
      <c r="Q332" s="512" t="s">
        <v>26</v>
      </c>
      <c r="R332" s="513"/>
      <c r="S332" s="514">
        <v>69</v>
      </c>
      <c r="T332" s="298" t="str">
        <f t="shared" si="15"/>
        <v>HSGC0269</v>
      </c>
      <c r="U332" s="514">
        <v>27519</v>
      </c>
    </row>
    <row r="333" spans="12:21" ht="16.5" hidden="1">
      <c r="L333" s="512" t="s">
        <v>720</v>
      </c>
      <c r="M333" s="512" t="s">
        <v>722</v>
      </c>
      <c r="N333" s="512" t="s">
        <v>721</v>
      </c>
      <c r="O333" s="513"/>
      <c r="P333" s="512" t="s">
        <v>721</v>
      </c>
      <c r="Q333" s="512" t="s">
        <v>26</v>
      </c>
      <c r="R333" s="513"/>
      <c r="S333" s="514">
        <v>70</v>
      </c>
      <c r="T333" s="298" t="str">
        <f t="shared" si="15"/>
        <v>HSGC0270</v>
      </c>
      <c r="U333" s="514">
        <v>29574</v>
      </c>
    </row>
    <row r="334" spans="12:21" ht="16.5" hidden="1">
      <c r="L334" s="512" t="s">
        <v>720</v>
      </c>
      <c r="M334" s="512" t="s">
        <v>722</v>
      </c>
      <c r="N334" s="512" t="s">
        <v>721</v>
      </c>
      <c r="O334" s="513"/>
      <c r="P334" s="512" t="s">
        <v>721</v>
      </c>
      <c r="Q334" s="512" t="s">
        <v>26</v>
      </c>
      <c r="R334" s="513"/>
      <c r="S334" s="514">
        <v>71</v>
      </c>
      <c r="T334" s="298" t="str">
        <f t="shared" si="15"/>
        <v>HSGC0271</v>
      </c>
      <c r="U334" s="514">
        <v>31810</v>
      </c>
    </row>
    <row r="335" spans="12:21" ht="16.5" hidden="1">
      <c r="L335" s="512" t="s">
        <v>720</v>
      </c>
      <c r="M335" s="512" t="s">
        <v>722</v>
      </c>
      <c r="N335" s="512" t="s">
        <v>721</v>
      </c>
      <c r="O335" s="513"/>
      <c r="P335" s="512" t="s">
        <v>721</v>
      </c>
      <c r="Q335" s="512" t="s">
        <v>25</v>
      </c>
      <c r="R335" s="513"/>
      <c r="S335" s="514">
        <v>15</v>
      </c>
      <c r="T335" s="298" t="str">
        <f t="shared" si="15"/>
        <v>HSGC0115</v>
      </c>
      <c r="U335" s="514">
        <v>3924</v>
      </c>
    </row>
    <row r="336" spans="12:21" ht="16.5" hidden="1">
      <c r="L336" s="512" t="s">
        <v>720</v>
      </c>
      <c r="M336" s="512" t="s">
        <v>722</v>
      </c>
      <c r="N336" s="512" t="s">
        <v>721</v>
      </c>
      <c r="O336" s="513"/>
      <c r="P336" s="512" t="s">
        <v>721</v>
      </c>
      <c r="Q336" s="512" t="s">
        <v>25</v>
      </c>
      <c r="R336" s="513"/>
      <c r="S336" s="514">
        <v>16</v>
      </c>
      <c r="T336" s="298" t="str">
        <f t="shared" si="15"/>
        <v>HSGC0116</v>
      </c>
      <c r="U336" s="514">
        <v>3924</v>
      </c>
    </row>
    <row r="337" spans="12:21" ht="16.5" hidden="1">
      <c r="L337" s="512" t="s">
        <v>720</v>
      </c>
      <c r="M337" s="512" t="s">
        <v>722</v>
      </c>
      <c r="N337" s="512" t="s">
        <v>721</v>
      </c>
      <c r="O337" s="513"/>
      <c r="P337" s="512" t="s">
        <v>721</v>
      </c>
      <c r="Q337" s="512" t="s">
        <v>25</v>
      </c>
      <c r="R337" s="513"/>
      <c r="S337" s="514">
        <v>17</v>
      </c>
      <c r="T337" s="298" t="str">
        <f t="shared" si="15"/>
        <v>HSGC0117</v>
      </c>
      <c r="U337" s="514">
        <v>3924</v>
      </c>
    </row>
    <row r="338" spans="12:21" ht="16.5" hidden="1">
      <c r="L338" s="512" t="s">
        <v>720</v>
      </c>
      <c r="M338" s="512" t="s">
        <v>722</v>
      </c>
      <c r="N338" s="512" t="s">
        <v>721</v>
      </c>
      <c r="O338" s="513"/>
      <c r="P338" s="512" t="s">
        <v>721</v>
      </c>
      <c r="Q338" s="512" t="s">
        <v>25</v>
      </c>
      <c r="R338" s="513"/>
      <c r="S338" s="514">
        <v>18</v>
      </c>
      <c r="T338" s="298" t="str">
        <f t="shared" si="15"/>
        <v>HSGC0118</v>
      </c>
      <c r="U338" s="514">
        <v>3924</v>
      </c>
    </row>
    <row r="339" spans="12:21" ht="16.5" hidden="1">
      <c r="L339" s="512" t="s">
        <v>720</v>
      </c>
      <c r="M339" s="512" t="s">
        <v>722</v>
      </c>
      <c r="N339" s="512" t="s">
        <v>721</v>
      </c>
      <c r="O339" s="513"/>
      <c r="P339" s="512" t="s">
        <v>721</v>
      </c>
      <c r="Q339" s="512" t="s">
        <v>25</v>
      </c>
      <c r="R339" s="513"/>
      <c r="S339" s="514">
        <v>19</v>
      </c>
      <c r="T339" s="298" t="str">
        <f t="shared" si="15"/>
        <v>HSGC0119</v>
      </c>
      <c r="U339" s="514">
        <v>3946</v>
      </c>
    </row>
    <row r="340" spans="12:21" ht="16.5" hidden="1">
      <c r="L340" s="512" t="s">
        <v>720</v>
      </c>
      <c r="M340" s="512" t="s">
        <v>722</v>
      </c>
      <c r="N340" s="512" t="s">
        <v>721</v>
      </c>
      <c r="O340" s="513"/>
      <c r="P340" s="512" t="s">
        <v>721</v>
      </c>
      <c r="Q340" s="512" t="s">
        <v>26</v>
      </c>
      <c r="R340" s="513"/>
      <c r="S340" s="514">
        <v>15</v>
      </c>
      <c r="T340" s="298" t="str">
        <f t="shared" si="15"/>
        <v>HSGC0215</v>
      </c>
      <c r="U340" s="514">
        <v>4774</v>
      </c>
    </row>
    <row r="341" spans="12:21" ht="16.5" hidden="1">
      <c r="L341" s="512" t="s">
        <v>720</v>
      </c>
      <c r="M341" s="512" t="s">
        <v>722</v>
      </c>
      <c r="N341" s="512" t="s">
        <v>721</v>
      </c>
      <c r="O341" s="513"/>
      <c r="P341" s="512" t="s">
        <v>721</v>
      </c>
      <c r="Q341" s="512" t="s">
        <v>26</v>
      </c>
      <c r="R341" s="513"/>
      <c r="S341" s="514">
        <v>16</v>
      </c>
      <c r="T341" s="298" t="str">
        <f t="shared" si="15"/>
        <v>HSGC0216</v>
      </c>
      <c r="U341" s="514">
        <v>4774</v>
      </c>
    </row>
    <row r="342" spans="12:21" ht="16.5" hidden="1">
      <c r="L342" s="512" t="s">
        <v>720</v>
      </c>
      <c r="M342" s="512" t="s">
        <v>722</v>
      </c>
      <c r="N342" s="512" t="s">
        <v>721</v>
      </c>
      <c r="O342" s="513"/>
      <c r="P342" s="512" t="s">
        <v>721</v>
      </c>
      <c r="Q342" s="512" t="s">
        <v>26</v>
      </c>
      <c r="R342" s="513"/>
      <c r="S342" s="514">
        <v>17</v>
      </c>
      <c r="T342" s="298" t="str">
        <f t="shared" si="15"/>
        <v>HSGC0217</v>
      </c>
      <c r="U342" s="514">
        <v>4774</v>
      </c>
    </row>
    <row r="343" spans="12:21" ht="16.5" hidden="1">
      <c r="L343" s="512" t="s">
        <v>720</v>
      </c>
      <c r="M343" s="512" t="s">
        <v>722</v>
      </c>
      <c r="N343" s="512" t="s">
        <v>721</v>
      </c>
      <c r="O343" s="513"/>
      <c r="P343" s="512" t="s">
        <v>721</v>
      </c>
      <c r="Q343" s="512" t="s">
        <v>26</v>
      </c>
      <c r="R343" s="513"/>
      <c r="S343" s="514">
        <v>18</v>
      </c>
      <c r="T343" s="298" t="str">
        <f t="shared" si="15"/>
        <v>HSGC0218</v>
      </c>
      <c r="U343" s="514">
        <v>4774</v>
      </c>
    </row>
    <row r="344" spans="12:21" ht="16.5" hidden="1">
      <c r="L344" s="512" t="s">
        <v>720</v>
      </c>
      <c r="M344" s="512" t="s">
        <v>722</v>
      </c>
      <c r="N344" s="512" t="s">
        <v>721</v>
      </c>
      <c r="O344" s="513"/>
      <c r="P344" s="512" t="s">
        <v>721</v>
      </c>
      <c r="Q344" s="512" t="s">
        <v>26</v>
      </c>
      <c r="R344" s="513"/>
      <c r="S344" s="514">
        <v>19</v>
      </c>
      <c r="T344" s="298" t="str">
        <f t="shared" si="15"/>
        <v>HSGC0219</v>
      </c>
      <c r="U344" s="514">
        <v>4776</v>
      </c>
    </row>
    <row r="345" spans="12:21" ht="16.5" hidden="1">
      <c r="L345" s="512" t="s">
        <v>720</v>
      </c>
      <c r="M345" s="512" t="s">
        <v>630</v>
      </c>
      <c r="N345" s="512" t="s">
        <v>721</v>
      </c>
      <c r="O345" s="513"/>
      <c r="P345" s="512" t="s">
        <v>721</v>
      </c>
      <c r="Q345" s="512" t="s">
        <v>25</v>
      </c>
      <c r="R345" s="513"/>
      <c r="S345" s="514">
        <v>20</v>
      </c>
      <c r="T345" s="298" t="str">
        <f t="shared" si="15"/>
        <v>HSGD0120</v>
      </c>
      <c r="U345" s="514">
        <v>4445</v>
      </c>
    </row>
    <row r="346" spans="12:21" ht="16.5" hidden="1">
      <c r="L346" s="512" t="s">
        <v>720</v>
      </c>
      <c r="M346" s="512" t="s">
        <v>630</v>
      </c>
      <c r="N346" s="512" t="s">
        <v>721</v>
      </c>
      <c r="O346" s="513"/>
      <c r="P346" s="512" t="s">
        <v>721</v>
      </c>
      <c r="Q346" s="512" t="s">
        <v>25</v>
      </c>
      <c r="R346" s="513"/>
      <c r="S346" s="514">
        <v>21</v>
      </c>
      <c r="T346" s="298" t="str">
        <f t="shared" si="15"/>
        <v>HSGD0121</v>
      </c>
      <c r="U346" s="514">
        <v>4528</v>
      </c>
    </row>
    <row r="347" spans="12:21" ht="16.5" hidden="1">
      <c r="L347" s="512" t="s">
        <v>720</v>
      </c>
      <c r="M347" s="512" t="s">
        <v>630</v>
      </c>
      <c r="N347" s="512" t="s">
        <v>721</v>
      </c>
      <c r="O347" s="513"/>
      <c r="P347" s="512" t="s">
        <v>721</v>
      </c>
      <c r="Q347" s="512" t="s">
        <v>25</v>
      </c>
      <c r="R347" s="513"/>
      <c r="S347" s="514">
        <v>22</v>
      </c>
      <c r="T347" s="298" t="str">
        <f t="shared" si="15"/>
        <v>HSGD0122</v>
      </c>
      <c r="U347" s="514">
        <v>4641</v>
      </c>
    </row>
    <row r="348" spans="12:21" ht="16.5" hidden="1">
      <c r="L348" s="512" t="s">
        <v>720</v>
      </c>
      <c r="M348" s="512" t="s">
        <v>630</v>
      </c>
      <c r="N348" s="512" t="s">
        <v>721</v>
      </c>
      <c r="O348" s="513"/>
      <c r="P348" s="512" t="s">
        <v>721</v>
      </c>
      <c r="Q348" s="512" t="s">
        <v>25</v>
      </c>
      <c r="R348" s="513"/>
      <c r="S348" s="514">
        <v>23</v>
      </c>
      <c r="T348" s="298" t="str">
        <f t="shared" si="15"/>
        <v>HSGD0123</v>
      </c>
      <c r="U348" s="514">
        <v>4786</v>
      </c>
    </row>
    <row r="349" spans="12:21" ht="16.5" hidden="1">
      <c r="L349" s="512" t="s">
        <v>720</v>
      </c>
      <c r="M349" s="512" t="s">
        <v>630</v>
      </c>
      <c r="N349" s="512" t="s">
        <v>721</v>
      </c>
      <c r="O349" s="513"/>
      <c r="P349" s="512" t="s">
        <v>721</v>
      </c>
      <c r="Q349" s="512" t="s">
        <v>25</v>
      </c>
      <c r="R349" s="513"/>
      <c r="S349" s="514">
        <v>24</v>
      </c>
      <c r="T349" s="298" t="str">
        <f t="shared" si="15"/>
        <v>HSGD0124</v>
      </c>
      <c r="U349" s="514">
        <v>4978</v>
      </c>
    </row>
    <row r="350" spans="12:21" ht="16.5" hidden="1">
      <c r="L350" s="512" t="s">
        <v>720</v>
      </c>
      <c r="M350" s="512" t="s">
        <v>630</v>
      </c>
      <c r="N350" s="512" t="s">
        <v>721</v>
      </c>
      <c r="O350" s="513"/>
      <c r="P350" s="512" t="s">
        <v>721</v>
      </c>
      <c r="Q350" s="512" t="s">
        <v>25</v>
      </c>
      <c r="R350" s="513"/>
      <c r="S350" s="514">
        <v>25</v>
      </c>
      <c r="T350" s="298" t="str">
        <f t="shared" si="15"/>
        <v>HSGD0125</v>
      </c>
      <c r="U350" s="514">
        <v>5184</v>
      </c>
    </row>
    <row r="351" spans="12:21" ht="16.5" hidden="1">
      <c r="L351" s="512" t="s">
        <v>720</v>
      </c>
      <c r="M351" s="512" t="s">
        <v>630</v>
      </c>
      <c r="N351" s="512" t="s">
        <v>721</v>
      </c>
      <c r="O351" s="513"/>
      <c r="P351" s="512" t="s">
        <v>721</v>
      </c>
      <c r="Q351" s="512" t="s">
        <v>25</v>
      </c>
      <c r="R351" s="513"/>
      <c r="S351" s="514">
        <v>26</v>
      </c>
      <c r="T351" s="298" t="str">
        <f t="shared" si="15"/>
        <v>HSGD0126</v>
      </c>
      <c r="U351" s="514">
        <v>5400</v>
      </c>
    </row>
    <row r="352" spans="12:21" ht="16.5" hidden="1">
      <c r="L352" s="512" t="s">
        <v>720</v>
      </c>
      <c r="M352" s="512" t="s">
        <v>630</v>
      </c>
      <c r="N352" s="512" t="s">
        <v>721</v>
      </c>
      <c r="O352" s="513"/>
      <c r="P352" s="512" t="s">
        <v>721</v>
      </c>
      <c r="Q352" s="512" t="s">
        <v>25</v>
      </c>
      <c r="R352" s="513"/>
      <c r="S352" s="514">
        <v>27</v>
      </c>
      <c r="T352" s="298" t="str">
        <f t="shared" si="15"/>
        <v>HSGD0127</v>
      </c>
      <c r="U352" s="514">
        <v>5664</v>
      </c>
    </row>
    <row r="353" spans="12:21" ht="16.5" hidden="1">
      <c r="L353" s="512" t="s">
        <v>720</v>
      </c>
      <c r="M353" s="512" t="s">
        <v>630</v>
      </c>
      <c r="N353" s="512" t="s">
        <v>721</v>
      </c>
      <c r="O353" s="513"/>
      <c r="P353" s="512" t="s">
        <v>721</v>
      </c>
      <c r="Q353" s="512" t="s">
        <v>25</v>
      </c>
      <c r="R353" s="513"/>
      <c r="S353" s="514">
        <v>28</v>
      </c>
      <c r="T353" s="298" t="str">
        <f t="shared" si="15"/>
        <v>HSGD0128</v>
      </c>
      <c r="U353" s="514">
        <v>5977</v>
      </c>
    </row>
    <row r="354" spans="12:21" ht="16.5" hidden="1">
      <c r="L354" s="512" t="s">
        <v>720</v>
      </c>
      <c r="M354" s="512" t="s">
        <v>630</v>
      </c>
      <c r="N354" s="512" t="s">
        <v>721</v>
      </c>
      <c r="O354" s="513"/>
      <c r="P354" s="512" t="s">
        <v>721</v>
      </c>
      <c r="Q354" s="512" t="s">
        <v>25</v>
      </c>
      <c r="R354" s="513"/>
      <c r="S354" s="514">
        <v>29</v>
      </c>
      <c r="T354" s="298" t="str">
        <f t="shared" si="15"/>
        <v>HSGD0129</v>
      </c>
      <c r="U354" s="514">
        <v>6301</v>
      </c>
    </row>
    <row r="355" spans="12:21" ht="16.5" hidden="1">
      <c r="L355" s="512" t="s">
        <v>720</v>
      </c>
      <c r="M355" s="512" t="s">
        <v>630</v>
      </c>
      <c r="N355" s="512" t="s">
        <v>721</v>
      </c>
      <c r="O355" s="513"/>
      <c r="P355" s="512" t="s">
        <v>721</v>
      </c>
      <c r="Q355" s="512" t="s">
        <v>25</v>
      </c>
      <c r="R355" s="513"/>
      <c r="S355" s="514">
        <v>30</v>
      </c>
      <c r="T355" s="298" t="str">
        <f t="shared" si="15"/>
        <v>HSGD0130</v>
      </c>
      <c r="U355" s="514">
        <v>6634</v>
      </c>
    </row>
    <row r="356" spans="12:21" ht="16.5" hidden="1">
      <c r="L356" s="512" t="s">
        <v>720</v>
      </c>
      <c r="M356" s="512" t="s">
        <v>630</v>
      </c>
      <c r="N356" s="512" t="s">
        <v>721</v>
      </c>
      <c r="O356" s="513"/>
      <c r="P356" s="512" t="s">
        <v>721</v>
      </c>
      <c r="Q356" s="512" t="s">
        <v>25</v>
      </c>
      <c r="R356" s="513"/>
      <c r="S356" s="514">
        <v>31</v>
      </c>
      <c r="T356" s="298" t="str">
        <f t="shared" si="15"/>
        <v>HSGD0131</v>
      </c>
      <c r="U356" s="514">
        <v>7161</v>
      </c>
    </row>
    <row r="357" spans="12:21" ht="16.5" hidden="1">
      <c r="L357" s="512" t="s">
        <v>720</v>
      </c>
      <c r="M357" s="512" t="s">
        <v>630</v>
      </c>
      <c r="N357" s="512" t="s">
        <v>721</v>
      </c>
      <c r="O357" s="513"/>
      <c r="P357" s="512" t="s">
        <v>721</v>
      </c>
      <c r="Q357" s="512" t="s">
        <v>25</v>
      </c>
      <c r="R357" s="513"/>
      <c r="S357" s="514">
        <v>32</v>
      </c>
      <c r="T357" s="298" t="str">
        <f t="shared" si="15"/>
        <v>HSGD0132</v>
      </c>
      <c r="U357" s="514">
        <v>7723</v>
      </c>
    </row>
    <row r="358" spans="12:21" ht="16.5" hidden="1">
      <c r="L358" s="512" t="s">
        <v>720</v>
      </c>
      <c r="M358" s="512" t="s">
        <v>630</v>
      </c>
      <c r="N358" s="512" t="s">
        <v>721</v>
      </c>
      <c r="O358" s="513"/>
      <c r="P358" s="512" t="s">
        <v>721</v>
      </c>
      <c r="Q358" s="512" t="s">
        <v>25</v>
      </c>
      <c r="R358" s="513"/>
      <c r="S358" s="514">
        <v>33</v>
      </c>
      <c r="T358" s="298" t="str">
        <f t="shared" si="15"/>
        <v>HSGD0133</v>
      </c>
      <c r="U358" s="514">
        <v>8323</v>
      </c>
    </row>
    <row r="359" spans="12:21" ht="16.5" hidden="1">
      <c r="L359" s="512" t="s">
        <v>720</v>
      </c>
      <c r="M359" s="512" t="s">
        <v>630</v>
      </c>
      <c r="N359" s="512" t="s">
        <v>721</v>
      </c>
      <c r="O359" s="513"/>
      <c r="P359" s="512" t="s">
        <v>721</v>
      </c>
      <c r="Q359" s="512" t="s">
        <v>25</v>
      </c>
      <c r="R359" s="513"/>
      <c r="S359" s="514">
        <v>34</v>
      </c>
      <c r="T359" s="298" t="str">
        <f t="shared" si="15"/>
        <v>HSGD0134</v>
      </c>
      <c r="U359" s="514">
        <v>8935</v>
      </c>
    </row>
    <row r="360" spans="12:21" ht="16.5" hidden="1">
      <c r="L360" s="512" t="s">
        <v>720</v>
      </c>
      <c r="M360" s="512" t="s">
        <v>630</v>
      </c>
      <c r="N360" s="512" t="s">
        <v>721</v>
      </c>
      <c r="O360" s="513"/>
      <c r="P360" s="512" t="s">
        <v>721</v>
      </c>
      <c r="Q360" s="512" t="s">
        <v>25</v>
      </c>
      <c r="R360" s="513"/>
      <c r="S360" s="514">
        <v>35</v>
      </c>
      <c r="T360" s="298" t="str">
        <f t="shared" si="15"/>
        <v>HSGD0135</v>
      </c>
      <c r="U360" s="514">
        <v>9556</v>
      </c>
    </row>
    <row r="361" spans="12:21" ht="16.5" hidden="1">
      <c r="L361" s="512" t="s">
        <v>720</v>
      </c>
      <c r="M361" s="512" t="s">
        <v>630</v>
      </c>
      <c r="N361" s="512" t="s">
        <v>721</v>
      </c>
      <c r="O361" s="513"/>
      <c r="P361" s="512" t="s">
        <v>721</v>
      </c>
      <c r="Q361" s="512" t="s">
        <v>25</v>
      </c>
      <c r="R361" s="513"/>
      <c r="S361" s="514">
        <v>36</v>
      </c>
      <c r="T361" s="298" t="str">
        <f t="shared" si="15"/>
        <v>HSGD0136</v>
      </c>
      <c r="U361" s="514">
        <v>10120</v>
      </c>
    </row>
    <row r="362" spans="12:21" ht="16.5" hidden="1">
      <c r="L362" s="512" t="s">
        <v>720</v>
      </c>
      <c r="M362" s="512" t="s">
        <v>630</v>
      </c>
      <c r="N362" s="512" t="s">
        <v>721</v>
      </c>
      <c r="O362" s="513"/>
      <c r="P362" s="512" t="s">
        <v>721</v>
      </c>
      <c r="Q362" s="512" t="s">
        <v>25</v>
      </c>
      <c r="R362" s="513"/>
      <c r="S362" s="514">
        <v>37</v>
      </c>
      <c r="T362" s="298" t="str">
        <f t="shared" si="15"/>
        <v>HSGD0137</v>
      </c>
      <c r="U362" s="514">
        <v>10611</v>
      </c>
    </row>
    <row r="363" spans="12:21" ht="16.5" hidden="1">
      <c r="L363" s="512" t="s">
        <v>720</v>
      </c>
      <c r="M363" s="512" t="s">
        <v>630</v>
      </c>
      <c r="N363" s="512" t="s">
        <v>721</v>
      </c>
      <c r="O363" s="513"/>
      <c r="P363" s="512" t="s">
        <v>721</v>
      </c>
      <c r="Q363" s="512" t="s">
        <v>25</v>
      </c>
      <c r="R363" s="513"/>
      <c r="S363" s="514">
        <v>38</v>
      </c>
      <c r="T363" s="298" t="str">
        <f t="shared" si="15"/>
        <v>HSGD0138</v>
      </c>
      <c r="U363" s="514">
        <v>11097</v>
      </c>
    </row>
    <row r="364" spans="12:21" ht="16.5" hidden="1">
      <c r="L364" s="512" t="s">
        <v>720</v>
      </c>
      <c r="M364" s="512" t="s">
        <v>630</v>
      </c>
      <c r="N364" s="512" t="s">
        <v>721</v>
      </c>
      <c r="O364" s="513"/>
      <c r="P364" s="512" t="s">
        <v>721</v>
      </c>
      <c r="Q364" s="512" t="s">
        <v>25</v>
      </c>
      <c r="R364" s="513"/>
      <c r="S364" s="514">
        <v>39</v>
      </c>
      <c r="T364" s="298" t="str">
        <f t="shared" si="15"/>
        <v>HSGD0139</v>
      </c>
      <c r="U364" s="514">
        <v>11605</v>
      </c>
    </row>
    <row r="365" spans="12:21" ht="16.5" hidden="1">
      <c r="L365" s="512" t="s">
        <v>720</v>
      </c>
      <c r="M365" s="512" t="s">
        <v>630</v>
      </c>
      <c r="N365" s="512" t="s">
        <v>721</v>
      </c>
      <c r="O365" s="513"/>
      <c r="P365" s="512" t="s">
        <v>721</v>
      </c>
      <c r="Q365" s="512" t="s">
        <v>25</v>
      </c>
      <c r="R365" s="513"/>
      <c r="S365" s="514">
        <v>40</v>
      </c>
      <c r="T365" s="298" t="str">
        <f t="shared" si="15"/>
        <v>HSGD0140</v>
      </c>
      <c r="U365" s="514">
        <v>12134</v>
      </c>
    </row>
    <row r="366" spans="12:21" ht="16.5" hidden="1">
      <c r="L366" s="512" t="s">
        <v>720</v>
      </c>
      <c r="M366" s="512" t="s">
        <v>630</v>
      </c>
      <c r="N366" s="512" t="s">
        <v>721</v>
      </c>
      <c r="O366" s="513"/>
      <c r="P366" s="512" t="s">
        <v>721</v>
      </c>
      <c r="Q366" s="512" t="s">
        <v>25</v>
      </c>
      <c r="R366" s="513"/>
      <c r="S366" s="514">
        <v>41</v>
      </c>
      <c r="T366" s="298" t="str">
        <f t="shared" si="15"/>
        <v>HSGD0141</v>
      </c>
      <c r="U366" s="514">
        <v>12686</v>
      </c>
    </row>
    <row r="367" spans="12:21" ht="16.5" hidden="1">
      <c r="L367" s="512" t="s">
        <v>720</v>
      </c>
      <c r="M367" s="512" t="s">
        <v>630</v>
      </c>
      <c r="N367" s="512" t="s">
        <v>721</v>
      </c>
      <c r="O367" s="513"/>
      <c r="P367" s="512" t="s">
        <v>721</v>
      </c>
      <c r="Q367" s="512" t="s">
        <v>25</v>
      </c>
      <c r="R367" s="513"/>
      <c r="S367" s="514">
        <v>42</v>
      </c>
      <c r="T367" s="298" t="str">
        <f t="shared" si="15"/>
        <v>HSGD0142</v>
      </c>
      <c r="U367" s="514">
        <v>13262</v>
      </c>
    </row>
    <row r="368" spans="12:21" ht="16.5" hidden="1">
      <c r="L368" s="512" t="s">
        <v>720</v>
      </c>
      <c r="M368" s="512" t="s">
        <v>630</v>
      </c>
      <c r="N368" s="512" t="s">
        <v>721</v>
      </c>
      <c r="O368" s="513"/>
      <c r="P368" s="512" t="s">
        <v>721</v>
      </c>
      <c r="Q368" s="512" t="s">
        <v>25</v>
      </c>
      <c r="R368" s="513"/>
      <c r="S368" s="514">
        <v>43</v>
      </c>
      <c r="T368" s="298" t="str">
        <f t="shared" si="15"/>
        <v>HSGD0143</v>
      </c>
      <c r="U368" s="514">
        <v>13862</v>
      </c>
    </row>
    <row r="369" spans="12:21" ht="16.5" hidden="1">
      <c r="L369" s="512" t="s">
        <v>720</v>
      </c>
      <c r="M369" s="512" t="s">
        <v>630</v>
      </c>
      <c r="N369" s="512" t="s">
        <v>721</v>
      </c>
      <c r="O369" s="513"/>
      <c r="P369" s="512" t="s">
        <v>721</v>
      </c>
      <c r="Q369" s="512" t="s">
        <v>25</v>
      </c>
      <c r="R369" s="513"/>
      <c r="S369" s="514">
        <v>44</v>
      </c>
      <c r="T369" s="298" t="str">
        <f t="shared" si="15"/>
        <v>HSGD0144</v>
      </c>
      <c r="U369" s="514">
        <v>14473</v>
      </c>
    </row>
    <row r="370" spans="12:21" ht="16.5" hidden="1">
      <c r="L370" s="512" t="s">
        <v>720</v>
      </c>
      <c r="M370" s="512" t="s">
        <v>630</v>
      </c>
      <c r="N370" s="512" t="s">
        <v>721</v>
      </c>
      <c r="O370" s="513"/>
      <c r="P370" s="512" t="s">
        <v>721</v>
      </c>
      <c r="Q370" s="512" t="s">
        <v>25</v>
      </c>
      <c r="R370" s="513"/>
      <c r="S370" s="514">
        <v>45</v>
      </c>
      <c r="T370" s="298" t="str">
        <f t="shared" si="15"/>
        <v>HSGD0145</v>
      </c>
      <c r="U370" s="514">
        <v>15099</v>
      </c>
    </row>
    <row r="371" spans="12:21" ht="16.5" hidden="1">
      <c r="L371" s="512" t="s">
        <v>720</v>
      </c>
      <c r="M371" s="512" t="s">
        <v>630</v>
      </c>
      <c r="N371" s="512" t="s">
        <v>721</v>
      </c>
      <c r="O371" s="513"/>
      <c r="P371" s="512" t="s">
        <v>721</v>
      </c>
      <c r="Q371" s="512" t="s">
        <v>25</v>
      </c>
      <c r="R371" s="513"/>
      <c r="S371" s="514">
        <v>46</v>
      </c>
      <c r="T371" s="298" t="str">
        <f t="shared" si="15"/>
        <v>HSGD0146</v>
      </c>
      <c r="U371" s="514">
        <v>15738</v>
      </c>
    </row>
    <row r="372" spans="12:21" ht="16.5" hidden="1">
      <c r="L372" s="512" t="s">
        <v>720</v>
      </c>
      <c r="M372" s="512" t="s">
        <v>630</v>
      </c>
      <c r="N372" s="512" t="s">
        <v>721</v>
      </c>
      <c r="O372" s="513"/>
      <c r="P372" s="512" t="s">
        <v>721</v>
      </c>
      <c r="Q372" s="512" t="s">
        <v>25</v>
      </c>
      <c r="R372" s="513"/>
      <c r="S372" s="514">
        <v>47</v>
      </c>
      <c r="T372" s="298" t="str">
        <f t="shared" si="15"/>
        <v>HSGD0147</v>
      </c>
      <c r="U372" s="514">
        <v>16396</v>
      </c>
    </row>
    <row r="373" spans="12:21" ht="16.5" hidden="1">
      <c r="L373" s="512" t="s">
        <v>720</v>
      </c>
      <c r="M373" s="512" t="s">
        <v>630</v>
      </c>
      <c r="N373" s="512" t="s">
        <v>721</v>
      </c>
      <c r="O373" s="513"/>
      <c r="P373" s="512" t="s">
        <v>721</v>
      </c>
      <c r="Q373" s="512" t="s">
        <v>25</v>
      </c>
      <c r="R373" s="513"/>
      <c r="S373" s="514">
        <v>48</v>
      </c>
      <c r="T373" s="298" t="str">
        <f t="shared" si="15"/>
        <v>HSGD0148</v>
      </c>
      <c r="U373" s="514">
        <v>17077</v>
      </c>
    </row>
    <row r="374" spans="12:21" ht="16.5" hidden="1">
      <c r="L374" s="512" t="s">
        <v>720</v>
      </c>
      <c r="M374" s="512" t="s">
        <v>630</v>
      </c>
      <c r="N374" s="512" t="s">
        <v>721</v>
      </c>
      <c r="O374" s="513"/>
      <c r="P374" s="512" t="s">
        <v>721</v>
      </c>
      <c r="Q374" s="512" t="s">
        <v>25</v>
      </c>
      <c r="R374" s="513"/>
      <c r="S374" s="514">
        <v>49</v>
      </c>
      <c r="T374" s="298" t="str">
        <f t="shared" si="15"/>
        <v>HSGD0149</v>
      </c>
      <c r="U374" s="514">
        <v>17691</v>
      </c>
    </row>
    <row r="375" spans="12:21" ht="16.5" hidden="1">
      <c r="L375" s="512" t="s">
        <v>720</v>
      </c>
      <c r="M375" s="512" t="s">
        <v>630</v>
      </c>
      <c r="N375" s="512" t="s">
        <v>721</v>
      </c>
      <c r="O375" s="513"/>
      <c r="P375" s="512" t="s">
        <v>721</v>
      </c>
      <c r="Q375" s="512" t="s">
        <v>25</v>
      </c>
      <c r="R375" s="513"/>
      <c r="S375" s="514">
        <v>50</v>
      </c>
      <c r="T375" s="298" t="str">
        <f t="shared" si="15"/>
        <v>HSGD0150</v>
      </c>
      <c r="U375" s="514">
        <v>18234</v>
      </c>
    </row>
    <row r="376" spans="12:21" ht="16.5" hidden="1">
      <c r="L376" s="512" t="s">
        <v>720</v>
      </c>
      <c r="M376" s="512" t="s">
        <v>630</v>
      </c>
      <c r="N376" s="512" t="s">
        <v>721</v>
      </c>
      <c r="O376" s="513"/>
      <c r="P376" s="512" t="s">
        <v>721</v>
      </c>
      <c r="Q376" s="512" t="s">
        <v>25</v>
      </c>
      <c r="R376" s="513"/>
      <c r="S376" s="514">
        <v>51</v>
      </c>
      <c r="T376" s="298" t="str">
        <f t="shared" si="15"/>
        <v>HSGD0151</v>
      </c>
      <c r="U376" s="514">
        <v>18705</v>
      </c>
    </row>
    <row r="377" spans="12:21" ht="16.5" hidden="1">
      <c r="L377" s="512" t="s">
        <v>720</v>
      </c>
      <c r="M377" s="512" t="s">
        <v>630</v>
      </c>
      <c r="N377" s="512" t="s">
        <v>721</v>
      </c>
      <c r="O377" s="513"/>
      <c r="P377" s="512" t="s">
        <v>721</v>
      </c>
      <c r="Q377" s="512" t="s">
        <v>25</v>
      </c>
      <c r="R377" s="513"/>
      <c r="S377" s="514">
        <v>52</v>
      </c>
      <c r="T377" s="298" t="str">
        <f t="shared" si="15"/>
        <v>HSGD0152</v>
      </c>
      <c r="U377" s="514">
        <v>19099</v>
      </c>
    </row>
    <row r="378" spans="12:21" ht="16.5" hidden="1">
      <c r="L378" s="512" t="s">
        <v>720</v>
      </c>
      <c r="M378" s="512" t="s">
        <v>630</v>
      </c>
      <c r="N378" s="512" t="s">
        <v>721</v>
      </c>
      <c r="O378" s="513"/>
      <c r="P378" s="512" t="s">
        <v>721</v>
      </c>
      <c r="Q378" s="512" t="s">
        <v>25</v>
      </c>
      <c r="R378" s="513"/>
      <c r="S378" s="514">
        <v>53</v>
      </c>
      <c r="T378" s="298" t="str">
        <f t="shared" si="15"/>
        <v>HSGD0153</v>
      </c>
      <c r="U378" s="514">
        <v>19410</v>
      </c>
    </row>
    <row r="379" spans="12:21" ht="16.5" hidden="1">
      <c r="L379" s="512" t="s">
        <v>720</v>
      </c>
      <c r="M379" s="512" t="s">
        <v>630</v>
      </c>
      <c r="N379" s="512" t="s">
        <v>721</v>
      </c>
      <c r="O379" s="513"/>
      <c r="P379" s="512" t="s">
        <v>721</v>
      </c>
      <c r="Q379" s="512" t="s">
        <v>25</v>
      </c>
      <c r="R379" s="513"/>
      <c r="S379" s="514">
        <v>54</v>
      </c>
      <c r="T379" s="298" t="str">
        <f t="shared" si="15"/>
        <v>HSGD0154</v>
      </c>
      <c r="U379" s="514">
        <v>19764</v>
      </c>
    </row>
    <row r="380" spans="12:21" ht="16.5" hidden="1">
      <c r="L380" s="512" t="s">
        <v>720</v>
      </c>
      <c r="M380" s="512" t="s">
        <v>630</v>
      </c>
      <c r="N380" s="512" t="s">
        <v>721</v>
      </c>
      <c r="O380" s="513"/>
      <c r="P380" s="512" t="s">
        <v>721</v>
      </c>
      <c r="Q380" s="512" t="s">
        <v>25</v>
      </c>
      <c r="R380" s="513"/>
      <c r="S380" s="514">
        <v>55</v>
      </c>
      <c r="T380" s="298" t="str">
        <f t="shared" si="15"/>
        <v>HSGD0155</v>
      </c>
      <c r="U380" s="514">
        <v>20162</v>
      </c>
    </row>
    <row r="381" spans="12:21" ht="16.5" hidden="1">
      <c r="L381" s="512" t="s">
        <v>720</v>
      </c>
      <c r="M381" s="512" t="s">
        <v>630</v>
      </c>
      <c r="N381" s="512" t="s">
        <v>721</v>
      </c>
      <c r="O381" s="513"/>
      <c r="P381" s="512" t="s">
        <v>721</v>
      </c>
      <c r="Q381" s="512" t="s">
        <v>25</v>
      </c>
      <c r="R381" s="513"/>
      <c r="S381" s="514">
        <v>56</v>
      </c>
      <c r="T381" s="298" t="str">
        <f t="shared" si="15"/>
        <v>HSGD0156</v>
      </c>
      <c r="U381" s="514">
        <v>20605</v>
      </c>
    </row>
    <row r="382" spans="12:21" ht="16.5" hidden="1">
      <c r="L382" s="512" t="s">
        <v>720</v>
      </c>
      <c r="M382" s="512" t="s">
        <v>630</v>
      </c>
      <c r="N382" s="512" t="s">
        <v>721</v>
      </c>
      <c r="O382" s="513"/>
      <c r="P382" s="512" t="s">
        <v>721</v>
      </c>
      <c r="Q382" s="512" t="s">
        <v>25</v>
      </c>
      <c r="R382" s="513"/>
      <c r="S382" s="514">
        <v>57</v>
      </c>
      <c r="T382" s="298" t="str">
        <f t="shared" si="15"/>
        <v>HSGD0157</v>
      </c>
      <c r="U382" s="514">
        <v>21091</v>
      </c>
    </row>
    <row r="383" spans="12:21" ht="16.5" hidden="1">
      <c r="L383" s="512" t="s">
        <v>720</v>
      </c>
      <c r="M383" s="512" t="s">
        <v>630</v>
      </c>
      <c r="N383" s="512" t="s">
        <v>721</v>
      </c>
      <c r="O383" s="513"/>
      <c r="P383" s="512" t="s">
        <v>721</v>
      </c>
      <c r="Q383" s="512" t="s">
        <v>25</v>
      </c>
      <c r="R383" s="513"/>
      <c r="S383" s="514">
        <v>58</v>
      </c>
      <c r="T383" s="298" t="str">
        <f t="shared" si="15"/>
        <v>HSGD0158</v>
      </c>
      <c r="U383" s="514">
        <v>21615</v>
      </c>
    </row>
    <row r="384" spans="12:21" ht="16.5" hidden="1">
      <c r="L384" s="512" t="s">
        <v>720</v>
      </c>
      <c r="M384" s="512" t="s">
        <v>630</v>
      </c>
      <c r="N384" s="512" t="s">
        <v>721</v>
      </c>
      <c r="O384" s="513"/>
      <c r="P384" s="512" t="s">
        <v>721</v>
      </c>
      <c r="Q384" s="512" t="s">
        <v>25</v>
      </c>
      <c r="R384" s="513"/>
      <c r="S384" s="514">
        <v>59</v>
      </c>
      <c r="T384" s="298" t="str">
        <f t="shared" si="15"/>
        <v>HSGD0159</v>
      </c>
      <c r="U384" s="514">
        <v>22286</v>
      </c>
    </row>
    <row r="385" spans="12:21" ht="16.5" hidden="1">
      <c r="L385" s="512" t="s">
        <v>720</v>
      </c>
      <c r="M385" s="512" t="s">
        <v>630</v>
      </c>
      <c r="N385" s="512" t="s">
        <v>721</v>
      </c>
      <c r="O385" s="513"/>
      <c r="P385" s="512" t="s">
        <v>721</v>
      </c>
      <c r="Q385" s="512" t="s">
        <v>25</v>
      </c>
      <c r="R385" s="513"/>
      <c r="S385" s="514">
        <v>60</v>
      </c>
      <c r="T385" s="298" t="str">
        <f t="shared" si="15"/>
        <v>HSGD0160</v>
      </c>
      <c r="U385" s="514">
        <v>23113</v>
      </c>
    </row>
    <row r="386" spans="12:21" ht="16.5" hidden="1">
      <c r="L386" s="512" t="s">
        <v>720</v>
      </c>
      <c r="M386" s="512" t="s">
        <v>630</v>
      </c>
      <c r="N386" s="512" t="s">
        <v>721</v>
      </c>
      <c r="O386" s="513"/>
      <c r="P386" s="512" t="s">
        <v>721</v>
      </c>
      <c r="Q386" s="512" t="s">
        <v>25</v>
      </c>
      <c r="R386" s="513"/>
      <c r="S386" s="514">
        <v>61</v>
      </c>
      <c r="T386" s="298" t="str">
        <f t="shared" ref="T386:T449" si="16">M386&amp;TEXT(Q386,"00")&amp;TEXT(S386,"00")</f>
        <v>HSGD0161</v>
      </c>
      <c r="U386" s="514">
        <v>24103</v>
      </c>
    </row>
    <row r="387" spans="12:21" ht="16.5" hidden="1">
      <c r="L387" s="512" t="s">
        <v>720</v>
      </c>
      <c r="M387" s="512" t="s">
        <v>630</v>
      </c>
      <c r="N387" s="512" t="s">
        <v>721</v>
      </c>
      <c r="O387" s="513"/>
      <c r="P387" s="512" t="s">
        <v>721</v>
      </c>
      <c r="Q387" s="512" t="s">
        <v>25</v>
      </c>
      <c r="R387" s="513"/>
      <c r="S387" s="514">
        <v>62</v>
      </c>
      <c r="T387" s="298" t="str">
        <f t="shared" si="16"/>
        <v>HSGD0162</v>
      </c>
      <c r="U387" s="514">
        <v>25270</v>
      </c>
    </row>
    <row r="388" spans="12:21" ht="16.5" hidden="1">
      <c r="L388" s="512" t="s">
        <v>720</v>
      </c>
      <c r="M388" s="512" t="s">
        <v>630</v>
      </c>
      <c r="N388" s="512" t="s">
        <v>721</v>
      </c>
      <c r="O388" s="513"/>
      <c r="P388" s="512" t="s">
        <v>721</v>
      </c>
      <c r="Q388" s="512" t="s">
        <v>25</v>
      </c>
      <c r="R388" s="513"/>
      <c r="S388" s="514">
        <v>63</v>
      </c>
      <c r="T388" s="298" t="str">
        <f t="shared" si="16"/>
        <v>HSGD0163</v>
      </c>
      <c r="U388" s="514">
        <v>26636</v>
      </c>
    </row>
    <row r="389" spans="12:21" ht="16.5" hidden="1">
      <c r="L389" s="512" t="s">
        <v>720</v>
      </c>
      <c r="M389" s="512" t="s">
        <v>630</v>
      </c>
      <c r="N389" s="512" t="s">
        <v>721</v>
      </c>
      <c r="O389" s="513"/>
      <c r="P389" s="512" t="s">
        <v>721</v>
      </c>
      <c r="Q389" s="512" t="s">
        <v>25</v>
      </c>
      <c r="R389" s="513"/>
      <c r="S389" s="514">
        <v>64</v>
      </c>
      <c r="T389" s="298" t="str">
        <f t="shared" si="16"/>
        <v>HSGD0164</v>
      </c>
      <c r="U389" s="514">
        <v>28193</v>
      </c>
    </row>
    <row r="390" spans="12:21" ht="16.5" hidden="1">
      <c r="L390" s="512" t="s">
        <v>720</v>
      </c>
      <c r="M390" s="512" t="s">
        <v>630</v>
      </c>
      <c r="N390" s="512" t="s">
        <v>721</v>
      </c>
      <c r="O390" s="513"/>
      <c r="P390" s="512" t="s">
        <v>721</v>
      </c>
      <c r="Q390" s="512" t="s">
        <v>25</v>
      </c>
      <c r="R390" s="513"/>
      <c r="S390" s="514">
        <v>65</v>
      </c>
      <c r="T390" s="298" t="str">
        <f t="shared" si="16"/>
        <v>HSGD0165</v>
      </c>
      <c r="U390" s="514">
        <v>29949</v>
      </c>
    </row>
    <row r="391" spans="12:21" ht="16.5" hidden="1">
      <c r="L391" s="512" t="s">
        <v>720</v>
      </c>
      <c r="M391" s="512" t="s">
        <v>630</v>
      </c>
      <c r="N391" s="512" t="s">
        <v>721</v>
      </c>
      <c r="O391" s="513"/>
      <c r="P391" s="512" t="s">
        <v>721</v>
      </c>
      <c r="Q391" s="512" t="s">
        <v>25</v>
      </c>
      <c r="R391" s="513"/>
      <c r="S391" s="514">
        <v>66</v>
      </c>
      <c r="T391" s="298" t="str">
        <f t="shared" si="16"/>
        <v>HSGD0166</v>
      </c>
      <c r="U391" s="514">
        <v>31912</v>
      </c>
    </row>
    <row r="392" spans="12:21" ht="16.5" hidden="1">
      <c r="L392" s="512" t="s">
        <v>720</v>
      </c>
      <c r="M392" s="512" t="s">
        <v>630</v>
      </c>
      <c r="N392" s="512" t="s">
        <v>721</v>
      </c>
      <c r="O392" s="513"/>
      <c r="P392" s="512" t="s">
        <v>721</v>
      </c>
      <c r="Q392" s="512" t="s">
        <v>25</v>
      </c>
      <c r="R392" s="513"/>
      <c r="S392" s="514">
        <v>67</v>
      </c>
      <c r="T392" s="298" t="str">
        <f t="shared" si="16"/>
        <v>HSGD0167</v>
      </c>
      <c r="U392" s="514">
        <v>34094</v>
      </c>
    </row>
    <row r="393" spans="12:21" ht="16.5" hidden="1">
      <c r="L393" s="512" t="s">
        <v>720</v>
      </c>
      <c r="M393" s="512" t="s">
        <v>630</v>
      </c>
      <c r="N393" s="512" t="s">
        <v>721</v>
      </c>
      <c r="O393" s="513"/>
      <c r="P393" s="512" t="s">
        <v>721</v>
      </c>
      <c r="Q393" s="512" t="s">
        <v>25</v>
      </c>
      <c r="R393" s="513"/>
      <c r="S393" s="514">
        <v>68</v>
      </c>
      <c r="T393" s="298" t="str">
        <f t="shared" si="16"/>
        <v>HSGD0168</v>
      </c>
      <c r="U393" s="514">
        <v>36513</v>
      </c>
    </row>
    <row r="394" spans="12:21" ht="16.5" hidden="1">
      <c r="L394" s="512" t="s">
        <v>720</v>
      </c>
      <c r="M394" s="512" t="s">
        <v>630</v>
      </c>
      <c r="N394" s="512" t="s">
        <v>721</v>
      </c>
      <c r="O394" s="513"/>
      <c r="P394" s="512" t="s">
        <v>721</v>
      </c>
      <c r="Q394" s="512" t="s">
        <v>25</v>
      </c>
      <c r="R394" s="513"/>
      <c r="S394" s="514">
        <v>69</v>
      </c>
      <c r="T394" s="298" t="str">
        <f t="shared" si="16"/>
        <v>HSGD0169</v>
      </c>
      <c r="U394" s="514">
        <v>39163</v>
      </c>
    </row>
    <row r="395" spans="12:21" ht="16.5" hidden="1">
      <c r="L395" s="512" t="s">
        <v>720</v>
      </c>
      <c r="M395" s="512" t="s">
        <v>630</v>
      </c>
      <c r="N395" s="512" t="s">
        <v>721</v>
      </c>
      <c r="O395" s="513"/>
      <c r="P395" s="512" t="s">
        <v>721</v>
      </c>
      <c r="Q395" s="512" t="s">
        <v>25</v>
      </c>
      <c r="R395" s="513"/>
      <c r="S395" s="514">
        <v>70</v>
      </c>
      <c r="T395" s="298" t="str">
        <f t="shared" si="16"/>
        <v>HSGD0170</v>
      </c>
      <c r="U395" s="514">
        <v>42060</v>
      </c>
    </row>
    <row r="396" spans="12:21" ht="16.5" hidden="1">
      <c r="L396" s="512" t="s">
        <v>720</v>
      </c>
      <c r="M396" s="512" t="s">
        <v>630</v>
      </c>
      <c r="N396" s="512" t="s">
        <v>721</v>
      </c>
      <c r="O396" s="513"/>
      <c r="P396" s="512" t="s">
        <v>721</v>
      </c>
      <c r="Q396" s="512" t="s">
        <v>25</v>
      </c>
      <c r="R396" s="513"/>
      <c r="S396" s="514">
        <v>71</v>
      </c>
      <c r="T396" s="298" t="str">
        <f t="shared" si="16"/>
        <v>HSGD0171</v>
      </c>
      <c r="U396" s="514">
        <v>45225</v>
      </c>
    </row>
    <row r="397" spans="12:21" ht="16.5" hidden="1">
      <c r="L397" s="512" t="s">
        <v>720</v>
      </c>
      <c r="M397" s="512" t="s">
        <v>630</v>
      </c>
      <c r="N397" s="512" t="s">
        <v>721</v>
      </c>
      <c r="O397" s="513"/>
      <c r="P397" s="512" t="s">
        <v>721</v>
      </c>
      <c r="Q397" s="512" t="s">
        <v>26</v>
      </c>
      <c r="R397" s="513"/>
      <c r="S397" s="514">
        <v>20</v>
      </c>
      <c r="T397" s="298" t="str">
        <f t="shared" si="16"/>
        <v>HSGD0220</v>
      </c>
      <c r="U397" s="514">
        <v>5339</v>
      </c>
    </row>
    <row r="398" spans="12:21" ht="16.5" hidden="1">
      <c r="L398" s="512" t="s">
        <v>720</v>
      </c>
      <c r="M398" s="512" t="s">
        <v>630</v>
      </c>
      <c r="N398" s="512" t="s">
        <v>721</v>
      </c>
      <c r="O398" s="513"/>
      <c r="P398" s="512" t="s">
        <v>721</v>
      </c>
      <c r="Q398" s="512" t="s">
        <v>26</v>
      </c>
      <c r="R398" s="513"/>
      <c r="S398" s="514">
        <v>21</v>
      </c>
      <c r="T398" s="298" t="str">
        <f t="shared" si="16"/>
        <v>HSGD0221</v>
      </c>
      <c r="U398" s="514">
        <v>5386</v>
      </c>
    </row>
    <row r="399" spans="12:21" ht="16.5" hidden="1">
      <c r="L399" s="512" t="s">
        <v>720</v>
      </c>
      <c r="M399" s="512" t="s">
        <v>630</v>
      </c>
      <c r="N399" s="512" t="s">
        <v>721</v>
      </c>
      <c r="O399" s="513"/>
      <c r="P399" s="512" t="s">
        <v>721</v>
      </c>
      <c r="Q399" s="512" t="s">
        <v>26</v>
      </c>
      <c r="R399" s="513"/>
      <c r="S399" s="514">
        <v>22</v>
      </c>
      <c r="T399" s="298" t="str">
        <f t="shared" si="16"/>
        <v>HSGD0222</v>
      </c>
      <c r="U399" s="514">
        <v>5455</v>
      </c>
    </row>
    <row r="400" spans="12:21" ht="16.5" hidden="1">
      <c r="L400" s="512" t="s">
        <v>720</v>
      </c>
      <c r="M400" s="512" t="s">
        <v>630</v>
      </c>
      <c r="N400" s="512" t="s">
        <v>721</v>
      </c>
      <c r="O400" s="513"/>
      <c r="P400" s="512" t="s">
        <v>721</v>
      </c>
      <c r="Q400" s="512" t="s">
        <v>26</v>
      </c>
      <c r="R400" s="513"/>
      <c r="S400" s="514">
        <v>23</v>
      </c>
      <c r="T400" s="298" t="str">
        <f t="shared" si="16"/>
        <v>HSGD0223</v>
      </c>
      <c r="U400" s="514">
        <v>5548</v>
      </c>
    </row>
    <row r="401" spans="12:21" ht="16.5" hidden="1">
      <c r="L401" s="512" t="s">
        <v>720</v>
      </c>
      <c r="M401" s="512" t="s">
        <v>630</v>
      </c>
      <c r="N401" s="512" t="s">
        <v>721</v>
      </c>
      <c r="O401" s="513"/>
      <c r="P401" s="512" t="s">
        <v>721</v>
      </c>
      <c r="Q401" s="512" t="s">
        <v>26</v>
      </c>
      <c r="R401" s="513"/>
      <c r="S401" s="514">
        <v>24</v>
      </c>
      <c r="T401" s="298" t="str">
        <f t="shared" si="16"/>
        <v>HSGD0224</v>
      </c>
      <c r="U401" s="514">
        <v>5674</v>
      </c>
    </row>
    <row r="402" spans="12:21" ht="16.5" hidden="1">
      <c r="L402" s="512" t="s">
        <v>720</v>
      </c>
      <c r="M402" s="512" t="s">
        <v>630</v>
      </c>
      <c r="N402" s="512" t="s">
        <v>721</v>
      </c>
      <c r="O402" s="513"/>
      <c r="P402" s="512" t="s">
        <v>721</v>
      </c>
      <c r="Q402" s="512" t="s">
        <v>26</v>
      </c>
      <c r="R402" s="513"/>
      <c r="S402" s="514">
        <v>25</v>
      </c>
      <c r="T402" s="298" t="str">
        <f t="shared" si="16"/>
        <v>HSGD0225</v>
      </c>
      <c r="U402" s="514">
        <v>5835</v>
      </c>
    </row>
    <row r="403" spans="12:21" ht="16.5" hidden="1">
      <c r="L403" s="512" t="s">
        <v>720</v>
      </c>
      <c r="M403" s="512" t="s">
        <v>630</v>
      </c>
      <c r="N403" s="512" t="s">
        <v>721</v>
      </c>
      <c r="O403" s="513"/>
      <c r="P403" s="512" t="s">
        <v>721</v>
      </c>
      <c r="Q403" s="512" t="s">
        <v>26</v>
      </c>
      <c r="R403" s="513"/>
      <c r="S403" s="514">
        <v>26</v>
      </c>
      <c r="T403" s="298" t="str">
        <f t="shared" si="16"/>
        <v>HSGD0226</v>
      </c>
      <c r="U403" s="514">
        <v>6030</v>
      </c>
    </row>
    <row r="404" spans="12:21" ht="16.5" hidden="1">
      <c r="L404" s="512" t="s">
        <v>720</v>
      </c>
      <c r="M404" s="512" t="s">
        <v>630</v>
      </c>
      <c r="N404" s="512" t="s">
        <v>721</v>
      </c>
      <c r="O404" s="513"/>
      <c r="P404" s="512" t="s">
        <v>721</v>
      </c>
      <c r="Q404" s="512" t="s">
        <v>26</v>
      </c>
      <c r="R404" s="513"/>
      <c r="S404" s="514">
        <v>27</v>
      </c>
      <c r="T404" s="298" t="str">
        <f t="shared" si="16"/>
        <v>HSGD0227</v>
      </c>
      <c r="U404" s="514">
        <v>6262</v>
      </c>
    </row>
    <row r="405" spans="12:21" ht="16.5" hidden="1">
      <c r="L405" s="512" t="s">
        <v>720</v>
      </c>
      <c r="M405" s="512" t="s">
        <v>630</v>
      </c>
      <c r="N405" s="512" t="s">
        <v>721</v>
      </c>
      <c r="O405" s="513"/>
      <c r="P405" s="512" t="s">
        <v>721</v>
      </c>
      <c r="Q405" s="512" t="s">
        <v>26</v>
      </c>
      <c r="R405" s="513"/>
      <c r="S405" s="514">
        <v>28</v>
      </c>
      <c r="T405" s="298" t="str">
        <f t="shared" si="16"/>
        <v>HSGD0228</v>
      </c>
      <c r="U405" s="514">
        <v>6535</v>
      </c>
    </row>
    <row r="406" spans="12:21" ht="16.5" hidden="1">
      <c r="L406" s="512" t="s">
        <v>720</v>
      </c>
      <c r="M406" s="512" t="s">
        <v>630</v>
      </c>
      <c r="N406" s="512" t="s">
        <v>721</v>
      </c>
      <c r="O406" s="513"/>
      <c r="P406" s="512" t="s">
        <v>721</v>
      </c>
      <c r="Q406" s="512" t="s">
        <v>26</v>
      </c>
      <c r="R406" s="513"/>
      <c r="S406" s="514">
        <v>29</v>
      </c>
      <c r="T406" s="298" t="str">
        <f t="shared" si="16"/>
        <v>HSGD0229</v>
      </c>
      <c r="U406" s="514">
        <v>6823</v>
      </c>
    </row>
    <row r="407" spans="12:21" ht="16.5" hidden="1">
      <c r="L407" s="512" t="s">
        <v>720</v>
      </c>
      <c r="M407" s="512" t="s">
        <v>630</v>
      </c>
      <c r="N407" s="512" t="s">
        <v>721</v>
      </c>
      <c r="O407" s="513"/>
      <c r="P407" s="512" t="s">
        <v>721</v>
      </c>
      <c r="Q407" s="512" t="s">
        <v>26</v>
      </c>
      <c r="R407" s="513"/>
      <c r="S407" s="514">
        <v>30</v>
      </c>
      <c r="T407" s="298" t="str">
        <f t="shared" si="16"/>
        <v>HSGD0230</v>
      </c>
      <c r="U407" s="514">
        <v>7125</v>
      </c>
    </row>
    <row r="408" spans="12:21" ht="16.5" hidden="1">
      <c r="L408" s="512" t="s">
        <v>720</v>
      </c>
      <c r="M408" s="512" t="s">
        <v>630</v>
      </c>
      <c r="N408" s="512" t="s">
        <v>721</v>
      </c>
      <c r="O408" s="513"/>
      <c r="P408" s="512" t="s">
        <v>721</v>
      </c>
      <c r="Q408" s="512" t="s">
        <v>26</v>
      </c>
      <c r="R408" s="513"/>
      <c r="S408" s="514">
        <v>31</v>
      </c>
      <c r="T408" s="298" t="str">
        <f t="shared" si="16"/>
        <v>HSGD0231</v>
      </c>
      <c r="U408" s="514">
        <v>7442</v>
      </c>
    </row>
    <row r="409" spans="12:21" ht="16.5" hidden="1">
      <c r="L409" s="512" t="s">
        <v>720</v>
      </c>
      <c r="M409" s="512" t="s">
        <v>630</v>
      </c>
      <c r="N409" s="512" t="s">
        <v>721</v>
      </c>
      <c r="O409" s="513"/>
      <c r="P409" s="512" t="s">
        <v>721</v>
      </c>
      <c r="Q409" s="512" t="s">
        <v>26</v>
      </c>
      <c r="R409" s="513"/>
      <c r="S409" s="514">
        <v>32</v>
      </c>
      <c r="T409" s="298" t="str">
        <f t="shared" si="16"/>
        <v>HSGD0232</v>
      </c>
      <c r="U409" s="514">
        <v>7777</v>
      </c>
    </row>
    <row r="410" spans="12:21" ht="16.5" hidden="1">
      <c r="L410" s="512" t="s">
        <v>720</v>
      </c>
      <c r="M410" s="512" t="s">
        <v>630</v>
      </c>
      <c r="N410" s="512" t="s">
        <v>721</v>
      </c>
      <c r="O410" s="513"/>
      <c r="P410" s="512" t="s">
        <v>721</v>
      </c>
      <c r="Q410" s="512" t="s">
        <v>26</v>
      </c>
      <c r="R410" s="513"/>
      <c r="S410" s="514">
        <v>33</v>
      </c>
      <c r="T410" s="298" t="str">
        <f t="shared" si="16"/>
        <v>HSGD0233</v>
      </c>
      <c r="U410" s="514">
        <v>8130</v>
      </c>
    </row>
    <row r="411" spans="12:21" ht="16.5" hidden="1">
      <c r="L411" s="512" t="s">
        <v>720</v>
      </c>
      <c r="M411" s="512" t="s">
        <v>630</v>
      </c>
      <c r="N411" s="512" t="s">
        <v>721</v>
      </c>
      <c r="O411" s="513"/>
      <c r="P411" s="512" t="s">
        <v>721</v>
      </c>
      <c r="Q411" s="512" t="s">
        <v>26</v>
      </c>
      <c r="R411" s="513"/>
      <c r="S411" s="514">
        <v>34</v>
      </c>
      <c r="T411" s="298" t="str">
        <f t="shared" si="16"/>
        <v>HSGD0234</v>
      </c>
      <c r="U411" s="514">
        <v>8497</v>
      </c>
    </row>
    <row r="412" spans="12:21" ht="16.5" hidden="1">
      <c r="L412" s="512" t="s">
        <v>720</v>
      </c>
      <c r="M412" s="512" t="s">
        <v>630</v>
      </c>
      <c r="N412" s="512" t="s">
        <v>721</v>
      </c>
      <c r="O412" s="513"/>
      <c r="P412" s="512" t="s">
        <v>721</v>
      </c>
      <c r="Q412" s="512" t="s">
        <v>26</v>
      </c>
      <c r="R412" s="513"/>
      <c r="S412" s="514">
        <v>35</v>
      </c>
      <c r="T412" s="298" t="str">
        <f t="shared" si="16"/>
        <v>HSGD0235</v>
      </c>
      <c r="U412" s="514">
        <v>8878</v>
      </c>
    </row>
    <row r="413" spans="12:21" ht="16.5" hidden="1">
      <c r="L413" s="512" t="s">
        <v>720</v>
      </c>
      <c r="M413" s="512" t="s">
        <v>630</v>
      </c>
      <c r="N413" s="512" t="s">
        <v>721</v>
      </c>
      <c r="O413" s="513"/>
      <c r="P413" s="512" t="s">
        <v>721</v>
      </c>
      <c r="Q413" s="512" t="s">
        <v>26</v>
      </c>
      <c r="R413" s="513"/>
      <c r="S413" s="514">
        <v>36</v>
      </c>
      <c r="T413" s="298" t="str">
        <f t="shared" si="16"/>
        <v>HSGD0236</v>
      </c>
      <c r="U413" s="514">
        <v>9274</v>
      </c>
    </row>
    <row r="414" spans="12:21" ht="16.5" hidden="1">
      <c r="L414" s="512" t="s">
        <v>720</v>
      </c>
      <c r="M414" s="512" t="s">
        <v>630</v>
      </c>
      <c r="N414" s="512" t="s">
        <v>721</v>
      </c>
      <c r="O414" s="513"/>
      <c r="P414" s="512" t="s">
        <v>721</v>
      </c>
      <c r="Q414" s="512" t="s">
        <v>26</v>
      </c>
      <c r="R414" s="513"/>
      <c r="S414" s="514">
        <v>37</v>
      </c>
      <c r="T414" s="298" t="str">
        <f t="shared" si="16"/>
        <v>HSGD0237</v>
      </c>
      <c r="U414" s="514">
        <v>9685</v>
      </c>
    </row>
    <row r="415" spans="12:21" ht="16.5" hidden="1">
      <c r="L415" s="512" t="s">
        <v>720</v>
      </c>
      <c r="M415" s="512" t="s">
        <v>630</v>
      </c>
      <c r="N415" s="512" t="s">
        <v>721</v>
      </c>
      <c r="O415" s="513"/>
      <c r="P415" s="512" t="s">
        <v>721</v>
      </c>
      <c r="Q415" s="512" t="s">
        <v>26</v>
      </c>
      <c r="R415" s="513"/>
      <c r="S415" s="514">
        <v>38</v>
      </c>
      <c r="T415" s="298" t="str">
        <f t="shared" si="16"/>
        <v>HSGD0238</v>
      </c>
      <c r="U415" s="514">
        <v>10112</v>
      </c>
    </row>
    <row r="416" spans="12:21" ht="16.5" hidden="1">
      <c r="L416" s="512" t="s">
        <v>720</v>
      </c>
      <c r="M416" s="512" t="s">
        <v>630</v>
      </c>
      <c r="N416" s="512" t="s">
        <v>721</v>
      </c>
      <c r="O416" s="513"/>
      <c r="P416" s="512" t="s">
        <v>721</v>
      </c>
      <c r="Q416" s="512" t="s">
        <v>26</v>
      </c>
      <c r="R416" s="513"/>
      <c r="S416" s="514">
        <v>39</v>
      </c>
      <c r="T416" s="298" t="str">
        <f t="shared" si="16"/>
        <v>HSGD0239</v>
      </c>
      <c r="U416" s="514">
        <v>10532</v>
      </c>
    </row>
    <row r="417" spans="12:21" ht="16.5" hidden="1">
      <c r="L417" s="512" t="s">
        <v>720</v>
      </c>
      <c r="M417" s="512" t="s">
        <v>630</v>
      </c>
      <c r="N417" s="512" t="s">
        <v>721</v>
      </c>
      <c r="O417" s="513"/>
      <c r="P417" s="512" t="s">
        <v>721</v>
      </c>
      <c r="Q417" s="512" t="s">
        <v>26</v>
      </c>
      <c r="R417" s="513"/>
      <c r="S417" s="514">
        <v>40</v>
      </c>
      <c r="T417" s="298" t="str">
        <f t="shared" si="16"/>
        <v>HSGD0240</v>
      </c>
      <c r="U417" s="514">
        <v>10946</v>
      </c>
    </row>
    <row r="418" spans="12:21" ht="16.5" hidden="1">
      <c r="L418" s="512" t="s">
        <v>720</v>
      </c>
      <c r="M418" s="512" t="s">
        <v>630</v>
      </c>
      <c r="N418" s="512" t="s">
        <v>721</v>
      </c>
      <c r="O418" s="513"/>
      <c r="P418" s="512" t="s">
        <v>721</v>
      </c>
      <c r="Q418" s="512" t="s">
        <v>26</v>
      </c>
      <c r="R418" s="513"/>
      <c r="S418" s="514">
        <v>41</v>
      </c>
      <c r="T418" s="298" t="str">
        <f t="shared" si="16"/>
        <v>HSGD0241</v>
      </c>
      <c r="U418" s="514">
        <v>11354</v>
      </c>
    </row>
    <row r="419" spans="12:21" ht="16.5" hidden="1">
      <c r="L419" s="512" t="s">
        <v>720</v>
      </c>
      <c r="M419" s="512" t="s">
        <v>630</v>
      </c>
      <c r="N419" s="512" t="s">
        <v>721</v>
      </c>
      <c r="O419" s="513"/>
      <c r="P419" s="512" t="s">
        <v>721</v>
      </c>
      <c r="Q419" s="512" t="s">
        <v>26</v>
      </c>
      <c r="R419" s="513"/>
      <c r="S419" s="514">
        <v>42</v>
      </c>
      <c r="T419" s="298" t="str">
        <f t="shared" si="16"/>
        <v>HSGD0242</v>
      </c>
      <c r="U419" s="514">
        <v>11755</v>
      </c>
    </row>
    <row r="420" spans="12:21" ht="16.5" hidden="1">
      <c r="L420" s="512" t="s">
        <v>720</v>
      </c>
      <c r="M420" s="512" t="s">
        <v>630</v>
      </c>
      <c r="N420" s="512" t="s">
        <v>721</v>
      </c>
      <c r="O420" s="513"/>
      <c r="P420" s="512" t="s">
        <v>721</v>
      </c>
      <c r="Q420" s="512" t="s">
        <v>26</v>
      </c>
      <c r="R420" s="513"/>
      <c r="S420" s="514">
        <v>43</v>
      </c>
      <c r="T420" s="298" t="str">
        <f t="shared" si="16"/>
        <v>HSGD0243</v>
      </c>
      <c r="U420" s="514">
        <v>12151</v>
      </c>
    </row>
    <row r="421" spans="12:21" ht="16.5" hidden="1">
      <c r="L421" s="512" t="s">
        <v>720</v>
      </c>
      <c r="M421" s="512" t="s">
        <v>630</v>
      </c>
      <c r="N421" s="512" t="s">
        <v>721</v>
      </c>
      <c r="O421" s="513"/>
      <c r="P421" s="512" t="s">
        <v>721</v>
      </c>
      <c r="Q421" s="512" t="s">
        <v>26</v>
      </c>
      <c r="R421" s="513"/>
      <c r="S421" s="514">
        <v>44</v>
      </c>
      <c r="T421" s="298" t="str">
        <f t="shared" si="16"/>
        <v>HSGD0244</v>
      </c>
      <c r="U421" s="514">
        <v>12533</v>
      </c>
    </row>
    <row r="422" spans="12:21" ht="16.5" hidden="1">
      <c r="L422" s="512" t="s">
        <v>720</v>
      </c>
      <c r="M422" s="512" t="s">
        <v>630</v>
      </c>
      <c r="N422" s="512" t="s">
        <v>721</v>
      </c>
      <c r="O422" s="513"/>
      <c r="P422" s="512" t="s">
        <v>721</v>
      </c>
      <c r="Q422" s="512" t="s">
        <v>26</v>
      </c>
      <c r="R422" s="513"/>
      <c r="S422" s="514">
        <v>45</v>
      </c>
      <c r="T422" s="298" t="str">
        <f t="shared" si="16"/>
        <v>HSGD0245</v>
      </c>
      <c r="U422" s="514">
        <v>12901</v>
      </c>
    </row>
    <row r="423" spans="12:21" ht="16.5" hidden="1">
      <c r="L423" s="512" t="s">
        <v>720</v>
      </c>
      <c r="M423" s="512" t="s">
        <v>630</v>
      </c>
      <c r="N423" s="512" t="s">
        <v>721</v>
      </c>
      <c r="O423" s="513"/>
      <c r="P423" s="512" t="s">
        <v>721</v>
      </c>
      <c r="Q423" s="512" t="s">
        <v>26</v>
      </c>
      <c r="R423" s="513"/>
      <c r="S423" s="514">
        <v>46</v>
      </c>
      <c r="T423" s="298" t="str">
        <f t="shared" si="16"/>
        <v>HSGD0246</v>
      </c>
      <c r="U423" s="514">
        <v>13255</v>
      </c>
    </row>
    <row r="424" spans="12:21" ht="16.5" hidden="1">
      <c r="L424" s="512" t="s">
        <v>720</v>
      </c>
      <c r="M424" s="512" t="s">
        <v>630</v>
      </c>
      <c r="N424" s="512" t="s">
        <v>721</v>
      </c>
      <c r="O424" s="513"/>
      <c r="P424" s="512" t="s">
        <v>721</v>
      </c>
      <c r="Q424" s="512" t="s">
        <v>26</v>
      </c>
      <c r="R424" s="513"/>
      <c r="S424" s="514">
        <v>47</v>
      </c>
      <c r="T424" s="298" t="str">
        <f t="shared" si="16"/>
        <v>HSGD0247</v>
      </c>
      <c r="U424" s="514">
        <v>13593</v>
      </c>
    </row>
    <row r="425" spans="12:21" ht="16.5" hidden="1">
      <c r="L425" s="512" t="s">
        <v>720</v>
      </c>
      <c r="M425" s="512" t="s">
        <v>630</v>
      </c>
      <c r="N425" s="512" t="s">
        <v>721</v>
      </c>
      <c r="O425" s="513"/>
      <c r="P425" s="512" t="s">
        <v>721</v>
      </c>
      <c r="Q425" s="512" t="s">
        <v>26</v>
      </c>
      <c r="R425" s="513"/>
      <c r="S425" s="514">
        <v>48</v>
      </c>
      <c r="T425" s="298" t="str">
        <f t="shared" si="16"/>
        <v>HSGD0248</v>
      </c>
      <c r="U425" s="514">
        <v>13913</v>
      </c>
    </row>
    <row r="426" spans="12:21" ht="16.5" hidden="1">
      <c r="L426" s="512" t="s">
        <v>720</v>
      </c>
      <c r="M426" s="512" t="s">
        <v>630</v>
      </c>
      <c r="N426" s="512" t="s">
        <v>721</v>
      </c>
      <c r="O426" s="513"/>
      <c r="P426" s="512" t="s">
        <v>721</v>
      </c>
      <c r="Q426" s="512" t="s">
        <v>26</v>
      </c>
      <c r="R426" s="513"/>
      <c r="S426" s="514">
        <v>49</v>
      </c>
      <c r="T426" s="298" t="str">
        <f t="shared" si="16"/>
        <v>HSGD0249</v>
      </c>
      <c r="U426" s="514">
        <v>14207</v>
      </c>
    </row>
    <row r="427" spans="12:21" ht="16.5" hidden="1">
      <c r="L427" s="512" t="s">
        <v>720</v>
      </c>
      <c r="M427" s="512" t="s">
        <v>630</v>
      </c>
      <c r="N427" s="512" t="s">
        <v>721</v>
      </c>
      <c r="O427" s="513"/>
      <c r="P427" s="512" t="s">
        <v>721</v>
      </c>
      <c r="Q427" s="512" t="s">
        <v>26</v>
      </c>
      <c r="R427" s="513"/>
      <c r="S427" s="514">
        <v>50</v>
      </c>
      <c r="T427" s="298" t="str">
        <f t="shared" si="16"/>
        <v>HSGD0250</v>
      </c>
      <c r="U427" s="514">
        <v>14474</v>
      </c>
    </row>
    <row r="428" spans="12:21" ht="16.5" hidden="1">
      <c r="L428" s="512" t="s">
        <v>720</v>
      </c>
      <c r="M428" s="512" t="s">
        <v>630</v>
      </c>
      <c r="N428" s="512" t="s">
        <v>721</v>
      </c>
      <c r="O428" s="513"/>
      <c r="P428" s="512" t="s">
        <v>721</v>
      </c>
      <c r="Q428" s="512" t="s">
        <v>26</v>
      </c>
      <c r="R428" s="513"/>
      <c r="S428" s="514">
        <v>51</v>
      </c>
      <c r="T428" s="298" t="str">
        <f t="shared" si="16"/>
        <v>HSGD0251</v>
      </c>
      <c r="U428" s="514">
        <v>14713</v>
      </c>
    </row>
    <row r="429" spans="12:21" ht="16.5" hidden="1">
      <c r="L429" s="512" t="s">
        <v>720</v>
      </c>
      <c r="M429" s="512" t="s">
        <v>630</v>
      </c>
      <c r="N429" s="512" t="s">
        <v>721</v>
      </c>
      <c r="O429" s="513"/>
      <c r="P429" s="512" t="s">
        <v>721</v>
      </c>
      <c r="Q429" s="512" t="s">
        <v>26</v>
      </c>
      <c r="R429" s="513"/>
      <c r="S429" s="514">
        <v>52</v>
      </c>
      <c r="T429" s="298" t="str">
        <f t="shared" si="16"/>
        <v>HSGD0252</v>
      </c>
      <c r="U429" s="514">
        <v>14924</v>
      </c>
    </row>
    <row r="430" spans="12:21" ht="16.5" hidden="1">
      <c r="L430" s="512" t="s">
        <v>720</v>
      </c>
      <c r="M430" s="512" t="s">
        <v>630</v>
      </c>
      <c r="N430" s="512" t="s">
        <v>721</v>
      </c>
      <c r="O430" s="513"/>
      <c r="P430" s="512" t="s">
        <v>721</v>
      </c>
      <c r="Q430" s="512" t="s">
        <v>26</v>
      </c>
      <c r="R430" s="513"/>
      <c r="S430" s="514">
        <v>53</v>
      </c>
      <c r="T430" s="298" t="str">
        <f t="shared" si="16"/>
        <v>HSGD0253</v>
      </c>
      <c r="U430" s="514">
        <v>15105</v>
      </c>
    </row>
    <row r="431" spans="12:21" ht="16.5" hidden="1">
      <c r="L431" s="512" t="s">
        <v>720</v>
      </c>
      <c r="M431" s="512" t="s">
        <v>630</v>
      </c>
      <c r="N431" s="512" t="s">
        <v>721</v>
      </c>
      <c r="O431" s="513"/>
      <c r="P431" s="512" t="s">
        <v>721</v>
      </c>
      <c r="Q431" s="512" t="s">
        <v>26</v>
      </c>
      <c r="R431" s="513"/>
      <c r="S431" s="514">
        <v>54</v>
      </c>
      <c r="T431" s="298" t="str">
        <f t="shared" si="16"/>
        <v>HSGD0254</v>
      </c>
      <c r="U431" s="514">
        <v>15330</v>
      </c>
    </row>
    <row r="432" spans="12:21" ht="16.5" hidden="1">
      <c r="L432" s="512" t="s">
        <v>720</v>
      </c>
      <c r="M432" s="512" t="s">
        <v>630</v>
      </c>
      <c r="N432" s="512" t="s">
        <v>721</v>
      </c>
      <c r="O432" s="513"/>
      <c r="P432" s="512" t="s">
        <v>721</v>
      </c>
      <c r="Q432" s="512" t="s">
        <v>26</v>
      </c>
      <c r="R432" s="513"/>
      <c r="S432" s="514">
        <v>55</v>
      </c>
      <c r="T432" s="298" t="str">
        <f t="shared" si="16"/>
        <v>HSGD0255</v>
      </c>
      <c r="U432" s="514">
        <v>15599</v>
      </c>
    </row>
    <row r="433" spans="12:21" ht="16.5" hidden="1">
      <c r="L433" s="512" t="s">
        <v>720</v>
      </c>
      <c r="M433" s="512" t="s">
        <v>630</v>
      </c>
      <c r="N433" s="512" t="s">
        <v>721</v>
      </c>
      <c r="O433" s="513"/>
      <c r="P433" s="512" t="s">
        <v>721</v>
      </c>
      <c r="Q433" s="512" t="s">
        <v>26</v>
      </c>
      <c r="R433" s="513"/>
      <c r="S433" s="514">
        <v>56</v>
      </c>
      <c r="T433" s="298" t="str">
        <f t="shared" si="16"/>
        <v>HSGD0256</v>
      </c>
      <c r="U433" s="514">
        <v>15913</v>
      </c>
    </row>
    <row r="434" spans="12:21" ht="16.5" hidden="1">
      <c r="L434" s="512" t="s">
        <v>720</v>
      </c>
      <c r="M434" s="512" t="s">
        <v>630</v>
      </c>
      <c r="N434" s="512" t="s">
        <v>721</v>
      </c>
      <c r="O434" s="513"/>
      <c r="P434" s="512" t="s">
        <v>721</v>
      </c>
      <c r="Q434" s="512" t="s">
        <v>26</v>
      </c>
      <c r="R434" s="513"/>
      <c r="S434" s="514">
        <v>57</v>
      </c>
      <c r="T434" s="298" t="str">
        <f t="shared" si="16"/>
        <v>HSGD0257</v>
      </c>
      <c r="U434" s="514">
        <v>16272</v>
      </c>
    </row>
    <row r="435" spans="12:21" ht="16.5" hidden="1">
      <c r="L435" s="512" t="s">
        <v>720</v>
      </c>
      <c r="M435" s="512" t="s">
        <v>630</v>
      </c>
      <c r="N435" s="512" t="s">
        <v>721</v>
      </c>
      <c r="O435" s="513"/>
      <c r="P435" s="512" t="s">
        <v>721</v>
      </c>
      <c r="Q435" s="512" t="s">
        <v>26</v>
      </c>
      <c r="R435" s="513"/>
      <c r="S435" s="514">
        <v>58</v>
      </c>
      <c r="T435" s="298" t="str">
        <f t="shared" si="16"/>
        <v>HSGD0258</v>
      </c>
      <c r="U435" s="514">
        <v>16674</v>
      </c>
    </row>
    <row r="436" spans="12:21" ht="16.5" hidden="1">
      <c r="L436" s="512" t="s">
        <v>720</v>
      </c>
      <c r="M436" s="512" t="s">
        <v>630</v>
      </c>
      <c r="N436" s="512" t="s">
        <v>721</v>
      </c>
      <c r="O436" s="513"/>
      <c r="P436" s="512" t="s">
        <v>721</v>
      </c>
      <c r="Q436" s="512" t="s">
        <v>26</v>
      </c>
      <c r="R436" s="513"/>
      <c r="S436" s="514">
        <v>59</v>
      </c>
      <c r="T436" s="298" t="str">
        <f t="shared" si="16"/>
        <v>HSGD0259</v>
      </c>
      <c r="U436" s="514">
        <v>17199</v>
      </c>
    </row>
    <row r="437" spans="12:21" ht="16.5" hidden="1">
      <c r="L437" s="512" t="s">
        <v>720</v>
      </c>
      <c r="M437" s="512" t="s">
        <v>630</v>
      </c>
      <c r="N437" s="512" t="s">
        <v>721</v>
      </c>
      <c r="O437" s="513"/>
      <c r="P437" s="512" t="s">
        <v>721</v>
      </c>
      <c r="Q437" s="512" t="s">
        <v>26</v>
      </c>
      <c r="R437" s="513"/>
      <c r="S437" s="514">
        <v>60</v>
      </c>
      <c r="T437" s="298" t="str">
        <f t="shared" si="16"/>
        <v>HSGD0260</v>
      </c>
      <c r="U437" s="514">
        <v>17853</v>
      </c>
    </row>
    <row r="438" spans="12:21" ht="16.5" hidden="1">
      <c r="L438" s="512" t="s">
        <v>720</v>
      </c>
      <c r="M438" s="512" t="s">
        <v>630</v>
      </c>
      <c r="N438" s="512" t="s">
        <v>721</v>
      </c>
      <c r="O438" s="513"/>
      <c r="P438" s="512" t="s">
        <v>721</v>
      </c>
      <c r="Q438" s="512" t="s">
        <v>26</v>
      </c>
      <c r="R438" s="513"/>
      <c r="S438" s="514">
        <v>61</v>
      </c>
      <c r="T438" s="298" t="str">
        <f t="shared" si="16"/>
        <v>HSGD0261</v>
      </c>
      <c r="U438" s="514">
        <v>18642</v>
      </c>
    </row>
    <row r="439" spans="12:21" ht="16.5" hidden="1">
      <c r="L439" s="512" t="s">
        <v>720</v>
      </c>
      <c r="M439" s="512" t="s">
        <v>630</v>
      </c>
      <c r="N439" s="512" t="s">
        <v>721</v>
      </c>
      <c r="O439" s="513"/>
      <c r="P439" s="512" t="s">
        <v>721</v>
      </c>
      <c r="Q439" s="512" t="s">
        <v>26</v>
      </c>
      <c r="R439" s="513"/>
      <c r="S439" s="514">
        <v>62</v>
      </c>
      <c r="T439" s="298" t="str">
        <f t="shared" si="16"/>
        <v>HSGD0262</v>
      </c>
      <c r="U439" s="514">
        <v>19574</v>
      </c>
    </row>
    <row r="440" spans="12:21" ht="16.5" hidden="1">
      <c r="L440" s="512" t="s">
        <v>720</v>
      </c>
      <c r="M440" s="512" t="s">
        <v>630</v>
      </c>
      <c r="N440" s="512" t="s">
        <v>721</v>
      </c>
      <c r="O440" s="513"/>
      <c r="P440" s="512" t="s">
        <v>721</v>
      </c>
      <c r="Q440" s="512" t="s">
        <v>26</v>
      </c>
      <c r="R440" s="513"/>
      <c r="S440" s="514">
        <v>63</v>
      </c>
      <c r="T440" s="298" t="str">
        <f t="shared" si="16"/>
        <v>HSGD0263</v>
      </c>
      <c r="U440" s="514">
        <v>20665</v>
      </c>
    </row>
    <row r="441" spans="12:21" ht="16.5" hidden="1">
      <c r="L441" s="512" t="s">
        <v>720</v>
      </c>
      <c r="M441" s="512" t="s">
        <v>630</v>
      </c>
      <c r="N441" s="512" t="s">
        <v>721</v>
      </c>
      <c r="O441" s="513"/>
      <c r="P441" s="512" t="s">
        <v>721</v>
      </c>
      <c r="Q441" s="512" t="s">
        <v>26</v>
      </c>
      <c r="R441" s="513"/>
      <c r="S441" s="514">
        <v>64</v>
      </c>
      <c r="T441" s="298" t="str">
        <f t="shared" si="16"/>
        <v>HSGD0264</v>
      </c>
      <c r="U441" s="514">
        <v>21909</v>
      </c>
    </row>
    <row r="442" spans="12:21" ht="16.5" hidden="1">
      <c r="L442" s="512" t="s">
        <v>720</v>
      </c>
      <c r="M442" s="512" t="s">
        <v>630</v>
      </c>
      <c r="N442" s="512" t="s">
        <v>721</v>
      </c>
      <c r="O442" s="513"/>
      <c r="P442" s="512" t="s">
        <v>721</v>
      </c>
      <c r="Q442" s="512" t="s">
        <v>26</v>
      </c>
      <c r="R442" s="513"/>
      <c r="S442" s="514">
        <v>65</v>
      </c>
      <c r="T442" s="298" t="str">
        <f t="shared" si="16"/>
        <v>HSGD0265</v>
      </c>
      <c r="U442" s="514">
        <v>23310</v>
      </c>
    </row>
    <row r="443" spans="12:21" ht="16.5" hidden="1">
      <c r="L443" s="512" t="s">
        <v>720</v>
      </c>
      <c r="M443" s="512" t="s">
        <v>630</v>
      </c>
      <c r="N443" s="512" t="s">
        <v>721</v>
      </c>
      <c r="O443" s="513"/>
      <c r="P443" s="512" t="s">
        <v>721</v>
      </c>
      <c r="Q443" s="512" t="s">
        <v>26</v>
      </c>
      <c r="R443" s="513"/>
      <c r="S443" s="514">
        <v>66</v>
      </c>
      <c r="T443" s="298" t="str">
        <f t="shared" si="16"/>
        <v>HSGD0266</v>
      </c>
      <c r="U443" s="514">
        <v>24875</v>
      </c>
    </row>
    <row r="444" spans="12:21" ht="16.5" hidden="1">
      <c r="L444" s="512" t="s">
        <v>720</v>
      </c>
      <c r="M444" s="512" t="s">
        <v>630</v>
      </c>
      <c r="N444" s="512" t="s">
        <v>721</v>
      </c>
      <c r="O444" s="513"/>
      <c r="P444" s="512" t="s">
        <v>721</v>
      </c>
      <c r="Q444" s="512" t="s">
        <v>26</v>
      </c>
      <c r="R444" s="513"/>
      <c r="S444" s="514">
        <v>67</v>
      </c>
      <c r="T444" s="298" t="str">
        <f t="shared" si="16"/>
        <v>HSGD0267</v>
      </c>
      <c r="U444" s="514">
        <v>26610</v>
      </c>
    </row>
    <row r="445" spans="12:21" ht="16.5" hidden="1">
      <c r="L445" s="512" t="s">
        <v>720</v>
      </c>
      <c r="M445" s="512" t="s">
        <v>630</v>
      </c>
      <c r="N445" s="512" t="s">
        <v>721</v>
      </c>
      <c r="O445" s="513"/>
      <c r="P445" s="512" t="s">
        <v>721</v>
      </c>
      <c r="Q445" s="512" t="s">
        <v>26</v>
      </c>
      <c r="R445" s="513"/>
      <c r="S445" s="514">
        <v>68</v>
      </c>
      <c r="T445" s="298" t="str">
        <f t="shared" si="16"/>
        <v>HSGD0268</v>
      </c>
      <c r="U445" s="514">
        <v>28529</v>
      </c>
    </row>
    <row r="446" spans="12:21" ht="16.5" hidden="1">
      <c r="L446" s="512" t="s">
        <v>720</v>
      </c>
      <c r="M446" s="512" t="s">
        <v>630</v>
      </c>
      <c r="N446" s="512" t="s">
        <v>721</v>
      </c>
      <c r="O446" s="513"/>
      <c r="P446" s="512" t="s">
        <v>721</v>
      </c>
      <c r="Q446" s="512" t="s">
        <v>26</v>
      </c>
      <c r="R446" s="513"/>
      <c r="S446" s="514">
        <v>69</v>
      </c>
      <c r="T446" s="298" t="str">
        <f t="shared" si="16"/>
        <v>HSGD0269</v>
      </c>
      <c r="U446" s="514">
        <v>30627</v>
      </c>
    </row>
    <row r="447" spans="12:21" ht="16.5" hidden="1">
      <c r="L447" s="512" t="s">
        <v>720</v>
      </c>
      <c r="M447" s="512" t="s">
        <v>630</v>
      </c>
      <c r="N447" s="512" t="s">
        <v>721</v>
      </c>
      <c r="O447" s="513"/>
      <c r="P447" s="512" t="s">
        <v>721</v>
      </c>
      <c r="Q447" s="512" t="s">
        <v>26</v>
      </c>
      <c r="R447" s="513"/>
      <c r="S447" s="514">
        <v>70</v>
      </c>
      <c r="T447" s="298" t="str">
        <f t="shared" si="16"/>
        <v>HSGD0270</v>
      </c>
      <c r="U447" s="514">
        <v>32915</v>
      </c>
    </row>
    <row r="448" spans="12:21" ht="16.5" hidden="1">
      <c r="L448" s="512" t="s">
        <v>720</v>
      </c>
      <c r="M448" s="512" t="s">
        <v>630</v>
      </c>
      <c r="N448" s="512" t="s">
        <v>721</v>
      </c>
      <c r="O448" s="513"/>
      <c r="P448" s="512" t="s">
        <v>721</v>
      </c>
      <c r="Q448" s="512" t="s">
        <v>26</v>
      </c>
      <c r="R448" s="513"/>
      <c r="S448" s="514">
        <v>71</v>
      </c>
      <c r="T448" s="298" t="str">
        <f t="shared" si="16"/>
        <v>HSGD0271</v>
      </c>
      <c r="U448" s="514">
        <v>35404</v>
      </c>
    </row>
    <row r="449" spans="12:21" ht="16.5" hidden="1">
      <c r="L449" s="512" t="s">
        <v>720</v>
      </c>
      <c r="M449" s="512" t="s">
        <v>630</v>
      </c>
      <c r="N449" s="512" t="s">
        <v>721</v>
      </c>
      <c r="O449" s="513"/>
      <c r="P449" s="512" t="s">
        <v>721</v>
      </c>
      <c r="Q449" s="512" t="s">
        <v>25</v>
      </c>
      <c r="R449" s="513"/>
      <c r="S449" s="514">
        <v>15</v>
      </c>
      <c r="T449" s="298" t="str">
        <f t="shared" si="16"/>
        <v>HSGD0115</v>
      </c>
      <c r="U449" s="514">
        <v>4367</v>
      </c>
    </row>
    <row r="450" spans="12:21" ht="16.5" hidden="1">
      <c r="L450" s="512" t="s">
        <v>720</v>
      </c>
      <c r="M450" s="512" t="s">
        <v>630</v>
      </c>
      <c r="N450" s="512" t="s">
        <v>721</v>
      </c>
      <c r="O450" s="513"/>
      <c r="P450" s="512" t="s">
        <v>721</v>
      </c>
      <c r="Q450" s="512" t="s">
        <v>25</v>
      </c>
      <c r="R450" s="513"/>
      <c r="S450" s="514">
        <v>16</v>
      </c>
      <c r="T450" s="298" t="str">
        <f t="shared" ref="T450:T513" si="17">M450&amp;TEXT(Q450,"00")&amp;TEXT(S450,"00")</f>
        <v>HSGD0116</v>
      </c>
      <c r="U450" s="514">
        <v>4367</v>
      </c>
    </row>
    <row r="451" spans="12:21" ht="16.5" hidden="1">
      <c r="L451" s="512" t="s">
        <v>720</v>
      </c>
      <c r="M451" s="512" t="s">
        <v>630</v>
      </c>
      <c r="N451" s="512" t="s">
        <v>721</v>
      </c>
      <c r="O451" s="513"/>
      <c r="P451" s="512" t="s">
        <v>721</v>
      </c>
      <c r="Q451" s="512" t="s">
        <v>25</v>
      </c>
      <c r="R451" s="513"/>
      <c r="S451" s="514">
        <v>17</v>
      </c>
      <c r="T451" s="298" t="str">
        <f t="shared" si="17"/>
        <v>HSGD0117</v>
      </c>
      <c r="U451" s="514">
        <v>4367</v>
      </c>
    </row>
    <row r="452" spans="12:21" ht="16.5" hidden="1">
      <c r="L452" s="512" t="s">
        <v>720</v>
      </c>
      <c r="M452" s="512" t="s">
        <v>630</v>
      </c>
      <c r="N452" s="512" t="s">
        <v>721</v>
      </c>
      <c r="O452" s="513"/>
      <c r="P452" s="512" t="s">
        <v>721</v>
      </c>
      <c r="Q452" s="512" t="s">
        <v>25</v>
      </c>
      <c r="R452" s="513"/>
      <c r="S452" s="514">
        <v>18</v>
      </c>
      <c r="T452" s="298" t="str">
        <f t="shared" si="17"/>
        <v>HSGD0118</v>
      </c>
      <c r="U452" s="514">
        <v>4367</v>
      </c>
    </row>
    <row r="453" spans="12:21" ht="16.5" hidden="1">
      <c r="L453" s="512" t="s">
        <v>720</v>
      </c>
      <c r="M453" s="512" t="s">
        <v>630</v>
      </c>
      <c r="N453" s="512" t="s">
        <v>721</v>
      </c>
      <c r="O453" s="513"/>
      <c r="P453" s="512" t="s">
        <v>721</v>
      </c>
      <c r="Q453" s="512" t="s">
        <v>25</v>
      </c>
      <c r="R453" s="513"/>
      <c r="S453" s="514">
        <v>19</v>
      </c>
      <c r="T453" s="298" t="str">
        <f t="shared" si="17"/>
        <v>HSGD0119</v>
      </c>
      <c r="U453" s="514">
        <v>4392</v>
      </c>
    </row>
    <row r="454" spans="12:21" ht="16.5" hidden="1">
      <c r="L454" s="512" t="s">
        <v>720</v>
      </c>
      <c r="M454" s="512" t="s">
        <v>630</v>
      </c>
      <c r="N454" s="512" t="s">
        <v>721</v>
      </c>
      <c r="O454" s="513"/>
      <c r="P454" s="512" t="s">
        <v>721</v>
      </c>
      <c r="Q454" s="512" t="s">
        <v>26</v>
      </c>
      <c r="R454" s="513"/>
      <c r="S454" s="514">
        <v>15</v>
      </c>
      <c r="T454" s="298" t="str">
        <f t="shared" si="17"/>
        <v>HSGD0215</v>
      </c>
      <c r="U454" s="514">
        <v>5313</v>
      </c>
    </row>
    <row r="455" spans="12:21" ht="16.5" hidden="1">
      <c r="L455" s="512" t="s">
        <v>720</v>
      </c>
      <c r="M455" s="512" t="s">
        <v>630</v>
      </c>
      <c r="N455" s="512" t="s">
        <v>721</v>
      </c>
      <c r="O455" s="513"/>
      <c r="P455" s="512" t="s">
        <v>721</v>
      </c>
      <c r="Q455" s="512" t="s">
        <v>26</v>
      </c>
      <c r="R455" s="513"/>
      <c r="S455" s="514">
        <v>16</v>
      </c>
      <c r="T455" s="298" t="str">
        <f t="shared" si="17"/>
        <v>HSGD0216</v>
      </c>
      <c r="U455" s="514">
        <v>5313</v>
      </c>
    </row>
    <row r="456" spans="12:21" ht="16.5" hidden="1">
      <c r="L456" s="512" t="s">
        <v>720</v>
      </c>
      <c r="M456" s="512" t="s">
        <v>630</v>
      </c>
      <c r="N456" s="512" t="s">
        <v>721</v>
      </c>
      <c r="O456" s="513"/>
      <c r="P456" s="512" t="s">
        <v>721</v>
      </c>
      <c r="Q456" s="512" t="s">
        <v>26</v>
      </c>
      <c r="R456" s="513"/>
      <c r="S456" s="514">
        <v>17</v>
      </c>
      <c r="T456" s="298" t="str">
        <f t="shared" si="17"/>
        <v>HSGD0217</v>
      </c>
      <c r="U456" s="514">
        <v>5313</v>
      </c>
    </row>
    <row r="457" spans="12:21" ht="16.5" hidden="1">
      <c r="L457" s="512" t="s">
        <v>720</v>
      </c>
      <c r="M457" s="512" t="s">
        <v>630</v>
      </c>
      <c r="N457" s="512" t="s">
        <v>721</v>
      </c>
      <c r="O457" s="513"/>
      <c r="P457" s="512" t="s">
        <v>721</v>
      </c>
      <c r="Q457" s="512" t="s">
        <v>26</v>
      </c>
      <c r="R457" s="513"/>
      <c r="S457" s="514">
        <v>18</v>
      </c>
      <c r="T457" s="298" t="str">
        <f t="shared" si="17"/>
        <v>HSGD0218</v>
      </c>
      <c r="U457" s="514">
        <v>5313</v>
      </c>
    </row>
    <row r="458" spans="12:21" ht="16.5" hidden="1">
      <c r="L458" s="512" t="s">
        <v>720</v>
      </c>
      <c r="M458" s="512" t="s">
        <v>630</v>
      </c>
      <c r="N458" s="512" t="s">
        <v>721</v>
      </c>
      <c r="O458" s="513"/>
      <c r="P458" s="512" t="s">
        <v>721</v>
      </c>
      <c r="Q458" s="512" t="s">
        <v>26</v>
      </c>
      <c r="R458" s="513"/>
      <c r="S458" s="514">
        <v>19</v>
      </c>
      <c r="T458" s="298" t="str">
        <f t="shared" si="17"/>
        <v>HSGD0219</v>
      </c>
      <c r="U458" s="514">
        <v>5315</v>
      </c>
    </row>
    <row r="459" spans="12:21" ht="16.5" hidden="1">
      <c r="L459" s="512" t="s">
        <v>720</v>
      </c>
      <c r="M459" s="512" t="s">
        <v>741</v>
      </c>
      <c r="N459" s="512" t="s">
        <v>721</v>
      </c>
      <c r="O459" s="513"/>
      <c r="P459" s="512" t="s">
        <v>721</v>
      </c>
      <c r="Q459" s="512" t="s">
        <v>25</v>
      </c>
      <c r="R459" s="513"/>
      <c r="S459" s="514">
        <v>20</v>
      </c>
      <c r="T459" s="298" t="str">
        <f t="shared" si="17"/>
        <v>HSGE0120</v>
      </c>
      <c r="U459" s="514">
        <v>5293</v>
      </c>
    </row>
    <row r="460" spans="12:21" ht="16.5" hidden="1">
      <c r="L460" s="512" t="s">
        <v>720</v>
      </c>
      <c r="M460" s="512" t="s">
        <v>741</v>
      </c>
      <c r="N460" s="512" t="s">
        <v>721</v>
      </c>
      <c r="O460" s="513"/>
      <c r="P460" s="512" t="s">
        <v>721</v>
      </c>
      <c r="Q460" s="512" t="s">
        <v>25</v>
      </c>
      <c r="R460" s="513"/>
      <c r="S460" s="514">
        <v>21</v>
      </c>
      <c r="T460" s="298" t="str">
        <f t="shared" si="17"/>
        <v>HSGE0121</v>
      </c>
      <c r="U460" s="514">
        <v>5392</v>
      </c>
    </row>
    <row r="461" spans="12:21" ht="16.5" hidden="1">
      <c r="L461" s="512" t="s">
        <v>720</v>
      </c>
      <c r="M461" s="512" t="s">
        <v>741</v>
      </c>
      <c r="N461" s="512" t="s">
        <v>721</v>
      </c>
      <c r="O461" s="513"/>
      <c r="P461" s="512" t="s">
        <v>721</v>
      </c>
      <c r="Q461" s="512" t="s">
        <v>25</v>
      </c>
      <c r="R461" s="513"/>
      <c r="S461" s="514">
        <v>22</v>
      </c>
      <c r="T461" s="298" t="str">
        <f t="shared" si="17"/>
        <v>HSGE0122</v>
      </c>
      <c r="U461" s="514">
        <v>5526</v>
      </c>
    </row>
    <row r="462" spans="12:21" ht="16.5" hidden="1">
      <c r="L462" s="512" t="s">
        <v>720</v>
      </c>
      <c r="M462" s="512" t="s">
        <v>741</v>
      </c>
      <c r="N462" s="512" t="s">
        <v>721</v>
      </c>
      <c r="O462" s="513"/>
      <c r="P462" s="512" t="s">
        <v>721</v>
      </c>
      <c r="Q462" s="512" t="s">
        <v>25</v>
      </c>
      <c r="R462" s="513"/>
      <c r="S462" s="514">
        <v>23</v>
      </c>
      <c r="T462" s="298" t="str">
        <f t="shared" si="17"/>
        <v>HSGE0123</v>
      </c>
      <c r="U462" s="514">
        <v>5698</v>
      </c>
    </row>
    <row r="463" spans="12:21" ht="16.5" hidden="1">
      <c r="L463" s="512" t="s">
        <v>720</v>
      </c>
      <c r="M463" s="512" t="s">
        <v>741</v>
      </c>
      <c r="N463" s="512" t="s">
        <v>721</v>
      </c>
      <c r="O463" s="513"/>
      <c r="P463" s="512" t="s">
        <v>721</v>
      </c>
      <c r="Q463" s="512" t="s">
        <v>25</v>
      </c>
      <c r="R463" s="513"/>
      <c r="S463" s="514">
        <v>24</v>
      </c>
      <c r="T463" s="298" t="str">
        <f t="shared" si="17"/>
        <v>HSGE0124</v>
      </c>
      <c r="U463" s="514">
        <v>5927</v>
      </c>
    </row>
    <row r="464" spans="12:21" ht="16.5" hidden="1">
      <c r="L464" s="512" t="s">
        <v>720</v>
      </c>
      <c r="M464" s="512" t="s">
        <v>741</v>
      </c>
      <c r="N464" s="512" t="s">
        <v>721</v>
      </c>
      <c r="O464" s="513"/>
      <c r="P464" s="512" t="s">
        <v>721</v>
      </c>
      <c r="Q464" s="512" t="s">
        <v>25</v>
      </c>
      <c r="R464" s="513"/>
      <c r="S464" s="514">
        <v>25</v>
      </c>
      <c r="T464" s="298" t="str">
        <f t="shared" si="17"/>
        <v>HSGE0125</v>
      </c>
      <c r="U464" s="514">
        <v>6215</v>
      </c>
    </row>
    <row r="465" spans="12:21" ht="16.5" hidden="1">
      <c r="L465" s="512" t="s">
        <v>720</v>
      </c>
      <c r="M465" s="512" t="s">
        <v>741</v>
      </c>
      <c r="N465" s="512" t="s">
        <v>721</v>
      </c>
      <c r="O465" s="513"/>
      <c r="P465" s="512" t="s">
        <v>721</v>
      </c>
      <c r="Q465" s="512" t="s">
        <v>25</v>
      </c>
      <c r="R465" s="513"/>
      <c r="S465" s="514">
        <v>26</v>
      </c>
      <c r="T465" s="298" t="str">
        <f t="shared" si="17"/>
        <v>HSGE0126</v>
      </c>
      <c r="U465" s="514">
        <v>6475</v>
      </c>
    </row>
    <row r="466" spans="12:21" ht="16.5" hidden="1">
      <c r="L466" s="512" t="s">
        <v>720</v>
      </c>
      <c r="M466" s="512" t="s">
        <v>741</v>
      </c>
      <c r="N466" s="512" t="s">
        <v>721</v>
      </c>
      <c r="O466" s="513"/>
      <c r="P466" s="512" t="s">
        <v>721</v>
      </c>
      <c r="Q466" s="512" t="s">
        <v>25</v>
      </c>
      <c r="R466" s="513"/>
      <c r="S466" s="514">
        <v>27</v>
      </c>
      <c r="T466" s="298" t="str">
        <f t="shared" si="17"/>
        <v>HSGE0127</v>
      </c>
      <c r="U466" s="514">
        <v>6790</v>
      </c>
    </row>
    <row r="467" spans="12:21" ht="16.5" hidden="1">
      <c r="L467" s="512" t="s">
        <v>720</v>
      </c>
      <c r="M467" s="512" t="s">
        <v>741</v>
      </c>
      <c r="N467" s="512" t="s">
        <v>721</v>
      </c>
      <c r="O467" s="513"/>
      <c r="P467" s="512" t="s">
        <v>721</v>
      </c>
      <c r="Q467" s="512" t="s">
        <v>25</v>
      </c>
      <c r="R467" s="513"/>
      <c r="S467" s="514">
        <v>28</v>
      </c>
      <c r="T467" s="298" t="str">
        <f t="shared" si="17"/>
        <v>HSGE0128</v>
      </c>
      <c r="U467" s="514">
        <v>7165</v>
      </c>
    </row>
    <row r="468" spans="12:21" ht="16.5" hidden="1">
      <c r="L468" s="512" t="s">
        <v>720</v>
      </c>
      <c r="M468" s="512" t="s">
        <v>741</v>
      </c>
      <c r="N468" s="512" t="s">
        <v>721</v>
      </c>
      <c r="O468" s="513"/>
      <c r="P468" s="512" t="s">
        <v>721</v>
      </c>
      <c r="Q468" s="512" t="s">
        <v>25</v>
      </c>
      <c r="R468" s="513"/>
      <c r="S468" s="514">
        <v>29</v>
      </c>
      <c r="T468" s="298" t="str">
        <f t="shared" si="17"/>
        <v>HSGE0129</v>
      </c>
      <c r="U468" s="514">
        <v>7552</v>
      </c>
    </row>
    <row r="469" spans="12:21" ht="16.5" hidden="1">
      <c r="L469" s="512" t="s">
        <v>720</v>
      </c>
      <c r="M469" s="512" t="s">
        <v>741</v>
      </c>
      <c r="N469" s="512" t="s">
        <v>721</v>
      </c>
      <c r="O469" s="513"/>
      <c r="P469" s="512" t="s">
        <v>721</v>
      </c>
      <c r="Q469" s="512" t="s">
        <v>25</v>
      </c>
      <c r="R469" s="513"/>
      <c r="S469" s="514">
        <v>30</v>
      </c>
      <c r="T469" s="298" t="str">
        <f t="shared" si="17"/>
        <v>HSGE0130</v>
      </c>
      <c r="U469" s="514">
        <v>7951</v>
      </c>
    </row>
    <row r="470" spans="12:21" ht="16.5" hidden="1">
      <c r="L470" s="512" t="s">
        <v>720</v>
      </c>
      <c r="M470" s="512" t="s">
        <v>741</v>
      </c>
      <c r="N470" s="512" t="s">
        <v>721</v>
      </c>
      <c r="O470" s="513"/>
      <c r="P470" s="512" t="s">
        <v>721</v>
      </c>
      <c r="Q470" s="512" t="s">
        <v>25</v>
      </c>
      <c r="R470" s="513"/>
      <c r="S470" s="514">
        <v>31</v>
      </c>
      <c r="T470" s="298" t="str">
        <f t="shared" si="17"/>
        <v>HSGE0131</v>
      </c>
      <c r="U470" s="514">
        <v>8583</v>
      </c>
    </row>
    <row r="471" spans="12:21" ht="16.5" hidden="1">
      <c r="L471" s="512" t="s">
        <v>720</v>
      </c>
      <c r="M471" s="512" t="s">
        <v>741</v>
      </c>
      <c r="N471" s="512" t="s">
        <v>721</v>
      </c>
      <c r="O471" s="513"/>
      <c r="P471" s="512" t="s">
        <v>721</v>
      </c>
      <c r="Q471" s="512" t="s">
        <v>25</v>
      </c>
      <c r="R471" s="513"/>
      <c r="S471" s="514">
        <v>32</v>
      </c>
      <c r="T471" s="298" t="str">
        <f t="shared" si="17"/>
        <v>HSGE0132</v>
      </c>
      <c r="U471" s="514">
        <v>9257</v>
      </c>
    </row>
    <row r="472" spans="12:21" ht="16.5" hidden="1">
      <c r="L472" s="512" t="s">
        <v>720</v>
      </c>
      <c r="M472" s="512" t="s">
        <v>741</v>
      </c>
      <c r="N472" s="512" t="s">
        <v>721</v>
      </c>
      <c r="O472" s="513"/>
      <c r="P472" s="512" t="s">
        <v>721</v>
      </c>
      <c r="Q472" s="512" t="s">
        <v>25</v>
      </c>
      <c r="R472" s="513"/>
      <c r="S472" s="514">
        <v>33</v>
      </c>
      <c r="T472" s="298" t="str">
        <f t="shared" si="17"/>
        <v>HSGE0133</v>
      </c>
      <c r="U472" s="514">
        <v>9978</v>
      </c>
    </row>
    <row r="473" spans="12:21" ht="16.5" hidden="1">
      <c r="L473" s="512" t="s">
        <v>720</v>
      </c>
      <c r="M473" s="512" t="s">
        <v>741</v>
      </c>
      <c r="N473" s="512" t="s">
        <v>721</v>
      </c>
      <c r="O473" s="513"/>
      <c r="P473" s="512" t="s">
        <v>721</v>
      </c>
      <c r="Q473" s="512" t="s">
        <v>25</v>
      </c>
      <c r="R473" s="513"/>
      <c r="S473" s="514">
        <v>34</v>
      </c>
      <c r="T473" s="298" t="str">
        <f t="shared" si="17"/>
        <v>HSGE0134</v>
      </c>
      <c r="U473" s="514">
        <v>10711</v>
      </c>
    </row>
    <row r="474" spans="12:21" ht="16.5" hidden="1">
      <c r="L474" s="512" t="s">
        <v>720</v>
      </c>
      <c r="M474" s="512" t="s">
        <v>741</v>
      </c>
      <c r="N474" s="512" t="s">
        <v>721</v>
      </c>
      <c r="O474" s="513"/>
      <c r="P474" s="512" t="s">
        <v>721</v>
      </c>
      <c r="Q474" s="512" t="s">
        <v>25</v>
      </c>
      <c r="R474" s="513"/>
      <c r="S474" s="514">
        <v>35</v>
      </c>
      <c r="T474" s="298" t="str">
        <f t="shared" si="17"/>
        <v>HSGE0135</v>
      </c>
      <c r="U474" s="514">
        <v>11458</v>
      </c>
    </row>
    <row r="475" spans="12:21" ht="16.5" hidden="1">
      <c r="L475" s="512" t="s">
        <v>720</v>
      </c>
      <c r="M475" s="512" t="s">
        <v>741</v>
      </c>
      <c r="N475" s="512" t="s">
        <v>721</v>
      </c>
      <c r="O475" s="513"/>
      <c r="P475" s="512" t="s">
        <v>721</v>
      </c>
      <c r="Q475" s="512" t="s">
        <v>25</v>
      </c>
      <c r="R475" s="513"/>
      <c r="S475" s="514">
        <v>36</v>
      </c>
      <c r="T475" s="298" t="str">
        <f t="shared" si="17"/>
        <v>HSGE0136</v>
      </c>
      <c r="U475" s="514">
        <v>12049</v>
      </c>
    </row>
    <row r="476" spans="12:21" ht="16.5" hidden="1">
      <c r="L476" s="512" t="s">
        <v>720</v>
      </c>
      <c r="M476" s="512" t="s">
        <v>741</v>
      </c>
      <c r="N476" s="512" t="s">
        <v>721</v>
      </c>
      <c r="O476" s="513"/>
      <c r="P476" s="512" t="s">
        <v>721</v>
      </c>
      <c r="Q476" s="512" t="s">
        <v>25</v>
      </c>
      <c r="R476" s="513"/>
      <c r="S476" s="514">
        <v>37</v>
      </c>
      <c r="T476" s="298" t="str">
        <f t="shared" si="17"/>
        <v>HSGE0137</v>
      </c>
      <c r="U476" s="514">
        <v>12635</v>
      </c>
    </row>
    <row r="477" spans="12:21" ht="16.5" hidden="1">
      <c r="L477" s="512" t="s">
        <v>720</v>
      </c>
      <c r="M477" s="512" t="s">
        <v>741</v>
      </c>
      <c r="N477" s="512" t="s">
        <v>721</v>
      </c>
      <c r="O477" s="513"/>
      <c r="P477" s="512" t="s">
        <v>721</v>
      </c>
      <c r="Q477" s="512" t="s">
        <v>25</v>
      </c>
      <c r="R477" s="513"/>
      <c r="S477" s="514">
        <v>38</v>
      </c>
      <c r="T477" s="298" t="str">
        <f t="shared" si="17"/>
        <v>HSGE0138</v>
      </c>
      <c r="U477" s="514">
        <v>13213</v>
      </c>
    </row>
    <row r="478" spans="12:21" ht="16.5" hidden="1">
      <c r="L478" s="512" t="s">
        <v>720</v>
      </c>
      <c r="M478" s="512" t="s">
        <v>741</v>
      </c>
      <c r="N478" s="512" t="s">
        <v>721</v>
      </c>
      <c r="O478" s="513"/>
      <c r="P478" s="512" t="s">
        <v>721</v>
      </c>
      <c r="Q478" s="512" t="s">
        <v>25</v>
      </c>
      <c r="R478" s="513"/>
      <c r="S478" s="514">
        <v>39</v>
      </c>
      <c r="T478" s="298" t="str">
        <f t="shared" si="17"/>
        <v>HSGE0139</v>
      </c>
      <c r="U478" s="514">
        <v>13818</v>
      </c>
    </row>
    <row r="479" spans="12:21" ht="16.5" hidden="1">
      <c r="L479" s="512" t="s">
        <v>720</v>
      </c>
      <c r="M479" s="512" t="s">
        <v>741</v>
      </c>
      <c r="N479" s="512" t="s">
        <v>721</v>
      </c>
      <c r="O479" s="513"/>
      <c r="P479" s="512" t="s">
        <v>721</v>
      </c>
      <c r="Q479" s="512" t="s">
        <v>25</v>
      </c>
      <c r="R479" s="513"/>
      <c r="S479" s="514">
        <v>40</v>
      </c>
      <c r="T479" s="298" t="str">
        <f t="shared" si="17"/>
        <v>HSGE0140</v>
      </c>
      <c r="U479" s="514">
        <v>14448</v>
      </c>
    </row>
    <row r="480" spans="12:21" ht="16.5" hidden="1">
      <c r="L480" s="512" t="s">
        <v>720</v>
      </c>
      <c r="M480" s="512" t="s">
        <v>741</v>
      </c>
      <c r="N480" s="512" t="s">
        <v>721</v>
      </c>
      <c r="O480" s="513"/>
      <c r="P480" s="512" t="s">
        <v>721</v>
      </c>
      <c r="Q480" s="512" t="s">
        <v>25</v>
      </c>
      <c r="R480" s="513"/>
      <c r="S480" s="514">
        <v>41</v>
      </c>
      <c r="T480" s="298" t="str">
        <f t="shared" si="17"/>
        <v>HSGE0141</v>
      </c>
      <c r="U480" s="514">
        <v>15106</v>
      </c>
    </row>
    <row r="481" spans="12:21" ht="16.5" hidden="1">
      <c r="L481" s="512" t="s">
        <v>720</v>
      </c>
      <c r="M481" s="512" t="s">
        <v>741</v>
      </c>
      <c r="N481" s="512" t="s">
        <v>721</v>
      </c>
      <c r="O481" s="513"/>
      <c r="P481" s="512" t="s">
        <v>721</v>
      </c>
      <c r="Q481" s="512" t="s">
        <v>25</v>
      </c>
      <c r="R481" s="513"/>
      <c r="S481" s="514">
        <v>42</v>
      </c>
      <c r="T481" s="298" t="str">
        <f t="shared" si="17"/>
        <v>HSGE0142</v>
      </c>
      <c r="U481" s="514">
        <v>15791</v>
      </c>
    </row>
    <row r="482" spans="12:21" ht="16.5" hidden="1">
      <c r="L482" s="512" t="s">
        <v>720</v>
      </c>
      <c r="M482" s="512" t="s">
        <v>741</v>
      </c>
      <c r="N482" s="512" t="s">
        <v>721</v>
      </c>
      <c r="O482" s="513"/>
      <c r="P482" s="512" t="s">
        <v>721</v>
      </c>
      <c r="Q482" s="512" t="s">
        <v>25</v>
      </c>
      <c r="R482" s="513"/>
      <c r="S482" s="514">
        <v>43</v>
      </c>
      <c r="T482" s="298" t="str">
        <f t="shared" si="17"/>
        <v>HSGE0143</v>
      </c>
      <c r="U482" s="514">
        <v>16505</v>
      </c>
    </row>
    <row r="483" spans="12:21" ht="16.5" hidden="1">
      <c r="L483" s="512" t="s">
        <v>720</v>
      </c>
      <c r="M483" s="512" t="s">
        <v>741</v>
      </c>
      <c r="N483" s="512" t="s">
        <v>721</v>
      </c>
      <c r="O483" s="513"/>
      <c r="P483" s="512" t="s">
        <v>721</v>
      </c>
      <c r="Q483" s="512" t="s">
        <v>25</v>
      </c>
      <c r="R483" s="513"/>
      <c r="S483" s="514">
        <v>44</v>
      </c>
      <c r="T483" s="298" t="str">
        <f t="shared" si="17"/>
        <v>HSGE0144</v>
      </c>
      <c r="U483" s="514">
        <v>17234</v>
      </c>
    </row>
    <row r="484" spans="12:21" ht="16.5" hidden="1">
      <c r="L484" s="512" t="s">
        <v>720</v>
      </c>
      <c r="M484" s="512" t="s">
        <v>741</v>
      </c>
      <c r="N484" s="512" t="s">
        <v>721</v>
      </c>
      <c r="O484" s="513"/>
      <c r="P484" s="512" t="s">
        <v>721</v>
      </c>
      <c r="Q484" s="512" t="s">
        <v>25</v>
      </c>
      <c r="R484" s="513"/>
      <c r="S484" s="514">
        <v>45</v>
      </c>
      <c r="T484" s="298" t="str">
        <f t="shared" si="17"/>
        <v>HSGE0145</v>
      </c>
      <c r="U484" s="514">
        <v>17978</v>
      </c>
    </row>
    <row r="485" spans="12:21" ht="16.5" hidden="1">
      <c r="L485" s="512" t="s">
        <v>720</v>
      </c>
      <c r="M485" s="512" t="s">
        <v>741</v>
      </c>
      <c r="N485" s="512" t="s">
        <v>721</v>
      </c>
      <c r="O485" s="513"/>
      <c r="P485" s="512" t="s">
        <v>721</v>
      </c>
      <c r="Q485" s="512" t="s">
        <v>25</v>
      </c>
      <c r="R485" s="513"/>
      <c r="S485" s="514">
        <v>46</v>
      </c>
      <c r="T485" s="298" t="str">
        <f t="shared" si="17"/>
        <v>HSGE0146</v>
      </c>
      <c r="U485" s="514">
        <v>18740</v>
      </c>
    </row>
    <row r="486" spans="12:21" ht="16.5" hidden="1">
      <c r="L486" s="512" t="s">
        <v>720</v>
      </c>
      <c r="M486" s="512" t="s">
        <v>741</v>
      </c>
      <c r="N486" s="512" t="s">
        <v>721</v>
      </c>
      <c r="O486" s="513"/>
      <c r="P486" s="512" t="s">
        <v>721</v>
      </c>
      <c r="Q486" s="512" t="s">
        <v>25</v>
      </c>
      <c r="R486" s="513"/>
      <c r="S486" s="514">
        <v>47</v>
      </c>
      <c r="T486" s="298" t="str">
        <f t="shared" si="17"/>
        <v>HSGE0147</v>
      </c>
      <c r="U486" s="514">
        <v>19523</v>
      </c>
    </row>
    <row r="487" spans="12:21" ht="16.5" hidden="1">
      <c r="L487" s="512" t="s">
        <v>720</v>
      </c>
      <c r="M487" s="512" t="s">
        <v>741</v>
      </c>
      <c r="N487" s="512" t="s">
        <v>721</v>
      </c>
      <c r="O487" s="513"/>
      <c r="P487" s="512" t="s">
        <v>721</v>
      </c>
      <c r="Q487" s="512" t="s">
        <v>25</v>
      </c>
      <c r="R487" s="513"/>
      <c r="S487" s="514">
        <v>48</v>
      </c>
      <c r="T487" s="298" t="str">
        <f t="shared" si="17"/>
        <v>HSGE0148</v>
      </c>
      <c r="U487" s="514">
        <v>20334</v>
      </c>
    </row>
    <row r="488" spans="12:21" ht="16.5" hidden="1">
      <c r="L488" s="512" t="s">
        <v>720</v>
      </c>
      <c r="M488" s="512" t="s">
        <v>741</v>
      </c>
      <c r="N488" s="512" t="s">
        <v>721</v>
      </c>
      <c r="O488" s="513"/>
      <c r="P488" s="512" t="s">
        <v>721</v>
      </c>
      <c r="Q488" s="512" t="s">
        <v>25</v>
      </c>
      <c r="R488" s="513"/>
      <c r="S488" s="514">
        <v>49</v>
      </c>
      <c r="T488" s="298" t="str">
        <f t="shared" si="17"/>
        <v>HSGE0149</v>
      </c>
      <c r="U488" s="514">
        <v>21064</v>
      </c>
    </row>
    <row r="489" spans="12:21" ht="16.5" hidden="1">
      <c r="L489" s="512" t="s">
        <v>720</v>
      </c>
      <c r="M489" s="512" t="s">
        <v>741</v>
      </c>
      <c r="N489" s="512" t="s">
        <v>721</v>
      </c>
      <c r="O489" s="513"/>
      <c r="P489" s="512" t="s">
        <v>721</v>
      </c>
      <c r="Q489" s="512" t="s">
        <v>25</v>
      </c>
      <c r="R489" s="513"/>
      <c r="S489" s="514">
        <v>50</v>
      </c>
      <c r="T489" s="298" t="str">
        <f t="shared" si="17"/>
        <v>HSGE0150</v>
      </c>
      <c r="U489" s="514">
        <v>21711</v>
      </c>
    </row>
    <row r="490" spans="12:21" ht="16.5" hidden="1">
      <c r="L490" s="512" t="s">
        <v>720</v>
      </c>
      <c r="M490" s="512" t="s">
        <v>741</v>
      </c>
      <c r="N490" s="512" t="s">
        <v>721</v>
      </c>
      <c r="O490" s="513"/>
      <c r="P490" s="512" t="s">
        <v>721</v>
      </c>
      <c r="Q490" s="512" t="s">
        <v>25</v>
      </c>
      <c r="R490" s="513"/>
      <c r="S490" s="514">
        <v>51</v>
      </c>
      <c r="T490" s="298" t="str">
        <f t="shared" si="17"/>
        <v>HSGE0151</v>
      </c>
      <c r="U490" s="514">
        <v>22272</v>
      </c>
    </row>
    <row r="491" spans="12:21" ht="16.5" hidden="1">
      <c r="L491" s="512" t="s">
        <v>720</v>
      </c>
      <c r="M491" s="512" t="s">
        <v>741</v>
      </c>
      <c r="N491" s="512" t="s">
        <v>721</v>
      </c>
      <c r="O491" s="513"/>
      <c r="P491" s="512" t="s">
        <v>721</v>
      </c>
      <c r="Q491" s="512" t="s">
        <v>25</v>
      </c>
      <c r="R491" s="513"/>
      <c r="S491" s="514">
        <v>52</v>
      </c>
      <c r="T491" s="298" t="str">
        <f t="shared" si="17"/>
        <v>HSGE0152</v>
      </c>
      <c r="U491" s="514">
        <v>22741</v>
      </c>
    </row>
    <row r="492" spans="12:21" ht="16.5" hidden="1">
      <c r="L492" s="512" t="s">
        <v>720</v>
      </c>
      <c r="M492" s="512" t="s">
        <v>741</v>
      </c>
      <c r="N492" s="512" t="s">
        <v>721</v>
      </c>
      <c r="O492" s="513"/>
      <c r="P492" s="512" t="s">
        <v>721</v>
      </c>
      <c r="Q492" s="512" t="s">
        <v>25</v>
      </c>
      <c r="R492" s="513"/>
      <c r="S492" s="514">
        <v>53</v>
      </c>
      <c r="T492" s="298" t="str">
        <f t="shared" si="17"/>
        <v>HSGE0153</v>
      </c>
      <c r="U492" s="514">
        <v>23111</v>
      </c>
    </row>
    <row r="493" spans="12:21" ht="16.5" hidden="1">
      <c r="L493" s="512" t="s">
        <v>720</v>
      </c>
      <c r="M493" s="512" t="s">
        <v>741</v>
      </c>
      <c r="N493" s="512" t="s">
        <v>721</v>
      </c>
      <c r="O493" s="513"/>
      <c r="P493" s="512" t="s">
        <v>721</v>
      </c>
      <c r="Q493" s="512" t="s">
        <v>25</v>
      </c>
      <c r="R493" s="513"/>
      <c r="S493" s="514">
        <v>54</v>
      </c>
      <c r="T493" s="298" t="str">
        <f t="shared" si="17"/>
        <v>HSGE0154</v>
      </c>
      <c r="U493" s="514">
        <v>23533</v>
      </c>
    </row>
    <row r="494" spans="12:21" ht="16.5" hidden="1">
      <c r="L494" s="512" t="s">
        <v>720</v>
      </c>
      <c r="M494" s="512" t="s">
        <v>741</v>
      </c>
      <c r="N494" s="512" t="s">
        <v>721</v>
      </c>
      <c r="O494" s="513"/>
      <c r="P494" s="512" t="s">
        <v>721</v>
      </c>
      <c r="Q494" s="512" t="s">
        <v>25</v>
      </c>
      <c r="R494" s="513"/>
      <c r="S494" s="514">
        <v>55</v>
      </c>
      <c r="T494" s="298" t="str">
        <f t="shared" si="17"/>
        <v>HSGE0155</v>
      </c>
      <c r="U494" s="514">
        <v>24007</v>
      </c>
    </row>
    <row r="495" spans="12:21" ht="16.5" hidden="1">
      <c r="L495" s="512" t="s">
        <v>720</v>
      </c>
      <c r="M495" s="512" t="s">
        <v>741</v>
      </c>
      <c r="N495" s="512" t="s">
        <v>721</v>
      </c>
      <c r="O495" s="513"/>
      <c r="P495" s="512" t="s">
        <v>721</v>
      </c>
      <c r="Q495" s="512" t="s">
        <v>25</v>
      </c>
      <c r="R495" s="513"/>
      <c r="S495" s="514">
        <v>56</v>
      </c>
      <c r="T495" s="298" t="str">
        <f t="shared" si="17"/>
        <v>HSGE0156</v>
      </c>
      <c r="U495" s="514">
        <v>24535</v>
      </c>
    </row>
    <row r="496" spans="12:21" ht="16.5" hidden="1">
      <c r="L496" s="512" t="s">
        <v>720</v>
      </c>
      <c r="M496" s="512" t="s">
        <v>741</v>
      </c>
      <c r="N496" s="512" t="s">
        <v>721</v>
      </c>
      <c r="O496" s="513"/>
      <c r="P496" s="512" t="s">
        <v>721</v>
      </c>
      <c r="Q496" s="512" t="s">
        <v>25</v>
      </c>
      <c r="R496" s="513"/>
      <c r="S496" s="514">
        <v>57</v>
      </c>
      <c r="T496" s="298" t="str">
        <f t="shared" si="17"/>
        <v>HSGE0157</v>
      </c>
      <c r="U496" s="514">
        <v>25113</v>
      </c>
    </row>
    <row r="497" spans="12:21" ht="16.5" hidden="1">
      <c r="L497" s="512" t="s">
        <v>720</v>
      </c>
      <c r="M497" s="512" t="s">
        <v>741</v>
      </c>
      <c r="N497" s="512" t="s">
        <v>721</v>
      </c>
      <c r="O497" s="513"/>
      <c r="P497" s="512" t="s">
        <v>721</v>
      </c>
      <c r="Q497" s="512" t="s">
        <v>25</v>
      </c>
      <c r="R497" s="513"/>
      <c r="S497" s="514">
        <v>58</v>
      </c>
      <c r="T497" s="298" t="str">
        <f t="shared" si="17"/>
        <v>HSGE0158</v>
      </c>
      <c r="U497" s="514">
        <v>25737</v>
      </c>
    </row>
    <row r="498" spans="12:21" ht="16.5" hidden="1">
      <c r="L498" s="512" t="s">
        <v>720</v>
      </c>
      <c r="M498" s="512" t="s">
        <v>741</v>
      </c>
      <c r="N498" s="512" t="s">
        <v>721</v>
      </c>
      <c r="O498" s="513"/>
      <c r="P498" s="512" t="s">
        <v>721</v>
      </c>
      <c r="Q498" s="512" t="s">
        <v>25</v>
      </c>
      <c r="R498" s="513"/>
      <c r="S498" s="514">
        <v>59</v>
      </c>
      <c r="T498" s="298" t="str">
        <f t="shared" si="17"/>
        <v>HSGE0159</v>
      </c>
      <c r="U498" s="514">
        <v>26536</v>
      </c>
    </row>
    <row r="499" spans="12:21" ht="16.5" hidden="1">
      <c r="L499" s="512" t="s">
        <v>720</v>
      </c>
      <c r="M499" s="512" t="s">
        <v>741</v>
      </c>
      <c r="N499" s="512" t="s">
        <v>721</v>
      </c>
      <c r="O499" s="513"/>
      <c r="P499" s="512" t="s">
        <v>721</v>
      </c>
      <c r="Q499" s="512" t="s">
        <v>25</v>
      </c>
      <c r="R499" s="513"/>
      <c r="S499" s="514">
        <v>60</v>
      </c>
      <c r="T499" s="298" t="str">
        <f t="shared" si="17"/>
        <v>HSGE0160</v>
      </c>
      <c r="U499" s="514">
        <v>27520</v>
      </c>
    </row>
    <row r="500" spans="12:21" ht="16.5" hidden="1">
      <c r="L500" s="512" t="s">
        <v>720</v>
      </c>
      <c r="M500" s="512" t="s">
        <v>741</v>
      </c>
      <c r="N500" s="512" t="s">
        <v>721</v>
      </c>
      <c r="O500" s="513"/>
      <c r="P500" s="512" t="s">
        <v>721</v>
      </c>
      <c r="Q500" s="512" t="s">
        <v>25</v>
      </c>
      <c r="R500" s="513"/>
      <c r="S500" s="514">
        <v>61</v>
      </c>
      <c r="T500" s="298" t="str">
        <f t="shared" si="17"/>
        <v>HSGE0161</v>
      </c>
      <c r="U500" s="514">
        <v>28700</v>
      </c>
    </row>
    <row r="501" spans="12:21" ht="16.5" hidden="1">
      <c r="L501" s="512" t="s">
        <v>720</v>
      </c>
      <c r="M501" s="512" t="s">
        <v>741</v>
      </c>
      <c r="N501" s="512" t="s">
        <v>721</v>
      </c>
      <c r="O501" s="513"/>
      <c r="P501" s="512" t="s">
        <v>721</v>
      </c>
      <c r="Q501" s="512" t="s">
        <v>25</v>
      </c>
      <c r="R501" s="513"/>
      <c r="S501" s="514">
        <v>62</v>
      </c>
      <c r="T501" s="298" t="str">
        <f t="shared" si="17"/>
        <v>HSGE0162</v>
      </c>
      <c r="U501" s="514">
        <v>30089</v>
      </c>
    </row>
    <row r="502" spans="12:21" ht="16.5" hidden="1">
      <c r="L502" s="512" t="s">
        <v>720</v>
      </c>
      <c r="M502" s="512" t="s">
        <v>741</v>
      </c>
      <c r="N502" s="512" t="s">
        <v>721</v>
      </c>
      <c r="O502" s="513"/>
      <c r="P502" s="512" t="s">
        <v>721</v>
      </c>
      <c r="Q502" s="512" t="s">
        <v>25</v>
      </c>
      <c r="R502" s="513"/>
      <c r="S502" s="514">
        <v>63</v>
      </c>
      <c r="T502" s="298" t="str">
        <f t="shared" si="17"/>
        <v>HSGE0163</v>
      </c>
      <c r="U502" s="514">
        <v>31715</v>
      </c>
    </row>
    <row r="503" spans="12:21" ht="16.5" hidden="1">
      <c r="L503" s="512" t="s">
        <v>720</v>
      </c>
      <c r="M503" s="512" t="s">
        <v>741</v>
      </c>
      <c r="N503" s="512" t="s">
        <v>721</v>
      </c>
      <c r="O503" s="513"/>
      <c r="P503" s="512" t="s">
        <v>721</v>
      </c>
      <c r="Q503" s="512" t="s">
        <v>25</v>
      </c>
      <c r="R503" s="513"/>
      <c r="S503" s="514">
        <v>64</v>
      </c>
      <c r="T503" s="298" t="str">
        <f t="shared" si="17"/>
        <v>HSGE0164</v>
      </c>
      <c r="U503" s="514">
        <v>33570</v>
      </c>
    </row>
    <row r="504" spans="12:21" ht="16.5" hidden="1">
      <c r="L504" s="512" t="s">
        <v>720</v>
      </c>
      <c r="M504" s="512" t="s">
        <v>741</v>
      </c>
      <c r="N504" s="512" t="s">
        <v>721</v>
      </c>
      <c r="O504" s="513"/>
      <c r="P504" s="512" t="s">
        <v>721</v>
      </c>
      <c r="Q504" s="512" t="s">
        <v>25</v>
      </c>
      <c r="R504" s="513"/>
      <c r="S504" s="514">
        <v>65</v>
      </c>
      <c r="T504" s="298" t="str">
        <f t="shared" si="17"/>
        <v>HSGE0165</v>
      </c>
      <c r="U504" s="514">
        <v>35660</v>
      </c>
    </row>
    <row r="505" spans="12:21" ht="16.5" hidden="1">
      <c r="L505" s="512" t="s">
        <v>720</v>
      </c>
      <c r="M505" s="512" t="s">
        <v>741</v>
      </c>
      <c r="N505" s="512" t="s">
        <v>721</v>
      </c>
      <c r="O505" s="513"/>
      <c r="P505" s="512" t="s">
        <v>721</v>
      </c>
      <c r="Q505" s="512" t="s">
        <v>25</v>
      </c>
      <c r="R505" s="513"/>
      <c r="S505" s="514">
        <v>66</v>
      </c>
      <c r="T505" s="298" t="str">
        <f t="shared" si="17"/>
        <v>HSGE0166</v>
      </c>
      <c r="U505" s="514">
        <v>37998</v>
      </c>
    </row>
    <row r="506" spans="12:21" ht="16.5" hidden="1">
      <c r="L506" s="512" t="s">
        <v>720</v>
      </c>
      <c r="M506" s="512" t="s">
        <v>741</v>
      </c>
      <c r="N506" s="512" t="s">
        <v>721</v>
      </c>
      <c r="O506" s="513"/>
      <c r="P506" s="512" t="s">
        <v>721</v>
      </c>
      <c r="Q506" s="512" t="s">
        <v>25</v>
      </c>
      <c r="R506" s="513"/>
      <c r="S506" s="514">
        <v>67</v>
      </c>
      <c r="T506" s="298" t="str">
        <f t="shared" si="17"/>
        <v>HSGE0167</v>
      </c>
      <c r="U506" s="514">
        <v>40596</v>
      </c>
    </row>
    <row r="507" spans="12:21" ht="16.5" hidden="1">
      <c r="L507" s="512" t="s">
        <v>720</v>
      </c>
      <c r="M507" s="512" t="s">
        <v>741</v>
      </c>
      <c r="N507" s="512" t="s">
        <v>721</v>
      </c>
      <c r="O507" s="513"/>
      <c r="P507" s="512" t="s">
        <v>721</v>
      </c>
      <c r="Q507" s="512" t="s">
        <v>25</v>
      </c>
      <c r="R507" s="513"/>
      <c r="S507" s="514">
        <v>68</v>
      </c>
      <c r="T507" s="298" t="str">
        <f t="shared" si="17"/>
        <v>HSGE0168</v>
      </c>
      <c r="U507" s="514">
        <v>43476</v>
      </c>
    </row>
    <row r="508" spans="12:21" ht="16.5" hidden="1">
      <c r="L508" s="512" t="s">
        <v>720</v>
      </c>
      <c r="M508" s="512" t="s">
        <v>741</v>
      </c>
      <c r="N508" s="512" t="s">
        <v>721</v>
      </c>
      <c r="O508" s="513"/>
      <c r="P508" s="512" t="s">
        <v>721</v>
      </c>
      <c r="Q508" s="512" t="s">
        <v>25</v>
      </c>
      <c r="R508" s="513"/>
      <c r="S508" s="514">
        <v>69</v>
      </c>
      <c r="T508" s="298" t="str">
        <f t="shared" si="17"/>
        <v>HSGE0169</v>
      </c>
      <c r="U508" s="514">
        <v>46632</v>
      </c>
    </row>
    <row r="509" spans="12:21" ht="16.5" hidden="1">
      <c r="L509" s="512" t="s">
        <v>720</v>
      </c>
      <c r="M509" s="512" t="s">
        <v>741</v>
      </c>
      <c r="N509" s="512" t="s">
        <v>721</v>
      </c>
      <c r="O509" s="513"/>
      <c r="P509" s="512" t="s">
        <v>721</v>
      </c>
      <c r="Q509" s="512" t="s">
        <v>25</v>
      </c>
      <c r="R509" s="513"/>
      <c r="S509" s="514">
        <v>70</v>
      </c>
      <c r="T509" s="298" t="str">
        <f t="shared" si="17"/>
        <v>HSGE0170</v>
      </c>
      <c r="U509" s="514">
        <v>50081</v>
      </c>
    </row>
    <row r="510" spans="12:21" ht="16.5" hidden="1">
      <c r="L510" s="512" t="s">
        <v>720</v>
      </c>
      <c r="M510" s="512" t="s">
        <v>741</v>
      </c>
      <c r="N510" s="512" t="s">
        <v>721</v>
      </c>
      <c r="O510" s="513"/>
      <c r="P510" s="512" t="s">
        <v>721</v>
      </c>
      <c r="Q510" s="512" t="s">
        <v>25</v>
      </c>
      <c r="R510" s="513"/>
      <c r="S510" s="514">
        <v>71</v>
      </c>
      <c r="T510" s="298" t="str">
        <f t="shared" si="17"/>
        <v>HSGE0171</v>
      </c>
      <c r="U510" s="514">
        <v>53850</v>
      </c>
    </row>
    <row r="511" spans="12:21" ht="16.5" hidden="1">
      <c r="L511" s="512" t="s">
        <v>720</v>
      </c>
      <c r="M511" s="512" t="s">
        <v>741</v>
      </c>
      <c r="N511" s="512" t="s">
        <v>721</v>
      </c>
      <c r="O511" s="513"/>
      <c r="P511" s="512" t="s">
        <v>721</v>
      </c>
      <c r="Q511" s="512" t="s">
        <v>26</v>
      </c>
      <c r="R511" s="513"/>
      <c r="S511" s="514">
        <v>20</v>
      </c>
      <c r="T511" s="298" t="str">
        <f t="shared" si="17"/>
        <v>HSGE0220</v>
      </c>
      <c r="U511" s="514">
        <v>6358</v>
      </c>
    </row>
    <row r="512" spans="12:21" ht="16.5" hidden="1">
      <c r="L512" s="512" t="s">
        <v>720</v>
      </c>
      <c r="M512" s="512" t="s">
        <v>741</v>
      </c>
      <c r="N512" s="512" t="s">
        <v>721</v>
      </c>
      <c r="O512" s="513"/>
      <c r="P512" s="512" t="s">
        <v>721</v>
      </c>
      <c r="Q512" s="512" t="s">
        <v>26</v>
      </c>
      <c r="R512" s="513"/>
      <c r="S512" s="514">
        <v>21</v>
      </c>
      <c r="T512" s="298" t="str">
        <f t="shared" si="17"/>
        <v>HSGE0221</v>
      </c>
      <c r="U512" s="514">
        <v>6413</v>
      </c>
    </row>
    <row r="513" spans="12:21" ht="16.5" hidden="1">
      <c r="L513" s="512" t="s">
        <v>720</v>
      </c>
      <c r="M513" s="512" t="s">
        <v>741</v>
      </c>
      <c r="N513" s="512" t="s">
        <v>721</v>
      </c>
      <c r="O513" s="513"/>
      <c r="P513" s="512" t="s">
        <v>721</v>
      </c>
      <c r="Q513" s="512" t="s">
        <v>26</v>
      </c>
      <c r="R513" s="513"/>
      <c r="S513" s="514">
        <v>22</v>
      </c>
      <c r="T513" s="298" t="str">
        <f t="shared" si="17"/>
        <v>HSGE0222</v>
      </c>
      <c r="U513" s="514">
        <v>6495</v>
      </c>
    </row>
    <row r="514" spans="12:21" ht="16.5" hidden="1">
      <c r="L514" s="512" t="s">
        <v>720</v>
      </c>
      <c r="M514" s="512" t="s">
        <v>741</v>
      </c>
      <c r="N514" s="512" t="s">
        <v>721</v>
      </c>
      <c r="O514" s="513"/>
      <c r="P514" s="512" t="s">
        <v>721</v>
      </c>
      <c r="Q514" s="512" t="s">
        <v>26</v>
      </c>
      <c r="R514" s="513"/>
      <c r="S514" s="514">
        <v>23</v>
      </c>
      <c r="T514" s="298" t="str">
        <f t="shared" ref="T514:T573" si="18">M514&amp;TEXT(Q514,"00")&amp;TEXT(S514,"00")</f>
        <v>HSGE0223</v>
      </c>
      <c r="U514" s="514">
        <v>6606</v>
      </c>
    </row>
    <row r="515" spans="12:21" ht="16.5" hidden="1">
      <c r="L515" s="512" t="s">
        <v>720</v>
      </c>
      <c r="M515" s="512" t="s">
        <v>741</v>
      </c>
      <c r="N515" s="512" t="s">
        <v>721</v>
      </c>
      <c r="O515" s="513"/>
      <c r="P515" s="512" t="s">
        <v>721</v>
      </c>
      <c r="Q515" s="512" t="s">
        <v>26</v>
      </c>
      <c r="R515" s="513"/>
      <c r="S515" s="514">
        <v>24</v>
      </c>
      <c r="T515" s="298" t="str">
        <f t="shared" si="18"/>
        <v>HSGE0224</v>
      </c>
      <c r="U515" s="514">
        <v>6756</v>
      </c>
    </row>
    <row r="516" spans="12:21" ht="16.5" hidden="1">
      <c r="L516" s="512" t="s">
        <v>720</v>
      </c>
      <c r="M516" s="512" t="s">
        <v>741</v>
      </c>
      <c r="N516" s="512" t="s">
        <v>721</v>
      </c>
      <c r="O516" s="513"/>
      <c r="P516" s="512" t="s">
        <v>721</v>
      </c>
      <c r="Q516" s="512" t="s">
        <v>26</v>
      </c>
      <c r="R516" s="513"/>
      <c r="S516" s="514">
        <v>25</v>
      </c>
      <c r="T516" s="298" t="str">
        <f t="shared" si="18"/>
        <v>HSGE0225</v>
      </c>
      <c r="U516" s="514">
        <v>6947</v>
      </c>
    </row>
    <row r="517" spans="12:21" ht="16.5" hidden="1">
      <c r="L517" s="512" t="s">
        <v>720</v>
      </c>
      <c r="M517" s="512" t="s">
        <v>741</v>
      </c>
      <c r="N517" s="512" t="s">
        <v>721</v>
      </c>
      <c r="O517" s="513"/>
      <c r="P517" s="512" t="s">
        <v>721</v>
      </c>
      <c r="Q517" s="512" t="s">
        <v>26</v>
      </c>
      <c r="R517" s="513"/>
      <c r="S517" s="514">
        <v>26</v>
      </c>
      <c r="T517" s="298" t="str">
        <f t="shared" si="18"/>
        <v>HSGE0226</v>
      </c>
      <c r="U517" s="514">
        <v>7180</v>
      </c>
    </row>
    <row r="518" spans="12:21" ht="16.5" hidden="1">
      <c r="L518" s="512" t="s">
        <v>720</v>
      </c>
      <c r="M518" s="512" t="s">
        <v>741</v>
      </c>
      <c r="N518" s="512" t="s">
        <v>721</v>
      </c>
      <c r="O518" s="513"/>
      <c r="P518" s="512" t="s">
        <v>721</v>
      </c>
      <c r="Q518" s="512" t="s">
        <v>26</v>
      </c>
      <c r="R518" s="513"/>
      <c r="S518" s="514">
        <v>27</v>
      </c>
      <c r="T518" s="298" t="str">
        <f t="shared" si="18"/>
        <v>HSGE0227</v>
      </c>
      <c r="U518" s="514">
        <v>7456</v>
      </c>
    </row>
    <row r="519" spans="12:21" ht="16.5" hidden="1">
      <c r="L519" s="512" t="s">
        <v>720</v>
      </c>
      <c r="M519" s="512" t="s">
        <v>741</v>
      </c>
      <c r="N519" s="512" t="s">
        <v>721</v>
      </c>
      <c r="O519" s="513"/>
      <c r="P519" s="512" t="s">
        <v>721</v>
      </c>
      <c r="Q519" s="512" t="s">
        <v>26</v>
      </c>
      <c r="R519" s="513"/>
      <c r="S519" s="514">
        <v>28</v>
      </c>
      <c r="T519" s="298" t="str">
        <f t="shared" si="18"/>
        <v>HSGE0228</v>
      </c>
      <c r="U519" s="514">
        <v>7782</v>
      </c>
    </row>
    <row r="520" spans="12:21" ht="16.5" hidden="1">
      <c r="L520" s="512" t="s">
        <v>720</v>
      </c>
      <c r="M520" s="512" t="s">
        <v>741</v>
      </c>
      <c r="N520" s="512" t="s">
        <v>721</v>
      </c>
      <c r="O520" s="513"/>
      <c r="P520" s="512" t="s">
        <v>721</v>
      </c>
      <c r="Q520" s="512" t="s">
        <v>26</v>
      </c>
      <c r="R520" s="513"/>
      <c r="S520" s="514">
        <v>29</v>
      </c>
      <c r="T520" s="298" t="str">
        <f t="shared" si="18"/>
        <v>HSGE0229</v>
      </c>
      <c r="U520" s="514">
        <v>8124</v>
      </c>
    </row>
    <row r="521" spans="12:21" ht="16.5" hidden="1">
      <c r="L521" s="512" t="s">
        <v>720</v>
      </c>
      <c r="M521" s="512" t="s">
        <v>741</v>
      </c>
      <c r="N521" s="512" t="s">
        <v>721</v>
      </c>
      <c r="O521" s="513"/>
      <c r="P521" s="512" t="s">
        <v>721</v>
      </c>
      <c r="Q521" s="512" t="s">
        <v>26</v>
      </c>
      <c r="R521" s="513"/>
      <c r="S521" s="514">
        <v>30</v>
      </c>
      <c r="T521" s="298" t="str">
        <f t="shared" si="18"/>
        <v>HSGE0230</v>
      </c>
      <c r="U521" s="514">
        <v>8483</v>
      </c>
    </row>
    <row r="522" spans="12:21" ht="16.5" hidden="1">
      <c r="L522" s="512" t="s">
        <v>720</v>
      </c>
      <c r="M522" s="512" t="s">
        <v>741</v>
      </c>
      <c r="N522" s="512" t="s">
        <v>721</v>
      </c>
      <c r="O522" s="513"/>
      <c r="P522" s="512" t="s">
        <v>721</v>
      </c>
      <c r="Q522" s="512" t="s">
        <v>26</v>
      </c>
      <c r="R522" s="513"/>
      <c r="S522" s="514">
        <v>31</v>
      </c>
      <c r="T522" s="298" t="str">
        <f t="shared" si="18"/>
        <v>HSGE0231</v>
      </c>
      <c r="U522" s="514">
        <v>8862</v>
      </c>
    </row>
    <row r="523" spans="12:21" ht="16.5" hidden="1">
      <c r="L523" s="512" t="s">
        <v>720</v>
      </c>
      <c r="M523" s="512" t="s">
        <v>741</v>
      </c>
      <c r="N523" s="512" t="s">
        <v>721</v>
      </c>
      <c r="O523" s="513"/>
      <c r="P523" s="512" t="s">
        <v>721</v>
      </c>
      <c r="Q523" s="512" t="s">
        <v>26</v>
      </c>
      <c r="R523" s="513"/>
      <c r="S523" s="514">
        <v>32</v>
      </c>
      <c r="T523" s="298" t="str">
        <f t="shared" si="18"/>
        <v>HSGE0232</v>
      </c>
      <c r="U523" s="514">
        <v>9260</v>
      </c>
    </row>
    <row r="524" spans="12:21" ht="16.5" hidden="1">
      <c r="L524" s="512" t="s">
        <v>720</v>
      </c>
      <c r="M524" s="512" t="s">
        <v>741</v>
      </c>
      <c r="N524" s="512" t="s">
        <v>721</v>
      </c>
      <c r="O524" s="513"/>
      <c r="P524" s="512" t="s">
        <v>721</v>
      </c>
      <c r="Q524" s="512" t="s">
        <v>26</v>
      </c>
      <c r="R524" s="513"/>
      <c r="S524" s="514">
        <v>33</v>
      </c>
      <c r="T524" s="298" t="str">
        <f t="shared" si="18"/>
        <v>HSGE0233</v>
      </c>
      <c r="U524" s="514">
        <v>9680</v>
      </c>
    </row>
    <row r="525" spans="12:21" ht="16.5" hidden="1">
      <c r="L525" s="512" t="s">
        <v>720</v>
      </c>
      <c r="M525" s="512" t="s">
        <v>741</v>
      </c>
      <c r="N525" s="512" t="s">
        <v>721</v>
      </c>
      <c r="O525" s="513"/>
      <c r="P525" s="512" t="s">
        <v>721</v>
      </c>
      <c r="Q525" s="512" t="s">
        <v>26</v>
      </c>
      <c r="R525" s="513"/>
      <c r="S525" s="514">
        <v>34</v>
      </c>
      <c r="T525" s="298" t="str">
        <f t="shared" si="18"/>
        <v>HSGE0234</v>
      </c>
      <c r="U525" s="514">
        <v>10117</v>
      </c>
    </row>
    <row r="526" spans="12:21" ht="16.5" hidden="1">
      <c r="L526" s="512" t="s">
        <v>720</v>
      </c>
      <c r="M526" s="512" t="s">
        <v>741</v>
      </c>
      <c r="N526" s="512" t="s">
        <v>721</v>
      </c>
      <c r="O526" s="513"/>
      <c r="P526" s="512" t="s">
        <v>721</v>
      </c>
      <c r="Q526" s="512" t="s">
        <v>26</v>
      </c>
      <c r="R526" s="513"/>
      <c r="S526" s="514">
        <v>35</v>
      </c>
      <c r="T526" s="298" t="str">
        <f t="shared" si="18"/>
        <v>HSGE0235</v>
      </c>
      <c r="U526" s="514">
        <v>10572</v>
      </c>
    </row>
    <row r="527" spans="12:21" ht="16.5" hidden="1">
      <c r="L527" s="512" t="s">
        <v>720</v>
      </c>
      <c r="M527" s="512" t="s">
        <v>741</v>
      </c>
      <c r="N527" s="512" t="s">
        <v>721</v>
      </c>
      <c r="O527" s="513"/>
      <c r="P527" s="512" t="s">
        <v>721</v>
      </c>
      <c r="Q527" s="512" t="s">
        <v>26</v>
      </c>
      <c r="R527" s="513"/>
      <c r="S527" s="514">
        <v>36</v>
      </c>
      <c r="T527" s="298" t="str">
        <f t="shared" si="18"/>
        <v>HSGE0236</v>
      </c>
      <c r="U527" s="514">
        <v>11043</v>
      </c>
    </row>
    <row r="528" spans="12:21" ht="16.5" hidden="1">
      <c r="L528" s="512" t="s">
        <v>720</v>
      </c>
      <c r="M528" s="512" t="s">
        <v>741</v>
      </c>
      <c r="N528" s="512" t="s">
        <v>721</v>
      </c>
      <c r="O528" s="513"/>
      <c r="P528" s="512" t="s">
        <v>721</v>
      </c>
      <c r="Q528" s="512" t="s">
        <v>26</v>
      </c>
      <c r="R528" s="513"/>
      <c r="S528" s="514">
        <v>37</v>
      </c>
      <c r="T528" s="298" t="str">
        <f t="shared" si="18"/>
        <v>HSGE0237</v>
      </c>
      <c r="U528" s="514">
        <v>11532</v>
      </c>
    </row>
    <row r="529" spans="12:21" ht="16.5" hidden="1">
      <c r="L529" s="512" t="s">
        <v>720</v>
      </c>
      <c r="M529" s="512" t="s">
        <v>741</v>
      </c>
      <c r="N529" s="512" t="s">
        <v>721</v>
      </c>
      <c r="O529" s="513"/>
      <c r="P529" s="512" t="s">
        <v>721</v>
      </c>
      <c r="Q529" s="512" t="s">
        <v>26</v>
      </c>
      <c r="R529" s="513"/>
      <c r="S529" s="514">
        <v>38</v>
      </c>
      <c r="T529" s="298" t="str">
        <f t="shared" si="18"/>
        <v>HSGE0238</v>
      </c>
      <c r="U529" s="514">
        <v>12040</v>
      </c>
    </row>
    <row r="530" spans="12:21" ht="16.5" hidden="1">
      <c r="L530" s="512" t="s">
        <v>720</v>
      </c>
      <c r="M530" s="512" t="s">
        <v>741</v>
      </c>
      <c r="N530" s="512" t="s">
        <v>721</v>
      </c>
      <c r="O530" s="513"/>
      <c r="P530" s="512" t="s">
        <v>721</v>
      </c>
      <c r="Q530" s="512" t="s">
        <v>26</v>
      </c>
      <c r="R530" s="513"/>
      <c r="S530" s="514">
        <v>39</v>
      </c>
      <c r="T530" s="298" t="str">
        <f t="shared" si="18"/>
        <v>HSGE0239</v>
      </c>
      <c r="U530" s="514">
        <v>12541</v>
      </c>
    </row>
    <row r="531" spans="12:21" ht="16.5" hidden="1">
      <c r="L531" s="512" t="s">
        <v>720</v>
      </c>
      <c r="M531" s="512" t="s">
        <v>741</v>
      </c>
      <c r="N531" s="512" t="s">
        <v>721</v>
      </c>
      <c r="O531" s="513"/>
      <c r="P531" s="512" t="s">
        <v>721</v>
      </c>
      <c r="Q531" s="512" t="s">
        <v>26</v>
      </c>
      <c r="R531" s="513"/>
      <c r="S531" s="514">
        <v>40</v>
      </c>
      <c r="T531" s="298" t="str">
        <f t="shared" si="18"/>
        <v>HSGE0240</v>
      </c>
      <c r="U531" s="514">
        <v>13034</v>
      </c>
    </row>
    <row r="532" spans="12:21" ht="16.5" hidden="1">
      <c r="L532" s="512" t="s">
        <v>720</v>
      </c>
      <c r="M532" s="512" t="s">
        <v>741</v>
      </c>
      <c r="N532" s="512" t="s">
        <v>721</v>
      </c>
      <c r="O532" s="513"/>
      <c r="P532" s="512" t="s">
        <v>721</v>
      </c>
      <c r="Q532" s="512" t="s">
        <v>26</v>
      </c>
      <c r="R532" s="513"/>
      <c r="S532" s="514">
        <v>41</v>
      </c>
      <c r="T532" s="298" t="str">
        <f t="shared" si="18"/>
        <v>HSGE0241</v>
      </c>
      <c r="U532" s="514">
        <v>13519</v>
      </c>
    </row>
    <row r="533" spans="12:21" ht="16.5" hidden="1">
      <c r="L533" s="512" t="s">
        <v>720</v>
      </c>
      <c r="M533" s="512" t="s">
        <v>741</v>
      </c>
      <c r="N533" s="512" t="s">
        <v>721</v>
      </c>
      <c r="O533" s="513"/>
      <c r="P533" s="512" t="s">
        <v>721</v>
      </c>
      <c r="Q533" s="512" t="s">
        <v>26</v>
      </c>
      <c r="R533" s="513"/>
      <c r="S533" s="514">
        <v>42</v>
      </c>
      <c r="T533" s="298" t="str">
        <f t="shared" si="18"/>
        <v>HSGE0242</v>
      </c>
      <c r="U533" s="514">
        <v>13997</v>
      </c>
    </row>
    <row r="534" spans="12:21" ht="16.5" hidden="1">
      <c r="L534" s="512" t="s">
        <v>720</v>
      </c>
      <c r="M534" s="512" t="s">
        <v>741</v>
      </c>
      <c r="N534" s="512" t="s">
        <v>721</v>
      </c>
      <c r="O534" s="513"/>
      <c r="P534" s="512" t="s">
        <v>721</v>
      </c>
      <c r="Q534" s="512" t="s">
        <v>26</v>
      </c>
      <c r="R534" s="513"/>
      <c r="S534" s="514">
        <v>43</v>
      </c>
      <c r="T534" s="298" t="str">
        <f t="shared" si="18"/>
        <v>HSGE0243</v>
      </c>
      <c r="U534" s="514">
        <v>14469</v>
      </c>
    </row>
    <row r="535" spans="12:21" ht="16.5" hidden="1">
      <c r="L535" s="512" t="s">
        <v>720</v>
      </c>
      <c r="M535" s="512" t="s">
        <v>741</v>
      </c>
      <c r="N535" s="512" t="s">
        <v>721</v>
      </c>
      <c r="O535" s="513"/>
      <c r="P535" s="512" t="s">
        <v>721</v>
      </c>
      <c r="Q535" s="512" t="s">
        <v>26</v>
      </c>
      <c r="R535" s="513"/>
      <c r="S535" s="514">
        <v>44</v>
      </c>
      <c r="T535" s="298" t="str">
        <f t="shared" si="18"/>
        <v>HSGE0244</v>
      </c>
      <c r="U535" s="514">
        <v>14924</v>
      </c>
    </row>
    <row r="536" spans="12:21" ht="16.5" hidden="1">
      <c r="L536" s="512" t="s">
        <v>720</v>
      </c>
      <c r="M536" s="512" t="s">
        <v>741</v>
      </c>
      <c r="N536" s="512" t="s">
        <v>721</v>
      </c>
      <c r="O536" s="513"/>
      <c r="P536" s="512" t="s">
        <v>721</v>
      </c>
      <c r="Q536" s="512" t="s">
        <v>26</v>
      </c>
      <c r="R536" s="513"/>
      <c r="S536" s="514">
        <v>45</v>
      </c>
      <c r="T536" s="298" t="str">
        <f t="shared" si="18"/>
        <v>HSGE0245</v>
      </c>
      <c r="U536" s="514">
        <v>15362</v>
      </c>
    </row>
    <row r="537" spans="12:21" ht="16.5" hidden="1">
      <c r="L537" s="512" t="s">
        <v>720</v>
      </c>
      <c r="M537" s="512" t="s">
        <v>741</v>
      </c>
      <c r="N537" s="512" t="s">
        <v>721</v>
      </c>
      <c r="O537" s="513"/>
      <c r="P537" s="512" t="s">
        <v>721</v>
      </c>
      <c r="Q537" s="512" t="s">
        <v>26</v>
      </c>
      <c r="R537" s="513"/>
      <c r="S537" s="514">
        <v>46</v>
      </c>
      <c r="T537" s="298" t="str">
        <f t="shared" si="18"/>
        <v>HSGE0246</v>
      </c>
      <c r="U537" s="514">
        <v>15782</v>
      </c>
    </row>
    <row r="538" spans="12:21" ht="16.5" hidden="1">
      <c r="L538" s="512" t="s">
        <v>720</v>
      </c>
      <c r="M538" s="512" t="s">
        <v>741</v>
      </c>
      <c r="N538" s="512" t="s">
        <v>721</v>
      </c>
      <c r="O538" s="513"/>
      <c r="P538" s="512" t="s">
        <v>721</v>
      </c>
      <c r="Q538" s="512" t="s">
        <v>26</v>
      </c>
      <c r="R538" s="513"/>
      <c r="S538" s="514">
        <v>47</v>
      </c>
      <c r="T538" s="298" t="str">
        <f t="shared" si="18"/>
        <v>HSGE0247</v>
      </c>
      <c r="U538" s="514">
        <v>16185</v>
      </c>
    </row>
    <row r="539" spans="12:21" ht="16.5" hidden="1">
      <c r="L539" s="512" t="s">
        <v>720</v>
      </c>
      <c r="M539" s="512" t="s">
        <v>741</v>
      </c>
      <c r="N539" s="512" t="s">
        <v>721</v>
      </c>
      <c r="O539" s="513"/>
      <c r="P539" s="512" t="s">
        <v>721</v>
      </c>
      <c r="Q539" s="512" t="s">
        <v>26</v>
      </c>
      <c r="R539" s="513"/>
      <c r="S539" s="514">
        <v>48</v>
      </c>
      <c r="T539" s="298" t="str">
        <f t="shared" si="18"/>
        <v>HSGE0248</v>
      </c>
      <c r="U539" s="514">
        <v>16567</v>
      </c>
    </row>
    <row r="540" spans="12:21" ht="16.5" hidden="1">
      <c r="L540" s="512" t="s">
        <v>720</v>
      </c>
      <c r="M540" s="512" t="s">
        <v>741</v>
      </c>
      <c r="N540" s="512" t="s">
        <v>721</v>
      </c>
      <c r="O540" s="513"/>
      <c r="P540" s="512" t="s">
        <v>721</v>
      </c>
      <c r="Q540" s="512" t="s">
        <v>26</v>
      </c>
      <c r="R540" s="513"/>
      <c r="S540" s="514">
        <v>49</v>
      </c>
      <c r="T540" s="298" t="str">
        <f t="shared" si="18"/>
        <v>HSGE0249</v>
      </c>
      <c r="U540" s="514">
        <v>16917</v>
      </c>
    </row>
    <row r="541" spans="12:21" ht="16.5" hidden="1">
      <c r="L541" s="512" t="s">
        <v>720</v>
      </c>
      <c r="M541" s="512" t="s">
        <v>741</v>
      </c>
      <c r="N541" s="512" t="s">
        <v>721</v>
      </c>
      <c r="O541" s="513"/>
      <c r="P541" s="512" t="s">
        <v>721</v>
      </c>
      <c r="Q541" s="512" t="s">
        <v>26</v>
      </c>
      <c r="R541" s="513"/>
      <c r="S541" s="514">
        <v>50</v>
      </c>
      <c r="T541" s="298" t="str">
        <f t="shared" si="18"/>
        <v>HSGE0250</v>
      </c>
      <c r="U541" s="514">
        <v>17234</v>
      </c>
    </row>
    <row r="542" spans="12:21" ht="16.5" hidden="1">
      <c r="L542" s="512" t="s">
        <v>720</v>
      </c>
      <c r="M542" s="512" t="s">
        <v>741</v>
      </c>
      <c r="N542" s="512" t="s">
        <v>721</v>
      </c>
      <c r="O542" s="513"/>
      <c r="P542" s="512" t="s">
        <v>721</v>
      </c>
      <c r="Q542" s="512" t="s">
        <v>26</v>
      </c>
      <c r="R542" s="513"/>
      <c r="S542" s="514">
        <v>51</v>
      </c>
      <c r="T542" s="298" t="str">
        <f t="shared" si="18"/>
        <v>HSGE0251</v>
      </c>
      <c r="U542" s="514">
        <v>17519</v>
      </c>
    </row>
    <row r="543" spans="12:21" ht="16.5" hidden="1">
      <c r="L543" s="512" t="s">
        <v>720</v>
      </c>
      <c r="M543" s="512" t="s">
        <v>741</v>
      </c>
      <c r="N543" s="512" t="s">
        <v>721</v>
      </c>
      <c r="O543" s="513"/>
      <c r="P543" s="512" t="s">
        <v>721</v>
      </c>
      <c r="Q543" s="512" t="s">
        <v>26</v>
      </c>
      <c r="R543" s="513"/>
      <c r="S543" s="514">
        <v>52</v>
      </c>
      <c r="T543" s="298" t="str">
        <f t="shared" si="18"/>
        <v>HSGE0252</v>
      </c>
      <c r="U543" s="514">
        <v>17770</v>
      </c>
    </row>
    <row r="544" spans="12:21" ht="16.5" hidden="1">
      <c r="L544" s="512" t="s">
        <v>720</v>
      </c>
      <c r="M544" s="512" t="s">
        <v>741</v>
      </c>
      <c r="N544" s="512" t="s">
        <v>721</v>
      </c>
      <c r="O544" s="513"/>
      <c r="P544" s="512" t="s">
        <v>721</v>
      </c>
      <c r="Q544" s="512" t="s">
        <v>26</v>
      </c>
      <c r="R544" s="513"/>
      <c r="S544" s="514">
        <v>53</v>
      </c>
      <c r="T544" s="298" t="str">
        <f t="shared" si="18"/>
        <v>HSGE0253</v>
      </c>
      <c r="U544" s="514">
        <v>17986</v>
      </c>
    </row>
    <row r="545" spans="12:21" ht="16.5" hidden="1">
      <c r="L545" s="512" t="s">
        <v>720</v>
      </c>
      <c r="M545" s="512" t="s">
        <v>741</v>
      </c>
      <c r="N545" s="512" t="s">
        <v>721</v>
      </c>
      <c r="O545" s="513"/>
      <c r="P545" s="512" t="s">
        <v>721</v>
      </c>
      <c r="Q545" s="512" t="s">
        <v>26</v>
      </c>
      <c r="R545" s="513"/>
      <c r="S545" s="514">
        <v>54</v>
      </c>
      <c r="T545" s="298" t="str">
        <f t="shared" si="18"/>
        <v>HSGE0254</v>
      </c>
      <c r="U545" s="514">
        <v>18253</v>
      </c>
    </row>
    <row r="546" spans="12:21" ht="16.5" hidden="1">
      <c r="L546" s="512" t="s">
        <v>720</v>
      </c>
      <c r="M546" s="512" t="s">
        <v>741</v>
      </c>
      <c r="N546" s="512" t="s">
        <v>721</v>
      </c>
      <c r="O546" s="513"/>
      <c r="P546" s="512" t="s">
        <v>721</v>
      </c>
      <c r="Q546" s="512" t="s">
        <v>26</v>
      </c>
      <c r="R546" s="513"/>
      <c r="S546" s="514">
        <v>55</v>
      </c>
      <c r="T546" s="298" t="str">
        <f t="shared" si="18"/>
        <v>HSGE0255</v>
      </c>
      <c r="U546" s="514">
        <v>18574</v>
      </c>
    </row>
    <row r="547" spans="12:21" ht="16.5" hidden="1">
      <c r="L547" s="512" t="s">
        <v>720</v>
      </c>
      <c r="M547" s="512" t="s">
        <v>741</v>
      </c>
      <c r="N547" s="512" t="s">
        <v>721</v>
      </c>
      <c r="O547" s="513"/>
      <c r="P547" s="512" t="s">
        <v>721</v>
      </c>
      <c r="Q547" s="512" t="s">
        <v>26</v>
      </c>
      <c r="R547" s="513"/>
      <c r="S547" s="514">
        <v>56</v>
      </c>
      <c r="T547" s="298" t="str">
        <f t="shared" si="18"/>
        <v>HSGE0256</v>
      </c>
      <c r="U547" s="514">
        <v>18947</v>
      </c>
    </row>
    <row r="548" spans="12:21" ht="16.5" hidden="1">
      <c r="L548" s="512" t="s">
        <v>720</v>
      </c>
      <c r="M548" s="512" t="s">
        <v>741</v>
      </c>
      <c r="N548" s="512" t="s">
        <v>721</v>
      </c>
      <c r="O548" s="513"/>
      <c r="P548" s="512" t="s">
        <v>721</v>
      </c>
      <c r="Q548" s="512" t="s">
        <v>26</v>
      </c>
      <c r="R548" s="513"/>
      <c r="S548" s="514">
        <v>57</v>
      </c>
      <c r="T548" s="298" t="str">
        <f t="shared" si="18"/>
        <v>HSGE0257</v>
      </c>
      <c r="U548" s="514">
        <v>19375</v>
      </c>
    </row>
    <row r="549" spans="12:21" ht="16.5" hidden="1">
      <c r="L549" s="512" t="s">
        <v>720</v>
      </c>
      <c r="M549" s="512" t="s">
        <v>741</v>
      </c>
      <c r="N549" s="512" t="s">
        <v>721</v>
      </c>
      <c r="O549" s="513"/>
      <c r="P549" s="512" t="s">
        <v>721</v>
      </c>
      <c r="Q549" s="512" t="s">
        <v>26</v>
      </c>
      <c r="R549" s="513"/>
      <c r="S549" s="514">
        <v>58</v>
      </c>
      <c r="T549" s="298" t="str">
        <f t="shared" si="18"/>
        <v>HSGE0258</v>
      </c>
      <c r="U549" s="514">
        <v>19854</v>
      </c>
    </row>
    <row r="550" spans="12:21" ht="16.5" hidden="1">
      <c r="L550" s="512" t="s">
        <v>720</v>
      </c>
      <c r="M550" s="512" t="s">
        <v>741</v>
      </c>
      <c r="N550" s="512" t="s">
        <v>721</v>
      </c>
      <c r="O550" s="513"/>
      <c r="P550" s="512" t="s">
        <v>721</v>
      </c>
      <c r="Q550" s="512" t="s">
        <v>26</v>
      </c>
      <c r="R550" s="513"/>
      <c r="S550" s="514">
        <v>59</v>
      </c>
      <c r="T550" s="298" t="str">
        <f t="shared" si="18"/>
        <v>HSGE0259</v>
      </c>
      <c r="U550" s="514">
        <v>20479</v>
      </c>
    </row>
    <row r="551" spans="12:21" ht="16.5" hidden="1">
      <c r="L551" s="512" t="s">
        <v>720</v>
      </c>
      <c r="M551" s="512" t="s">
        <v>741</v>
      </c>
      <c r="N551" s="512" t="s">
        <v>721</v>
      </c>
      <c r="O551" s="513"/>
      <c r="P551" s="512" t="s">
        <v>721</v>
      </c>
      <c r="Q551" s="512" t="s">
        <v>26</v>
      </c>
      <c r="R551" s="513"/>
      <c r="S551" s="514">
        <v>60</v>
      </c>
      <c r="T551" s="298" t="str">
        <f t="shared" si="18"/>
        <v>HSGE0260</v>
      </c>
      <c r="U551" s="514">
        <v>21257</v>
      </c>
    </row>
    <row r="552" spans="12:21" ht="16.5" hidden="1">
      <c r="L552" s="512" t="s">
        <v>720</v>
      </c>
      <c r="M552" s="512" t="s">
        <v>741</v>
      </c>
      <c r="N552" s="512" t="s">
        <v>721</v>
      </c>
      <c r="O552" s="513"/>
      <c r="P552" s="512" t="s">
        <v>721</v>
      </c>
      <c r="Q552" s="512" t="s">
        <v>26</v>
      </c>
      <c r="R552" s="513"/>
      <c r="S552" s="514">
        <v>61</v>
      </c>
      <c r="T552" s="298" t="str">
        <f t="shared" si="18"/>
        <v>HSGE0261</v>
      </c>
      <c r="U552" s="514">
        <v>22197</v>
      </c>
    </row>
    <row r="553" spans="12:21" ht="16.5" hidden="1">
      <c r="L553" s="512" t="s">
        <v>720</v>
      </c>
      <c r="M553" s="512" t="s">
        <v>741</v>
      </c>
      <c r="N553" s="512" t="s">
        <v>721</v>
      </c>
      <c r="O553" s="513"/>
      <c r="P553" s="512" t="s">
        <v>721</v>
      </c>
      <c r="Q553" s="512" t="s">
        <v>26</v>
      </c>
      <c r="R553" s="513"/>
      <c r="S553" s="514">
        <v>62</v>
      </c>
      <c r="T553" s="298" t="str">
        <f t="shared" si="18"/>
        <v>HSGE0262</v>
      </c>
      <c r="U553" s="514">
        <v>23306</v>
      </c>
    </row>
    <row r="554" spans="12:21" ht="16.5" hidden="1">
      <c r="L554" s="512" t="s">
        <v>720</v>
      </c>
      <c r="M554" s="512" t="s">
        <v>741</v>
      </c>
      <c r="N554" s="512" t="s">
        <v>721</v>
      </c>
      <c r="O554" s="513"/>
      <c r="P554" s="512" t="s">
        <v>721</v>
      </c>
      <c r="Q554" s="512" t="s">
        <v>26</v>
      </c>
      <c r="R554" s="513"/>
      <c r="S554" s="514">
        <v>63</v>
      </c>
      <c r="T554" s="298" t="str">
        <f t="shared" si="18"/>
        <v>HSGE0263</v>
      </c>
      <c r="U554" s="514">
        <v>24606</v>
      </c>
    </row>
    <row r="555" spans="12:21" ht="16.5" hidden="1">
      <c r="L555" s="512" t="s">
        <v>720</v>
      </c>
      <c r="M555" s="512" t="s">
        <v>741</v>
      </c>
      <c r="N555" s="512" t="s">
        <v>721</v>
      </c>
      <c r="O555" s="513"/>
      <c r="P555" s="512" t="s">
        <v>721</v>
      </c>
      <c r="Q555" s="512" t="s">
        <v>26</v>
      </c>
      <c r="R555" s="513"/>
      <c r="S555" s="514">
        <v>64</v>
      </c>
      <c r="T555" s="298" t="str">
        <f t="shared" si="18"/>
        <v>HSGE0264</v>
      </c>
      <c r="U555" s="514">
        <v>26087</v>
      </c>
    </row>
    <row r="556" spans="12:21" ht="16.5" hidden="1">
      <c r="L556" s="512" t="s">
        <v>720</v>
      </c>
      <c r="M556" s="512" t="s">
        <v>741</v>
      </c>
      <c r="N556" s="512" t="s">
        <v>721</v>
      </c>
      <c r="O556" s="513"/>
      <c r="P556" s="512" t="s">
        <v>721</v>
      </c>
      <c r="Q556" s="512" t="s">
        <v>26</v>
      </c>
      <c r="R556" s="513"/>
      <c r="S556" s="514">
        <v>65</v>
      </c>
      <c r="T556" s="298" t="str">
        <f t="shared" si="18"/>
        <v>HSGE0265</v>
      </c>
      <c r="U556" s="514">
        <v>27755</v>
      </c>
    </row>
    <row r="557" spans="12:21" ht="16.5" hidden="1">
      <c r="L557" s="512" t="s">
        <v>720</v>
      </c>
      <c r="M557" s="512" t="s">
        <v>741</v>
      </c>
      <c r="N557" s="512" t="s">
        <v>721</v>
      </c>
      <c r="O557" s="513"/>
      <c r="P557" s="512" t="s">
        <v>721</v>
      </c>
      <c r="Q557" s="512" t="s">
        <v>26</v>
      </c>
      <c r="R557" s="513"/>
      <c r="S557" s="514">
        <v>66</v>
      </c>
      <c r="T557" s="298" t="str">
        <f t="shared" si="18"/>
        <v>HSGE0266</v>
      </c>
      <c r="U557" s="514">
        <v>29618</v>
      </c>
    </row>
    <row r="558" spans="12:21" ht="16.5" hidden="1">
      <c r="L558" s="512" t="s">
        <v>720</v>
      </c>
      <c r="M558" s="512" t="s">
        <v>741</v>
      </c>
      <c r="N558" s="512" t="s">
        <v>721</v>
      </c>
      <c r="O558" s="513"/>
      <c r="P558" s="512" t="s">
        <v>721</v>
      </c>
      <c r="Q558" s="512" t="s">
        <v>26</v>
      </c>
      <c r="R558" s="513"/>
      <c r="S558" s="514">
        <v>67</v>
      </c>
      <c r="T558" s="298" t="str">
        <f t="shared" si="18"/>
        <v>HSGE0267</v>
      </c>
      <c r="U558" s="514">
        <v>31685</v>
      </c>
    </row>
    <row r="559" spans="12:21" ht="16.5" hidden="1">
      <c r="L559" s="512" t="s">
        <v>720</v>
      </c>
      <c r="M559" s="512" t="s">
        <v>741</v>
      </c>
      <c r="N559" s="512" t="s">
        <v>721</v>
      </c>
      <c r="O559" s="513"/>
      <c r="P559" s="512" t="s">
        <v>721</v>
      </c>
      <c r="Q559" s="512" t="s">
        <v>26</v>
      </c>
      <c r="R559" s="513"/>
      <c r="S559" s="514">
        <v>68</v>
      </c>
      <c r="T559" s="298" t="str">
        <f t="shared" si="18"/>
        <v>HSGE0268</v>
      </c>
      <c r="U559" s="514">
        <v>33969</v>
      </c>
    </row>
    <row r="560" spans="12:21" ht="16.5" hidden="1">
      <c r="L560" s="512" t="s">
        <v>720</v>
      </c>
      <c r="M560" s="512" t="s">
        <v>741</v>
      </c>
      <c r="N560" s="512" t="s">
        <v>721</v>
      </c>
      <c r="O560" s="513"/>
      <c r="P560" s="512" t="s">
        <v>721</v>
      </c>
      <c r="Q560" s="512" t="s">
        <v>26</v>
      </c>
      <c r="R560" s="513"/>
      <c r="S560" s="514">
        <v>69</v>
      </c>
      <c r="T560" s="298" t="str">
        <f t="shared" si="18"/>
        <v>HSGE0269</v>
      </c>
      <c r="U560" s="514">
        <v>36468</v>
      </c>
    </row>
    <row r="561" spans="12:21" ht="16.5" hidden="1">
      <c r="L561" s="512" t="s">
        <v>720</v>
      </c>
      <c r="M561" s="512" t="s">
        <v>741</v>
      </c>
      <c r="N561" s="512" t="s">
        <v>721</v>
      </c>
      <c r="O561" s="513"/>
      <c r="P561" s="512" t="s">
        <v>721</v>
      </c>
      <c r="Q561" s="512" t="s">
        <v>26</v>
      </c>
      <c r="R561" s="513"/>
      <c r="S561" s="514">
        <v>70</v>
      </c>
      <c r="T561" s="298" t="str">
        <f t="shared" si="18"/>
        <v>HSGE0270</v>
      </c>
      <c r="U561" s="514">
        <v>39192</v>
      </c>
    </row>
    <row r="562" spans="12:21" ht="16.5" hidden="1">
      <c r="L562" s="512" t="s">
        <v>720</v>
      </c>
      <c r="M562" s="512" t="s">
        <v>741</v>
      </c>
      <c r="N562" s="512" t="s">
        <v>721</v>
      </c>
      <c r="O562" s="513"/>
      <c r="P562" s="512" t="s">
        <v>721</v>
      </c>
      <c r="Q562" s="512" t="s">
        <v>26</v>
      </c>
      <c r="R562" s="513"/>
      <c r="S562" s="514">
        <v>71</v>
      </c>
      <c r="T562" s="298" t="str">
        <f t="shared" si="18"/>
        <v>HSGE0271</v>
      </c>
      <c r="U562" s="514">
        <v>42155</v>
      </c>
    </row>
    <row r="563" spans="12:21" ht="16.5" hidden="1">
      <c r="L563" s="512" t="s">
        <v>720</v>
      </c>
      <c r="M563" s="512" t="s">
        <v>741</v>
      </c>
      <c r="N563" s="512" t="s">
        <v>721</v>
      </c>
      <c r="O563" s="513"/>
      <c r="P563" s="512" t="s">
        <v>721</v>
      </c>
      <c r="Q563" s="512" t="s">
        <v>25</v>
      </c>
      <c r="R563" s="513"/>
      <c r="S563" s="514">
        <v>15</v>
      </c>
      <c r="T563" s="298" t="str">
        <f t="shared" si="18"/>
        <v>HSGE0115</v>
      </c>
      <c r="U563" s="514">
        <v>5200</v>
      </c>
    </row>
    <row r="564" spans="12:21" ht="16.5" hidden="1">
      <c r="L564" s="512" t="s">
        <v>720</v>
      </c>
      <c r="M564" s="512" t="s">
        <v>741</v>
      </c>
      <c r="N564" s="512" t="s">
        <v>721</v>
      </c>
      <c r="O564" s="513"/>
      <c r="P564" s="512" t="s">
        <v>721</v>
      </c>
      <c r="Q564" s="512" t="s">
        <v>25</v>
      </c>
      <c r="R564" s="513"/>
      <c r="S564" s="514">
        <v>16</v>
      </c>
      <c r="T564" s="298" t="str">
        <f t="shared" si="18"/>
        <v>HSGE0116</v>
      </c>
      <c r="U564" s="514">
        <v>5200</v>
      </c>
    </row>
    <row r="565" spans="12:21" ht="16.5" hidden="1">
      <c r="L565" s="512" t="s">
        <v>720</v>
      </c>
      <c r="M565" s="512" t="s">
        <v>741</v>
      </c>
      <c r="N565" s="512" t="s">
        <v>721</v>
      </c>
      <c r="O565" s="513"/>
      <c r="P565" s="512" t="s">
        <v>721</v>
      </c>
      <c r="Q565" s="512" t="s">
        <v>25</v>
      </c>
      <c r="R565" s="513"/>
      <c r="S565" s="514">
        <v>17</v>
      </c>
      <c r="T565" s="298" t="str">
        <f t="shared" si="18"/>
        <v>HSGE0117</v>
      </c>
      <c r="U565" s="514">
        <v>5200</v>
      </c>
    </row>
    <row r="566" spans="12:21" ht="16.5" hidden="1">
      <c r="L566" s="512" t="s">
        <v>720</v>
      </c>
      <c r="M566" s="512" t="s">
        <v>741</v>
      </c>
      <c r="N566" s="512" t="s">
        <v>721</v>
      </c>
      <c r="O566" s="513"/>
      <c r="P566" s="512" t="s">
        <v>721</v>
      </c>
      <c r="Q566" s="512" t="s">
        <v>25</v>
      </c>
      <c r="R566" s="513"/>
      <c r="S566" s="514">
        <v>18</v>
      </c>
      <c r="T566" s="298" t="str">
        <f t="shared" si="18"/>
        <v>HSGE0118</v>
      </c>
      <c r="U566" s="514">
        <v>5200</v>
      </c>
    </row>
    <row r="567" spans="12:21" ht="16.5" hidden="1">
      <c r="L567" s="512" t="s">
        <v>720</v>
      </c>
      <c r="M567" s="512" t="s">
        <v>741</v>
      </c>
      <c r="N567" s="512" t="s">
        <v>721</v>
      </c>
      <c r="O567" s="513"/>
      <c r="P567" s="512" t="s">
        <v>721</v>
      </c>
      <c r="Q567" s="512" t="s">
        <v>25</v>
      </c>
      <c r="R567" s="513"/>
      <c r="S567" s="514">
        <v>19</v>
      </c>
      <c r="T567" s="298" t="str">
        <f t="shared" si="18"/>
        <v>HSGE0119</v>
      </c>
      <c r="U567" s="514">
        <v>5229</v>
      </c>
    </row>
    <row r="568" spans="12:21" ht="16.5" hidden="1">
      <c r="L568" s="512" t="s">
        <v>720</v>
      </c>
      <c r="M568" s="512" t="s">
        <v>741</v>
      </c>
      <c r="N568" s="512" t="s">
        <v>721</v>
      </c>
      <c r="O568" s="513"/>
      <c r="P568" s="512" t="s">
        <v>721</v>
      </c>
      <c r="Q568" s="512" t="s">
        <v>26</v>
      </c>
      <c r="R568" s="513"/>
      <c r="S568" s="514">
        <v>15</v>
      </c>
      <c r="T568" s="298" t="str">
        <f t="shared" si="18"/>
        <v>HSGE0215</v>
      </c>
      <c r="U568" s="514">
        <v>6326</v>
      </c>
    </row>
    <row r="569" spans="12:21" ht="16.5" hidden="1">
      <c r="L569" s="512" t="s">
        <v>720</v>
      </c>
      <c r="M569" s="512" t="s">
        <v>741</v>
      </c>
      <c r="N569" s="512" t="s">
        <v>721</v>
      </c>
      <c r="O569" s="513"/>
      <c r="P569" s="512" t="s">
        <v>721</v>
      </c>
      <c r="Q569" s="512" t="s">
        <v>26</v>
      </c>
      <c r="R569" s="513"/>
      <c r="S569" s="514">
        <v>16</v>
      </c>
      <c r="T569" s="298" t="str">
        <f t="shared" si="18"/>
        <v>HSGE0216</v>
      </c>
      <c r="U569" s="514">
        <v>6326</v>
      </c>
    </row>
    <row r="570" spans="12:21" ht="16.5" hidden="1">
      <c r="L570" s="512" t="s">
        <v>720</v>
      </c>
      <c r="M570" s="512" t="s">
        <v>741</v>
      </c>
      <c r="N570" s="512" t="s">
        <v>721</v>
      </c>
      <c r="O570" s="513"/>
      <c r="P570" s="512" t="s">
        <v>721</v>
      </c>
      <c r="Q570" s="512" t="s">
        <v>26</v>
      </c>
      <c r="R570" s="513"/>
      <c r="S570" s="514">
        <v>17</v>
      </c>
      <c r="T570" s="298" t="str">
        <f t="shared" si="18"/>
        <v>HSGE0217</v>
      </c>
      <c r="U570" s="514">
        <v>6326</v>
      </c>
    </row>
    <row r="571" spans="12:21" ht="16.5" hidden="1">
      <c r="L571" s="512" t="s">
        <v>720</v>
      </c>
      <c r="M571" s="512" t="s">
        <v>741</v>
      </c>
      <c r="N571" s="512" t="s">
        <v>721</v>
      </c>
      <c r="O571" s="513"/>
      <c r="P571" s="512" t="s">
        <v>721</v>
      </c>
      <c r="Q571" s="512" t="s">
        <v>26</v>
      </c>
      <c r="R571" s="513"/>
      <c r="S571" s="514">
        <v>18</v>
      </c>
      <c r="T571" s="298" t="str">
        <f t="shared" si="18"/>
        <v>HSGE0218</v>
      </c>
      <c r="U571" s="514">
        <v>6326</v>
      </c>
    </row>
    <row r="572" spans="12:21" ht="16.5" hidden="1">
      <c r="L572" s="512" t="s">
        <v>720</v>
      </c>
      <c r="M572" s="512" t="s">
        <v>741</v>
      </c>
      <c r="N572" s="512" t="s">
        <v>721</v>
      </c>
      <c r="O572" s="513"/>
      <c r="P572" s="512" t="s">
        <v>721</v>
      </c>
      <c r="Q572" s="512" t="s">
        <v>26</v>
      </c>
      <c r="R572" s="513"/>
      <c r="S572" s="514">
        <v>19</v>
      </c>
      <c r="T572" s="298" t="str">
        <f t="shared" si="18"/>
        <v>HSGE0219</v>
      </c>
      <c r="U572" s="514">
        <v>6329</v>
      </c>
    </row>
    <row r="573" spans="12:21" ht="16.5" hidden="1">
      <c r="L573" s="506" t="s">
        <v>720</v>
      </c>
      <c r="M573" s="506" t="s">
        <v>842</v>
      </c>
      <c r="N573" s="506" t="s">
        <v>721</v>
      </c>
      <c r="O573" s="507"/>
      <c r="P573" s="506" t="s">
        <v>721</v>
      </c>
      <c r="Q573" s="506" t="s">
        <v>26</v>
      </c>
      <c r="R573" s="507"/>
      <c r="S573" s="508">
        <v>71</v>
      </c>
      <c r="T573" s="298" t="str">
        <f t="shared" si="18"/>
        <v>末0271</v>
      </c>
      <c r="U573" s="508">
        <v>0</v>
      </c>
    </row>
  </sheetData>
  <sheetProtection algorithmName="SHA-512" hashValue="tZE2OEmoEduHGljZm0l8kfktyItUicA12F7e/dS8raFT/QbRdVwfcjUn9nInZnp0pM/ixpBbKyi1/2Pts87iRw==" saltValue="tv4hggX9mGMGwmGYUFiq1w==" spinCount="100000" sheet="1" objects="1" scenarios="1"/>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AK122"/>
  <sheetViews>
    <sheetView topLeftCell="XFD1048576" workbookViewId="0"/>
  </sheetViews>
  <sheetFormatPr defaultColWidth="0" defaultRowHeight="14.25" zeroHeight="1"/>
  <cols>
    <col min="1" max="2" width="9.33203125" hidden="1"/>
    <col min="3" max="3" width="16.1640625" hidden="1"/>
    <col min="4" max="4" width="11.83203125" hidden="1"/>
    <col min="5" max="5" width="12.33203125" hidden="1"/>
    <col min="6" max="6" width="13" hidden="1"/>
    <col min="7" max="7" width="13.5" hidden="1"/>
    <col min="8" max="8" width="18.1640625" hidden="1"/>
    <col min="9" max="9" width="14.83203125" hidden="1"/>
    <col min="10" max="10" width="20.1640625" hidden="1"/>
    <col min="11" max="11" width="16.5" hidden="1"/>
    <col min="12" max="12" width="18" hidden="1"/>
    <col min="13" max="13" width="18.5" hidden="1"/>
    <col min="14" max="14" width="28.83203125" hidden="1"/>
    <col min="15" max="15" width="33.6640625" hidden="1"/>
    <col min="16" max="16" width="13.6640625" hidden="1"/>
    <col min="17" max="18" width="9.33203125" hidden="1"/>
    <col min="19" max="24" width="13.5" hidden="1"/>
    <col min="25" max="25" width="13.6640625" hidden="1"/>
    <col min="26" max="26" width="40.1640625" hidden="1"/>
    <col min="27" max="27" width="22" hidden="1"/>
    <col min="28" max="28" width="13" hidden="1"/>
    <col min="29" max="29" width="16.83203125" hidden="1"/>
    <col min="30" max="30" width="13.1640625" hidden="1"/>
    <col min="31" max="31" width="15.1640625" hidden="1"/>
    <col min="32" max="32" width="16.33203125" hidden="1"/>
    <col min="33" max="33" width="19.1640625" hidden="1"/>
    <col min="34" max="34" width="9.33203125" hidden="1"/>
    <col min="35" max="35" width="36.5" hidden="1"/>
    <col min="36" max="36" width="13.1640625" hidden="1"/>
    <col min="37" max="16384" width="9.33203125" hidden="1"/>
  </cols>
  <sheetData>
    <row r="1" spans="1:37" ht="16.5" hidden="1">
      <c r="G1" t="s">
        <v>1036</v>
      </c>
      <c r="H1" t="str">
        <f ca="1">IF(AND(OP!$D$53&lt;&gt;1,'OP1'!$D$53&lt;&gt;1),"(2)~(5)",IF(OP!$D$53&lt;&gt;1,"(2)~(4)","(5)"))</f>
        <v>(2)~(5)</v>
      </c>
      <c r="V1" s="300" t="s">
        <v>801</v>
      </c>
      <c r="W1" s="300">
        <f>VLOOKUP(輸入頁!$O$9,Total!$V$2:$W$6,2,0)</f>
        <v>1</v>
      </c>
      <c r="Z1" s="382"/>
      <c r="AA1" s="300" t="s">
        <v>956</v>
      </c>
      <c r="AB1" s="300" t="s">
        <v>776</v>
      </c>
      <c r="AC1" s="300" t="s">
        <v>778</v>
      </c>
      <c r="AI1" s="157"/>
      <c r="AJ1" s="613"/>
      <c r="AK1" s="101"/>
    </row>
    <row r="2" spans="1:37" ht="16.5" hidden="1">
      <c r="A2" s="68"/>
      <c r="B2" s="70"/>
      <c r="C2" s="70"/>
      <c r="D2" s="68"/>
      <c r="E2" s="68"/>
      <c r="F2" s="68"/>
      <c r="G2" s="68"/>
      <c r="H2" s="68"/>
      <c r="I2" s="68"/>
      <c r="J2" s="68"/>
      <c r="K2" s="68"/>
      <c r="L2" s="68"/>
      <c r="M2" s="68"/>
      <c r="N2" s="68"/>
      <c r="O2" s="68"/>
      <c r="V2" s="300" t="s">
        <v>802</v>
      </c>
      <c r="W2" s="300">
        <v>1</v>
      </c>
      <c r="Z2" s="300" t="s">
        <v>777</v>
      </c>
      <c r="AA2" s="300" t="str">
        <f ca="1">IF(AND(OP!$D$53="",'OP1'!$D$53=""),"(AIJ/SWUC)",IF(OP!$D$53=1,"(SWUC)","(AIJ)"))</f>
        <v>(AIJ/SWUC)</v>
      </c>
      <c r="AB2" s="300" t="str">
        <f ca="1">IF(AND(OP!$D$53="",'OP1'!$D$53=""),IF(ROP!$C$33=1,"(AIJ/SWUC)","(AIJ/SWUC/
AOR)"),IF(OP!$D$53=1,IF(ROP!$C$33=1,"(SWUC)","(SWUC/AOR)"),IF(ROP!$C$33=1,"(AIJ)","(AIJ/AOR)")))</f>
        <v>(AIJ/SWUC)</v>
      </c>
      <c r="AC2" s="300" t="str">
        <f ca="1">IF(AND(ROP!$C$33=1,ROP!$D$33=1,ROP!$E$33=1,ROP!$F$33=1,ROP!$G$33=1),"","(含主附約)")</f>
        <v/>
      </c>
      <c r="AI2" s="178"/>
      <c r="AJ2" s="614"/>
      <c r="AK2" s="180"/>
    </row>
    <row r="3" spans="1:37" ht="16.5" hidden="1">
      <c r="A3" s="68"/>
      <c r="B3" s="300">
        <v>1</v>
      </c>
      <c r="C3" s="300" t="str">
        <f ca="1">'OP1'!$D$53</f>
        <v/>
      </c>
      <c r="D3" s="300"/>
      <c r="G3" s="68"/>
      <c r="H3" s="68"/>
      <c r="I3" s="68"/>
      <c r="J3" s="68"/>
      <c r="K3" s="68"/>
      <c r="L3" s="68"/>
      <c r="M3" s="68"/>
      <c r="N3" s="68"/>
      <c r="O3" s="68"/>
      <c r="V3" s="300" t="s">
        <v>803</v>
      </c>
      <c r="W3" s="300">
        <v>2</v>
      </c>
      <c r="AI3" s="615"/>
      <c r="AJ3" s="614"/>
      <c r="AK3" s="180"/>
    </row>
    <row r="4" spans="1:37" ht="16.5" hidden="1">
      <c r="A4" s="68"/>
      <c r="B4" s="300">
        <v>2</v>
      </c>
      <c r="C4" s="300" t="str">
        <f ca="1">OP!$D$53</f>
        <v/>
      </c>
      <c r="D4" s="301" t="str">
        <f ca="1">IF(COUNT($C$3:$C$4)&gt;1,1,"")</f>
        <v/>
      </c>
      <c r="E4" s="385" t="str">
        <f ca="1">IF(OR($D$4=1,$AA$9=1),1,"")</f>
        <v/>
      </c>
      <c r="G4" s="68"/>
      <c r="H4" s="68"/>
      <c r="I4" s="68"/>
      <c r="J4" s="68"/>
      <c r="K4" s="68"/>
      <c r="L4" s="68"/>
      <c r="M4" s="68"/>
      <c r="N4" s="68"/>
      <c r="O4" s="68"/>
      <c r="V4" s="300" t="s">
        <v>804</v>
      </c>
      <c r="W4" s="300">
        <v>3</v>
      </c>
      <c r="Z4" s="300" t="s">
        <v>797</v>
      </c>
      <c r="AA4" s="300" t="s">
        <v>796</v>
      </c>
      <c r="AB4" s="300"/>
      <c r="AC4" s="300"/>
      <c r="AD4" s="300"/>
      <c r="AI4" s="91"/>
      <c r="AJ4" s="616"/>
      <c r="AK4" s="180"/>
    </row>
    <row r="5" spans="1:37" ht="16.5" hidden="1">
      <c r="A5" s="68"/>
      <c r="B5" s="180"/>
      <c r="C5" s="180"/>
      <c r="D5" s="320"/>
      <c r="G5" s="68"/>
      <c r="H5" s="68"/>
      <c r="I5" s="68"/>
      <c r="J5" s="68"/>
      <c r="K5" s="68"/>
      <c r="L5" s="68"/>
      <c r="M5" s="68"/>
      <c r="N5" s="68"/>
      <c r="O5" s="68"/>
      <c r="V5" s="300" t="s">
        <v>805</v>
      </c>
      <c r="W5" s="300">
        <v>4</v>
      </c>
      <c r="Z5" s="302">
        <f ca="1">$E$7+$E$8</f>
        <v>100</v>
      </c>
      <c r="AA5" s="300" t="str">
        <f>ROP!$D$23</f>
        <v/>
      </c>
      <c r="AB5" s="300" t="str">
        <f>ROP!$E$23</f>
        <v>HNR</v>
      </c>
      <c r="AC5" s="300" t="str">
        <f>ROP!$F$23</f>
        <v>HOR</v>
      </c>
      <c r="AD5" s="300" t="str">
        <f>$AA$5&amp;"/"&amp;$AC$5</f>
        <v>/HOR</v>
      </c>
    </row>
    <row r="6" spans="1:37" ht="16.5" hidden="1">
      <c r="A6" s="68"/>
      <c r="B6">
        <v>1</v>
      </c>
      <c r="C6" t="s">
        <v>680</v>
      </c>
      <c r="D6" s="180" t="s">
        <v>679</v>
      </c>
      <c r="E6" s="320" t="s">
        <v>678</v>
      </c>
      <c r="F6" s="320" t="s">
        <v>677</v>
      </c>
      <c r="G6" s="302" t="s">
        <v>681</v>
      </c>
      <c r="H6" s="302" t="s">
        <v>682</v>
      </c>
      <c r="I6" s="302" t="s">
        <v>683</v>
      </c>
      <c r="J6" s="302" t="s">
        <v>684</v>
      </c>
      <c r="K6" s="302" t="s">
        <v>685</v>
      </c>
      <c r="L6" s="302" t="s">
        <v>686</v>
      </c>
      <c r="M6" s="302" t="s">
        <v>687</v>
      </c>
      <c r="N6" s="302" t="s">
        <v>688</v>
      </c>
      <c r="O6" s="302" t="s">
        <v>689</v>
      </c>
      <c r="P6" s="379" t="s">
        <v>785</v>
      </c>
      <c r="V6" s="300" t="s">
        <v>806</v>
      </c>
      <c r="W6" s="300">
        <v>5</v>
      </c>
      <c r="Z6" s="300"/>
      <c r="AA6" s="300">
        <f>IF(ROP!$C$56="",0,ROP!$C$56)</f>
        <v>0</v>
      </c>
      <c r="AB6" s="300">
        <f>輸入頁!$J$67</f>
        <v>0</v>
      </c>
      <c r="AC6" s="300">
        <f ca="1">IF(ROP!$D$79="",0,ROP!$D$79)</f>
        <v>0</v>
      </c>
      <c r="AD6" s="300">
        <f ca="1">$AA$6+$AB$6+$AC$6</f>
        <v>0</v>
      </c>
    </row>
    <row r="7" spans="1:37" ht="42.75" hidden="1">
      <c r="A7" s="68"/>
      <c r="B7" s="300">
        <f ca="1">IF(C7&lt;&gt;"",1,"")</f>
        <v>1</v>
      </c>
      <c r="C7" s="300" t="str">
        <f ca="1">IF($C$3=1,"",'OP1'!$C$23)</f>
        <v>富邦人壽家有醫寶重大傷病定期健康保險(V1)</v>
      </c>
      <c r="D7" s="300" t="str">
        <f ca="1">IF($C$3=1,"",'OP1'!$C$22)</f>
        <v>SWUC</v>
      </c>
      <c r="E7" s="302">
        <f ca="1">IF($C$3=1,0,'OP1'!$C$28)</f>
        <v>50</v>
      </c>
      <c r="F7" s="302" t="str">
        <f ca="1">IF($C$3=1,"",'OP1'!$C$32)</f>
        <v>年繳</v>
      </c>
      <c r="G7" s="302">
        <f ca="1">IF($C$3=1,"",'OP1'!$C$35)</f>
        <v>5300</v>
      </c>
      <c r="H7" s="302" t="str">
        <f>'OP1'!$C$32&amp;"總保費："</f>
        <v>年繳總保費：</v>
      </c>
      <c r="I7" s="302">
        <f ca="1">'OP1'!$C$35+IF(ROP!$C$22="SWUC",ROP!$C$44,0)+IF(ROP!D$22="SWUC",ROP!$D$44,0)+IF(ROP!$E$22="SWUC",ROP!$E$44,0)+IF(ROP!$F$22="SWUC",ROP!$F$44,0)+IF(ROP!$G$22="SWUC",ROP!$G$44,0)</f>
        <v>5300</v>
      </c>
      <c r="J7" s="302" t="str">
        <f>IF('OP1'!$C$46&gt;0,"折扣後","")&amp;"首期總保費："</f>
        <v>折扣後首期總保費：</v>
      </c>
      <c r="K7" s="302">
        <f ca="1">'OP1'!$C$48+IF(ROP!$C$22="SWUC",ROP!$C$49,0)+IF(ROP!D$22="SWUC",ROP!$D$49,0)+IF(ROP!$E$22="SWUC",ROP!$E$49,0)+IF(ROP!$F$22="SWUC",ROP!$F$49,0)+IF(ROP!$G$22="SWUC",ROP!$G$49,0)</f>
        <v>5247</v>
      </c>
      <c r="L7" s="302" t="str">
        <f>IF('OP1'!$C$47&gt;0,"折扣後","")&amp;"續期總保費："</f>
        <v>折扣後續期總保費：</v>
      </c>
      <c r="M7" s="302">
        <f ca="1">'OP1'!$C$49+IF(ROP!$C$22="SWUC",ROP!$C$50,0)+IF(ROP!D$22="SWUC",ROP!$D$50,0)+IF(ROP!$E$22="SWUC",ROP!$E$50,0)+IF(ROP!$F$22="SWUC",ROP!$F$50,0)+IF(ROP!$G$22="SWUC",ROP!$G$50,0)</f>
        <v>5247</v>
      </c>
      <c r="N7" s="302" t="str">
        <f ca="1">IF(OR('OP1'!$D$53=1,AND('OP1'!$C$46&lt;=0,'OP1'!$C$47&lt;=0)),"","如符合本公司規定之保費折扣者：主約SWUC"&amp;'OP1'!K9&amp;IF(OR(ROP!$L$35&gt;0,ROP!$M$35&gt;0),"附約"&amp;ROP!$N$35,""))</f>
        <v>如符合本公司規定之保費折扣者：主約SWUC首、續期繳費方式 1%折扣。</v>
      </c>
      <c r="O7" s="302" t="str">
        <f ca="1">IF('OP1'!$D$53=1,"",$P$7&amp; $H7&amp;TEXT($I7,"#,##0 元")&amp;"，"&amp; $J7&amp;TEXT($K7,"#,##0 元 ")&amp;"，"&amp; $L7&amp;TEXT($M7,"#,##0 元 ")&amp;"。")</f>
        <v>SWUC主約年繳總保費：5,300 元，折扣後首期總保費：5,247 元 ，折扣後續期總保費：5,247 元 。</v>
      </c>
      <c r="P7" s="300" t="str">
        <f ca="1">IF(OR(AND(ROP!$C$22="SWUC",ROP!$C$33=""),AND(ROP!$D$22="SWUC",ROP!$D$33=""),AND(ROP!$E$22="SWUC",ROP!$E$33=""),AND(ROP!$F$22="SWUC",ROP!$F$33=""),AND(ROP!$G$22="SWUC",ROP!$G$33="")),"SWUC主附約","SWUC主約")</f>
        <v>SWUC主約</v>
      </c>
      <c r="Z7" s="560" t="s">
        <v>1093</v>
      </c>
      <c r="AA7" s="300">
        <f ca="1">IF(OR(AND($W$1=1,$Z$5&lt;100,$AD$6&gt;4000),AND($W$1=1,$Z$5&gt;=100,$Z$5&lt;=200,$AD$6&gt;5000),AND($W$1=1,$Z$5&gt;200,$AD$6&gt;8000)),2,IF(AND($W$1&lt;&gt;1,$AD$6&gt;4000,$Z$5&lt;=200),1,0))</f>
        <v>0</v>
      </c>
      <c r="AB7" s="300" t="str">
        <f ca="1">IF($AA$7=1,"累計壽險保額&lt;=200萬，其投保醫療險附約("&amp; $AD$5&amp;")累計最高住院醫療日額不得大於新臺幣4,000元",IF($AA$7=2,"一般身份累計壽險保額"&amp;IF(Z5&lt;100,"&lt;","&gt;=100萬且&lt;=")&amp;IF(Z5&lt;100,100,200)&amp;"萬，其投保醫療險附約("&amp; $AD$5&amp;")累計最高住院醫療日額不得大於新臺幣"&amp;IF($Z$5&lt;100,"4,000","5,000")&amp;"元",""))</f>
        <v/>
      </c>
      <c r="AC7" s="300"/>
      <c r="AD7" s="300"/>
    </row>
    <row r="8" spans="1:37" ht="16.5" hidden="1">
      <c r="A8" s="68"/>
      <c r="B8" s="300">
        <f ca="1">IF(C8="","",MAX(B$7:$B7)+1)</f>
        <v>2</v>
      </c>
      <c r="C8" s="300" t="str">
        <f ca="1">IF($C$4=1,"",OP!$C$23)</f>
        <v>富邦人壽安心好漾定期保險</v>
      </c>
      <c r="D8" s="300" t="str">
        <f ca="1">IF($C$4=1,"",OP!$C$22)</f>
        <v>AIJ</v>
      </c>
      <c r="E8" s="302">
        <f ca="1">IF($C$4=1,0,OP!$C$28)</f>
        <v>50</v>
      </c>
      <c r="F8" s="302" t="str">
        <f ca="1">IF($C$4=1,"",OP!$C$32)</f>
        <v>年繳</v>
      </c>
      <c r="G8" s="302">
        <f ca="1">IF($C$4=1,"",OP!$C$35)</f>
        <v>3550</v>
      </c>
      <c r="H8" s="302" t="str">
        <f>OP!$C$32&amp;"總保費："</f>
        <v>年繳總保費：</v>
      </c>
      <c r="I8" s="302">
        <f ca="1">OP!$C$35+IF(ROP!$C$22="AIJ",ROP!$C$44,0)+IF(ROP!D$22="AIJ",ROP!$D$44,0)+IF(ROP!$E$22="AIJ",ROP!$E$44,0)+IF(ROP!$F$22="AIJ",ROP!$F$44,0)+IF(ROP!$G$22="AIJ",ROP!$G$44,0)</f>
        <v>3550</v>
      </c>
      <c r="J8" s="302" t="str">
        <f>IF(OP!$C$46&gt;0,"折扣後","")&amp;"首期總保費："</f>
        <v>折扣後首期總保費：</v>
      </c>
      <c r="K8" s="302">
        <f ca="1">OP!$C$48+IF(ROP!$C$22="AIJ",ROP!$C$49,0)+IF(ROP!D$22="AIJ",ROP!$D$49,0)+IF(ROP!$E$22="AIJ",ROP!$E$49,0)+IF(ROP!$F$22="AIJ",ROP!$F$49,0)+IF(ROP!$G$22="AIJ",ROP!$G$49,0)</f>
        <v>3515</v>
      </c>
      <c r="L8" s="302" t="str">
        <f>IF(OP!$C$47&gt;0,"折扣後","")&amp;"續期總保費："</f>
        <v>折扣後續期總保費：</v>
      </c>
      <c r="M8" s="302">
        <f ca="1">OP!$C$49+IF(ROP!$C$22="AIJ",ROP!$C$50,0)+IF(ROP!D$22="AIJ",ROP!$D$50,0)+IF(ROP!$E$22="AIJ",ROP!$E$50,0)+IF(ROP!$F$22="AIJ",ROP!$F$50,0)+IF(ROP!$G$22="AIJ",ROP!$G$50,0)</f>
        <v>3515</v>
      </c>
      <c r="N8" s="302" t="str">
        <f ca="1">IF(OR(OP!$D$53=1,AND(OP!$C$46&lt;=0,OP!$C$47&lt;=0)),"","如符合本公司規定之保費折扣者：主約AIJ"&amp;OP!K9&amp;IF(OR(ROP!$L$34&gt;0,ROP!$M$34&gt;0),"附約"&amp;ROP!$N$34,""))</f>
        <v>如符合本公司規定之保費折扣者：主約AIJ首、續期繳費方式 1%折扣。</v>
      </c>
      <c r="O8" s="302" t="str">
        <f ca="1">IF(OP!$D$53=1,"",$P$8&amp; $H8&amp;TEXT($I8,"#,##0 元")&amp;"，"&amp; $J8&amp;TEXT($K8,"#,##0 元 ")&amp;"，"&amp; $L8&amp;TEXT($M8,"#,##0 元 ")&amp;"。")</f>
        <v>AIJ主約年繳總保費：3,550 元，折扣後首期總保費：3,515 元 ，折扣後續期總保費：3,515 元 。</v>
      </c>
      <c r="P8" s="300" t="str">
        <f ca="1">IF(OR(AND(ROP!$C$22="AIJ",ROP!$C$33=""),AND(ROP!$D$22="AIJ",ROP!$D$33=""),AND(ROP!$E$22="AIJ",ROP!$E$33=""),AND(ROP!$F$22="AIJ",ROP!$F$33=""),AND(ROP!$G$22="AIJ",ROP!$G$33="")),"AIJ主附約","AIJ主約")</f>
        <v>AIJ主約</v>
      </c>
      <c r="Z8" s="300" t="s">
        <v>807</v>
      </c>
      <c r="AA8" s="300">
        <f ca="1">IF(AND($AD$6&gt;6000,W1&gt;1),1,0)</f>
        <v>0</v>
      </c>
      <c r="AB8" s="300" t="str">
        <f ca="1">IF($AA$8=1,"身分為"&amp;輸入頁!$O$9 &amp;"，其投保醫療險附約("&amp; $AD$5&amp;")累計最高住院醫療日額不得大於新臺幣6,000元。","")</f>
        <v/>
      </c>
      <c r="AC8" s="300"/>
      <c r="AD8" s="300"/>
    </row>
    <row r="9" spans="1:37" ht="16.5" hidden="1">
      <c r="A9" s="68"/>
      <c r="B9" s="180"/>
      <c r="C9" s="70"/>
      <c r="D9" s="68"/>
      <c r="E9" s="68"/>
      <c r="F9" s="68"/>
      <c r="G9" s="68"/>
      <c r="H9" s="68"/>
      <c r="I9" s="68"/>
      <c r="J9" s="68"/>
      <c r="K9" s="68"/>
      <c r="L9" s="68"/>
      <c r="M9" s="68"/>
      <c r="N9" s="68"/>
      <c r="O9" s="68"/>
      <c r="Z9" s="300" t="s">
        <v>808</v>
      </c>
      <c r="AA9" s="300">
        <f ca="1">AA7+AA8</f>
        <v>0</v>
      </c>
      <c r="AB9" s="300" t="str">
        <f ca="1">IF(AA7&gt;=1,AB7,IF(AA8=1,AB8,""))</f>
        <v/>
      </c>
      <c r="AC9" s="300"/>
      <c r="AD9" s="300"/>
    </row>
    <row r="10" spans="1:37" ht="16.5" hidden="1">
      <c r="A10" s="68"/>
      <c r="B10" s="62" t="s">
        <v>623</v>
      </c>
      <c r="C10" s="70"/>
      <c r="D10" s="68"/>
      <c r="E10" s="68"/>
      <c r="F10" s="68"/>
      <c r="G10" s="68"/>
      <c r="H10" s="68"/>
      <c r="I10" s="68"/>
      <c r="J10" s="68"/>
      <c r="K10" s="68"/>
      <c r="L10" s="68"/>
      <c r="M10" s="68"/>
      <c r="N10" s="68"/>
      <c r="O10" s="68"/>
    </row>
    <row r="11" spans="1:37" ht="16.5" hidden="1">
      <c r="A11" s="68"/>
      <c r="B11" s="62" t="s">
        <v>622</v>
      </c>
      <c r="C11" s="70"/>
      <c r="D11" s="68"/>
      <c r="E11" s="68"/>
      <c r="F11" s="68"/>
      <c r="G11" s="338" t="s">
        <v>706</v>
      </c>
      <c r="H11" s="339" t="str">
        <f>OP!$C$22</f>
        <v>AIJ</v>
      </c>
      <c r="I11" s="339" t="str">
        <f>'OP1'!$C$22</f>
        <v>SWUC</v>
      </c>
      <c r="J11" s="339" t="str">
        <f>ROP!$C$23</f>
        <v>AOR</v>
      </c>
      <c r="K11" s="339" t="str">
        <f>ROP!$D$23</f>
        <v/>
      </c>
      <c r="L11" s="339" t="str">
        <f>ROP!$E$23</f>
        <v>HNR</v>
      </c>
      <c r="M11" s="339" t="str">
        <f>ROP!$F$23</f>
        <v>HOR</v>
      </c>
      <c r="N11" s="339" t="str">
        <f>ROP!$G$23</f>
        <v>CLR</v>
      </c>
      <c r="O11" s="340" t="s">
        <v>707</v>
      </c>
      <c r="P11" s="341"/>
      <c r="Q11" s="334"/>
      <c r="R11" s="180"/>
      <c r="S11" s="334"/>
      <c r="T11" s="334"/>
      <c r="U11" s="334"/>
      <c r="V11" s="334"/>
      <c r="W11" s="334"/>
      <c r="X11" s="334"/>
      <c r="Y11" s="180"/>
      <c r="Z11" s="334"/>
      <c r="AA11" s="635"/>
      <c r="AB11" s="634"/>
    </row>
    <row r="12" spans="1:37" ht="16.5" hidden="1">
      <c r="A12" s="68"/>
      <c r="B12" s="62" t="str">
        <f ca="1">IF(ISERROR(VLOOKUP(1,Total!$B$7:$F$8,3,0)),"",VLOOKUP(1,Total!$B$7:$F$8,3,0))</f>
        <v>SWUC</v>
      </c>
      <c r="C12" s="70"/>
      <c r="D12" s="68"/>
      <c r="E12" s="68"/>
      <c r="F12" s="68"/>
      <c r="G12" s="342" t="s">
        <v>705</v>
      </c>
      <c r="H12" s="343">
        <f ca="1">OP!$C$31</f>
        <v>3550</v>
      </c>
      <c r="I12" s="343">
        <f ca="1">'OP1'!$C$31</f>
        <v>5300</v>
      </c>
      <c r="J12" s="343">
        <f ca="1">ROP!$C$40</f>
        <v>0</v>
      </c>
      <c r="K12" s="343">
        <f ca="1">ROP!$D$40</f>
        <v>0</v>
      </c>
      <c r="L12" s="343">
        <f ca="1">ROP!$E$40</f>
        <v>0</v>
      </c>
      <c r="M12" s="343">
        <f ca="1">ROP!$F$40</f>
        <v>0</v>
      </c>
      <c r="N12" s="343">
        <f ca="1">ROP!$G$40</f>
        <v>0</v>
      </c>
      <c r="O12" s="343">
        <f ca="1">SUM(H12:N12)</f>
        <v>8850</v>
      </c>
      <c r="P12" s="341"/>
      <c r="Q12" s="334"/>
      <c r="R12" s="180"/>
      <c r="S12" s="334"/>
      <c r="T12" s="334"/>
      <c r="U12" s="334"/>
      <c r="V12" s="334"/>
      <c r="W12" s="334"/>
      <c r="X12" s="334"/>
      <c r="Y12" s="180"/>
      <c r="Z12" s="334"/>
      <c r="AA12" s="634"/>
      <c r="AB12" s="634"/>
    </row>
    <row r="13" spans="1:37" ht="16.5" hidden="1">
      <c r="A13" s="68"/>
      <c r="B13" s="62" t="str">
        <f ca="1">IF(ISERROR(VLOOKUP(2,Total!$B$7:$F$8,3,0)),"",VLOOKUP(2,Total!$B$7:$F$8,3,0))</f>
        <v>AIJ</v>
      </c>
      <c r="C13" s="70"/>
      <c r="D13" s="68"/>
      <c r="E13" s="68"/>
      <c r="F13" s="68"/>
      <c r="G13" s="68"/>
      <c r="H13" s="68"/>
      <c r="I13" s="68"/>
      <c r="J13" s="68"/>
      <c r="K13" s="68"/>
      <c r="L13" s="68"/>
      <c r="M13" s="68"/>
      <c r="N13" s="68"/>
      <c r="O13" s="68"/>
    </row>
    <row r="14" spans="1:37" ht="16.5" hidden="1">
      <c r="A14" s="68"/>
      <c r="B14" s="70"/>
      <c r="C14" s="70"/>
      <c r="D14" s="68"/>
      <c r="E14" s="68"/>
      <c r="F14" s="68"/>
      <c r="G14" s="68"/>
      <c r="H14" s="68"/>
      <c r="I14" s="68"/>
      <c r="J14" s="68"/>
      <c r="K14" s="68"/>
      <c r="L14" s="68"/>
      <c r="M14" s="68"/>
      <c r="N14" s="68"/>
      <c r="O14" s="68"/>
    </row>
    <row r="15" spans="1:37" hidden="1"/>
    <row r="16" spans="1:37" hidden="1">
      <c r="Z16" s="301"/>
      <c r="AA16" s="301"/>
      <c r="AB16" s="301"/>
    </row>
    <row r="17" spans="1:33" hidden="1">
      <c r="Z17" s="636" t="s">
        <v>1035</v>
      </c>
      <c r="AA17" s="636"/>
      <c r="AB17" s="636"/>
    </row>
    <row r="18" spans="1:33" hidden="1">
      <c r="B18" t="s">
        <v>822</v>
      </c>
      <c r="C18">
        <f ca="1">MAX(C21:C121)</f>
        <v>71</v>
      </c>
      <c r="Q18" s="348"/>
      <c r="R18" s="348"/>
      <c r="S18" s="348" t="s">
        <v>246</v>
      </c>
      <c r="T18" s="348" t="s">
        <v>246</v>
      </c>
      <c r="U18" s="348" t="s">
        <v>1102</v>
      </c>
      <c r="V18" s="348" t="s">
        <v>1102</v>
      </c>
      <c r="W18" s="348" t="s">
        <v>1102</v>
      </c>
      <c r="X18" s="348" t="s">
        <v>1104</v>
      </c>
      <c r="Y18" s="348" t="s">
        <v>246</v>
      </c>
      <c r="Z18" s="603" t="s">
        <v>246</v>
      </c>
      <c r="AA18" s="603" t="s">
        <v>246</v>
      </c>
      <c r="AB18" s="603" t="s">
        <v>246</v>
      </c>
      <c r="AC18" s="348" t="s">
        <v>246</v>
      </c>
      <c r="AD18" s="362" t="s">
        <v>734</v>
      </c>
      <c r="AE18" s="348" t="s">
        <v>1105</v>
      </c>
      <c r="AF18" s="348" t="s">
        <v>1102</v>
      </c>
      <c r="AG18" s="348" t="s">
        <v>1102</v>
      </c>
    </row>
    <row r="19" spans="1:33" hidden="1">
      <c r="C19" s="362">
        <v>1</v>
      </c>
      <c r="D19" s="362">
        <v>2</v>
      </c>
      <c r="E19" s="362">
        <v>3</v>
      </c>
      <c r="F19" s="362">
        <v>4</v>
      </c>
      <c r="G19" s="362">
        <v>5</v>
      </c>
      <c r="H19" s="362">
        <v>6</v>
      </c>
      <c r="I19" s="362">
        <v>7</v>
      </c>
      <c r="J19" s="362">
        <v>8</v>
      </c>
      <c r="K19" s="362">
        <v>9</v>
      </c>
      <c r="L19" s="362">
        <v>10</v>
      </c>
      <c r="M19" s="362">
        <v>11</v>
      </c>
      <c r="Q19" s="348">
        <v>1</v>
      </c>
      <c r="R19" s="348">
        <v>2</v>
      </c>
      <c r="S19" s="348">
        <v>3</v>
      </c>
      <c r="T19" s="348">
        <v>4</v>
      </c>
      <c r="U19" s="348">
        <v>5</v>
      </c>
      <c r="V19" s="348">
        <v>6</v>
      </c>
      <c r="W19" s="348">
        <v>7</v>
      </c>
      <c r="X19" s="348">
        <v>8</v>
      </c>
      <c r="Y19" s="348">
        <v>9</v>
      </c>
      <c r="Z19" s="603">
        <v>10</v>
      </c>
      <c r="AA19" s="603">
        <v>11</v>
      </c>
      <c r="AB19" s="603">
        <v>12</v>
      </c>
      <c r="AC19" s="348">
        <v>13</v>
      </c>
      <c r="AD19" s="362">
        <v>14</v>
      </c>
      <c r="AE19" s="348">
        <v>15</v>
      </c>
      <c r="AF19" s="348">
        <v>16</v>
      </c>
      <c r="AG19" s="348">
        <v>17</v>
      </c>
    </row>
    <row r="20" spans="1:33" ht="60.75" hidden="1" customHeight="1">
      <c r="B20" s="329" t="s">
        <v>690</v>
      </c>
      <c r="C20" s="329" t="s">
        <v>691</v>
      </c>
      <c r="D20" s="329" t="s">
        <v>694</v>
      </c>
      <c r="E20" s="330" t="s">
        <v>1106</v>
      </c>
      <c r="F20" s="329" t="s">
        <v>695</v>
      </c>
      <c r="G20" s="329" t="s">
        <v>696</v>
      </c>
      <c r="H20" s="329" t="s">
        <v>697</v>
      </c>
      <c r="I20" s="565" t="s">
        <v>1029</v>
      </c>
      <c r="J20" s="329" t="s">
        <v>698</v>
      </c>
      <c r="K20" s="329" t="s">
        <v>699</v>
      </c>
      <c r="L20" s="329" t="s">
        <v>692</v>
      </c>
      <c r="M20" s="329" t="s">
        <v>693</v>
      </c>
      <c r="N20" s="50"/>
      <c r="O20" s="50"/>
      <c r="P20" s="50"/>
      <c r="Q20" s="331" t="s">
        <v>14</v>
      </c>
      <c r="R20" s="331" t="s">
        <v>701</v>
      </c>
      <c r="S20" s="332" t="s">
        <v>957</v>
      </c>
      <c r="T20" s="327" t="s">
        <v>704</v>
      </c>
      <c r="U20" s="332" t="s">
        <v>957</v>
      </c>
      <c r="V20" s="333" t="s">
        <v>1031</v>
      </c>
      <c r="W20" s="333" t="s">
        <v>704</v>
      </c>
      <c r="X20" s="332" t="s">
        <v>957</v>
      </c>
      <c r="Y20" s="602" t="s">
        <v>958</v>
      </c>
      <c r="Z20" s="604" t="s">
        <v>702</v>
      </c>
      <c r="AA20" s="604" t="s">
        <v>703</v>
      </c>
      <c r="AB20" s="604" t="s">
        <v>700</v>
      </c>
      <c r="AC20" s="599" t="s">
        <v>959</v>
      </c>
      <c r="AD20" s="333" t="s">
        <v>704</v>
      </c>
      <c r="AE20" s="333" t="s">
        <v>704</v>
      </c>
      <c r="AF20" s="333" t="s">
        <v>1059</v>
      </c>
      <c r="AG20" s="333" t="s">
        <v>1058</v>
      </c>
    </row>
    <row r="21" spans="1:33" ht="16.5" hidden="1">
      <c r="B21" s="72">
        <v>1</v>
      </c>
      <c r="C21" s="72">
        <f ca="1">OP!$D$5</f>
        <v>32</v>
      </c>
      <c r="D21" s="324">
        <f ca="1">N(IF(OR(OP!$D$53=1,$B21="",$B21&gt;OP!$C$57),"",OP!$C$51))</f>
        <v>3515</v>
      </c>
      <c r="E21" s="324">
        <f ca="1">N(IF(OR('OP1'!$D$53=1,$B21="",$B21&gt;'OP1'!$C$57),"",'OP1'!$C$51))</f>
        <v>5247</v>
      </c>
      <c r="F21" s="324">
        <f ca="1">N(IF(OR(ROP!$C$33=1,$B21="",$B21&gt;ROP!$C$36),"",ROP!$C$52))</f>
        <v>0</v>
      </c>
      <c r="G21" s="324">
        <f ca="1">N(IF(OR(ROP!$D$33=1,$B21="",$B21&gt;ROP!$D$36),"",ROP!$D$52))</f>
        <v>0</v>
      </c>
      <c r="H21" s="324">
        <f ca="1">N(IF(OR(ROP!$E$33=1,$B21="",$B21&gt;ROP!$E$36),"",ROP!$E$52))</f>
        <v>0</v>
      </c>
      <c r="I21" s="324">
        <f ca="1">N(IF(OR(ROP!$F$33=1,$B21="",$B21&gt;ROP!$F$36),"",ROP!$F$52))</f>
        <v>0</v>
      </c>
      <c r="J21" s="324">
        <f ca="1">N(IF(OR(ROP!$G$33=1,$B21="",$B21&gt;ROP!$G$36),"",ROP!$G$52))</f>
        <v>0</v>
      </c>
      <c r="K21" s="324">
        <f>N(IF(OR(ROP!$H$33=1,$B21="",$B21&gt;ROP!$H$36),"",ROP!$H$52))</f>
        <v>0</v>
      </c>
      <c r="L21" s="324">
        <f ca="1">SUM(D21:K21)</f>
        <v>8762</v>
      </c>
      <c r="M21" s="324">
        <f ca="1">L21</f>
        <v>8762</v>
      </c>
      <c r="Q21" s="300">
        <f>B21</f>
        <v>1</v>
      </c>
      <c r="R21" s="300">
        <f ca="1">C21</f>
        <v>32</v>
      </c>
      <c r="S21" s="324">
        <f ca="1">IF(OR(OP!$D$53=1,$Q21=""),0,VLOOKUP(OP!$C$55,DIE,$Q21+1,0)*OP!$C$28)</f>
        <v>500000</v>
      </c>
      <c r="T21" s="324">
        <f ca="1">IF(OR(OP!$D$53=1,$Q21=""),0,VLOOKUP(OP!$C$55,CV,$Q21+1,0)*OP!$C$28)</f>
        <v>0</v>
      </c>
      <c r="U21" s="324">
        <f ca="1">IF(OR('OP1'!$D$53=1,$Q21=""),0,VLOOKUP('OP1'!$C$55,_DIE1,$Q21+1,0)*'OP1'!$C$28)</f>
        <v>500000</v>
      </c>
      <c r="V21" s="324">
        <f ca="1">IF(OR('OP1'!$D$53=1,$Q21="",VLOOKUP(Q21,DINS,5,0)=0),0,'OP1'!$C$28*10000*0.5)</f>
        <v>250000</v>
      </c>
      <c r="W21" s="324">
        <f ca="1">IF(OR('OP1'!$D$53=1,$Q21=""),0,VLOOKUP('OP1'!$C$55,CV_1,$Q21+1,0)*'OP1'!$C$28)</f>
        <v>0</v>
      </c>
      <c r="X21" s="324">
        <f t="shared" ref="X21:X52" ca="1" si="0">IF($Q21="",0,VLOOKUP($Q21,DINS,3,0)+VLOOKUP($Q21,DINS,5,0))</f>
        <v>1000000</v>
      </c>
      <c r="Y21" s="324">
        <f ca="1">IF(OR(OP!$D$53=1,$Q21=""),0,VLOOKUP(OP!$C$55,DIE,$Q21+1,0)*OP!$C$28)</f>
        <v>500000</v>
      </c>
      <c r="Z21" s="324">
        <f ca="1">IF(OR(OP!$D$53=1,$Q21=""),0,VLOOKUP(OP!$C$55,DIE,$Q21+1,0)*OP!$C$28*2)</f>
        <v>1000000</v>
      </c>
      <c r="AA21" s="324">
        <f ca="1">IF(OR(OP!$D$53=1,$Q21=""),0,VLOOKUP(OP!$C$55,DIE,$Q21+1,0)*OP!$C$28*2)</f>
        <v>1000000</v>
      </c>
      <c r="AB21" s="324">
        <f ca="1">IF(OR(OP!$D$53=1,$Q121=""),0,VLOOKUP(OP!$C$55,DIE,$Q21+1,0)*OP!$C$28*2)</f>
        <v>0</v>
      </c>
      <c r="AC21" s="324">
        <f ca="1">IF(OR(OP!$D$53=1,$Q21=""),0,VLOOKUP(OP!$C$55,DIE,$Q21+1,0)*OP!$C$28*2)</f>
        <v>1000000</v>
      </c>
      <c r="AD21" s="324">
        <f ca="1">IF(OR(ROP!$C$33=1,$Q21=""),0,VLOOKUP(ROP!$C$39,AORCV,$Q21+1,0)*ROP!$C$30)</f>
        <v>0</v>
      </c>
      <c r="AE21" s="324">
        <f t="shared" ref="AE21:AE52" ca="1" si="1">IF($Q21="",0,VLOOKUP($Q21,DINS,4,0)+VLOOKUP($Q21,DINS,7,0)+VLOOKUP($Q21,DINS,14,0))</f>
        <v>0</v>
      </c>
      <c r="AF21" s="324">
        <f ca="1">IF(OR('OP1'!$D$53=1,$Q21=""),0,VLOOKUP('OP1'!$C$55,HL_1,$Q21+1,0)*'OP1'!$C$28)</f>
        <v>5620</v>
      </c>
      <c r="AG21" s="324">
        <f ca="1">IF(OR('OP1'!$D$53=1,$Q21=""),0,VLOOKUP('OP1'!$C$55,HL,$Q21+1,0)*'OP1'!$C$28)</f>
        <v>5620</v>
      </c>
    </row>
    <row r="22" spans="1:33" ht="16.5" hidden="1">
      <c r="B22" s="72">
        <f ca="1">IF(OR(B21&gt;=OP!$C$57,B21=""),"",IF(C21+1&gt;81,81-C21,B21+1))</f>
        <v>2</v>
      </c>
      <c r="C22" s="72">
        <f ca="1">IF(OR(MAX(B21:$B$21)&gt;=OP!$C$57),"",C21+(B22-B21))</f>
        <v>33</v>
      </c>
      <c r="D22" s="324">
        <f ca="1">N(IF(OR(OP!$D$53=1,$B22="",$B22&gt;OP!$C$57),"",OP!$C$52))</f>
        <v>3515</v>
      </c>
      <c r="E22" s="324">
        <f ca="1">N(IF(OR('OP1'!$D$53=1,$B22="",$B22&gt;'OP1'!$C$57),"",'OP1'!$C$52))</f>
        <v>5247</v>
      </c>
      <c r="F22" s="324">
        <f ca="1">N(IF(OR(ROP!$C$33=1,$B22="",$B22&gt;ROP!$C$36),"",ROP!$C$53))</f>
        <v>0</v>
      </c>
      <c r="G22" s="324">
        <f ca="1">N(IF(OR(ROP!$D$33=1,$B22="",$B22&gt;ROP!$D$36),"",ROP!$D$53))</f>
        <v>0</v>
      </c>
      <c r="H22" s="324">
        <f ca="1">N(IF(OR(ROP!$E$33=1,$B22="",$B22&gt;ROP!$E$36),"",ROP!$E$53))</f>
        <v>0</v>
      </c>
      <c r="I22" s="324">
        <f ca="1">N(IF(OR(ROP!$F$33=1,$B22="",$B22&gt;ROP!$F$36),"",ROP!$F$53))</f>
        <v>0</v>
      </c>
      <c r="J22" s="324">
        <f ca="1">N(IF(OR(ROP!$G$33=1,$B22="",$B22&gt;ROP!$G$36),"",ROP!$G$53))</f>
        <v>0</v>
      </c>
      <c r="K22" s="324">
        <f ca="1">N(IF(OR(ROP!$H$33=1,$B22="",$B22&gt;ROP!$H$36),"",ROP!$H$53))</f>
        <v>0</v>
      </c>
      <c r="L22" s="324">
        <f t="shared" ref="L22:L85" ca="1" si="2">SUM(D22:K22)</f>
        <v>8762</v>
      </c>
      <c r="M22" s="324">
        <f ca="1">M21+L22</f>
        <v>17524</v>
      </c>
      <c r="Q22" s="300">
        <f t="shared" ref="Q22:Q85" ca="1" si="3">B22</f>
        <v>2</v>
      </c>
      <c r="R22" s="300">
        <f t="shared" ref="R22:R85" ca="1" si="4">C22</f>
        <v>33</v>
      </c>
      <c r="S22" s="324">
        <f ca="1">IF(OR(OP!$D$53=1,$Q22=""),0,VLOOKUP(OP!$C$55,DIE,$Q22+1,0)*OP!$C$28)</f>
        <v>500000</v>
      </c>
      <c r="T22" s="324">
        <f ca="1">IF(OR(OP!$D$53=1,$Q22=""),0,VLOOKUP(OP!$C$55,CV,$Q22+1,0)*OP!$C$28)</f>
        <v>400</v>
      </c>
      <c r="U22" s="324">
        <f ca="1">IF(OR('OP1'!$D$53=1,$Q22=""),0,VLOOKUP('OP1'!$C$55,_DIE1,$Q22+1,0)*'OP1'!$C$28)</f>
        <v>500000</v>
      </c>
      <c r="V22" s="324">
        <f ca="1">IF(OR('OP1'!$D$53=1,$Q22="",VLOOKUP(Q22,DINS,5,0)=0),0,'OP1'!$C$28*10000*0.5)</f>
        <v>250000</v>
      </c>
      <c r="W22" s="324">
        <f ca="1">IF(OR('OP1'!$D$53=1,$Q22=""),0,VLOOKUP('OP1'!$C$55,CV_1,$Q22+1,0)*'OP1'!$C$28)</f>
        <v>450</v>
      </c>
      <c r="X22" s="324">
        <f t="shared" ca="1" si="0"/>
        <v>1000000</v>
      </c>
      <c r="Y22" s="324">
        <f ca="1">IF(OR(OP!$D$53=1,$Q22=""),0,VLOOKUP(OP!$C$55,DIE,$Q22+1,0)*OP!$C$28)</f>
        <v>500000</v>
      </c>
      <c r="Z22" s="324">
        <f ca="1">IF(OR(OP!$D$53=1,$Q22=""),0,VLOOKUP(OP!$C$55,DIE,$Q22+1,0)*OP!$C$28*2)</f>
        <v>1000000</v>
      </c>
      <c r="AA22" s="324">
        <f ca="1">IF(OR(OP!$D$53=1,$Q22=""),0,VLOOKUP(OP!$C$55,DIE,$Q22+1,0)*OP!$C$28*2)</f>
        <v>1000000</v>
      </c>
      <c r="AB22" s="324">
        <f ca="1">IF(OR(OP!$D$53=1,$Q122=""),0,VLOOKUP(OP!$C$55,DIE,$Q22+1,0)*OP!$C$28*2)</f>
        <v>0</v>
      </c>
      <c r="AC22" s="324">
        <f ca="1">IF(OR(OP!$D$53=1,$Q22=""),0,VLOOKUP(OP!$C$55,DIE,$Q22+1,0)*OP!$C$28*2)</f>
        <v>1000000</v>
      </c>
      <c r="AD22" s="324">
        <f ca="1">IF(OR(ROP!$C$33=1,$Q22=""),0,VLOOKUP(ROP!$C$39,AORCV,$Q22+1,0)*ROP!$C$30)</f>
        <v>0</v>
      </c>
      <c r="AE22" s="324">
        <f t="shared" ca="1" si="1"/>
        <v>850</v>
      </c>
      <c r="AF22" s="324">
        <f ca="1">IF(OR('OP1'!$D$53=1,$Q22=""),0,VLOOKUP('OP1'!$C$55,HL_1,$Q22+1,0)*'OP1'!$C$28)</f>
        <v>100000</v>
      </c>
      <c r="AG22" s="324">
        <f ca="1">IF(OR('OP1'!$D$53=1,$Q22=""),0,VLOOKUP('OP1'!$C$55,HL,$Q22+1,0)*'OP1'!$C$28)</f>
        <v>500000</v>
      </c>
    </row>
    <row r="23" spans="1:33" ht="16.5" hidden="1">
      <c r="B23" s="72">
        <f ca="1">IF(OR(B22&gt;=OP!$C$57,B22=""),"",IF(C22+1&gt;81,81-C22,B22+1))</f>
        <v>3</v>
      </c>
      <c r="C23" s="72">
        <f ca="1">IF(OR(MAX(B$21:$B22)&gt;=OP!$C$57),"",C22+(B23-B22))</f>
        <v>34</v>
      </c>
      <c r="D23" s="324">
        <f ca="1">N(IF(OR(OP!$D$53=1,$B23="",$B23&gt;OP!$C$57),"",OP!$C$52))</f>
        <v>3515</v>
      </c>
      <c r="E23" s="324">
        <f ca="1">N(IF(OR('OP1'!$D$53=1,$B23="",$B23&gt;'OP1'!$C$57),"",'OP1'!$C$52))</f>
        <v>5247</v>
      </c>
      <c r="F23" s="324">
        <f ca="1">N(IF(OR(ROP!$C$33=1,$B23="",$B23&gt;ROP!$C$36),"",ROP!$C$53))</f>
        <v>0</v>
      </c>
      <c r="G23" s="324">
        <f ca="1">N(IF(OR(ROP!$D$33=1,$B23="",$B23&gt;ROP!$D$36),"",ROP!$D$53))</f>
        <v>0</v>
      </c>
      <c r="H23" s="324">
        <f ca="1">N(IF(OR(ROP!$E$33=1,$B23="",$B23&gt;ROP!$E$36),"",ROP!$E$53))</f>
        <v>0</v>
      </c>
      <c r="I23" s="324">
        <f ca="1">N(IF(OR(ROP!$F$33=1,$B23="",$B23&gt;ROP!$F$36),"",ROP!$F$53))</f>
        <v>0</v>
      </c>
      <c r="J23" s="324">
        <f ca="1">N(IF(OR(ROP!$G$33=1,$B23="",$B23&gt;ROP!$G$36),"",ROP!$G$53))</f>
        <v>0</v>
      </c>
      <c r="K23" s="324">
        <f ca="1">N(IF(OR(ROP!$H$33=1,$B23="",$B23&gt;ROP!$H$36),"",ROP!$H$53))</f>
        <v>0</v>
      </c>
      <c r="L23" s="324">
        <f t="shared" ca="1" si="2"/>
        <v>8762</v>
      </c>
      <c r="M23" s="324">
        <f t="shared" ref="M23:M86" ca="1" si="5">M22+L23</f>
        <v>26286</v>
      </c>
      <c r="Q23" s="300">
        <f t="shared" ca="1" si="3"/>
        <v>3</v>
      </c>
      <c r="R23" s="300">
        <f t="shared" ca="1" si="4"/>
        <v>34</v>
      </c>
      <c r="S23" s="324">
        <f ca="1">IF(OR(OP!$D$53=1,$Q23=""),0,VLOOKUP(OP!$C$55,DIE,$Q23+1,0)*OP!$C$28)</f>
        <v>500000</v>
      </c>
      <c r="T23" s="324">
        <f ca="1">IF(OR(OP!$D$53=1,$Q23=""),0,VLOOKUP(OP!$C$55,CV,$Q23+1,0)*OP!$C$28)</f>
        <v>850</v>
      </c>
      <c r="U23" s="324">
        <f ca="1">IF(OR('OP1'!$D$53=1,$Q23=""),0,VLOOKUP('OP1'!$C$55,_DIE1,$Q23+1,0)*'OP1'!$C$28)</f>
        <v>500000</v>
      </c>
      <c r="V23" s="324">
        <f ca="1">IF(OR('OP1'!$D$53=1,$Q23="",VLOOKUP(Q23,DINS,5,0)=0),0,'OP1'!$C$28*10000*0.5)</f>
        <v>250000</v>
      </c>
      <c r="W23" s="324">
        <f ca="1">IF(OR('OP1'!$D$53=1,$Q23=""),0,VLOOKUP('OP1'!$C$55,CV_1,$Q23+1,0)*'OP1'!$C$28)</f>
        <v>950</v>
      </c>
      <c r="X23" s="324">
        <f t="shared" ca="1" si="0"/>
        <v>1000000</v>
      </c>
      <c r="Y23" s="324">
        <f ca="1">IF(OR(OP!$D$53=1,$Q23=""),0,VLOOKUP(OP!$C$55,DIE,$Q23+1,0)*OP!$C$28)</f>
        <v>500000</v>
      </c>
      <c r="Z23" s="324">
        <f ca="1">IF(OR(OP!$D$53=1,$Q23=""),0,VLOOKUP(OP!$C$55,DIE,$Q23+1,0)*OP!$C$28*2)</f>
        <v>1000000</v>
      </c>
      <c r="AA23" s="324">
        <f ca="1">IF(OR(OP!$D$53=1,$Q23=""),0,VLOOKUP(OP!$C$55,DIE,$Q23+1,0)*OP!$C$28*2)</f>
        <v>1000000</v>
      </c>
      <c r="AB23" s="324">
        <f ca="1">IF(OR(OP!$D$53=1,$Q123=""),0,VLOOKUP(OP!$C$55,DIE,$Q23+1,0)*OP!$C$28*2)</f>
        <v>0</v>
      </c>
      <c r="AC23" s="324">
        <f ca="1">IF(OR(OP!$D$53=1,$Q23=""),0,VLOOKUP(OP!$C$55,DIE,$Q23+1,0)*OP!$C$28*2)</f>
        <v>1000000</v>
      </c>
      <c r="AD23" s="324">
        <f ca="1">IF(OR(ROP!$C$33=1,$Q23=""),0,VLOOKUP(ROP!$C$39,AORCV,$Q23+1,0)*ROP!$C$30)</f>
        <v>0</v>
      </c>
      <c r="AE23" s="324">
        <f t="shared" ca="1" si="1"/>
        <v>1800</v>
      </c>
      <c r="AF23" s="324">
        <f ca="1">IF(OR('OP1'!$D$53=1,$Q23=""),0,VLOOKUP('OP1'!$C$55,HL_1,$Q23+1,0)*'OP1'!$C$28)</f>
        <v>100000</v>
      </c>
      <c r="AG23" s="324">
        <f ca="1">IF(OR('OP1'!$D$53=1,$Q23=""),0,VLOOKUP('OP1'!$C$55,HL,$Q23+1,0)*'OP1'!$C$28)</f>
        <v>500000</v>
      </c>
    </row>
    <row r="24" spans="1:33" ht="16.5" hidden="1">
      <c r="B24" s="72">
        <f ca="1">IF(OR(B23&gt;=OP!$C$57,B23=""),"",IF(C23+1&gt;81,81-C23,B23+1))</f>
        <v>4</v>
      </c>
      <c r="C24" s="72">
        <f ca="1">IF(OR(MAX(B$21:$B23)&gt;=OP!$C$57),"",C23+(B24-B23))</f>
        <v>35</v>
      </c>
      <c r="D24" s="324">
        <f ca="1">N(IF(OR(OP!$D$53=1,$B24="",$B24&gt;OP!$C$57),"",OP!$C$52))</f>
        <v>3515</v>
      </c>
      <c r="E24" s="324">
        <f ca="1">N(IF(OR('OP1'!$D$53=1,$B24="",$B24&gt;'OP1'!$C$57),"",'OP1'!$C$52))</f>
        <v>5247</v>
      </c>
      <c r="F24" s="324">
        <f ca="1">N(IF(OR(ROP!$C$33=1,$B24="",$B24&gt;ROP!$C$36),"",ROP!$C$53))</f>
        <v>0</v>
      </c>
      <c r="G24" s="324">
        <f ca="1">N(IF(OR(ROP!$D$33=1,$B24="",$B24&gt;ROP!$D$36),"",ROP!$D$53))</f>
        <v>0</v>
      </c>
      <c r="H24" s="324">
        <f ca="1">N(IF(OR(ROP!$E$33=1,$B24="",$B24&gt;ROP!$E$36),"",ROP!$E$53))</f>
        <v>0</v>
      </c>
      <c r="I24" s="324">
        <f ca="1">N(IF(OR(ROP!$F$33=1,$B24="",$B24&gt;ROP!$F$36),"",ROP!$F$53))</f>
        <v>0</v>
      </c>
      <c r="J24" s="324">
        <f ca="1">N(IF(OR(ROP!$G$33=1,$B24="",$B24&gt;ROP!$G$36),"",ROP!$G$53))</f>
        <v>0</v>
      </c>
      <c r="K24" s="324">
        <f ca="1">N(IF(OR(ROP!$H$33=1,$B24="",$B24&gt;ROP!$H$36),"",ROP!$H$53))</f>
        <v>0</v>
      </c>
      <c r="L24" s="324">
        <f t="shared" ca="1" si="2"/>
        <v>8762</v>
      </c>
      <c r="M24" s="324">
        <f t="shared" ca="1" si="5"/>
        <v>35048</v>
      </c>
      <c r="Q24" s="300">
        <f t="shared" ca="1" si="3"/>
        <v>4</v>
      </c>
      <c r="R24" s="300">
        <f t="shared" ca="1" si="4"/>
        <v>35</v>
      </c>
      <c r="S24" s="324">
        <f ca="1">IF(OR(OP!$D$53=1,$Q24=""),0,VLOOKUP(OP!$C$55,DIE,$Q24+1,0)*OP!$C$28)</f>
        <v>500000</v>
      </c>
      <c r="T24" s="324">
        <f ca="1">IF(OR(OP!$D$53=1,$Q24=""),0,VLOOKUP(OP!$C$55,CV,$Q24+1,0)*OP!$C$28)</f>
        <v>1150</v>
      </c>
      <c r="U24" s="324">
        <f ca="1">IF(OR('OP1'!$D$53=1,$Q24=""),0,VLOOKUP('OP1'!$C$55,_DIE1,$Q24+1,0)*'OP1'!$C$28)</f>
        <v>500000</v>
      </c>
      <c r="V24" s="324">
        <f ca="1">IF(OR('OP1'!$D$53=1,$Q24="",VLOOKUP(Q24,DINS,5,0)=0),0,'OP1'!$C$28*10000*0.5)</f>
        <v>250000</v>
      </c>
      <c r="W24" s="324">
        <f ca="1">IF(OR('OP1'!$D$53=1,$Q24=""),0,VLOOKUP('OP1'!$C$55,CV_1,$Q24+1,0)*'OP1'!$C$28)</f>
        <v>1400</v>
      </c>
      <c r="X24" s="324">
        <f t="shared" ca="1" si="0"/>
        <v>1000000</v>
      </c>
      <c r="Y24" s="324">
        <f ca="1">IF(OR(OP!$D$53=1,$Q24=""),0,VLOOKUP(OP!$C$55,DIE,$Q24+1,0)*OP!$C$28)</f>
        <v>500000</v>
      </c>
      <c r="Z24" s="324">
        <f ca="1">IF(OR(OP!$D$53=1,$Q24=""),0,VLOOKUP(OP!$C$55,DIE,$Q24+1,0)*OP!$C$28*2)</f>
        <v>1000000</v>
      </c>
      <c r="AA24" s="324">
        <f ca="1">IF(OR(OP!$D$53=1,$Q24=""),0,VLOOKUP(OP!$C$55,DIE,$Q24+1,0)*OP!$C$28*2)</f>
        <v>1000000</v>
      </c>
      <c r="AB24" s="324">
        <f ca="1">IF(OR(OP!$D$53=1,$Q124=""),0,VLOOKUP(OP!$C$55,DIE,$Q24+1,0)*OP!$C$28*2)</f>
        <v>0</v>
      </c>
      <c r="AC24" s="324">
        <f ca="1">IF(OR(OP!$D$53=1,$Q24=""),0,VLOOKUP(OP!$C$55,DIE,$Q24+1,0)*OP!$C$28*2)</f>
        <v>1000000</v>
      </c>
      <c r="AD24" s="324">
        <f ca="1">IF(OR(ROP!$C$33=1,$Q24=""),0,VLOOKUP(ROP!$C$39,AORCV,$Q24+1,0)*ROP!$C$30)</f>
        <v>0</v>
      </c>
      <c r="AE24" s="324">
        <f t="shared" ca="1" si="1"/>
        <v>2550</v>
      </c>
      <c r="AF24" s="324">
        <f ca="1">IF(OR('OP1'!$D$53=1,$Q24=""),0,VLOOKUP('OP1'!$C$55,HL_1,$Q24+1,0)*'OP1'!$C$28)</f>
        <v>100000</v>
      </c>
      <c r="AG24" s="324">
        <f ca="1">IF(OR('OP1'!$D$53=1,$Q24=""),0,VLOOKUP('OP1'!$C$55,HL,$Q24+1,0)*'OP1'!$C$28)</f>
        <v>500000</v>
      </c>
    </row>
    <row r="25" spans="1:33" ht="16.5" hidden="1">
      <c r="B25" s="72">
        <f ca="1">IF(OR(B24&gt;=OP!$C$57,B24=""),"",IF(C24+1&gt;81,81-C24,B24+1))</f>
        <v>5</v>
      </c>
      <c r="C25" s="72">
        <f ca="1">IF(OR(MAX(B$21:$B24)&gt;=OP!$C$57),"",C24+(B25-B24))</f>
        <v>36</v>
      </c>
      <c r="D25" s="324">
        <f ca="1">N(IF(OR(OP!$D$53=1,$B25="",$B25&gt;OP!$C$57),"",OP!$C$52))</f>
        <v>3515</v>
      </c>
      <c r="E25" s="324">
        <f ca="1">N(IF(OR('OP1'!$D$53=1,$B25="",$B25&gt;'OP1'!$C$57),"",'OP1'!$C$52))</f>
        <v>5247</v>
      </c>
      <c r="F25" s="324">
        <f ca="1">N(IF(OR(ROP!$C$33=1,$B25="",$B25&gt;ROP!$C$36),"",ROP!$C$53))</f>
        <v>0</v>
      </c>
      <c r="G25" s="324">
        <f ca="1">N(IF(OR(ROP!$D$33=1,$B25="",$B25&gt;ROP!$D$36),"",ROP!$D$53))</f>
        <v>0</v>
      </c>
      <c r="H25" s="324">
        <f ca="1">N(IF(OR(ROP!$E$33=1,$B25="",$B25&gt;ROP!$E$36),"",ROP!$E$53))</f>
        <v>0</v>
      </c>
      <c r="I25" s="324">
        <f ca="1">N(IF(OR(ROP!$F$33=1,$B25="",$B25&gt;ROP!$F$36),"",ROP!$F$53))</f>
        <v>0</v>
      </c>
      <c r="J25" s="324">
        <f ca="1">N(IF(OR(ROP!$G$33=1,$B25="",$B25&gt;ROP!$G$36),"",ROP!$G$53))</f>
        <v>0</v>
      </c>
      <c r="K25" s="324">
        <f ca="1">N(IF(OR(ROP!$H$33=1,$B25="",$B25&gt;ROP!$H$36),"",ROP!$H$53))</f>
        <v>0</v>
      </c>
      <c r="L25" s="324">
        <f t="shared" ca="1" si="2"/>
        <v>8762</v>
      </c>
      <c r="M25" s="324">
        <f t="shared" ca="1" si="5"/>
        <v>43810</v>
      </c>
      <c r="Q25" s="300">
        <f t="shared" ca="1" si="3"/>
        <v>5</v>
      </c>
      <c r="R25" s="300">
        <f t="shared" ca="1" si="4"/>
        <v>36</v>
      </c>
      <c r="S25" s="324">
        <f ca="1">IF(OR(OP!$D$53=1,$Q25=""),0,VLOOKUP(OP!$C$55,DIE,$Q25+1,0)*OP!$C$28)</f>
        <v>500000</v>
      </c>
      <c r="T25" s="324">
        <f ca="1">IF(OR(OP!$D$53=1,$Q25=""),0,VLOOKUP(OP!$C$55,CV,$Q25+1,0)*OP!$C$28)</f>
        <v>1600</v>
      </c>
      <c r="U25" s="324">
        <f ca="1">IF(OR('OP1'!$D$53=1,$Q25=""),0,VLOOKUP('OP1'!$C$55,_DIE1,$Q25+1,0)*'OP1'!$C$28)</f>
        <v>500000</v>
      </c>
      <c r="V25" s="324">
        <f ca="1">IF(OR('OP1'!$D$53=1,$Q25="",VLOOKUP(Q25,DINS,5,0)=0),0,'OP1'!$C$28*10000*0.5)</f>
        <v>250000</v>
      </c>
      <c r="W25" s="324">
        <f ca="1">IF(OR('OP1'!$D$53=1,$Q25=""),0,VLOOKUP('OP1'!$C$55,CV_1,$Q25+1,0)*'OP1'!$C$28)</f>
        <v>1850</v>
      </c>
      <c r="X25" s="324">
        <f t="shared" ca="1" si="0"/>
        <v>1000000</v>
      </c>
      <c r="Y25" s="324">
        <f ca="1">IF(OR(OP!$D$53=1,$Q25=""),0,VLOOKUP(OP!$C$55,DIE,$Q25+1,0)*OP!$C$28)</f>
        <v>500000</v>
      </c>
      <c r="Z25" s="324">
        <f ca="1">IF(OR(OP!$D$53=1,$Q25=""),0,VLOOKUP(OP!$C$55,DIE,$Q25+1,0)*OP!$C$28*2)</f>
        <v>1000000</v>
      </c>
      <c r="AA25" s="324">
        <f ca="1">IF(OR(OP!$D$53=1,$Q25=""),0,VLOOKUP(OP!$C$55,DIE,$Q25+1,0)*OP!$C$28*2)</f>
        <v>1000000</v>
      </c>
      <c r="AB25" s="324">
        <f ca="1">IF(OR(OP!$D$53=1,$Q125=""),0,VLOOKUP(OP!$C$55,DIE,$Q25+1,0)*OP!$C$28*2)</f>
        <v>0</v>
      </c>
      <c r="AC25" s="324">
        <f ca="1">IF(OR(OP!$D$53=1,$Q25=""),0,VLOOKUP(OP!$C$55,DIE,$Q25+1,0)*OP!$C$28*2)</f>
        <v>1000000</v>
      </c>
      <c r="AD25" s="324">
        <f ca="1">IF(OR(ROP!$C$33=1,$Q25=""),0,VLOOKUP(ROP!$C$39,AORCV,$Q25+1,0)*ROP!$C$30)</f>
        <v>0</v>
      </c>
      <c r="AE25" s="324">
        <f t="shared" ca="1" si="1"/>
        <v>3450</v>
      </c>
      <c r="AF25" s="324">
        <f ca="1">IF(OR('OP1'!$D$53=1,$Q25=""),0,VLOOKUP('OP1'!$C$55,HL_1,$Q25+1,0)*'OP1'!$C$28)</f>
        <v>100000</v>
      </c>
      <c r="AG25" s="324">
        <f ca="1">IF(OR('OP1'!$D$53=1,$Q25=""),0,VLOOKUP('OP1'!$C$55,HL,$Q25+1,0)*'OP1'!$C$28)</f>
        <v>500000</v>
      </c>
    </row>
    <row r="26" spans="1:33" ht="16.5" hidden="1">
      <c r="B26" s="72">
        <f ca="1">IF(OR(B25&gt;=OP!$C$57,B25=""),"",IF(C25+1&gt;81,81-C25,B25+1))</f>
        <v>6</v>
      </c>
      <c r="C26" s="72">
        <f ca="1">IF(OR(MAX(B$21:$B25)&gt;=OP!$C$57),"",C25+(B26-B25))</f>
        <v>37</v>
      </c>
      <c r="D26" s="324">
        <f ca="1">N(IF(OR(OP!$D$53=1,$B26="",$B26&gt;OP!$C$57),"",OP!$C$52))</f>
        <v>3515</v>
      </c>
      <c r="E26" s="324">
        <f ca="1">N(IF(OR('OP1'!$D$53=1,$B26="",$B26&gt;'OP1'!$C$57),"",'OP1'!$C$52))</f>
        <v>5247</v>
      </c>
      <c r="F26" s="324">
        <f ca="1">N(IF(OR(ROP!$C$33=1,$B26="",$B26&gt;ROP!$C$36),"",ROP!$C$53))</f>
        <v>0</v>
      </c>
      <c r="G26" s="324">
        <f ca="1">N(IF(OR(ROP!$D$33=1,$B26="",$B26&gt;ROP!$D$36),"",ROP!$D$53))</f>
        <v>0</v>
      </c>
      <c r="H26" s="324">
        <f ca="1">N(IF(OR(ROP!$E$33=1,$B26="",$B26&gt;ROP!$E$36),"",ROP!$E$53))</f>
        <v>0</v>
      </c>
      <c r="I26" s="324">
        <f ca="1">N(IF(OR(ROP!$F$33=1,$B26="",$B26&gt;ROP!$F$36),"",ROP!$F$53))</f>
        <v>0</v>
      </c>
      <c r="J26" s="324">
        <f ca="1">N(IF(OR(ROP!$G$33=1,$B26="",$B26&gt;ROP!$G$36),"",ROP!$G$53))</f>
        <v>0</v>
      </c>
      <c r="K26" s="324">
        <f ca="1">N(IF(OR(ROP!$H$33=1,$B26="",$B26&gt;ROP!$H$36),"",ROP!$H$53))</f>
        <v>0</v>
      </c>
      <c r="L26" s="324">
        <f t="shared" ca="1" si="2"/>
        <v>8762</v>
      </c>
      <c r="M26" s="324">
        <f t="shared" ca="1" si="5"/>
        <v>52572</v>
      </c>
      <c r="Q26" s="300">
        <f t="shared" ca="1" si="3"/>
        <v>6</v>
      </c>
      <c r="R26" s="300">
        <f t="shared" ca="1" si="4"/>
        <v>37</v>
      </c>
      <c r="S26" s="324">
        <f ca="1">IF(OR(OP!$D$53=1,$Q26=""),0,VLOOKUP(OP!$C$55,DIE,$Q26+1,0)*OP!$C$28)</f>
        <v>500000</v>
      </c>
      <c r="T26" s="324">
        <f ca="1">IF(OR(OP!$D$53=1,$Q26=""),0,VLOOKUP(OP!$C$55,CV,$Q26+1,0)*OP!$C$28)</f>
        <v>1900</v>
      </c>
      <c r="U26" s="324">
        <f ca="1">IF(OR('OP1'!$D$53=1,$Q26=""),0,VLOOKUP('OP1'!$C$55,_DIE1,$Q26+1,0)*'OP1'!$C$28)</f>
        <v>500000</v>
      </c>
      <c r="V26" s="324">
        <f ca="1">IF(OR('OP1'!$D$53=1,$Q26="",VLOOKUP(Q26,DINS,5,0)=0),0,'OP1'!$C$28*10000*0.5)</f>
        <v>250000</v>
      </c>
      <c r="W26" s="324">
        <f ca="1">IF(OR('OP1'!$D$53=1,$Q26=""),0,VLOOKUP('OP1'!$C$55,CV_1,$Q26+1,0)*'OP1'!$C$28)</f>
        <v>2450</v>
      </c>
      <c r="X26" s="324">
        <f t="shared" ca="1" si="0"/>
        <v>1000000</v>
      </c>
      <c r="Y26" s="324">
        <f ca="1">IF(OR(OP!$D$53=1,$Q26=""),0,VLOOKUP(OP!$C$55,DIE,$Q26+1,0)*OP!$C$28)</f>
        <v>500000</v>
      </c>
      <c r="Z26" s="324">
        <f ca="1">IF(OR(OP!$D$53=1,$Q26=""),0,VLOOKUP(OP!$C$55,DIE,$Q26+1,0)*OP!$C$28*2)</f>
        <v>1000000</v>
      </c>
      <c r="AA26" s="324">
        <f ca="1">IF(OR(OP!$D$53=1,$Q26=""),0,VLOOKUP(OP!$C$55,DIE,$Q26+1,0)*OP!$C$28*2)</f>
        <v>1000000</v>
      </c>
      <c r="AB26" s="324">
        <f ca="1">IF(OR(OP!$D$53=1,$Q126=""),0,VLOOKUP(OP!$C$55,DIE,$Q26+1,0)*OP!$C$28*2)</f>
        <v>0</v>
      </c>
      <c r="AC26" s="324">
        <f ca="1">IF(OR(OP!$D$53=1,$Q26=""),0,VLOOKUP(OP!$C$55,DIE,$Q26+1,0)*OP!$C$28*2)</f>
        <v>1000000</v>
      </c>
      <c r="AD26" s="324">
        <f ca="1">IF(OR(ROP!$C$33=1,$Q26=""),0,VLOOKUP(ROP!$C$39,AORCV,$Q26+1,0)*ROP!$C$30)</f>
        <v>0</v>
      </c>
      <c r="AE26" s="324">
        <f t="shared" ca="1" si="1"/>
        <v>4350</v>
      </c>
      <c r="AF26" s="324">
        <f ca="1">IF(OR('OP1'!$D$53=1,$Q26=""),0,VLOOKUP('OP1'!$C$55,HL_1,$Q26+1,0)*'OP1'!$C$28)</f>
        <v>100000</v>
      </c>
      <c r="AG26" s="324">
        <f ca="1">IF(OR('OP1'!$D$53=1,$Q26=""),0,VLOOKUP('OP1'!$C$55,HL,$Q26+1,0)*'OP1'!$C$28)</f>
        <v>500000</v>
      </c>
    </row>
    <row r="27" spans="1:33" ht="16.5" hidden="1">
      <c r="B27" s="72">
        <f ca="1">IF(OR(B26&gt;=OP!$C$57,B26=""),"",IF(C26+1&gt;81,81-C26,B26+1))</f>
        <v>7</v>
      </c>
      <c r="C27" s="72">
        <f ca="1">IF(OR(MAX(B$21:$B26)&gt;=OP!$C$57),"",C26+(B27-B26))</f>
        <v>38</v>
      </c>
      <c r="D27" s="324">
        <f ca="1">N(IF(OR(OP!$D$53=1,$B27="",$B27&gt;OP!$C$57),"",OP!$C$52))</f>
        <v>3515</v>
      </c>
      <c r="E27" s="324">
        <f ca="1">N(IF(OR('OP1'!$D$53=1,$B27="",$B27&gt;'OP1'!$C$57),"",'OP1'!$C$52))</f>
        <v>5247</v>
      </c>
      <c r="F27" s="324">
        <f ca="1">N(IF(OR(ROP!$C$33=1,$B27="",$B27&gt;ROP!$C$36),"",ROP!$C$53))</f>
        <v>0</v>
      </c>
      <c r="G27" s="324">
        <f ca="1">N(IF(OR(ROP!$D$33=1,$B27="",$B27&gt;ROP!$D$36),"",ROP!$D$53))</f>
        <v>0</v>
      </c>
      <c r="H27" s="324">
        <f ca="1">N(IF(OR(ROP!$E$33=1,$B27="",$B27&gt;ROP!$E$36),"",ROP!$E$53))</f>
        <v>0</v>
      </c>
      <c r="I27" s="324">
        <f ca="1">N(IF(OR(ROP!$F$33=1,$B27="",$B27&gt;ROP!$F$36),"",ROP!$F$53))</f>
        <v>0</v>
      </c>
      <c r="J27" s="324">
        <f ca="1">N(IF(OR(ROP!$G$33=1,$B27="",$B27&gt;ROP!$G$36),"",ROP!$G$53))</f>
        <v>0</v>
      </c>
      <c r="K27" s="324">
        <f ca="1">N(IF(OR(ROP!$H$33=1,$B27="",$B27&gt;ROP!$H$36),"",ROP!$H$53))</f>
        <v>0</v>
      </c>
      <c r="L27" s="324">
        <f t="shared" ca="1" si="2"/>
        <v>8762</v>
      </c>
      <c r="M27" s="324">
        <f t="shared" ca="1" si="5"/>
        <v>61334</v>
      </c>
      <c r="Q27" s="300">
        <f t="shared" ca="1" si="3"/>
        <v>7</v>
      </c>
      <c r="R27" s="300">
        <f t="shared" ca="1" si="4"/>
        <v>38</v>
      </c>
      <c r="S27" s="324">
        <f ca="1">IF(OR(OP!$D$53=1,$Q27=""),0,VLOOKUP(OP!$C$55,DIE,$Q27+1,0)*OP!$C$28)</f>
        <v>500000</v>
      </c>
      <c r="T27" s="324">
        <f ca="1">IF(OR(OP!$D$53=1,$Q27=""),0,VLOOKUP(OP!$C$55,CV,$Q27+1,0)*OP!$C$28)</f>
        <v>2200</v>
      </c>
      <c r="U27" s="324">
        <f ca="1">IF(OR('OP1'!$D$53=1,$Q27=""),0,VLOOKUP('OP1'!$C$55,_DIE1,$Q27+1,0)*'OP1'!$C$28)</f>
        <v>500000</v>
      </c>
      <c r="V27" s="324">
        <f ca="1">IF(OR('OP1'!$D$53=1,$Q27="",VLOOKUP(Q27,DINS,5,0)=0),0,'OP1'!$C$28*10000*0.5)</f>
        <v>250000</v>
      </c>
      <c r="W27" s="324">
        <f ca="1">IF(OR('OP1'!$D$53=1,$Q27=""),0,VLOOKUP('OP1'!$C$55,CV_1,$Q27+1,0)*'OP1'!$C$28)</f>
        <v>3050</v>
      </c>
      <c r="X27" s="324">
        <f t="shared" ca="1" si="0"/>
        <v>1000000</v>
      </c>
      <c r="Y27" s="324">
        <f ca="1">IF(OR(OP!$D$53=1,$Q27=""),0,VLOOKUP(OP!$C$55,DIE,$Q27+1,0)*OP!$C$28)</f>
        <v>500000</v>
      </c>
      <c r="Z27" s="324">
        <f ca="1">IF(OR(OP!$D$53=1,$Q27=""),0,VLOOKUP(OP!$C$55,DIE,$Q27+1,0)*OP!$C$28*2)</f>
        <v>1000000</v>
      </c>
      <c r="AA27" s="324">
        <f ca="1">IF(OR(OP!$D$53=1,$Q27=""),0,VLOOKUP(OP!$C$55,DIE,$Q27+1,0)*OP!$C$28*2)</f>
        <v>1000000</v>
      </c>
      <c r="AB27" s="324">
        <f ca="1">IF(OR(OP!$D$53=1,$Q127=""),0,VLOOKUP(OP!$C$55,DIE,$Q27+1,0)*OP!$C$28*2)</f>
        <v>0</v>
      </c>
      <c r="AC27" s="324">
        <f ca="1">IF(OR(OP!$D$53=1,$Q27=""),0,VLOOKUP(OP!$C$55,DIE,$Q27+1,0)*OP!$C$28*2)</f>
        <v>1000000</v>
      </c>
      <c r="AD27" s="324">
        <f ca="1">IF(OR(ROP!$C$33=1,$Q27=""),0,VLOOKUP(ROP!$C$39,AORCV,$Q27+1,0)*ROP!$C$30)</f>
        <v>0</v>
      </c>
      <c r="AE27" s="324">
        <f t="shared" ca="1" si="1"/>
        <v>5250</v>
      </c>
      <c r="AF27" s="324">
        <f ca="1">IF(OR('OP1'!$D$53=1,$Q27=""),0,VLOOKUP('OP1'!$C$55,HL_1,$Q27+1,0)*'OP1'!$C$28)</f>
        <v>100000</v>
      </c>
      <c r="AG27" s="324">
        <f ca="1">IF(OR('OP1'!$D$53=1,$Q27=""),0,VLOOKUP('OP1'!$C$55,HL,$Q27+1,0)*'OP1'!$C$28)</f>
        <v>500000</v>
      </c>
    </row>
    <row r="28" spans="1:33" ht="16.5" hidden="1">
      <c r="B28" s="72">
        <f ca="1">IF(OR(B27&gt;=OP!$C$57,B27=""),"",IF(C27+1&gt;81,81-C27,B27+1))</f>
        <v>8</v>
      </c>
      <c r="C28" s="72">
        <f ca="1">IF(OR(MAX(B$21:$B27)&gt;=OP!$C$57),"",C27+(B28-B27))</f>
        <v>39</v>
      </c>
      <c r="D28" s="324">
        <f ca="1">N(IF(OR(OP!$D$53=1,$B28="",$B28&gt;OP!$C$57),"",OP!$C$52))</f>
        <v>3515</v>
      </c>
      <c r="E28" s="324">
        <f ca="1">N(IF(OR('OP1'!$D$53=1,$B28="",$B28&gt;'OP1'!$C$57),"",'OP1'!$C$52))</f>
        <v>5247</v>
      </c>
      <c r="F28" s="324">
        <f ca="1">N(IF(OR(ROP!$C$33=1,$B28="",$B28&gt;ROP!$C$36),"",ROP!$C$53))</f>
        <v>0</v>
      </c>
      <c r="G28" s="324">
        <f ca="1">N(IF(OR(ROP!$D$33=1,$B28="",$B28&gt;ROP!$D$36),"",ROP!$D$53))</f>
        <v>0</v>
      </c>
      <c r="H28" s="324">
        <f ca="1">N(IF(OR(ROP!$E$33=1,$B28="",$B28&gt;ROP!$E$36),"",ROP!$E$53))</f>
        <v>0</v>
      </c>
      <c r="I28" s="324">
        <f ca="1">N(IF(OR(ROP!$F$33=1,$B28="",$B28&gt;ROP!$F$36),"",ROP!$F$53))</f>
        <v>0</v>
      </c>
      <c r="J28" s="324">
        <f ca="1">N(IF(OR(ROP!$G$33=1,$B28="",$B28&gt;ROP!$G$36),"",ROP!$G$53))</f>
        <v>0</v>
      </c>
      <c r="K28" s="324">
        <f ca="1">N(IF(OR(ROP!$H$33=1,$B28="",$B28&gt;ROP!$H$36),"",ROP!$H$53))</f>
        <v>0</v>
      </c>
      <c r="L28" s="324">
        <f t="shared" ca="1" si="2"/>
        <v>8762</v>
      </c>
      <c r="M28" s="324">
        <f t="shared" ca="1" si="5"/>
        <v>70096</v>
      </c>
      <c r="Q28" s="300">
        <f t="shared" ca="1" si="3"/>
        <v>8</v>
      </c>
      <c r="R28" s="300">
        <f t="shared" ca="1" si="4"/>
        <v>39</v>
      </c>
      <c r="S28" s="324">
        <f ca="1">IF(OR(OP!$D$53=1,$Q28=""),0,VLOOKUP(OP!$C$55,DIE,$Q28+1,0)*OP!$C$28)</f>
        <v>500000</v>
      </c>
      <c r="T28" s="324">
        <f ca="1">IF(OR(OP!$D$53=1,$Q28=""),0,VLOOKUP(OP!$C$55,CV,$Q28+1,0)*OP!$C$28)</f>
        <v>2500</v>
      </c>
      <c r="U28" s="324">
        <f ca="1">IF(OR('OP1'!$D$53=1,$Q28=""),0,VLOOKUP('OP1'!$C$55,_DIE1,$Q28+1,0)*'OP1'!$C$28)</f>
        <v>500000</v>
      </c>
      <c r="V28" s="324">
        <f ca="1">IF(OR('OP1'!$D$53=1,$Q28="",VLOOKUP(Q28,DINS,5,0)=0),0,'OP1'!$C$28*10000*0.5)</f>
        <v>250000</v>
      </c>
      <c r="W28" s="324">
        <f ca="1">IF(OR('OP1'!$D$53=1,$Q28=""),0,VLOOKUP('OP1'!$C$55,CV_1,$Q28+1,0)*'OP1'!$C$28)</f>
        <v>3750</v>
      </c>
      <c r="X28" s="324">
        <f t="shared" ca="1" si="0"/>
        <v>1000000</v>
      </c>
      <c r="Y28" s="324">
        <f ca="1">IF(OR(OP!$D$53=1,$Q28=""),0,VLOOKUP(OP!$C$55,DIE,$Q28+1,0)*OP!$C$28)</f>
        <v>500000</v>
      </c>
      <c r="Z28" s="324">
        <f ca="1">IF(OR(OP!$D$53=1,$Q28=""),0,VLOOKUP(OP!$C$55,DIE,$Q28+1,0)*OP!$C$28*2)</f>
        <v>1000000</v>
      </c>
      <c r="AA28" s="324">
        <f ca="1">IF(OR(OP!$D$53=1,$Q28=""),0,VLOOKUP(OP!$C$55,DIE,$Q28+1,0)*OP!$C$28*2)</f>
        <v>1000000</v>
      </c>
      <c r="AB28" s="324">
        <f ca="1">IF(OR(OP!$D$53=1,$Q128=""),0,VLOOKUP(OP!$C$55,DIE,$Q28+1,0)*OP!$C$28*2)</f>
        <v>0</v>
      </c>
      <c r="AC28" s="324">
        <f ca="1">IF(OR(OP!$D$53=1,$Q28=""),0,VLOOKUP(OP!$C$55,DIE,$Q28+1,0)*OP!$C$28*2)</f>
        <v>1000000</v>
      </c>
      <c r="AD28" s="324">
        <f ca="1">IF(OR(ROP!$C$33=1,$Q28=""),0,VLOOKUP(ROP!$C$39,AORCV,$Q28+1,0)*ROP!$C$30)</f>
        <v>0</v>
      </c>
      <c r="AE28" s="324">
        <f t="shared" ca="1" si="1"/>
        <v>6250</v>
      </c>
      <c r="AF28" s="324">
        <f ca="1">IF(OR('OP1'!$D$53=1,$Q28=""),0,VLOOKUP('OP1'!$C$55,HL_1,$Q28+1,0)*'OP1'!$C$28)</f>
        <v>100000</v>
      </c>
      <c r="AG28" s="324">
        <f ca="1">IF(OR('OP1'!$D$53=1,$Q28=""),0,VLOOKUP('OP1'!$C$55,HL,$Q28+1,0)*'OP1'!$C$28)</f>
        <v>500000</v>
      </c>
    </row>
    <row r="29" spans="1:33" ht="16.5" hidden="1">
      <c r="B29" s="72">
        <f ca="1">IF(OR(B28&gt;=OP!$C$57,B28=""),"",IF(C28+1&gt;81,81-C28,B28+1))</f>
        <v>9</v>
      </c>
      <c r="C29" s="72">
        <f ca="1">IF(OR(MAX(B$21:$B28)&gt;=OP!$C$57),"",C28+(B29-B28))</f>
        <v>40</v>
      </c>
      <c r="D29" s="324">
        <f ca="1">N(IF(OR(OP!$D$53=1,$B29="",$B29&gt;OP!$C$57),"",OP!$C$52))</f>
        <v>3515</v>
      </c>
      <c r="E29" s="324">
        <f ca="1">N(IF(OR('OP1'!$D$53=1,$B29="",$B29&gt;'OP1'!$C$57),"",'OP1'!$C$52))</f>
        <v>5247</v>
      </c>
      <c r="F29" s="324">
        <f ca="1">N(IF(OR(ROP!$C$33=1,$B29="",$B29&gt;ROP!$C$36),"",ROP!$C$53))</f>
        <v>0</v>
      </c>
      <c r="G29" s="324">
        <f ca="1">N(IF(OR(ROP!$D$33=1,$B29="",$B29&gt;ROP!$D$36),"",ROP!$D$53))</f>
        <v>0</v>
      </c>
      <c r="H29" s="324">
        <f ca="1">N(IF(OR(ROP!$E$33=1,$B29="",$B29&gt;ROP!$E$36),"",ROP!$E$53))</f>
        <v>0</v>
      </c>
      <c r="I29" s="324">
        <f ca="1">N(IF(OR(ROP!$F$33=1,$B29="",$B29&gt;ROP!$F$36),"",ROP!$F$53))</f>
        <v>0</v>
      </c>
      <c r="J29" s="324">
        <f ca="1">N(IF(OR(ROP!$G$33=1,$B29="",$B29&gt;ROP!$G$36),"",ROP!$G$53))</f>
        <v>0</v>
      </c>
      <c r="K29" s="324">
        <f ca="1">N(IF(OR(ROP!$H$33=1,$B29="",$B29&gt;ROP!$H$36),"",ROP!$H$53))</f>
        <v>0</v>
      </c>
      <c r="L29" s="324">
        <f t="shared" ca="1" si="2"/>
        <v>8762</v>
      </c>
      <c r="M29" s="324">
        <f t="shared" ca="1" si="5"/>
        <v>78858</v>
      </c>
      <c r="Q29" s="300">
        <f t="shared" ca="1" si="3"/>
        <v>9</v>
      </c>
      <c r="R29" s="300">
        <f t="shared" ca="1" si="4"/>
        <v>40</v>
      </c>
      <c r="S29" s="324">
        <f ca="1">IF(OR(OP!$D$53=1,$Q29=""),0,VLOOKUP(OP!$C$55,DIE,$Q29+1,0)*OP!$C$28)</f>
        <v>500000</v>
      </c>
      <c r="T29" s="324">
        <f ca="1">IF(OR(OP!$D$53=1,$Q29=""),0,VLOOKUP(OP!$C$55,CV,$Q29+1,0)*OP!$C$28)</f>
        <v>2650</v>
      </c>
      <c r="U29" s="324">
        <f ca="1">IF(OR('OP1'!$D$53=1,$Q29=""),0,VLOOKUP('OP1'!$C$55,_DIE1,$Q29+1,0)*'OP1'!$C$28)</f>
        <v>500000</v>
      </c>
      <c r="V29" s="324">
        <f ca="1">IF(OR('OP1'!$D$53=1,$Q29="",VLOOKUP(Q29,DINS,5,0)=0),0,'OP1'!$C$28*10000*0.5)</f>
        <v>250000</v>
      </c>
      <c r="W29" s="324">
        <f ca="1">IF(OR('OP1'!$D$53=1,$Q29=""),0,VLOOKUP('OP1'!$C$55,CV_1,$Q29+1,0)*'OP1'!$C$28)</f>
        <v>4450</v>
      </c>
      <c r="X29" s="324">
        <f t="shared" ca="1" si="0"/>
        <v>1000000</v>
      </c>
      <c r="Y29" s="324">
        <f ca="1">IF(OR(OP!$D$53=1,$Q29=""),0,VLOOKUP(OP!$C$55,DIE,$Q29+1,0)*OP!$C$28)</f>
        <v>500000</v>
      </c>
      <c r="Z29" s="324">
        <f ca="1">IF(OR(OP!$D$53=1,$Q29=""),0,VLOOKUP(OP!$C$55,DIE,$Q29+1,0)*OP!$C$28*2)</f>
        <v>1000000</v>
      </c>
      <c r="AA29" s="324">
        <f ca="1">IF(OR(OP!$D$53=1,$Q29=""),0,VLOOKUP(OP!$C$55,DIE,$Q29+1,0)*OP!$C$28*2)</f>
        <v>1000000</v>
      </c>
      <c r="AB29" s="324">
        <f ca="1">IF(OR(OP!$D$53=1,$Q129=""),0,VLOOKUP(OP!$C$55,DIE,$Q29+1,0)*OP!$C$28*2)</f>
        <v>0</v>
      </c>
      <c r="AC29" s="324">
        <f ca="1">IF(OR(OP!$D$53=1,$Q29=""),0,VLOOKUP(OP!$C$55,DIE,$Q29+1,0)*OP!$C$28*2)</f>
        <v>1000000</v>
      </c>
      <c r="AD29" s="324">
        <f ca="1">IF(OR(ROP!$C$33=1,$Q29=""),0,VLOOKUP(ROP!$C$39,AORCV,$Q29+1,0)*ROP!$C$30)</f>
        <v>0</v>
      </c>
      <c r="AE29" s="324">
        <f t="shared" ca="1" si="1"/>
        <v>7100</v>
      </c>
      <c r="AF29" s="324">
        <f ca="1">IF(OR('OP1'!$D$53=1,$Q29=""),0,VLOOKUP('OP1'!$C$55,HL_1,$Q29+1,0)*'OP1'!$C$28)</f>
        <v>100000</v>
      </c>
      <c r="AG29" s="324">
        <f ca="1">IF(OR('OP1'!$D$53=1,$Q29=""),0,VLOOKUP('OP1'!$C$55,HL,$Q29+1,0)*'OP1'!$C$28)</f>
        <v>500000</v>
      </c>
    </row>
    <row r="30" spans="1:33" ht="16.5" hidden="1">
      <c r="B30" s="72">
        <f ca="1">IF(OR(B29&gt;=OP!$C$57,B29=""),"",IF(C29+1&gt;81,81-C29,B29+1))</f>
        <v>10</v>
      </c>
      <c r="C30" s="72">
        <f ca="1">IF(OR(MAX(B$21:$B29)&gt;=OP!$C$57),"",C29+(B30-B29))</f>
        <v>41</v>
      </c>
      <c r="D30" s="324">
        <f ca="1">N(IF(OR(OP!$D$53=1,$B30="",$B30&gt;OP!$C$57),"",OP!$C$52))</f>
        <v>3515</v>
      </c>
      <c r="E30" s="324">
        <f ca="1">N(IF(OR('OP1'!$D$53=1,$B30="",$B30&gt;'OP1'!$C$57),"",'OP1'!$C$52))</f>
        <v>5247</v>
      </c>
      <c r="F30" s="324">
        <f ca="1">N(IF(OR(ROP!$C$33=1,$B30="",$B30&gt;ROP!$C$36),"",ROP!$C$53))</f>
        <v>0</v>
      </c>
      <c r="G30" s="324">
        <f ca="1">N(IF(OR(ROP!$D$33=1,$B30="",$B30&gt;ROP!$D$36),"",ROP!$D$53))</f>
        <v>0</v>
      </c>
      <c r="H30" s="324">
        <f ca="1">N(IF(OR(ROP!$E$33=1,$B30="",$B30&gt;ROP!$E$36),"",ROP!$E$53))</f>
        <v>0</v>
      </c>
      <c r="I30" s="324">
        <f ca="1">N(IF(OR(ROP!$F$33=1,$B30="",$B30&gt;ROP!$F$36),"",ROP!$F$53))</f>
        <v>0</v>
      </c>
      <c r="J30" s="324">
        <f ca="1">N(IF(OR(ROP!$G$33=1,$B30="",$B30&gt;ROP!$G$36),"",ROP!$G$53))</f>
        <v>0</v>
      </c>
      <c r="K30" s="324">
        <f ca="1">N(IF(OR(ROP!$H$33=1,$B30="",$B30&gt;ROP!$H$36),"",ROP!$H$53))</f>
        <v>0</v>
      </c>
      <c r="L30" s="324">
        <f t="shared" ca="1" si="2"/>
        <v>8762</v>
      </c>
      <c r="M30" s="324">
        <f t="shared" ca="1" si="5"/>
        <v>87620</v>
      </c>
      <c r="Q30" s="300">
        <f t="shared" ca="1" si="3"/>
        <v>10</v>
      </c>
      <c r="R30" s="300">
        <f t="shared" ca="1" si="4"/>
        <v>41</v>
      </c>
      <c r="S30" s="324">
        <f ca="1">IF(OR(OP!$D$53=1,$Q30=""),0,VLOOKUP(OP!$C$55,DIE,$Q30+1,0)*OP!$C$28)</f>
        <v>500000</v>
      </c>
      <c r="T30" s="324">
        <f ca="1">IF(OR(OP!$D$53=1,$Q30=""),0,VLOOKUP(OP!$C$55,CV,$Q30+1,0)*OP!$C$28)</f>
        <v>0</v>
      </c>
      <c r="U30" s="324">
        <f ca="1">IF(OR('OP1'!$D$53=1,$Q30=""),0,VLOOKUP('OP1'!$C$55,_DIE1,$Q30+1,0)*'OP1'!$C$28)</f>
        <v>500000</v>
      </c>
      <c r="V30" s="324">
        <f ca="1">IF(OR('OP1'!$D$53=1,$Q30="",VLOOKUP(Q30,DINS,5,0)=0),0,'OP1'!$C$28*10000*0.5)</f>
        <v>250000</v>
      </c>
      <c r="W30" s="324">
        <f ca="1">IF(OR('OP1'!$D$53=1,$Q30=""),0,VLOOKUP('OP1'!$C$55,CV_1,$Q30+1,0)*'OP1'!$C$28)</f>
        <v>0</v>
      </c>
      <c r="X30" s="324">
        <f t="shared" ca="1" si="0"/>
        <v>1000000</v>
      </c>
      <c r="Y30" s="324">
        <f ca="1">IF(OR(OP!$D$53=1,$Q30=""),0,VLOOKUP(OP!$C$55,DIE,$Q30+1,0)*OP!$C$28)</f>
        <v>500000</v>
      </c>
      <c r="Z30" s="324">
        <f ca="1">IF(OR(OP!$D$53=1,$Q30=""),0,VLOOKUP(OP!$C$55,DIE,$Q30+1,0)*OP!$C$28*2)</f>
        <v>1000000</v>
      </c>
      <c r="AA30" s="324">
        <f ca="1">IF(OR(OP!$D$53=1,$Q30=""),0,VLOOKUP(OP!$C$55,DIE,$Q30+1,0)*OP!$C$28*2)</f>
        <v>1000000</v>
      </c>
      <c r="AB30" s="324">
        <f ca="1">IF(OR(OP!$D$53=1,$Q130=""),0,VLOOKUP(OP!$C$55,DIE,$Q30+1,0)*OP!$C$28*2)</f>
        <v>0</v>
      </c>
      <c r="AC30" s="324">
        <f ca="1">IF(OR(OP!$D$53=1,$Q30=""),0,VLOOKUP(OP!$C$55,DIE,$Q30+1,0)*OP!$C$28*2)</f>
        <v>1000000</v>
      </c>
      <c r="AD30" s="324">
        <f ca="1">IF(OR(ROP!$C$33=1,$Q30=""),0,VLOOKUP(ROP!$C$39,AORCV,$Q30+1,0)*ROP!$C$30)</f>
        <v>0</v>
      </c>
      <c r="AE30" s="324">
        <f t="shared" ca="1" si="1"/>
        <v>0</v>
      </c>
      <c r="AF30" s="324">
        <f ca="1">IF(OR('OP1'!$D$53=1,$Q30=""),0,VLOOKUP('OP1'!$C$55,HL_1,$Q30+1,0)*'OP1'!$C$28)</f>
        <v>100000</v>
      </c>
      <c r="AG30" s="324">
        <f ca="1">IF(OR('OP1'!$D$53=1,$Q30=""),0,VLOOKUP('OP1'!$C$55,HL,$Q30+1,0)*'OP1'!$C$28)</f>
        <v>500000</v>
      </c>
    </row>
    <row r="31" spans="1:33" ht="16.5" hidden="1">
      <c r="A31" t="s">
        <v>818</v>
      </c>
      <c r="B31" s="72">
        <f ca="1">IF(OR(B30&gt;=OP!$C$57,B30=""),"",IF(C30+1&gt;81,81-C30,B30+1))</f>
        <v>11</v>
      </c>
      <c r="C31" s="72">
        <f ca="1">IF(OR(MAX(B$21:$B30)&gt;=OP!$C$57),"",C30+(B31-B30))</f>
        <v>42</v>
      </c>
      <c r="D31" s="396">
        <f ca="1">N(IF(OR(OP!$D$53=1,$B31="",$B31&gt;OP!$C$57),"",OP!$X$3))</f>
        <v>5198</v>
      </c>
      <c r="E31" s="396">
        <f ca="1">N(IF(OR('OP1'!$D$53=1,$B31="",$B31&gt;'OP1'!$C$57),"",'OP1'!$X$3))</f>
        <v>0</v>
      </c>
      <c r="F31" s="396">
        <f ca="1">N(IF(OR(ROP!$C$33=1,$B31="",$B31&gt;ROP!$C$37),"",ROP!$H$127))</f>
        <v>0</v>
      </c>
      <c r="G31" s="396">
        <f ca="1">N(IF(OR(ROP!$D$33=1,$B31="",$B31&gt;ROP!$D$37),"",ROP!$H$138))</f>
        <v>0</v>
      </c>
      <c r="H31" s="396">
        <f ca="1">N(IF(OR(ROP!$E$33=1,$B31="",$B31&gt;ROP!$E$37),"",ROP!$H$149))</f>
        <v>0</v>
      </c>
      <c r="I31" s="396">
        <f ca="1">N(IF(OR(ROP!$F$33=1,$B31="",$B31&gt;ROP!$F$37),"",ROP!$H$160))</f>
        <v>0</v>
      </c>
      <c r="J31" s="396">
        <f ca="1">N(IF(OR(ROP!$G$33=1,$B31="",$B31&gt;ROP!$G$37),"",ROP!$H$171))</f>
        <v>0</v>
      </c>
      <c r="K31" s="396">
        <f ca="1">N(IF(OR(ROP!$H$33=1,$B31="",$B31&gt;ROP!$H$36),"",ROP!$H$53))</f>
        <v>0</v>
      </c>
      <c r="L31" s="396">
        <f t="shared" ca="1" si="2"/>
        <v>5198</v>
      </c>
      <c r="M31" s="396">
        <f ca="1">L31</f>
        <v>5198</v>
      </c>
      <c r="N31" t="s">
        <v>820</v>
      </c>
      <c r="Q31" s="300">
        <f t="shared" ca="1" si="3"/>
        <v>11</v>
      </c>
      <c r="R31" s="300">
        <f t="shared" ca="1" si="4"/>
        <v>42</v>
      </c>
      <c r="S31" s="324">
        <f ca="1">IF(OR(OP!$D$53=1,$Q31=""),0,VLOOKUP(OP!$C$55,DIE,$Q31+1,0)*OP!$C$28)</f>
        <v>0</v>
      </c>
      <c r="T31" s="324">
        <f ca="1">IF(OR(OP!$D$53=1,$Q31=""),0,VLOOKUP(OP!$C$55,CV,$Q31+1,0)*OP!$C$28)</f>
        <v>0</v>
      </c>
      <c r="U31" s="324">
        <f ca="1">IF(OR('OP1'!$D$53=1,$Q31=""),0,VLOOKUP('OP1'!$C$55,_DIE1,$Q31+1,0)*'OP1'!$C$28)</f>
        <v>0</v>
      </c>
      <c r="V31" s="324">
        <f ca="1">IF(OR('OP1'!$D$53=1,$Q31="",VLOOKUP(Q31,DINS,5,0)=0),0,'OP1'!$C$28*10000*0.5)</f>
        <v>0</v>
      </c>
      <c r="W31" s="324">
        <f ca="1">IF(OR('OP1'!$D$53=1,$Q31=""),0,VLOOKUP('OP1'!$C$55,CV_1,$Q31+1,0)*'OP1'!$C$28)</f>
        <v>0</v>
      </c>
      <c r="X31" s="324">
        <f t="shared" ca="1" si="0"/>
        <v>0</v>
      </c>
      <c r="Y31" s="324">
        <f ca="1">IF(OR(OP!$D$53=1,$Q31=""),0,VLOOKUP(OP!$C$55,DIE,$Q31+1,0)*OP!$C$28)</f>
        <v>0</v>
      </c>
      <c r="Z31" s="324">
        <f ca="1">IF(OR(OP!$D$53=1,$Q31=""),0,VLOOKUP(OP!$C$55,DIE,$Q31+1,0)*OP!$C$28*2)</f>
        <v>0</v>
      </c>
      <c r="AA31" s="324">
        <f ca="1">IF(OR(OP!$D$53=1,$Q31=""),0,VLOOKUP(OP!$C$55,DIE,$Q31+1,0)*OP!$C$28*2)</f>
        <v>0</v>
      </c>
      <c r="AB31" s="324">
        <f ca="1">IF(OR(OP!$D$53=1,$Q131=""),0,VLOOKUP(OP!$C$55,DIE,$Q31+1,0)*OP!$C$28*2)</f>
        <v>0</v>
      </c>
      <c r="AC31" s="324">
        <f ca="1">IF(OR(OP!$D$53=1,$Q31=""),0,VLOOKUP(OP!$C$55,DIE,$Q31+1,0)*OP!$C$28*2)</f>
        <v>0</v>
      </c>
      <c r="AD31" s="324">
        <f ca="1">IF(OR(ROP!$C$33=1,$Q31=""),0,VLOOKUP(ROP!$C$39,AORCV,$Q31+1,0)*ROP!$C$30)</f>
        <v>0</v>
      </c>
      <c r="AE31" s="324">
        <f t="shared" ca="1" si="1"/>
        <v>0</v>
      </c>
      <c r="AF31" s="324">
        <f ca="1">IF(OR('OP1'!$D$53=1,$Q31=""),0,VLOOKUP('OP1'!$C$55,HL_1,$Q31+1,0)*'OP1'!$C$28)</f>
        <v>0</v>
      </c>
      <c r="AG31" s="324">
        <f ca="1">IF(OR('OP1'!$D$53=1,$Q31=""),0,VLOOKUP('OP1'!$C$55,HL,$Q31+1,0)*'OP1'!$C$28)</f>
        <v>0</v>
      </c>
    </row>
    <row r="32" spans="1:33" ht="16.5" hidden="1">
      <c r="B32" s="72">
        <f ca="1">IF(OR(B31&gt;=OP!$C$57,B31=""),"",IF(C31+1&gt;81,81-C31,B31+1))</f>
        <v>12</v>
      </c>
      <c r="C32" s="72">
        <f ca="1">IF(OR(MAX(B$21:$B31)&gt;=OP!$C$57),"",C31+(B32-B31))</f>
        <v>43</v>
      </c>
      <c r="D32" s="396">
        <f ca="1">N(IF(OR(OP!$D$53=1,$B32="",$B32&gt;OP!$C$57),"",OP!$X$3))</f>
        <v>5198</v>
      </c>
      <c r="E32" s="396">
        <f ca="1">N(IF(OR('OP1'!$D$53=1,$B32="",$B32&gt;'OP1'!$C$57),"",'OP1'!$X$3))</f>
        <v>0</v>
      </c>
      <c r="F32" s="396">
        <f ca="1">N(IF(OR(ROP!$C$33=1,$B32="",$B32&gt;ROP!$C$37),"",ROP!$H$127))</f>
        <v>0</v>
      </c>
      <c r="G32" s="396">
        <f ca="1">N(IF(OR(ROP!$D$33=1,$B32="",$B32&gt;ROP!$D$37),"",ROP!$H$138))</f>
        <v>0</v>
      </c>
      <c r="H32" s="396">
        <f ca="1">N(IF(OR(ROP!$E$33=1,$B32="",$B32&gt;ROP!$E$37),"",ROP!$H$149))</f>
        <v>0</v>
      </c>
      <c r="I32" s="396">
        <f ca="1">N(IF(OR(ROP!$F$33=1,$B32="",$B32&gt;ROP!$F$37),"",ROP!$H$160))</f>
        <v>0</v>
      </c>
      <c r="J32" s="396">
        <f ca="1">N(IF(OR(ROP!$G$33=1,$B32="",$B32&gt;ROP!$G$37),"",ROP!$H$171))</f>
        <v>0</v>
      </c>
      <c r="K32" s="396">
        <f ca="1">N(IF(OR(ROP!$H$33=1,$B32="",$B32&gt;ROP!$H$36),"",ROP!$H$53))</f>
        <v>0</v>
      </c>
      <c r="L32" s="396">
        <f t="shared" ca="1" si="2"/>
        <v>5198</v>
      </c>
      <c r="M32" s="396">
        <f t="shared" ca="1" si="5"/>
        <v>10396</v>
      </c>
      <c r="Q32" s="300">
        <f t="shared" ca="1" si="3"/>
        <v>12</v>
      </c>
      <c r="R32" s="300">
        <f t="shared" ca="1" si="4"/>
        <v>43</v>
      </c>
      <c r="S32" s="324">
        <f ca="1">IF(OR(OP!$D$53=1,$Q32=""),0,VLOOKUP(OP!$C$55,DIE,$Q32+1,0)*OP!$C$28)</f>
        <v>0</v>
      </c>
      <c r="T32" s="324">
        <f ca="1">IF(OR(OP!$D$53=1,$Q32=""),0,VLOOKUP(OP!$C$55,CV,$Q32+1,0)*OP!$C$28)</f>
        <v>0</v>
      </c>
      <c r="U32" s="324">
        <f ca="1">IF(OR('OP1'!$D$53=1,$Q32=""),0,VLOOKUP('OP1'!$C$55,_DIE1,$Q32+1,0)*'OP1'!$C$28)</f>
        <v>0</v>
      </c>
      <c r="V32" s="324">
        <f ca="1">IF(OR('OP1'!$D$53=1,$Q32="",VLOOKUP(Q32,DINS,5,0)=0),0,'OP1'!$C$28*10000*0.5)</f>
        <v>0</v>
      </c>
      <c r="W32" s="324">
        <f ca="1">IF(OR('OP1'!$D$53=1,$Q32=""),0,VLOOKUP('OP1'!$C$55,CV_1,$Q32+1,0)*'OP1'!$C$28)</f>
        <v>0</v>
      </c>
      <c r="X32" s="324">
        <f t="shared" ca="1" si="0"/>
        <v>0</v>
      </c>
      <c r="Y32" s="324">
        <f ca="1">IF(OR(OP!$D$53=1,$Q32=""),0,VLOOKUP(OP!$C$55,DIE,$Q32+1,0)*OP!$C$28)</f>
        <v>0</v>
      </c>
      <c r="Z32" s="324">
        <f ca="1">IF(OR(OP!$D$53=1,$Q32=""),0,VLOOKUP(OP!$C$55,DIE,$Q32+1,0)*OP!$C$28*2)</f>
        <v>0</v>
      </c>
      <c r="AA32" s="324">
        <f ca="1">IF(OR(OP!$D$53=1,$Q32=""),0,VLOOKUP(OP!$C$55,DIE,$Q32+1,0)*OP!$C$28*2)</f>
        <v>0</v>
      </c>
      <c r="AB32" s="324">
        <f ca="1">IF(OR(OP!$D$53=1,$Q132=""),0,VLOOKUP(OP!$C$55,DIE,$Q32+1,0)*OP!$C$28*2)</f>
        <v>0</v>
      </c>
      <c r="AC32" s="324">
        <f ca="1">IF(OR(OP!$D$53=1,$Q32=""),0,VLOOKUP(OP!$C$55,DIE,$Q32+1,0)*OP!$C$28*2)</f>
        <v>0</v>
      </c>
      <c r="AD32" s="324">
        <f ca="1">IF(OR(ROP!$C$33=1,$Q32=""),0,VLOOKUP(ROP!$C$39,AORCV,$Q32+1,0)*ROP!$C$30)</f>
        <v>0</v>
      </c>
      <c r="AE32" s="324">
        <f t="shared" ca="1" si="1"/>
        <v>0</v>
      </c>
      <c r="AF32" s="324">
        <f ca="1">IF(OR('OP1'!$D$53=1,$Q32=""),0,VLOOKUP('OP1'!$C$55,HL_1,$Q32+1,0)*'OP1'!$C$28)</f>
        <v>0</v>
      </c>
      <c r="AG32" s="324">
        <f ca="1">IF(OR('OP1'!$D$53=1,$Q32=""),0,VLOOKUP('OP1'!$C$55,HL,$Q32+1,0)*'OP1'!$C$28)</f>
        <v>0</v>
      </c>
    </row>
    <row r="33" spans="2:33" ht="16.5" hidden="1">
      <c r="B33" s="72">
        <f ca="1">IF(OR(B32&gt;=OP!$C$57,B32=""),"",IF(C32+1&gt;81,81-C32,B32+1))</f>
        <v>13</v>
      </c>
      <c r="C33" s="72">
        <f ca="1">IF(OR(MAX(B$21:$B32)&gt;=OP!$C$57),"",C32+(B33-B32))</f>
        <v>44</v>
      </c>
      <c r="D33" s="396">
        <f ca="1">N(IF(OR(OP!$D$53=1,$B33="",$B33&gt;OP!$C$57),"",OP!$X$3))</f>
        <v>5198</v>
      </c>
      <c r="E33" s="396">
        <f ca="1">N(IF(OR('OP1'!$D$53=1,$B33="",$B33&gt;'OP1'!$C$57),"",'OP1'!$X$3))</f>
        <v>0</v>
      </c>
      <c r="F33" s="396">
        <f ca="1">N(IF(OR(ROP!$C$33=1,$B33="",$B33&gt;ROP!$C$37),"",ROP!$H$127))</f>
        <v>0</v>
      </c>
      <c r="G33" s="396">
        <f ca="1">N(IF(OR(ROP!$D$33=1,$B33="",$B33&gt;ROP!$D$37),"",ROP!$H$138))</f>
        <v>0</v>
      </c>
      <c r="H33" s="396">
        <f ca="1">N(IF(OR(ROP!$E$33=1,$B33="",$B33&gt;ROP!$E$37),"",ROP!$H$149))</f>
        <v>0</v>
      </c>
      <c r="I33" s="396">
        <f ca="1">N(IF(OR(ROP!$F$33=1,$B33="",$B33&gt;ROP!$F$37),"",ROP!$H$160))</f>
        <v>0</v>
      </c>
      <c r="J33" s="396">
        <f ca="1">N(IF(OR(ROP!$G$33=1,$B33="",$B33&gt;ROP!$G$37),"",ROP!$H$171))</f>
        <v>0</v>
      </c>
      <c r="K33" s="396">
        <f ca="1">N(IF(OR(ROP!$H$33=1,$B33="",$B33&gt;ROP!$H$36),"",ROP!$H$53))</f>
        <v>0</v>
      </c>
      <c r="L33" s="396">
        <f t="shared" ca="1" si="2"/>
        <v>5198</v>
      </c>
      <c r="M33" s="396">
        <f t="shared" ca="1" si="5"/>
        <v>15594</v>
      </c>
      <c r="Q33" s="300">
        <f t="shared" ca="1" si="3"/>
        <v>13</v>
      </c>
      <c r="R33" s="300">
        <f t="shared" ca="1" si="4"/>
        <v>44</v>
      </c>
      <c r="S33" s="324">
        <f ca="1">IF(OR(OP!$D$53=1,$Q33=""),0,VLOOKUP(OP!$C$55,DIE,$Q33+1,0)*OP!$C$28)</f>
        <v>0</v>
      </c>
      <c r="T33" s="324">
        <f ca="1">IF(OR(OP!$D$53=1,$Q33=""),0,VLOOKUP(OP!$C$55,CV,$Q33+1,0)*OP!$C$28)</f>
        <v>0</v>
      </c>
      <c r="U33" s="324">
        <f ca="1">IF(OR('OP1'!$D$53=1,$Q33=""),0,VLOOKUP('OP1'!$C$55,_DIE1,$Q33+1,0)*'OP1'!$C$28)</f>
        <v>0</v>
      </c>
      <c r="V33" s="324">
        <f ca="1">IF(OR('OP1'!$D$53=1,$Q33="",VLOOKUP(Q33,DINS,5,0)=0),0,'OP1'!$C$28*10000*0.5)</f>
        <v>0</v>
      </c>
      <c r="W33" s="324">
        <f ca="1">IF(OR('OP1'!$D$53=1,$Q33=""),0,VLOOKUP('OP1'!$C$55,CV_1,$Q33+1,0)*'OP1'!$C$28)</f>
        <v>0</v>
      </c>
      <c r="X33" s="324">
        <f t="shared" ca="1" si="0"/>
        <v>0</v>
      </c>
      <c r="Y33" s="324">
        <f ca="1">IF(OR(OP!$D$53=1,$Q33=""),0,VLOOKUP(OP!$C$55,DIE,$Q33+1,0)*OP!$C$28)</f>
        <v>0</v>
      </c>
      <c r="Z33" s="324">
        <f ca="1">IF(OR(OP!$D$53=1,$Q33=""),0,VLOOKUP(OP!$C$55,DIE,$Q33+1,0)*OP!$C$28*2)</f>
        <v>0</v>
      </c>
      <c r="AA33" s="324">
        <f ca="1">IF(OR(OP!$D$53=1,$Q33=""),0,VLOOKUP(OP!$C$55,DIE,$Q33+1,0)*OP!$C$28*2)</f>
        <v>0</v>
      </c>
      <c r="AB33" s="324">
        <f ca="1">IF(OR(OP!$D$53=1,$Q133=""),0,VLOOKUP(OP!$C$55,DIE,$Q33+1,0)*OP!$C$28*2)</f>
        <v>0</v>
      </c>
      <c r="AC33" s="324">
        <f ca="1">IF(OR(OP!$D$53=1,$Q33=""),0,VLOOKUP(OP!$C$55,DIE,$Q33+1,0)*OP!$C$28*2)</f>
        <v>0</v>
      </c>
      <c r="AD33" s="324">
        <f ca="1">IF(OR(ROP!$C$33=1,$Q33=""),0,VLOOKUP(ROP!$C$39,AORCV,$Q33+1,0)*ROP!$C$30)</f>
        <v>0</v>
      </c>
      <c r="AE33" s="324">
        <f t="shared" ca="1" si="1"/>
        <v>0</v>
      </c>
      <c r="AF33" s="324">
        <f ca="1">IF(OR('OP1'!$D$53=1,$Q33=""),0,VLOOKUP('OP1'!$C$55,HL_1,$Q33+1,0)*'OP1'!$C$28)</f>
        <v>0</v>
      </c>
      <c r="AG33" s="324">
        <f ca="1">IF(OR('OP1'!$D$53=1,$Q33=""),0,VLOOKUP('OP1'!$C$55,HL,$Q33+1,0)*'OP1'!$C$28)</f>
        <v>0</v>
      </c>
    </row>
    <row r="34" spans="2:33" ht="16.5" hidden="1">
      <c r="B34" s="72">
        <f ca="1">IF(OR(B33&gt;=OP!$C$57,B33=""),"",IF(C33+1&gt;81,81-C33,B33+1))</f>
        <v>14</v>
      </c>
      <c r="C34" s="72">
        <f ca="1">IF(OR(MAX(B$21:$B33)&gt;=OP!$C$57),"",C33+(B34-B33))</f>
        <v>45</v>
      </c>
      <c r="D34" s="396">
        <f ca="1">N(IF(OR(OP!$D$53=1,$B34="",$B34&gt;OP!$C$57),"",OP!$X$3))</f>
        <v>5198</v>
      </c>
      <c r="E34" s="396">
        <f ca="1">N(IF(OR('OP1'!$D$53=1,$B34="",$B34&gt;'OP1'!$C$57),"",'OP1'!$X$3))</f>
        <v>0</v>
      </c>
      <c r="F34" s="396">
        <f ca="1">N(IF(OR(ROP!$C$33=1,$B34="",$B34&gt;ROP!$C$37),"",ROP!$H$127))</f>
        <v>0</v>
      </c>
      <c r="G34" s="396">
        <f ca="1">N(IF(OR(ROP!$D$33=1,$B34="",$B34&gt;ROP!$D$37),"",ROP!$H$138))</f>
        <v>0</v>
      </c>
      <c r="H34" s="396">
        <f ca="1">N(IF(OR(ROP!$E$33=1,$B34="",$B34&gt;ROP!$E$37),"",ROP!$H$149))</f>
        <v>0</v>
      </c>
      <c r="I34" s="396">
        <f ca="1">N(IF(OR(ROP!$F$33=1,$B34="",$B34&gt;ROP!$F$37),"",ROP!$H$160))</f>
        <v>0</v>
      </c>
      <c r="J34" s="396">
        <f ca="1">N(IF(OR(ROP!$G$33=1,$B34="",$B34&gt;ROP!$G$37),"",ROP!$H$171))</f>
        <v>0</v>
      </c>
      <c r="K34" s="396">
        <f ca="1">N(IF(OR(ROP!$H$33=1,$B34="",$B34&gt;ROP!$H$36),"",ROP!$H$53))</f>
        <v>0</v>
      </c>
      <c r="L34" s="396">
        <f t="shared" ca="1" si="2"/>
        <v>5198</v>
      </c>
      <c r="M34" s="396">
        <f t="shared" ca="1" si="5"/>
        <v>20792</v>
      </c>
      <c r="Q34" s="300">
        <f t="shared" ca="1" si="3"/>
        <v>14</v>
      </c>
      <c r="R34" s="300">
        <f t="shared" ca="1" si="4"/>
        <v>45</v>
      </c>
      <c r="S34" s="324">
        <f ca="1">IF(OR(OP!$D$53=1,$Q34=""),0,VLOOKUP(OP!$C$55,DIE,$Q34+1,0)*OP!$C$28)</f>
        <v>0</v>
      </c>
      <c r="T34" s="324">
        <f ca="1">IF(OR(OP!$D$53=1,$Q34=""),0,VLOOKUP(OP!$C$55,CV,$Q34+1,0)*OP!$C$28)</f>
        <v>0</v>
      </c>
      <c r="U34" s="324">
        <f ca="1">IF(OR('OP1'!$D$53=1,$Q34=""),0,VLOOKUP('OP1'!$C$55,_DIE1,$Q34+1,0)*'OP1'!$C$28)</f>
        <v>0</v>
      </c>
      <c r="V34" s="324">
        <f ca="1">IF(OR('OP1'!$D$53=1,$Q34="",VLOOKUP(Q34,DINS,5,0)=0),0,'OP1'!$C$28*10000*0.5)</f>
        <v>0</v>
      </c>
      <c r="W34" s="324">
        <f ca="1">IF(OR('OP1'!$D$53=1,$Q34=""),0,VLOOKUP('OP1'!$C$55,CV_1,$Q34+1,0)*'OP1'!$C$28)</f>
        <v>0</v>
      </c>
      <c r="X34" s="324">
        <f t="shared" ca="1" si="0"/>
        <v>0</v>
      </c>
      <c r="Y34" s="324">
        <f ca="1">IF(OR(OP!$D$53=1,$Q34=""),0,VLOOKUP(OP!$C$55,DIE,$Q34+1,0)*OP!$C$28)</f>
        <v>0</v>
      </c>
      <c r="Z34" s="324">
        <f ca="1">IF(OR(OP!$D$53=1,$Q34=""),0,VLOOKUP(OP!$C$55,DIE,$Q34+1,0)*OP!$C$28*2)</f>
        <v>0</v>
      </c>
      <c r="AA34" s="324">
        <f ca="1">IF(OR(OP!$D$53=1,$Q34=""),0,VLOOKUP(OP!$C$55,DIE,$Q34+1,0)*OP!$C$28*2)</f>
        <v>0</v>
      </c>
      <c r="AB34" s="324">
        <f ca="1">IF(OR(OP!$D$53=1,$Q134=""),0,VLOOKUP(OP!$C$55,DIE,$Q34+1,0)*OP!$C$28*2)</f>
        <v>0</v>
      </c>
      <c r="AC34" s="324">
        <f ca="1">IF(OR(OP!$D$53=1,$Q34=""),0,VLOOKUP(OP!$C$55,DIE,$Q34+1,0)*OP!$C$28*2)</f>
        <v>0</v>
      </c>
      <c r="AD34" s="324">
        <f ca="1">IF(OR(ROP!$C$33=1,$Q34=""),0,VLOOKUP(ROP!$C$39,AORCV,$Q34+1,0)*ROP!$C$30)</f>
        <v>0</v>
      </c>
      <c r="AE34" s="324">
        <f t="shared" ca="1" si="1"/>
        <v>0</v>
      </c>
      <c r="AF34" s="324">
        <f ca="1">IF(OR('OP1'!$D$53=1,$Q34=""),0,VLOOKUP('OP1'!$C$55,HL_1,$Q34+1,0)*'OP1'!$C$28)</f>
        <v>0</v>
      </c>
      <c r="AG34" s="324">
        <f ca="1">IF(OR('OP1'!$D$53=1,$Q34=""),0,VLOOKUP('OP1'!$C$55,HL,$Q34+1,0)*'OP1'!$C$28)</f>
        <v>0</v>
      </c>
    </row>
    <row r="35" spans="2:33" ht="16.5" hidden="1">
      <c r="B35" s="72">
        <f ca="1">IF(OR(B34&gt;=OP!$C$57,B34=""),"",IF(C34+1&gt;81,81-C34,B34+1))</f>
        <v>15</v>
      </c>
      <c r="C35" s="72">
        <f ca="1">IF(OR(MAX(B$21:$B34)&gt;=OP!$C$57),"",C34+(B35-B34))</f>
        <v>46</v>
      </c>
      <c r="D35" s="396">
        <f ca="1">N(IF(OR(OP!$D$53=1,$B35="",$B35&gt;OP!$C$57),"",OP!$X$3))</f>
        <v>5198</v>
      </c>
      <c r="E35" s="396">
        <f ca="1">N(IF(OR('OP1'!$D$53=1,$B35="",$B35&gt;'OP1'!$C$57),"",'OP1'!$X$3))</f>
        <v>0</v>
      </c>
      <c r="F35" s="396">
        <f ca="1">N(IF(OR(ROP!$C$33=1,$B35="",$B35&gt;ROP!$C$37),"",ROP!$H$127))</f>
        <v>0</v>
      </c>
      <c r="G35" s="396">
        <f ca="1">N(IF(OR(ROP!$D$33=1,$B35="",$B35&gt;ROP!$D$37),"",ROP!$H$138))</f>
        <v>0</v>
      </c>
      <c r="H35" s="396">
        <f ca="1">N(IF(OR(ROP!$E$33=1,$B35="",$B35&gt;ROP!$E$37),"",ROP!$H$149))</f>
        <v>0</v>
      </c>
      <c r="I35" s="396">
        <f ca="1">N(IF(OR(ROP!$F$33=1,$B35="",$B35&gt;ROP!$F$37),"",ROP!$H$160))</f>
        <v>0</v>
      </c>
      <c r="J35" s="396">
        <f ca="1">N(IF(OR(ROP!$G$33=1,$B35="",$B35&gt;ROP!$G$37),"",ROP!$H$171))</f>
        <v>0</v>
      </c>
      <c r="K35" s="396">
        <f ca="1">N(IF(OR(ROP!$H$33=1,$B35="",$B35&gt;ROP!$H$36),"",ROP!$H$53))</f>
        <v>0</v>
      </c>
      <c r="L35" s="396">
        <f t="shared" ca="1" si="2"/>
        <v>5198</v>
      </c>
      <c r="M35" s="396">
        <f t="shared" ca="1" si="5"/>
        <v>25990</v>
      </c>
      <c r="Q35" s="300">
        <f t="shared" ca="1" si="3"/>
        <v>15</v>
      </c>
      <c r="R35" s="300">
        <f t="shared" ca="1" si="4"/>
        <v>46</v>
      </c>
      <c r="S35" s="324">
        <f ca="1">IF(OR(OP!$D$53=1,$Q35=""),0,VLOOKUP(OP!$C$55,DIE,$Q35+1,0)*OP!$C$28)</f>
        <v>0</v>
      </c>
      <c r="T35" s="324">
        <f ca="1">IF(OR(OP!$D$53=1,$Q35=""),0,VLOOKUP(OP!$C$55,CV,$Q35+1,0)*OP!$C$28)</f>
        <v>0</v>
      </c>
      <c r="U35" s="324">
        <f ca="1">IF(OR('OP1'!$D$53=1,$Q35=""),0,VLOOKUP('OP1'!$C$55,_DIE1,$Q35+1,0)*'OP1'!$C$28)</f>
        <v>0</v>
      </c>
      <c r="V35" s="324">
        <f ca="1">IF(OR('OP1'!$D$53=1,$Q35="",VLOOKUP(Q35,DINS,5,0)=0),0,'OP1'!$C$28*10000*0.5)</f>
        <v>0</v>
      </c>
      <c r="W35" s="324">
        <f ca="1">IF(OR('OP1'!$D$53=1,$Q35=""),0,VLOOKUP('OP1'!$C$55,CV_1,$Q35+1,0)*'OP1'!$C$28)</f>
        <v>0</v>
      </c>
      <c r="X35" s="324">
        <f t="shared" ca="1" si="0"/>
        <v>0</v>
      </c>
      <c r="Y35" s="324">
        <f ca="1">IF(OR(OP!$D$53=1,$Q35=""),0,VLOOKUP(OP!$C$55,DIE,$Q35+1,0)*OP!$C$28)</f>
        <v>0</v>
      </c>
      <c r="Z35" s="324">
        <f ca="1">IF(OR(OP!$D$53=1,$Q35=""),0,VLOOKUP(OP!$C$55,DIE,$Q35+1,0)*OP!$C$28*2)</f>
        <v>0</v>
      </c>
      <c r="AA35" s="324">
        <f ca="1">IF(OR(OP!$D$53=1,$Q35=""),0,VLOOKUP(OP!$C$55,DIE,$Q35+1,0)*OP!$C$28*2)</f>
        <v>0</v>
      </c>
      <c r="AB35" s="324">
        <f ca="1">IF(OR(OP!$D$53=1,$Q135=""),0,VLOOKUP(OP!$C$55,DIE,$Q35+1,0)*OP!$C$28*2)</f>
        <v>0</v>
      </c>
      <c r="AC35" s="324">
        <f ca="1">IF(OR(OP!$D$53=1,$Q35=""),0,VLOOKUP(OP!$C$55,DIE,$Q35+1,0)*OP!$C$28*2)</f>
        <v>0</v>
      </c>
      <c r="AD35" s="324">
        <f ca="1">IF(OR(ROP!$C$33=1,$Q35=""),0,VLOOKUP(ROP!$C$39,AORCV,$Q35+1,0)*ROP!$C$30)</f>
        <v>0</v>
      </c>
      <c r="AE35" s="324">
        <f t="shared" ca="1" si="1"/>
        <v>0</v>
      </c>
      <c r="AF35" s="324">
        <f ca="1">IF(OR('OP1'!$D$53=1,$Q35=""),0,VLOOKUP('OP1'!$C$55,HL_1,$Q35+1,0)*'OP1'!$C$28)</f>
        <v>0</v>
      </c>
      <c r="AG35" s="324">
        <f ca="1">IF(OR('OP1'!$D$53=1,$Q35=""),0,VLOOKUP('OP1'!$C$55,HL,$Q35+1,0)*'OP1'!$C$28)</f>
        <v>0</v>
      </c>
    </row>
    <row r="36" spans="2:33" ht="16.5" hidden="1">
      <c r="B36" s="72">
        <f ca="1">IF(OR(B35&gt;=OP!$C$57,B35=""),"",IF(C35+1&gt;81,81-C35,B35+1))</f>
        <v>16</v>
      </c>
      <c r="C36" s="72">
        <f ca="1">IF(OR(MAX(B$21:$B35)&gt;=OP!$C$57),"",C35+(B36-B35))</f>
        <v>47</v>
      </c>
      <c r="D36" s="396">
        <f ca="1">N(IF(OR(OP!$D$53=1,$B36="",$B36&gt;OP!$C$57),"",OP!$X$3))</f>
        <v>5198</v>
      </c>
      <c r="E36" s="396">
        <f ca="1">N(IF(OR('OP1'!$D$53=1,$B36="",$B36&gt;'OP1'!$C$57),"",'OP1'!$X$3))</f>
        <v>0</v>
      </c>
      <c r="F36" s="396">
        <f ca="1">N(IF(OR(ROP!$C$33=1,$B36="",$B36&gt;ROP!$C$37),"",ROP!$H$127))</f>
        <v>0</v>
      </c>
      <c r="G36" s="396">
        <f ca="1">N(IF(OR(ROP!$D$33=1,$B36="",$B36&gt;ROP!$D$37),"",ROP!$H$138))</f>
        <v>0</v>
      </c>
      <c r="H36" s="396">
        <f ca="1">N(IF(OR(ROP!$E$33=1,$B36="",$B36&gt;ROP!$E$37),"",ROP!$H$149))</f>
        <v>0</v>
      </c>
      <c r="I36" s="396">
        <f ca="1">N(IF(OR(ROP!$F$33=1,$B36="",$B36&gt;ROP!$F$37),"",ROP!$H$160))</f>
        <v>0</v>
      </c>
      <c r="J36" s="396">
        <f ca="1">N(IF(OR(ROP!$G$33=1,$B36="",$B36&gt;ROP!$G$37),"",ROP!$H$171))</f>
        <v>0</v>
      </c>
      <c r="K36" s="396">
        <f ca="1">N(IF(OR(ROP!$H$33=1,$B36="",$B36&gt;ROP!$H$36),"",ROP!$H$53))</f>
        <v>0</v>
      </c>
      <c r="L36" s="396">
        <f t="shared" ca="1" si="2"/>
        <v>5198</v>
      </c>
      <c r="M36" s="396">
        <f t="shared" ca="1" si="5"/>
        <v>31188</v>
      </c>
      <c r="Q36" s="300">
        <f t="shared" ca="1" si="3"/>
        <v>16</v>
      </c>
      <c r="R36" s="300">
        <f t="shared" ca="1" si="4"/>
        <v>47</v>
      </c>
      <c r="S36" s="324">
        <f ca="1">IF(OR(OP!$D$53=1,$Q36=""),0,VLOOKUP(OP!$C$55,DIE,$Q36+1,0)*OP!$C$28)</f>
        <v>0</v>
      </c>
      <c r="T36" s="324">
        <f ca="1">IF(OR(OP!$D$53=1,$Q36=""),0,VLOOKUP(OP!$C$55,CV,$Q36+1,0)*OP!$C$28)</f>
        <v>0</v>
      </c>
      <c r="U36" s="324">
        <f ca="1">IF(OR('OP1'!$D$53=1,$Q36=""),0,VLOOKUP('OP1'!$C$55,_DIE1,$Q36+1,0)*'OP1'!$C$28)</f>
        <v>0</v>
      </c>
      <c r="V36" s="324">
        <f ca="1">IF(OR('OP1'!$D$53=1,$Q36="",VLOOKUP(Q36,DINS,5,0)=0),0,'OP1'!$C$28*10000*0.5)</f>
        <v>0</v>
      </c>
      <c r="W36" s="324">
        <f ca="1">IF(OR('OP1'!$D$53=1,$Q36=""),0,VLOOKUP('OP1'!$C$55,CV_1,$Q36+1,0)*'OP1'!$C$28)</f>
        <v>0</v>
      </c>
      <c r="X36" s="324">
        <f t="shared" ca="1" si="0"/>
        <v>0</v>
      </c>
      <c r="Y36" s="324">
        <f ca="1">IF(OR(OP!$D$53=1,$Q36=""),0,VLOOKUP(OP!$C$55,DIE,$Q36+1,0)*OP!$C$28)</f>
        <v>0</v>
      </c>
      <c r="Z36" s="324">
        <f ca="1">IF(OR(OP!$D$53=1,$Q36=""),0,VLOOKUP(OP!$C$55,DIE,$Q36+1,0)*OP!$C$28*2)</f>
        <v>0</v>
      </c>
      <c r="AA36" s="324">
        <f ca="1">IF(OR(OP!$D$53=1,$Q36=""),0,VLOOKUP(OP!$C$55,DIE,$Q36+1,0)*OP!$C$28*2)</f>
        <v>0</v>
      </c>
      <c r="AB36" s="324">
        <f ca="1">IF(OR(OP!$D$53=1,$Q136=""),0,VLOOKUP(OP!$C$55,DIE,$Q36+1,0)*OP!$C$28*2)</f>
        <v>0</v>
      </c>
      <c r="AC36" s="324">
        <f ca="1">IF(OR(OP!$D$53=1,$Q36=""),0,VLOOKUP(OP!$C$55,DIE,$Q36+1,0)*OP!$C$28*2)</f>
        <v>0</v>
      </c>
      <c r="AD36" s="324">
        <f ca="1">IF(OR(ROP!$C$33=1,$Q36=""),0,VLOOKUP(ROP!$C$39,AORCV,$Q36+1,0)*ROP!$C$30)</f>
        <v>0</v>
      </c>
      <c r="AE36" s="324">
        <f t="shared" ca="1" si="1"/>
        <v>0</v>
      </c>
      <c r="AF36" s="324">
        <f ca="1">IF(OR('OP1'!$D$53=1,$Q36=""),0,VLOOKUP('OP1'!$C$55,HL_1,$Q36+1,0)*'OP1'!$C$28)</f>
        <v>0</v>
      </c>
      <c r="AG36" s="324">
        <f ca="1">IF(OR('OP1'!$D$53=1,$Q36=""),0,VLOOKUP('OP1'!$C$55,HL,$Q36+1,0)*'OP1'!$C$28)</f>
        <v>0</v>
      </c>
    </row>
    <row r="37" spans="2:33" ht="16.5" hidden="1">
      <c r="B37" s="72">
        <f ca="1">IF(OR(B36&gt;=OP!$C$57,B36=""),"",IF(C36+1&gt;81,81-C36,B36+1))</f>
        <v>17</v>
      </c>
      <c r="C37" s="72">
        <f ca="1">IF(OR(MAX(B$21:$B36)&gt;=OP!$C$57),"",C36+(B37-B36))</f>
        <v>48</v>
      </c>
      <c r="D37" s="396">
        <f ca="1">N(IF(OR(OP!$D$53=1,$B37="",$B37&gt;OP!$C$57),"",OP!$X$3))</f>
        <v>5198</v>
      </c>
      <c r="E37" s="396">
        <f ca="1">N(IF(OR('OP1'!$D$53=1,$B37="",$B37&gt;'OP1'!$C$57),"",'OP1'!$X$3))</f>
        <v>0</v>
      </c>
      <c r="F37" s="396">
        <f ca="1">N(IF(OR(ROP!$C$33=1,$B37="",$B37&gt;ROP!$C$37),"",ROP!$H$127))</f>
        <v>0</v>
      </c>
      <c r="G37" s="396">
        <f ca="1">N(IF(OR(ROP!$D$33=1,$B37="",$B37&gt;ROP!$D$37),"",ROP!$H$138))</f>
        <v>0</v>
      </c>
      <c r="H37" s="396">
        <f ca="1">N(IF(OR(ROP!$E$33=1,$B37="",$B37&gt;ROP!$E$37),"",ROP!$H$149))</f>
        <v>0</v>
      </c>
      <c r="I37" s="396">
        <f ca="1">N(IF(OR(ROP!$F$33=1,$B37="",$B37&gt;ROP!$F$37),"",ROP!$H$160))</f>
        <v>0</v>
      </c>
      <c r="J37" s="396">
        <f ca="1">N(IF(OR(ROP!$G$33=1,$B37="",$B37&gt;ROP!$G$37),"",ROP!$H$171))</f>
        <v>0</v>
      </c>
      <c r="K37" s="396">
        <f ca="1">N(IF(OR(ROP!$H$33=1,$B37="",$B37&gt;ROP!$H$36),"",ROP!$H$53))</f>
        <v>0</v>
      </c>
      <c r="L37" s="396">
        <f t="shared" ca="1" si="2"/>
        <v>5198</v>
      </c>
      <c r="M37" s="396">
        <f t="shared" ca="1" si="5"/>
        <v>36386</v>
      </c>
      <c r="Q37" s="300">
        <f t="shared" ca="1" si="3"/>
        <v>17</v>
      </c>
      <c r="R37" s="300">
        <f t="shared" ca="1" si="4"/>
        <v>48</v>
      </c>
      <c r="S37" s="324">
        <f ca="1">IF(OR(OP!$D$53=1,$Q37=""),0,VLOOKUP(OP!$C$55,DIE,$Q37+1,0)*OP!$C$28)</f>
        <v>0</v>
      </c>
      <c r="T37" s="324">
        <f ca="1">IF(OR(OP!$D$53=1,$Q37=""),0,VLOOKUP(OP!$C$55,CV,$Q37+1,0)*OP!$C$28)</f>
        <v>0</v>
      </c>
      <c r="U37" s="324">
        <f ca="1">IF(OR('OP1'!$D$53=1,$Q37=""),0,VLOOKUP('OP1'!$C$55,_DIE1,$Q37+1,0)*'OP1'!$C$28)</f>
        <v>0</v>
      </c>
      <c r="V37" s="324">
        <f ca="1">IF(OR('OP1'!$D$53=1,$Q37="",VLOOKUP(Q37,DINS,5,0)=0),0,'OP1'!$C$28*10000*0.5)</f>
        <v>0</v>
      </c>
      <c r="W37" s="324">
        <f ca="1">IF(OR('OP1'!$D$53=1,$Q37=""),0,VLOOKUP('OP1'!$C$55,CV_1,$Q37+1,0)*'OP1'!$C$28)</f>
        <v>0</v>
      </c>
      <c r="X37" s="324">
        <f t="shared" ca="1" si="0"/>
        <v>0</v>
      </c>
      <c r="Y37" s="324">
        <f ca="1">IF(OR(OP!$D$53=1,$Q37=""),0,VLOOKUP(OP!$C$55,DIE,$Q37+1,0)*OP!$C$28)</f>
        <v>0</v>
      </c>
      <c r="Z37" s="324">
        <f ca="1">IF(OR(OP!$D$53=1,$Q37=""),0,VLOOKUP(OP!$C$55,DIE,$Q37+1,0)*OP!$C$28*2)</f>
        <v>0</v>
      </c>
      <c r="AA37" s="324">
        <f ca="1">IF(OR(OP!$D$53=1,$Q37=""),0,VLOOKUP(OP!$C$55,DIE,$Q37+1,0)*OP!$C$28*2)</f>
        <v>0</v>
      </c>
      <c r="AB37" s="324">
        <f ca="1">IF(OR(OP!$D$53=1,$Q137=""),0,VLOOKUP(OP!$C$55,DIE,$Q37+1,0)*OP!$C$28*2)</f>
        <v>0</v>
      </c>
      <c r="AC37" s="324">
        <f ca="1">IF(OR(OP!$D$53=1,$Q37=""),0,VLOOKUP(OP!$C$55,DIE,$Q37+1,0)*OP!$C$28*2)</f>
        <v>0</v>
      </c>
      <c r="AD37" s="324">
        <f ca="1">IF(OR(ROP!$C$33=1,$Q37=""),0,VLOOKUP(ROP!$C$39,AORCV,$Q37+1,0)*ROP!$C$30)</f>
        <v>0</v>
      </c>
      <c r="AE37" s="324">
        <f t="shared" ca="1" si="1"/>
        <v>0</v>
      </c>
      <c r="AF37" s="324">
        <f ca="1">IF(OR('OP1'!$D$53=1,$Q37=""),0,VLOOKUP('OP1'!$C$55,HL_1,$Q37+1,0)*'OP1'!$C$28)</f>
        <v>0</v>
      </c>
      <c r="AG37" s="324">
        <f ca="1">IF(OR('OP1'!$D$53=1,$Q37=""),0,VLOOKUP('OP1'!$C$55,HL,$Q37+1,0)*'OP1'!$C$28)</f>
        <v>0</v>
      </c>
    </row>
    <row r="38" spans="2:33" ht="16.5" hidden="1">
      <c r="B38" s="72">
        <f ca="1">IF(OR(B37&gt;=OP!$C$57,B37=""),"",IF(C37+1&gt;81,81-C37,B37+1))</f>
        <v>18</v>
      </c>
      <c r="C38" s="72">
        <f ca="1">IF(OR(MAX(B$21:$B37)&gt;=OP!$C$57),"",C37+(B38-B37))</f>
        <v>49</v>
      </c>
      <c r="D38" s="396">
        <f ca="1">N(IF(OR(OP!$D$53=1,$B38="",$B38&gt;OP!$C$57),"",OP!$X$3))</f>
        <v>5198</v>
      </c>
      <c r="E38" s="396">
        <f ca="1">N(IF(OR('OP1'!$D$53=1,$B38="",$B38&gt;'OP1'!$C$57),"",'OP1'!$X$3))</f>
        <v>0</v>
      </c>
      <c r="F38" s="396">
        <f ca="1">N(IF(OR(ROP!$C$33=1,$B38="",$B38&gt;ROP!$C$37),"",ROP!$H$127))</f>
        <v>0</v>
      </c>
      <c r="G38" s="396">
        <f ca="1">N(IF(OR(ROP!$D$33=1,$B38="",$B38&gt;ROP!$D$37),"",ROP!$H$138))</f>
        <v>0</v>
      </c>
      <c r="H38" s="396">
        <f ca="1">N(IF(OR(ROP!$E$33=1,$B38="",$B38&gt;ROP!$E$37),"",ROP!$H$149))</f>
        <v>0</v>
      </c>
      <c r="I38" s="396">
        <f ca="1">N(IF(OR(ROP!$F$33=1,$B38="",$B38&gt;ROP!$F$37),"",ROP!$H$160))</f>
        <v>0</v>
      </c>
      <c r="J38" s="396">
        <f ca="1">N(IF(OR(ROP!$G$33=1,$B38="",$B38&gt;ROP!$G$37),"",ROP!$H$171))</f>
        <v>0</v>
      </c>
      <c r="K38" s="396">
        <f ca="1">N(IF(OR(ROP!$H$33=1,$B38="",$B38&gt;ROP!$H$36),"",ROP!$H$53))</f>
        <v>0</v>
      </c>
      <c r="L38" s="396">
        <f t="shared" ca="1" si="2"/>
        <v>5198</v>
      </c>
      <c r="M38" s="396">
        <f t="shared" ca="1" si="5"/>
        <v>41584</v>
      </c>
      <c r="Q38" s="300">
        <f t="shared" ca="1" si="3"/>
        <v>18</v>
      </c>
      <c r="R38" s="300">
        <f t="shared" ca="1" si="4"/>
        <v>49</v>
      </c>
      <c r="S38" s="324">
        <f ca="1">IF(OR(OP!$D$53=1,$Q38=""),0,VLOOKUP(OP!$C$55,DIE,$Q38+1,0)*OP!$C$28)</f>
        <v>0</v>
      </c>
      <c r="T38" s="324">
        <f ca="1">IF(OR(OP!$D$53=1,$Q38=""),0,VLOOKUP(OP!$C$55,CV,$Q38+1,0)*OP!$C$28)</f>
        <v>0</v>
      </c>
      <c r="U38" s="324">
        <f ca="1">IF(OR('OP1'!$D$53=1,$Q38=""),0,VLOOKUP('OP1'!$C$55,_DIE1,$Q38+1,0)*'OP1'!$C$28)</f>
        <v>0</v>
      </c>
      <c r="V38" s="324">
        <f ca="1">IF(OR('OP1'!$D$53=1,$Q38="",VLOOKUP(Q38,DINS,5,0)=0),0,'OP1'!$C$28*10000*0.5)</f>
        <v>0</v>
      </c>
      <c r="W38" s="324">
        <f ca="1">IF(OR('OP1'!$D$53=1,$Q38=""),0,VLOOKUP('OP1'!$C$55,CV_1,$Q38+1,0)*'OP1'!$C$28)</f>
        <v>0</v>
      </c>
      <c r="X38" s="324">
        <f t="shared" ca="1" si="0"/>
        <v>0</v>
      </c>
      <c r="Y38" s="324">
        <f ca="1">IF(OR(OP!$D$53=1,$Q38=""),0,VLOOKUP(OP!$C$55,DIE,$Q38+1,0)*OP!$C$28)</f>
        <v>0</v>
      </c>
      <c r="Z38" s="324">
        <f ca="1">IF(OR(OP!$D$53=1,$Q38=""),0,VLOOKUP(OP!$C$55,DIE,$Q38+1,0)*OP!$C$28*2)</f>
        <v>0</v>
      </c>
      <c r="AA38" s="324">
        <f ca="1">IF(OR(OP!$D$53=1,$Q38=""),0,VLOOKUP(OP!$C$55,DIE,$Q38+1,0)*OP!$C$28*2)</f>
        <v>0</v>
      </c>
      <c r="AB38" s="324">
        <f ca="1">IF(OR(OP!$D$53=1,$Q138=""),0,VLOOKUP(OP!$C$55,DIE,$Q38+1,0)*OP!$C$28*2)</f>
        <v>0</v>
      </c>
      <c r="AC38" s="324">
        <f ca="1">IF(OR(OP!$D$53=1,$Q38=""),0,VLOOKUP(OP!$C$55,DIE,$Q38+1,0)*OP!$C$28*2)</f>
        <v>0</v>
      </c>
      <c r="AD38" s="324">
        <f ca="1">IF(OR(ROP!$C$33=1,$Q38=""),0,VLOOKUP(ROP!$C$39,AORCV,$Q38+1,0)*ROP!$C$30)</f>
        <v>0</v>
      </c>
      <c r="AE38" s="324">
        <f t="shared" ca="1" si="1"/>
        <v>0</v>
      </c>
      <c r="AF38" s="324">
        <f ca="1">IF(OR('OP1'!$D$53=1,$Q38=""),0,VLOOKUP('OP1'!$C$55,HL_1,$Q38+1,0)*'OP1'!$C$28)</f>
        <v>0</v>
      </c>
      <c r="AG38" s="324">
        <f ca="1">IF(OR('OP1'!$D$53=1,$Q38=""),0,VLOOKUP('OP1'!$C$55,HL,$Q38+1,0)*'OP1'!$C$28)</f>
        <v>0</v>
      </c>
    </row>
    <row r="39" spans="2:33" ht="16.5" hidden="1">
      <c r="B39" s="72">
        <f ca="1">IF(OR(B38&gt;=OP!$C$57,B38=""),"",IF(C38+1&gt;81,81-C38,B38+1))</f>
        <v>19</v>
      </c>
      <c r="C39" s="72">
        <f ca="1">IF(OR(MAX(B$21:$B38)&gt;=OP!$C$57),"",C38+(B39-B38))</f>
        <v>50</v>
      </c>
      <c r="D39" s="396">
        <f ca="1">N(IF(OR(OP!$D$53=1,$B39="",$B39&gt;OP!$C$57),"",OP!$X$3))</f>
        <v>5198</v>
      </c>
      <c r="E39" s="396">
        <f ca="1">N(IF(OR('OP1'!$D$53=1,$B39="",$B39&gt;'OP1'!$C$57),"",'OP1'!$X$3))</f>
        <v>0</v>
      </c>
      <c r="F39" s="396">
        <f ca="1">N(IF(OR(ROP!$C$33=1,$B39="",$B39&gt;ROP!$C$37),"",ROP!$H$127))</f>
        <v>0</v>
      </c>
      <c r="G39" s="396">
        <f ca="1">N(IF(OR(ROP!$D$33=1,$B39="",$B39&gt;ROP!$D$37),"",ROP!$H$138))</f>
        <v>0</v>
      </c>
      <c r="H39" s="396">
        <f ca="1">N(IF(OR(ROP!$E$33=1,$B39="",$B39&gt;ROP!$E$37),"",ROP!$H$149))</f>
        <v>0</v>
      </c>
      <c r="I39" s="396">
        <f ca="1">N(IF(OR(ROP!$F$33=1,$B39="",$B39&gt;ROP!$F$37),"",ROP!$H$160))</f>
        <v>0</v>
      </c>
      <c r="J39" s="396">
        <f ca="1">N(IF(OR(ROP!$G$33=1,$B39="",$B39&gt;ROP!$G$37),"",ROP!$H$171))</f>
        <v>0</v>
      </c>
      <c r="K39" s="396">
        <f ca="1">N(IF(OR(ROP!$H$33=1,$B39="",$B39&gt;ROP!$H$36),"",ROP!$H$53))</f>
        <v>0</v>
      </c>
      <c r="L39" s="396">
        <f t="shared" ca="1" si="2"/>
        <v>5198</v>
      </c>
      <c r="M39" s="396">
        <f t="shared" ca="1" si="5"/>
        <v>46782</v>
      </c>
      <c r="Q39" s="300">
        <f t="shared" ca="1" si="3"/>
        <v>19</v>
      </c>
      <c r="R39" s="300">
        <f t="shared" ca="1" si="4"/>
        <v>50</v>
      </c>
      <c r="S39" s="324">
        <f ca="1">IF(OR(OP!$D$53=1,$Q39=""),0,VLOOKUP(OP!$C$55,DIE,$Q39+1,0)*OP!$C$28)</f>
        <v>0</v>
      </c>
      <c r="T39" s="324">
        <f ca="1">IF(OR(OP!$D$53=1,$Q39=""),0,VLOOKUP(OP!$C$55,CV,$Q39+1,0)*OP!$C$28)</f>
        <v>0</v>
      </c>
      <c r="U39" s="324">
        <f ca="1">IF(OR('OP1'!$D$53=1,$Q39=""),0,VLOOKUP('OP1'!$C$55,_DIE1,$Q39+1,0)*'OP1'!$C$28)</f>
        <v>0</v>
      </c>
      <c r="V39" s="324">
        <f ca="1">IF(OR('OP1'!$D$53=1,$Q39="",VLOOKUP(Q39,DINS,5,0)=0),0,'OP1'!$C$28*10000*0.5)</f>
        <v>0</v>
      </c>
      <c r="W39" s="324">
        <f ca="1">IF(OR('OP1'!$D$53=1,$Q39=""),0,VLOOKUP('OP1'!$C$55,CV_1,$Q39+1,0)*'OP1'!$C$28)</f>
        <v>0</v>
      </c>
      <c r="X39" s="324">
        <f t="shared" ca="1" si="0"/>
        <v>0</v>
      </c>
      <c r="Y39" s="324">
        <f ca="1">IF(OR(OP!$D$53=1,$Q39=""),0,VLOOKUP(OP!$C$55,DIE,$Q39+1,0)*OP!$C$28)</f>
        <v>0</v>
      </c>
      <c r="Z39" s="324">
        <f ca="1">IF(OR(OP!$D$53=1,$Q39=""),0,VLOOKUP(OP!$C$55,DIE,$Q39+1,0)*OP!$C$28*2)</f>
        <v>0</v>
      </c>
      <c r="AA39" s="324">
        <f ca="1">IF(OR(OP!$D$53=1,$Q39=""),0,VLOOKUP(OP!$C$55,DIE,$Q39+1,0)*OP!$C$28*2)</f>
        <v>0</v>
      </c>
      <c r="AB39" s="324">
        <f ca="1">IF(OR(OP!$D$53=1,$Q139=""),0,VLOOKUP(OP!$C$55,DIE,$Q39+1,0)*OP!$C$28*2)</f>
        <v>0</v>
      </c>
      <c r="AC39" s="324">
        <f ca="1">IF(OR(OP!$D$53=1,$Q39=""),0,VLOOKUP(OP!$C$55,DIE,$Q39+1,0)*OP!$C$28*2)</f>
        <v>0</v>
      </c>
      <c r="AD39" s="324">
        <f ca="1">IF(OR(ROP!$C$33=1,$Q39=""),0,VLOOKUP(ROP!$C$39,AORCV,$Q39+1,0)*ROP!$C$30)</f>
        <v>0</v>
      </c>
      <c r="AE39" s="324">
        <f t="shared" ca="1" si="1"/>
        <v>0</v>
      </c>
      <c r="AF39" s="324">
        <f ca="1">IF(OR('OP1'!$D$53=1,$Q39=""),0,VLOOKUP('OP1'!$C$55,HL_1,$Q39+1,0)*'OP1'!$C$28)</f>
        <v>0</v>
      </c>
      <c r="AG39" s="324">
        <f ca="1">IF(OR('OP1'!$D$53=1,$Q39=""),0,VLOOKUP('OP1'!$C$55,HL,$Q39+1,0)*'OP1'!$C$28)</f>
        <v>0</v>
      </c>
    </row>
    <row r="40" spans="2:33" ht="16.5" hidden="1">
      <c r="B40" s="72">
        <f ca="1">IF(OR(B39&gt;=OP!$C$57,B39=""),"",IF(C39+1&gt;81,81-C39,B39+1))</f>
        <v>20</v>
      </c>
      <c r="C40" s="72">
        <f ca="1">IF(OR(MAX(B$21:$B39)&gt;=OP!$C$57),"",C39+(B40-B39))</f>
        <v>51</v>
      </c>
      <c r="D40" s="396">
        <f ca="1">N(IF(OR(OP!$D$53=1,$B40="",$B40&gt;OP!$C$57),"",OP!$X$3))</f>
        <v>5198</v>
      </c>
      <c r="E40" s="396">
        <f ca="1">N(IF(OR('OP1'!$D$53=1,$B40="",$B40&gt;'OP1'!$C$57),"",'OP1'!$X$3))</f>
        <v>0</v>
      </c>
      <c r="F40" s="396">
        <f ca="1">N(IF(OR(ROP!$C$33=1,$B40="",$B40&gt;ROP!$C$37),"",ROP!$H$127))</f>
        <v>0</v>
      </c>
      <c r="G40" s="396">
        <f ca="1">N(IF(OR(ROP!$D$33=1,$B40="",$B40&gt;ROP!$D$37),"",ROP!$H$138))</f>
        <v>0</v>
      </c>
      <c r="H40" s="396">
        <f ca="1">N(IF(OR(ROP!$E$33=1,$B40="",$B40&gt;ROP!$E$37),"",ROP!$H$149))</f>
        <v>0</v>
      </c>
      <c r="I40" s="396">
        <f ca="1">N(IF(OR(ROP!$F$33=1,$B40="",$B40&gt;ROP!$F$37),"",ROP!$H$160))</f>
        <v>0</v>
      </c>
      <c r="J40" s="396">
        <f ca="1">N(IF(OR(ROP!$G$33=1,$B40="",$B40&gt;ROP!$G$37),"",ROP!$H$171))</f>
        <v>0</v>
      </c>
      <c r="K40" s="396">
        <f ca="1">N(IF(OR(ROP!$H$33=1,$B40="",$B40&gt;ROP!$H$36),"",ROP!$H$53))</f>
        <v>0</v>
      </c>
      <c r="L40" s="396">
        <f t="shared" ca="1" si="2"/>
        <v>5198</v>
      </c>
      <c r="M40" s="396">
        <f t="shared" ca="1" si="5"/>
        <v>51980</v>
      </c>
      <c r="Q40" s="300">
        <f t="shared" ca="1" si="3"/>
        <v>20</v>
      </c>
      <c r="R40" s="300">
        <f t="shared" ca="1" si="4"/>
        <v>51</v>
      </c>
      <c r="S40" s="324">
        <f ca="1">IF(OR(OP!$D$53=1,$Q40=""),0,VLOOKUP(OP!$C$55,DIE,$Q40+1,0)*OP!$C$28)</f>
        <v>0</v>
      </c>
      <c r="T40" s="324">
        <f ca="1">IF(OR(OP!$D$53=1,$Q40=""),0,VLOOKUP(OP!$C$55,CV,$Q40+1,0)*OP!$C$28)</f>
        <v>0</v>
      </c>
      <c r="U40" s="324">
        <f ca="1">IF(OR('OP1'!$D$53=1,$Q40=""),0,VLOOKUP('OP1'!$C$55,_DIE1,$Q40+1,0)*'OP1'!$C$28)</f>
        <v>0</v>
      </c>
      <c r="V40" s="324">
        <f ca="1">IF(OR('OP1'!$D$53=1,$Q40="",VLOOKUP(Q40,DINS,5,0)=0),0,'OP1'!$C$28*10000*0.5)</f>
        <v>0</v>
      </c>
      <c r="W40" s="324">
        <f ca="1">IF(OR('OP1'!$D$53=1,$Q40=""),0,VLOOKUP('OP1'!$C$55,CV_1,$Q40+1,0)*'OP1'!$C$28)</f>
        <v>0</v>
      </c>
      <c r="X40" s="324">
        <f t="shared" ca="1" si="0"/>
        <v>0</v>
      </c>
      <c r="Y40" s="324">
        <f ca="1">IF(OR(OP!$D$53=1,$Q40=""),0,VLOOKUP(OP!$C$55,DIE,$Q40+1,0)*OP!$C$28)</f>
        <v>0</v>
      </c>
      <c r="Z40" s="324">
        <f ca="1">IF(OR(OP!$D$53=1,$Q40=""),0,VLOOKUP(OP!$C$55,DIE,$Q40+1,0)*OP!$C$28*2)</f>
        <v>0</v>
      </c>
      <c r="AA40" s="324">
        <f ca="1">IF(OR(OP!$D$53=1,$Q40=""),0,VLOOKUP(OP!$C$55,DIE,$Q40+1,0)*OP!$C$28*2)</f>
        <v>0</v>
      </c>
      <c r="AB40" s="324">
        <f ca="1">IF(OR(OP!$D$53=1,$Q140=""),0,VLOOKUP(OP!$C$55,DIE,$Q40+1,0)*OP!$C$28*2)</f>
        <v>0</v>
      </c>
      <c r="AC40" s="324">
        <f ca="1">IF(OR(OP!$D$53=1,$Q40=""),0,VLOOKUP(OP!$C$55,DIE,$Q40+1,0)*OP!$C$28*2)</f>
        <v>0</v>
      </c>
      <c r="AD40" s="324">
        <f ca="1">IF(OR(ROP!$C$33=1,$Q40=""),0,VLOOKUP(ROP!$C$39,AORCV,$Q40+1,0)*ROP!$C$30)</f>
        <v>0</v>
      </c>
      <c r="AE40" s="324">
        <f t="shared" ca="1" si="1"/>
        <v>0</v>
      </c>
      <c r="AF40" s="324">
        <f ca="1">IF(OR('OP1'!$D$53=1,$Q40=""),0,VLOOKUP('OP1'!$C$55,HL_1,$Q40+1,0)*'OP1'!$C$28)</f>
        <v>0</v>
      </c>
      <c r="AG40" s="324">
        <f ca="1">IF(OR('OP1'!$D$53=1,$Q40=""),0,VLOOKUP('OP1'!$C$55,HL,$Q40+1,0)*'OP1'!$C$28)</f>
        <v>0</v>
      </c>
    </row>
    <row r="41" spans="2:33" ht="16.5" hidden="1">
      <c r="B41" s="72">
        <f ca="1">IF(OR(B40&gt;=OP!$C$57,B40=""),"",IF(C40+1&gt;81,81-C40,B40+1))</f>
        <v>21</v>
      </c>
      <c r="C41" s="72">
        <f ca="1">IF(OR(MAX(B$21:$B40)&gt;=OP!$C$57),"",C40+(B41-B40))</f>
        <v>52</v>
      </c>
      <c r="D41" s="324">
        <f ca="1">N(IF(OR(OP!$D$53=1,$B41="",$B41&gt;OP!$C$57),"",OP!$X$4))</f>
        <v>9108</v>
      </c>
      <c r="E41" s="324">
        <f ca="1">N(IF(OR('OP1'!$D$53=1,$B41="",$B41&gt;'OP1'!$C$57),"",'OP1'!$X$4))</f>
        <v>0</v>
      </c>
      <c r="F41" s="324">
        <f ca="1">N(IF(OR(ROP!$C$33=1,$B41="",$B41&gt;ROP!$C$37),"",ROP!$H$128))</f>
        <v>0</v>
      </c>
      <c r="G41" s="324">
        <f ca="1">N(IF(OR(ROP!$D$33=1,$B41="",$B41&gt;ROP!$D$37),"",ROP!$H$139))</f>
        <v>0</v>
      </c>
      <c r="H41" s="324">
        <f ca="1">N(IF(OR(ROP!$E$33=1,$B41="",$B41&gt;ROP!$E$37),"",ROP!$H$150))</f>
        <v>0</v>
      </c>
      <c r="I41" s="324">
        <f ca="1">N(IF(OR(ROP!$F$33=1,$B41="",$B41&gt;ROP!$F$37),"",ROP!$H$161))</f>
        <v>0</v>
      </c>
      <c r="J41" s="324">
        <f ca="1">N(IF(OR(ROP!$G$33=1,$B41="",$B41&gt;ROP!$G$37),"",ROP!$H$172))</f>
        <v>0</v>
      </c>
      <c r="K41" s="324">
        <f ca="1">N(IF(OR(ROP!$H$33=1,$B41="",$B41&gt;ROP!$H$36),"",ROP!$H$53))</f>
        <v>0</v>
      </c>
      <c r="L41" s="324">
        <f t="shared" ca="1" si="2"/>
        <v>9108</v>
      </c>
      <c r="M41" s="324">
        <f ca="1">L41</f>
        <v>9108</v>
      </c>
      <c r="N41" t="s">
        <v>820</v>
      </c>
      <c r="Q41" s="300">
        <f t="shared" ca="1" si="3"/>
        <v>21</v>
      </c>
      <c r="R41" s="300">
        <f t="shared" ca="1" si="4"/>
        <v>52</v>
      </c>
      <c r="S41" s="324">
        <f ca="1">IF(OR(OP!$D$53=1,$Q41=""),0,VLOOKUP(OP!$C$55,DIE,$Q41+1,0)*OP!$C$28)</f>
        <v>0</v>
      </c>
      <c r="T41" s="324">
        <f ca="1">IF(OR(OP!$D$53=1,$Q41=""),0,VLOOKUP(OP!$C$55,CV,$Q41+1,0)*OP!$C$28)</f>
        <v>0</v>
      </c>
      <c r="U41" s="324">
        <f ca="1">IF(OR('OP1'!$D$53=1,$Q41=""),0,VLOOKUP('OP1'!$C$55,_DIE1,$Q41+1,0)*'OP1'!$C$28)</f>
        <v>0</v>
      </c>
      <c r="V41" s="324">
        <f ca="1">IF(OR('OP1'!$D$53=1,$Q41="",VLOOKUP(Q41,DINS,5,0)=0),0,'OP1'!$C$28*10000*0.5)</f>
        <v>0</v>
      </c>
      <c r="W41" s="324">
        <f ca="1">IF(OR('OP1'!$D$53=1,$Q41=""),0,VLOOKUP('OP1'!$C$55,CV_1,$Q41+1,0)*'OP1'!$C$28)</f>
        <v>0</v>
      </c>
      <c r="X41" s="324">
        <f t="shared" ca="1" si="0"/>
        <v>0</v>
      </c>
      <c r="Y41" s="324">
        <f ca="1">IF(OR(OP!$D$53=1,$Q41=""),0,VLOOKUP(OP!$C$55,DIE,$Q41+1,0)*OP!$C$28)</f>
        <v>0</v>
      </c>
      <c r="Z41" s="324">
        <f ca="1">IF(OR(OP!$D$53=1,$Q41=""),0,VLOOKUP(OP!$C$55,DIE,$Q41+1,0)*OP!$C$28*2)</f>
        <v>0</v>
      </c>
      <c r="AA41" s="324">
        <f ca="1">IF(OR(OP!$D$53=1,$Q41=""),0,VLOOKUP(OP!$C$55,DIE,$Q41+1,0)*OP!$C$28*2)</f>
        <v>0</v>
      </c>
      <c r="AB41" s="324">
        <f ca="1">IF(OR(OP!$D$53=1,$Q141=""),0,VLOOKUP(OP!$C$55,DIE,$Q41+1,0)*OP!$C$28*2)</f>
        <v>0</v>
      </c>
      <c r="AC41" s="324">
        <f ca="1">IF(OR(OP!$D$53=1,$Q41=""),0,VLOOKUP(OP!$C$55,DIE,$Q41+1,0)*OP!$C$28*2)</f>
        <v>0</v>
      </c>
      <c r="AD41" s="324">
        <f ca="1">IF(OR(ROP!$C$33=1,$Q41=""),0,VLOOKUP(ROP!$C$39,AORCV,$Q41+1,0)*ROP!$C$30)</f>
        <v>0</v>
      </c>
      <c r="AE41" s="324">
        <f t="shared" ca="1" si="1"/>
        <v>0</v>
      </c>
      <c r="AF41" s="324">
        <f ca="1">IF(OR('OP1'!$D$53=1,$Q41=""),0,VLOOKUP('OP1'!$C$55,HL_1,$Q41+1,0)*'OP1'!$C$28)</f>
        <v>0</v>
      </c>
      <c r="AG41" s="324">
        <f ca="1">IF(OR('OP1'!$D$53=1,$Q41=""),0,VLOOKUP('OP1'!$C$55,HL,$Q41+1,0)*'OP1'!$C$28)</f>
        <v>0</v>
      </c>
    </row>
    <row r="42" spans="2:33" ht="16.5" hidden="1">
      <c r="B42" s="72">
        <f ca="1">IF(OR(B41&gt;=OP!$C$57,B41=""),"",IF(C41+1&gt;81,81-C41,B41+1))</f>
        <v>22</v>
      </c>
      <c r="C42" s="72">
        <f ca="1">IF(OR(MAX(B$21:$B41)&gt;=OP!$C$57),"",C41+(B42-B41))</f>
        <v>53</v>
      </c>
      <c r="D42" s="324">
        <f ca="1">N(IF(OR(OP!$D$53=1,$B42="",$B42&gt;OP!$C$57),"",OP!$X$4))</f>
        <v>9108</v>
      </c>
      <c r="E42" s="324">
        <f ca="1">N(IF(OR('OP1'!$D$53=1,$B42="",$B42&gt;'OP1'!$C$57),"",'OP1'!$X$4))</f>
        <v>0</v>
      </c>
      <c r="F42" s="324">
        <f ca="1">N(IF(OR(ROP!$C$33=1,$B42="",$B42&gt;ROP!$C$37),"",ROP!$H$128))</f>
        <v>0</v>
      </c>
      <c r="G42" s="324">
        <f ca="1">N(IF(OR(ROP!$D$33=1,$B42="",$B42&gt;ROP!$D$37),"",ROP!$H$139))</f>
        <v>0</v>
      </c>
      <c r="H42" s="324">
        <f ca="1">N(IF(OR(ROP!$E$33=1,$B42="",$B42&gt;ROP!$E$37),"",ROP!$H$150))</f>
        <v>0</v>
      </c>
      <c r="I42" s="324">
        <f ca="1">N(IF(OR(ROP!$F$33=1,$B42="",$B42&gt;ROP!$F$37),"",ROP!$H$161))</f>
        <v>0</v>
      </c>
      <c r="J42" s="324">
        <f ca="1">N(IF(OR(ROP!$G$33=1,$B42="",$B42&gt;ROP!$G$37),"",ROP!$H$172))</f>
        <v>0</v>
      </c>
      <c r="K42" s="324">
        <f ca="1">N(IF(OR(ROP!$H$33=1,$B42="",$B42&gt;ROP!$H$36),"",ROP!$H$53))</f>
        <v>0</v>
      </c>
      <c r="L42" s="324">
        <f t="shared" ca="1" si="2"/>
        <v>9108</v>
      </c>
      <c r="M42" s="324">
        <f t="shared" ca="1" si="5"/>
        <v>18216</v>
      </c>
      <c r="Q42" s="300">
        <f t="shared" ca="1" si="3"/>
        <v>22</v>
      </c>
      <c r="R42" s="300">
        <f t="shared" ca="1" si="4"/>
        <v>53</v>
      </c>
      <c r="S42" s="324">
        <f ca="1">IF(OR(OP!$D$53=1,$Q42=""),0,VLOOKUP(OP!$C$55,DIE,$Q42+1,0)*OP!$C$28)</f>
        <v>0</v>
      </c>
      <c r="T42" s="324">
        <f ca="1">IF(OR(OP!$D$53=1,$Q42=""),0,VLOOKUP(OP!$C$55,CV,$Q42+1,0)*OP!$C$28)</f>
        <v>0</v>
      </c>
      <c r="U42" s="324">
        <f ca="1">IF(OR('OP1'!$D$53=1,$Q42=""),0,VLOOKUP('OP1'!$C$55,_DIE1,$Q42+1,0)*'OP1'!$C$28)</f>
        <v>0</v>
      </c>
      <c r="V42" s="324">
        <f ca="1">IF(OR('OP1'!$D$53=1,$Q42="",VLOOKUP(Q42,DINS,5,0)=0),0,'OP1'!$C$28*10000*0.5)</f>
        <v>0</v>
      </c>
      <c r="W42" s="324">
        <f ca="1">IF(OR('OP1'!$D$53=1,$Q42=""),0,VLOOKUP('OP1'!$C$55,CV_1,$Q42+1,0)*'OP1'!$C$28)</f>
        <v>0</v>
      </c>
      <c r="X42" s="324">
        <f t="shared" ca="1" si="0"/>
        <v>0</v>
      </c>
      <c r="Y42" s="324">
        <f ca="1">IF(OR(OP!$D$53=1,$Q42=""),0,VLOOKUP(OP!$C$55,DIE,$Q42+1,0)*OP!$C$28)</f>
        <v>0</v>
      </c>
      <c r="Z42" s="324">
        <f ca="1">IF(OR(OP!$D$53=1,$Q42=""),0,VLOOKUP(OP!$C$55,DIE,$Q42+1,0)*OP!$C$28*2)</f>
        <v>0</v>
      </c>
      <c r="AA42" s="324">
        <f ca="1">IF(OR(OP!$D$53=1,$Q42=""),0,VLOOKUP(OP!$C$55,DIE,$Q42+1,0)*OP!$C$28*2)</f>
        <v>0</v>
      </c>
      <c r="AB42" s="324">
        <f ca="1">IF(OR(OP!$D$53=1,$Q142=""),0,VLOOKUP(OP!$C$55,DIE,$Q42+1,0)*OP!$C$28*2)</f>
        <v>0</v>
      </c>
      <c r="AC42" s="324">
        <f ca="1">IF(OR(OP!$D$53=1,$Q42=""),0,VLOOKUP(OP!$C$55,DIE,$Q42+1,0)*OP!$C$28*2)</f>
        <v>0</v>
      </c>
      <c r="AD42" s="324">
        <f ca="1">IF(OR(ROP!$C$33=1,$Q42=""),0,VLOOKUP(ROP!$C$39,AORCV,$Q42+1,0)*ROP!$C$30)</f>
        <v>0</v>
      </c>
      <c r="AE42" s="324">
        <f t="shared" ca="1" si="1"/>
        <v>0</v>
      </c>
      <c r="AF42" s="324">
        <f ca="1">IF(OR('OP1'!$D$53=1,$Q42=""),0,VLOOKUP('OP1'!$C$55,HL_1,$Q42+1,0)*'OP1'!$C$28)</f>
        <v>0</v>
      </c>
      <c r="AG42" s="324">
        <f ca="1">IF(OR('OP1'!$D$53=1,$Q42=""),0,VLOOKUP('OP1'!$C$55,HL,$Q42+1,0)*'OP1'!$C$28)</f>
        <v>0</v>
      </c>
    </row>
    <row r="43" spans="2:33" ht="16.5" hidden="1">
      <c r="B43" s="72">
        <f ca="1">IF(OR(B42&gt;=OP!$C$57,B42=""),"",IF(C42+1&gt;81,81-C42,B42+1))</f>
        <v>23</v>
      </c>
      <c r="C43" s="72">
        <f ca="1">IF(OR(MAX(B$21:$B42)&gt;=OP!$C$57),"",C42+(B43-B42))</f>
        <v>54</v>
      </c>
      <c r="D43" s="324">
        <f ca="1">N(IF(OR(OP!$D$53=1,$B43="",$B43&gt;OP!$C$57),"",OP!$X$4))</f>
        <v>9108</v>
      </c>
      <c r="E43" s="324">
        <f ca="1">N(IF(OR('OP1'!$D$53=1,$B43="",$B43&gt;'OP1'!$C$57),"",'OP1'!$X$4))</f>
        <v>0</v>
      </c>
      <c r="F43" s="324">
        <f ca="1">N(IF(OR(ROP!$C$33=1,$B43="",$B43&gt;ROP!$C$37),"",ROP!$H$128))</f>
        <v>0</v>
      </c>
      <c r="G43" s="324">
        <f ca="1">N(IF(OR(ROP!$D$33=1,$B43="",$B43&gt;ROP!$D$37),"",ROP!$H$139))</f>
        <v>0</v>
      </c>
      <c r="H43" s="324">
        <f ca="1">N(IF(OR(ROP!$E$33=1,$B43="",$B43&gt;ROP!$E$37),"",ROP!$H$150))</f>
        <v>0</v>
      </c>
      <c r="I43" s="324">
        <f ca="1">N(IF(OR(ROP!$F$33=1,$B43="",$B43&gt;ROP!$F$37),"",ROP!$H$161))</f>
        <v>0</v>
      </c>
      <c r="J43" s="324">
        <f ca="1">N(IF(OR(ROP!$G$33=1,$B43="",$B43&gt;ROP!$G$37),"",ROP!$H$172))</f>
        <v>0</v>
      </c>
      <c r="K43" s="324">
        <f ca="1">N(IF(OR(ROP!$H$33=1,$B43="",$B43&gt;ROP!$H$36),"",ROP!$H$53))</f>
        <v>0</v>
      </c>
      <c r="L43" s="324">
        <f t="shared" ca="1" si="2"/>
        <v>9108</v>
      </c>
      <c r="M43" s="324">
        <f t="shared" ca="1" si="5"/>
        <v>27324</v>
      </c>
      <c r="Q43" s="300">
        <f t="shared" ca="1" si="3"/>
        <v>23</v>
      </c>
      <c r="R43" s="300">
        <f t="shared" ca="1" si="4"/>
        <v>54</v>
      </c>
      <c r="S43" s="324">
        <f ca="1">IF(OR(OP!$D$53=1,$Q43=""),0,VLOOKUP(OP!$C$55,DIE,$Q43+1,0)*OP!$C$28)</f>
        <v>0</v>
      </c>
      <c r="T43" s="324">
        <f ca="1">IF(OR(OP!$D$53=1,$Q43=""),0,VLOOKUP(OP!$C$55,CV,$Q43+1,0)*OP!$C$28)</f>
        <v>0</v>
      </c>
      <c r="U43" s="324">
        <f ca="1">IF(OR('OP1'!$D$53=1,$Q43=""),0,VLOOKUP('OP1'!$C$55,_DIE1,$Q43+1,0)*'OP1'!$C$28)</f>
        <v>0</v>
      </c>
      <c r="V43" s="324">
        <f ca="1">IF(OR('OP1'!$D$53=1,$Q43="",VLOOKUP(Q43,DINS,5,0)=0),0,'OP1'!$C$28*10000*0.5)</f>
        <v>0</v>
      </c>
      <c r="W43" s="324">
        <f ca="1">IF(OR('OP1'!$D$53=1,$Q43=""),0,VLOOKUP('OP1'!$C$55,CV_1,$Q43+1,0)*'OP1'!$C$28)</f>
        <v>0</v>
      </c>
      <c r="X43" s="324">
        <f t="shared" ca="1" si="0"/>
        <v>0</v>
      </c>
      <c r="Y43" s="324">
        <f ca="1">IF(OR(OP!$D$53=1,$Q43=""),0,VLOOKUP(OP!$C$55,DIE,$Q43+1,0)*OP!$C$28)</f>
        <v>0</v>
      </c>
      <c r="Z43" s="324">
        <f ca="1">IF(OR(OP!$D$53=1,$Q43=""),0,VLOOKUP(OP!$C$55,DIE,$Q43+1,0)*OP!$C$28*2)</f>
        <v>0</v>
      </c>
      <c r="AA43" s="324">
        <f ca="1">IF(OR(OP!$D$53=1,$Q43=""),0,VLOOKUP(OP!$C$55,DIE,$Q43+1,0)*OP!$C$28*2)</f>
        <v>0</v>
      </c>
      <c r="AB43" s="324">
        <f ca="1">IF(OR(OP!$D$53=1,$Q143=""),0,VLOOKUP(OP!$C$55,DIE,$Q43+1,0)*OP!$C$28*2)</f>
        <v>0</v>
      </c>
      <c r="AC43" s="324">
        <f ca="1">IF(OR(OP!$D$53=1,$Q43=""),0,VLOOKUP(OP!$C$55,DIE,$Q43+1,0)*OP!$C$28*2)</f>
        <v>0</v>
      </c>
      <c r="AD43" s="324">
        <f ca="1">IF(OR(ROP!$C$33=1,$Q43=""),0,VLOOKUP(ROP!$C$39,AORCV,$Q43+1,0)*ROP!$C$30)</f>
        <v>0</v>
      </c>
      <c r="AE43" s="324">
        <f t="shared" ca="1" si="1"/>
        <v>0</v>
      </c>
      <c r="AF43" s="324">
        <f ca="1">IF(OR('OP1'!$D$53=1,$Q43=""),0,VLOOKUP('OP1'!$C$55,HL_1,$Q43+1,0)*'OP1'!$C$28)</f>
        <v>0</v>
      </c>
      <c r="AG43" s="324">
        <f ca="1">IF(OR('OP1'!$D$53=1,$Q43=""),0,VLOOKUP('OP1'!$C$55,HL,$Q43+1,0)*'OP1'!$C$28)</f>
        <v>0</v>
      </c>
    </row>
    <row r="44" spans="2:33" ht="16.5" hidden="1">
      <c r="B44" s="72">
        <f ca="1">IF(OR(B43&gt;=OP!$C$57,B43=""),"",IF(C43+1&gt;81,81-C43,B43+1))</f>
        <v>24</v>
      </c>
      <c r="C44" s="72">
        <f ca="1">IF(OR(MAX(B$21:$B43)&gt;=OP!$C$57),"",C43+(B44-B43))</f>
        <v>55</v>
      </c>
      <c r="D44" s="324">
        <f ca="1">N(IF(OR(OP!$D$53=1,$B44="",$B44&gt;OP!$C$57),"",OP!$X$4))</f>
        <v>9108</v>
      </c>
      <c r="E44" s="324">
        <f ca="1">N(IF(OR('OP1'!$D$53=1,$B44="",$B44&gt;'OP1'!$C$57),"",'OP1'!$X$4))</f>
        <v>0</v>
      </c>
      <c r="F44" s="324">
        <f ca="1">N(IF(OR(ROP!$C$33=1,$B44="",$B44&gt;ROP!$C$37),"",ROP!$H$128))</f>
        <v>0</v>
      </c>
      <c r="G44" s="324">
        <f ca="1">N(IF(OR(ROP!$D$33=1,$B44="",$B44&gt;ROP!$D$37),"",ROP!$H$139))</f>
        <v>0</v>
      </c>
      <c r="H44" s="324">
        <f ca="1">N(IF(OR(ROP!$E$33=1,$B44="",$B44&gt;ROP!$E$37),"",ROP!$H$150))</f>
        <v>0</v>
      </c>
      <c r="I44" s="324">
        <f ca="1">N(IF(OR(ROP!$F$33=1,$B44="",$B44&gt;ROP!$F$37),"",ROP!$H$161))</f>
        <v>0</v>
      </c>
      <c r="J44" s="324">
        <f ca="1">N(IF(OR(ROP!$G$33=1,$B44="",$B44&gt;ROP!$G$37),"",ROP!$H$172))</f>
        <v>0</v>
      </c>
      <c r="K44" s="324">
        <f ca="1">N(IF(OR(ROP!$H$33=1,$B44="",$B44&gt;ROP!$H$36),"",ROP!$H$53))</f>
        <v>0</v>
      </c>
      <c r="L44" s="324">
        <f t="shared" ca="1" si="2"/>
        <v>9108</v>
      </c>
      <c r="M44" s="324">
        <f t="shared" ca="1" si="5"/>
        <v>36432</v>
      </c>
      <c r="Q44" s="300">
        <f t="shared" ca="1" si="3"/>
        <v>24</v>
      </c>
      <c r="R44" s="300">
        <f t="shared" ca="1" si="4"/>
        <v>55</v>
      </c>
      <c r="S44" s="324">
        <f ca="1">IF(OR(OP!$D$53=1,$Q44=""),0,VLOOKUP(OP!$C$55,DIE,$Q44+1,0)*OP!$C$28)</f>
        <v>0</v>
      </c>
      <c r="T44" s="324">
        <f ca="1">IF(OR(OP!$D$53=1,$Q44=""),0,VLOOKUP(OP!$C$55,CV,$Q44+1,0)*OP!$C$28)</f>
        <v>0</v>
      </c>
      <c r="U44" s="324">
        <f ca="1">IF(OR('OP1'!$D$53=1,$Q44=""),0,VLOOKUP('OP1'!$C$55,_DIE1,$Q44+1,0)*'OP1'!$C$28)</f>
        <v>0</v>
      </c>
      <c r="V44" s="324">
        <f ca="1">IF(OR('OP1'!$D$53=1,$Q44="",VLOOKUP(Q44,DINS,5,0)=0),0,'OP1'!$C$28*10000*0.5)</f>
        <v>0</v>
      </c>
      <c r="W44" s="324">
        <f ca="1">IF(OR('OP1'!$D$53=1,$Q44=""),0,VLOOKUP('OP1'!$C$55,CV_1,$Q44+1,0)*'OP1'!$C$28)</f>
        <v>0</v>
      </c>
      <c r="X44" s="324">
        <f t="shared" ca="1" si="0"/>
        <v>0</v>
      </c>
      <c r="Y44" s="324">
        <f ca="1">IF(OR(OP!$D$53=1,$Q44=""),0,VLOOKUP(OP!$C$55,DIE,$Q44+1,0)*OP!$C$28)</f>
        <v>0</v>
      </c>
      <c r="Z44" s="324">
        <f ca="1">IF(OR(OP!$D$53=1,$Q44=""),0,VLOOKUP(OP!$C$55,DIE,$Q44+1,0)*OP!$C$28*2)</f>
        <v>0</v>
      </c>
      <c r="AA44" s="324">
        <f ca="1">IF(OR(OP!$D$53=1,$Q44=""),0,VLOOKUP(OP!$C$55,DIE,$Q44+1,0)*OP!$C$28*2)</f>
        <v>0</v>
      </c>
      <c r="AB44" s="324">
        <f ca="1">IF(OR(OP!$D$53=1,$Q144=""),0,VLOOKUP(OP!$C$55,DIE,$Q44+1,0)*OP!$C$28*2)</f>
        <v>0</v>
      </c>
      <c r="AC44" s="324">
        <f ca="1">IF(OR(OP!$D$53=1,$Q44=""),0,VLOOKUP(OP!$C$55,DIE,$Q44+1,0)*OP!$C$28*2)</f>
        <v>0</v>
      </c>
      <c r="AD44" s="324">
        <f ca="1">IF(OR(ROP!$C$33=1,$Q44=""),0,VLOOKUP(ROP!$C$39,AORCV,$Q44+1,0)*ROP!$C$30)</f>
        <v>0</v>
      </c>
      <c r="AE44" s="324">
        <f t="shared" ca="1" si="1"/>
        <v>0</v>
      </c>
      <c r="AF44" s="324">
        <f ca="1">IF(OR('OP1'!$D$53=1,$Q44=""),0,VLOOKUP('OP1'!$C$55,HL_1,$Q44+1,0)*'OP1'!$C$28)</f>
        <v>0</v>
      </c>
      <c r="AG44" s="324">
        <f ca="1">IF(OR('OP1'!$D$53=1,$Q44=""),0,VLOOKUP('OP1'!$C$55,HL,$Q44+1,0)*'OP1'!$C$28)</f>
        <v>0</v>
      </c>
    </row>
    <row r="45" spans="2:33" ht="16.5" hidden="1">
      <c r="B45" s="72">
        <f ca="1">IF(OR(B44&gt;=OP!$C$57,B44=""),"",IF(C44+1&gt;81,81-C44,B44+1))</f>
        <v>25</v>
      </c>
      <c r="C45" s="72">
        <f ca="1">IF(OR(MAX(B$21:$B44)&gt;=OP!$C$57),"",C44+(B45-B44))</f>
        <v>56</v>
      </c>
      <c r="D45" s="324">
        <f ca="1">N(IF(OR(OP!$D$53=1,$B45="",$B45&gt;OP!$C$57),"",OP!$X$4))</f>
        <v>9108</v>
      </c>
      <c r="E45" s="324">
        <f ca="1">N(IF(OR('OP1'!$D$53=1,$B45="",$B45&gt;'OP1'!$C$57),"",'OP1'!$X$4))</f>
        <v>0</v>
      </c>
      <c r="F45" s="324">
        <f ca="1">N(IF(OR(ROP!$C$33=1,$B45="",$B45&gt;ROP!$C$37),"",ROP!$H$128))</f>
        <v>0</v>
      </c>
      <c r="G45" s="324">
        <f ca="1">N(IF(OR(ROP!$D$33=1,$B45="",$B45&gt;ROP!$D$37),"",ROP!$H$139))</f>
        <v>0</v>
      </c>
      <c r="H45" s="324">
        <f ca="1">N(IF(OR(ROP!$E$33=1,$B45="",$B45&gt;ROP!$E$37),"",ROP!$H$150))</f>
        <v>0</v>
      </c>
      <c r="I45" s="324">
        <f ca="1">N(IF(OR(ROP!$F$33=1,$B45="",$B45&gt;ROP!$F$37),"",ROP!$H$161))</f>
        <v>0</v>
      </c>
      <c r="J45" s="324">
        <f ca="1">N(IF(OR(ROP!$G$33=1,$B45="",$B45&gt;ROP!$G$37),"",ROP!$H$172))</f>
        <v>0</v>
      </c>
      <c r="K45" s="324">
        <f ca="1">N(IF(OR(ROP!$H$33=1,$B45="",$B45&gt;ROP!$H$36),"",ROP!$H$53))</f>
        <v>0</v>
      </c>
      <c r="L45" s="324">
        <f t="shared" ca="1" si="2"/>
        <v>9108</v>
      </c>
      <c r="M45" s="324">
        <f t="shared" ca="1" si="5"/>
        <v>45540</v>
      </c>
      <c r="Q45" s="300">
        <f t="shared" ca="1" si="3"/>
        <v>25</v>
      </c>
      <c r="R45" s="300">
        <f t="shared" ca="1" si="4"/>
        <v>56</v>
      </c>
      <c r="S45" s="324">
        <f ca="1">IF(OR(OP!$D$53=1,$Q45=""),0,VLOOKUP(OP!$C$55,DIE,$Q45+1,0)*OP!$C$28)</f>
        <v>0</v>
      </c>
      <c r="T45" s="324">
        <f ca="1">IF(OR(OP!$D$53=1,$Q45=""),0,VLOOKUP(OP!$C$55,CV,$Q45+1,0)*OP!$C$28)</f>
        <v>0</v>
      </c>
      <c r="U45" s="324">
        <f ca="1">IF(OR('OP1'!$D$53=1,$Q45=""),0,VLOOKUP('OP1'!$C$55,_DIE1,$Q45+1,0)*'OP1'!$C$28)</f>
        <v>0</v>
      </c>
      <c r="V45" s="324">
        <f ca="1">IF(OR('OP1'!$D$53=1,$Q45="",VLOOKUP(Q45,DINS,5,0)=0),0,'OP1'!$C$28*10000*0.5)</f>
        <v>0</v>
      </c>
      <c r="W45" s="324">
        <f ca="1">IF(OR('OP1'!$D$53=1,$Q45=""),0,VLOOKUP('OP1'!$C$55,CV_1,$Q45+1,0)*'OP1'!$C$28)</f>
        <v>0</v>
      </c>
      <c r="X45" s="324">
        <f t="shared" ca="1" si="0"/>
        <v>0</v>
      </c>
      <c r="Y45" s="324">
        <f ca="1">IF(OR(OP!$D$53=1,$Q45=""),0,VLOOKUP(OP!$C$55,DIE,$Q45+1,0)*OP!$C$28)</f>
        <v>0</v>
      </c>
      <c r="Z45" s="324">
        <f ca="1">IF(OR(OP!$D$53=1,$Q45=""),0,VLOOKUP(OP!$C$55,DIE,$Q45+1,0)*OP!$C$28*2)</f>
        <v>0</v>
      </c>
      <c r="AA45" s="324">
        <f ca="1">IF(OR(OP!$D$53=1,$Q45=""),0,VLOOKUP(OP!$C$55,DIE,$Q45+1,0)*OP!$C$28*2)</f>
        <v>0</v>
      </c>
      <c r="AB45" s="324">
        <f ca="1">IF(OR(OP!$D$53=1,$Q145=""),0,VLOOKUP(OP!$C$55,DIE,$Q45+1,0)*OP!$C$28*2)</f>
        <v>0</v>
      </c>
      <c r="AC45" s="324">
        <f ca="1">IF(OR(OP!$D$53=1,$Q45=""),0,VLOOKUP(OP!$C$55,DIE,$Q45+1,0)*OP!$C$28*2)</f>
        <v>0</v>
      </c>
      <c r="AD45" s="324">
        <f ca="1">IF(OR(ROP!$C$33=1,$Q45=""),0,VLOOKUP(ROP!$C$39,AORCV,$Q45+1,0)*ROP!$C$30)</f>
        <v>0</v>
      </c>
      <c r="AE45" s="324">
        <f t="shared" ca="1" si="1"/>
        <v>0</v>
      </c>
      <c r="AF45" s="324">
        <f ca="1">IF(OR('OP1'!$D$53=1,$Q45=""),0,VLOOKUP('OP1'!$C$55,HL_1,$Q45+1,0)*'OP1'!$C$28)</f>
        <v>0</v>
      </c>
      <c r="AG45" s="324">
        <f ca="1">IF(OR('OP1'!$D$53=1,$Q45=""),0,VLOOKUP('OP1'!$C$55,HL,$Q45+1,0)*'OP1'!$C$28)</f>
        <v>0</v>
      </c>
    </row>
    <row r="46" spans="2:33" ht="16.5" hidden="1">
      <c r="B46" s="72">
        <f ca="1">IF(OR(B45&gt;=OP!$C$57,B45=""),"",IF(C45+1&gt;81,81-C45,B45+1))</f>
        <v>26</v>
      </c>
      <c r="C46" s="72">
        <f ca="1">IF(OR(MAX(B$21:$B45)&gt;=OP!$C$57),"",C45+(B46-B45))</f>
        <v>57</v>
      </c>
      <c r="D46" s="324">
        <f ca="1">N(IF(OR(OP!$D$53=1,$B46="",$B46&gt;OP!$C$57),"",OP!$X$4))</f>
        <v>9108</v>
      </c>
      <c r="E46" s="324">
        <f ca="1">N(IF(OR('OP1'!$D$53=1,$B46="",$B46&gt;'OP1'!$C$57),"",'OP1'!$X$4))</f>
        <v>0</v>
      </c>
      <c r="F46" s="324">
        <f ca="1">N(IF(OR(ROP!$C$33=1,$B46="",$B46&gt;ROP!$C$37),"",ROP!$H$128))</f>
        <v>0</v>
      </c>
      <c r="G46" s="324">
        <f ca="1">N(IF(OR(ROP!$D$33=1,$B46="",$B46&gt;ROP!$D$37),"",ROP!$H$139))</f>
        <v>0</v>
      </c>
      <c r="H46" s="324">
        <f ca="1">N(IF(OR(ROP!$E$33=1,$B46="",$B46&gt;ROP!$E$37),"",ROP!$H$150))</f>
        <v>0</v>
      </c>
      <c r="I46" s="324">
        <f ca="1">N(IF(OR(ROP!$F$33=1,$B46="",$B46&gt;ROP!$F$37),"",ROP!$H$161))</f>
        <v>0</v>
      </c>
      <c r="J46" s="324">
        <f ca="1">N(IF(OR(ROP!$G$33=1,$B46="",$B46&gt;ROP!$G$37),"",ROP!$H$172))</f>
        <v>0</v>
      </c>
      <c r="K46" s="324">
        <f ca="1">N(IF(OR(ROP!$H$33=1,$B46="",$B46&gt;ROP!$H$36),"",ROP!$H$53))</f>
        <v>0</v>
      </c>
      <c r="L46" s="324">
        <f t="shared" ca="1" si="2"/>
        <v>9108</v>
      </c>
      <c r="M46" s="324">
        <f t="shared" ca="1" si="5"/>
        <v>54648</v>
      </c>
      <c r="Q46" s="300">
        <f t="shared" ca="1" si="3"/>
        <v>26</v>
      </c>
      <c r="R46" s="300">
        <f t="shared" ca="1" si="4"/>
        <v>57</v>
      </c>
      <c r="S46" s="324">
        <f ca="1">IF(OR(OP!$D$53=1,$Q46=""),0,VLOOKUP(OP!$C$55,DIE,$Q46+1,0)*OP!$C$28)</f>
        <v>0</v>
      </c>
      <c r="T46" s="324">
        <f ca="1">IF(OR(OP!$D$53=1,$Q46=""),0,VLOOKUP(OP!$C$55,CV,$Q46+1,0)*OP!$C$28)</f>
        <v>0</v>
      </c>
      <c r="U46" s="324">
        <f ca="1">IF(OR('OP1'!$D$53=1,$Q46=""),0,VLOOKUP('OP1'!$C$55,_DIE1,$Q46+1,0)*'OP1'!$C$28)</f>
        <v>0</v>
      </c>
      <c r="V46" s="324">
        <f ca="1">IF(OR('OP1'!$D$53=1,$Q46="",VLOOKUP(Q46,DINS,5,0)=0),0,'OP1'!$C$28*10000*0.5)</f>
        <v>0</v>
      </c>
      <c r="W46" s="324">
        <f ca="1">IF(OR('OP1'!$D$53=1,$Q46=""),0,VLOOKUP('OP1'!$C$55,CV_1,$Q46+1,0)*'OP1'!$C$28)</f>
        <v>0</v>
      </c>
      <c r="X46" s="324">
        <f t="shared" ca="1" si="0"/>
        <v>0</v>
      </c>
      <c r="Y46" s="324">
        <f ca="1">IF(OR(OP!$D$53=1,$Q46=""),0,VLOOKUP(OP!$C$55,DIE,$Q46+1,0)*OP!$C$28)</f>
        <v>0</v>
      </c>
      <c r="Z46" s="324">
        <f ca="1">IF(OR(OP!$D$53=1,$Q46=""),0,VLOOKUP(OP!$C$55,DIE,$Q46+1,0)*OP!$C$28*2)</f>
        <v>0</v>
      </c>
      <c r="AA46" s="324">
        <f ca="1">IF(OR(OP!$D$53=1,$Q46=""),0,VLOOKUP(OP!$C$55,DIE,$Q46+1,0)*OP!$C$28*2)</f>
        <v>0</v>
      </c>
      <c r="AB46" s="324">
        <f ca="1">IF(OR(OP!$D$53=1,$Q146=""),0,VLOOKUP(OP!$C$55,DIE,$Q46+1,0)*OP!$C$28*2)</f>
        <v>0</v>
      </c>
      <c r="AC46" s="324">
        <f ca="1">IF(OR(OP!$D$53=1,$Q46=""),0,VLOOKUP(OP!$C$55,DIE,$Q46+1,0)*OP!$C$28*2)</f>
        <v>0</v>
      </c>
      <c r="AD46" s="324">
        <f ca="1">IF(OR(ROP!$C$33=1,$Q46=""),0,VLOOKUP(ROP!$C$39,AORCV,$Q46+1,0)*ROP!$C$30)</f>
        <v>0</v>
      </c>
      <c r="AE46" s="324">
        <f t="shared" ca="1" si="1"/>
        <v>0</v>
      </c>
      <c r="AF46" s="324">
        <f ca="1">IF(OR('OP1'!$D$53=1,$Q46=""),0,VLOOKUP('OP1'!$C$55,HL_1,$Q46+1,0)*'OP1'!$C$28)</f>
        <v>0</v>
      </c>
      <c r="AG46" s="324">
        <f ca="1">IF(OR('OP1'!$D$53=1,$Q46=""),0,VLOOKUP('OP1'!$C$55,HL,$Q46+1,0)*'OP1'!$C$28)</f>
        <v>0</v>
      </c>
    </row>
    <row r="47" spans="2:33" ht="16.5" hidden="1">
      <c r="B47" s="72">
        <f ca="1">IF(OR(B46&gt;=OP!$C$57,B46=""),"",IF(C46+1&gt;81,81-C46,B46+1))</f>
        <v>27</v>
      </c>
      <c r="C47" s="72">
        <f ca="1">IF(OR(MAX(B$21:$B46)&gt;=OP!$C$57),"",C46+(B47-B46))</f>
        <v>58</v>
      </c>
      <c r="D47" s="324">
        <f ca="1">N(IF(OR(OP!$D$53=1,$B47="",$B47&gt;OP!$C$57),"",OP!$X$4))</f>
        <v>9108</v>
      </c>
      <c r="E47" s="324">
        <f ca="1">N(IF(OR('OP1'!$D$53=1,$B47="",$B47&gt;'OP1'!$C$57),"",'OP1'!$X$4))</f>
        <v>0</v>
      </c>
      <c r="F47" s="324">
        <f ca="1">N(IF(OR(ROP!$C$33=1,$B47="",$B47&gt;ROP!$C$37),"",ROP!$H$128))</f>
        <v>0</v>
      </c>
      <c r="G47" s="324">
        <f ca="1">N(IF(OR(ROP!$D$33=1,$B47="",$B47&gt;ROP!$D$37),"",ROP!$H$139))</f>
        <v>0</v>
      </c>
      <c r="H47" s="324">
        <f ca="1">N(IF(OR(ROP!$E$33=1,$B47="",$B47&gt;ROP!$E$37),"",ROP!$H$150))</f>
        <v>0</v>
      </c>
      <c r="I47" s="324">
        <f ca="1">N(IF(OR(ROP!$F$33=1,$B47="",$B47&gt;ROP!$F$37),"",ROP!$H$161))</f>
        <v>0</v>
      </c>
      <c r="J47" s="324">
        <f ca="1">N(IF(OR(ROP!$G$33=1,$B47="",$B47&gt;ROP!$G$37),"",ROP!$H$172))</f>
        <v>0</v>
      </c>
      <c r="K47" s="324">
        <f ca="1">N(IF(OR(ROP!$H$33=1,$B47="",$B47&gt;ROP!$H$36),"",ROP!$H$53))</f>
        <v>0</v>
      </c>
      <c r="L47" s="324">
        <f t="shared" ca="1" si="2"/>
        <v>9108</v>
      </c>
      <c r="M47" s="324">
        <f t="shared" ca="1" si="5"/>
        <v>63756</v>
      </c>
      <c r="Q47" s="300">
        <f t="shared" ca="1" si="3"/>
        <v>27</v>
      </c>
      <c r="R47" s="300">
        <f t="shared" ca="1" si="4"/>
        <v>58</v>
      </c>
      <c r="S47" s="324">
        <f ca="1">IF(OR(OP!$D$53=1,$Q47=""),0,VLOOKUP(OP!$C$55,DIE,$Q47+1,0)*OP!$C$28)</f>
        <v>0</v>
      </c>
      <c r="T47" s="324">
        <f ca="1">IF(OR(OP!$D$53=1,$Q47=""),0,VLOOKUP(OP!$C$55,CV,$Q47+1,0)*OP!$C$28)</f>
        <v>0</v>
      </c>
      <c r="U47" s="324">
        <f ca="1">IF(OR('OP1'!$D$53=1,$Q47=""),0,VLOOKUP('OP1'!$C$55,_DIE1,$Q47+1,0)*'OP1'!$C$28)</f>
        <v>0</v>
      </c>
      <c r="V47" s="324">
        <f ca="1">IF(OR('OP1'!$D$53=1,$Q47="",VLOOKUP(Q47,DINS,5,0)=0),0,'OP1'!$C$28*10000*0.5)</f>
        <v>0</v>
      </c>
      <c r="W47" s="324">
        <f ca="1">IF(OR('OP1'!$D$53=1,$Q47=""),0,VLOOKUP('OP1'!$C$55,CV_1,$Q47+1,0)*'OP1'!$C$28)</f>
        <v>0</v>
      </c>
      <c r="X47" s="324">
        <f t="shared" ca="1" si="0"/>
        <v>0</v>
      </c>
      <c r="Y47" s="324">
        <f ca="1">IF(OR(OP!$D$53=1,$Q47=""),0,VLOOKUP(OP!$C$55,DIE,$Q47+1,0)*OP!$C$28)</f>
        <v>0</v>
      </c>
      <c r="Z47" s="324">
        <f ca="1">IF(OR(OP!$D$53=1,$Q47=""),0,VLOOKUP(OP!$C$55,DIE,$Q47+1,0)*OP!$C$28*2)</f>
        <v>0</v>
      </c>
      <c r="AA47" s="324">
        <f ca="1">IF(OR(OP!$D$53=1,$Q47=""),0,VLOOKUP(OP!$C$55,DIE,$Q47+1,0)*OP!$C$28*2)</f>
        <v>0</v>
      </c>
      <c r="AB47" s="324">
        <f ca="1">IF(OR(OP!$D$53=1,$Q147=""),0,VLOOKUP(OP!$C$55,DIE,$Q47+1,0)*OP!$C$28*2)</f>
        <v>0</v>
      </c>
      <c r="AC47" s="324">
        <f ca="1">IF(OR(OP!$D$53=1,$Q47=""),0,VLOOKUP(OP!$C$55,DIE,$Q47+1,0)*OP!$C$28*2)</f>
        <v>0</v>
      </c>
      <c r="AD47" s="324">
        <f ca="1">IF(OR(ROP!$C$33=1,$Q47=""),0,VLOOKUP(ROP!$C$39,AORCV,$Q47+1,0)*ROP!$C$30)</f>
        <v>0</v>
      </c>
      <c r="AE47" s="324">
        <f t="shared" ca="1" si="1"/>
        <v>0</v>
      </c>
      <c r="AF47" s="324">
        <f ca="1">IF(OR('OP1'!$D$53=1,$Q47=""),0,VLOOKUP('OP1'!$C$55,HL_1,$Q47+1,0)*'OP1'!$C$28)</f>
        <v>0</v>
      </c>
      <c r="AG47" s="324">
        <f ca="1">IF(OR('OP1'!$D$53=1,$Q47=""),0,VLOOKUP('OP1'!$C$55,HL,$Q47+1,0)*'OP1'!$C$28)</f>
        <v>0</v>
      </c>
    </row>
    <row r="48" spans="2:33" ht="16.5" hidden="1">
      <c r="B48" s="72">
        <f ca="1">IF(OR(B47&gt;=OP!$C$57,B47=""),"",IF(C47+1&gt;81,81-C47,B47+1))</f>
        <v>28</v>
      </c>
      <c r="C48" s="72">
        <f ca="1">IF(OR(MAX(B$21:$B47)&gt;=OP!$C$57),"",C47+(B48-B47))</f>
        <v>59</v>
      </c>
      <c r="D48" s="324">
        <f ca="1">N(IF(OR(OP!$D$53=1,$B48="",$B48&gt;OP!$C$57),"",OP!$X$4))</f>
        <v>9108</v>
      </c>
      <c r="E48" s="324">
        <f ca="1">N(IF(OR('OP1'!$D$53=1,$B48="",$B48&gt;'OP1'!$C$57),"",'OP1'!$X$4))</f>
        <v>0</v>
      </c>
      <c r="F48" s="324">
        <f ca="1">N(IF(OR(ROP!$C$33=1,$B48="",$B48&gt;ROP!$C$37),"",ROP!$H$128))</f>
        <v>0</v>
      </c>
      <c r="G48" s="324">
        <f ca="1">N(IF(OR(ROP!$D$33=1,$B48="",$B48&gt;ROP!$D$37),"",ROP!$H$139))</f>
        <v>0</v>
      </c>
      <c r="H48" s="324">
        <f ca="1">N(IF(OR(ROP!$E$33=1,$B48="",$B48&gt;ROP!$E$37),"",ROP!$H$150))</f>
        <v>0</v>
      </c>
      <c r="I48" s="324">
        <f ca="1">N(IF(OR(ROP!$F$33=1,$B48="",$B48&gt;ROP!$F$37),"",ROP!$H$161))</f>
        <v>0</v>
      </c>
      <c r="J48" s="324">
        <f ca="1">N(IF(OR(ROP!$G$33=1,$B48="",$B48&gt;ROP!$G$37),"",ROP!$H$172))</f>
        <v>0</v>
      </c>
      <c r="K48" s="324">
        <f ca="1">N(IF(OR(ROP!$H$33=1,$B48="",$B48&gt;ROP!$H$36),"",ROP!$H$53))</f>
        <v>0</v>
      </c>
      <c r="L48" s="324">
        <f t="shared" ca="1" si="2"/>
        <v>9108</v>
      </c>
      <c r="M48" s="324">
        <f t="shared" ca="1" si="5"/>
        <v>72864</v>
      </c>
      <c r="Q48" s="300">
        <f t="shared" ca="1" si="3"/>
        <v>28</v>
      </c>
      <c r="R48" s="300">
        <f t="shared" ca="1" si="4"/>
        <v>59</v>
      </c>
      <c r="S48" s="324">
        <f ca="1">IF(OR(OP!$D$53=1,$Q48=""),0,VLOOKUP(OP!$C$55,DIE,$Q48+1,0)*OP!$C$28)</f>
        <v>0</v>
      </c>
      <c r="T48" s="324">
        <f ca="1">IF(OR(OP!$D$53=1,$Q48=""),0,VLOOKUP(OP!$C$55,CV,$Q48+1,0)*OP!$C$28)</f>
        <v>0</v>
      </c>
      <c r="U48" s="324">
        <f ca="1">IF(OR('OP1'!$D$53=1,$Q48=""),0,VLOOKUP('OP1'!$C$55,_DIE1,$Q48+1,0)*'OP1'!$C$28)</f>
        <v>0</v>
      </c>
      <c r="V48" s="324">
        <f ca="1">IF(OR('OP1'!$D$53=1,$Q48="",VLOOKUP(Q48,DINS,5,0)=0),0,'OP1'!$C$28*10000*0.5)</f>
        <v>0</v>
      </c>
      <c r="W48" s="324">
        <f ca="1">IF(OR('OP1'!$D$53=1,$Q48=""),0,VLOOKUP('OP1'!$C$55,CV_1,$Q48+1,0)*'OP1'!$C$28)</f>
        <v>0</v>
      </c>
      <c r="X48" s="324">
        <f t="shared" ca="1" si="0"/>
        <v>0</v>
      </c>
      <c r="Y48" s="324">
        <f ca="1">IF(OR(OP!$D$53=1,$Q48=""),0,VLOOKUP(OP!$C$55,DIE,$Q48+1,0)*OP!$C$28)</f>
        <v>0</v>
      </c>
      <c r="Z48" s="324">
        <f ca="1">IF(OR(OP!$D$53=1,$Q48=""),0,VLOOKUP(OP!$C$55,DIE,$Q48+1,0)*OP!$C$28*2)</f>
        <v>0</v>
      </c>
      <c r="AA48" s="324">
        <f ca="1">IF(OR(OP!$D$53=1,$Q48=""),0,VLOOKUP(OP!$C$55,DIE,$Q48+1,0)*OP!$C$28*2)</f>
        <v>0</v>
      </c>
      <c r="AB48" s="324">
        <f ca="1">IF(OR(OP!$D$53=1,$Q148=""),0,VLOOKUP(OP!$C$55,DIE,$Q48+1,0)*OP!$C$28*2)</f>
        <v>0</v>
      </c>
      <c r="AC48" s="324">
        <f ca="1">IF(OR(OP!$D$53=1,$Q48=""),0,VLOOKUP(OP!$C$55,DIE,$Q48+1,0)*OP!$C$28*2)</f>
        <v>0</v>
      </c>
      <c r="AD48" s="324">
        <f ca="1">IF(OR(ROP!$C$33=1,$Q48=""),0,VLOOKUP(ROP!$C$39,AORCV,$Q48+1,0)*ROP!$C$30)</f>
        <v>0</v>
      </c>
      <c r="AE48" s="324">
        <f t="shared" ca="1" si="1"/>
        <v>0</v>
      </c>
      <c r="AF48" s="324">
        <f ca="1">IF(OR('OP1'!$D$53=1,$Q48=""),0,VLOOKUP('OP1'!$C$55,HL_1,$Q48+1,0)*'OP1'!$C$28)</f>
        <v>0</v>
      </c>
      <c r="AG48" s="324">
        <f ca="1">IF(OR('OP1'!$D$53=1,$Q48=""),0,VLOOKUP('OP1'!$C$55,HL,$Q48+1,0)*'OP1'!$C$28)</f>
        <v>0</v>
      </c>
    </row>
    <row r="49" spans="2:33" ht="16.5" hidden="1">
      <c r="B49" s="72">
        <f ca="1">IF(OR(B48&gt;=OP!$C$57,B48=""),"",IF(C48+1&gt;81,81-C48,B48+1))</f>
        <v>29</v>
      </c>
      <c r="C49" s="72">
        <f ca="1">IF(OR(MAX(B$21:$B48)&gt;=OP!$C$57),"",C48+(B49-B48))</f>
        <v>60</v>
      </c>
      <c r="D49" s="324">
        <f ca="1">N(IF(OR(OP!$D$53=1,$B49="",$B49&gt;OP!$C$57),"",OP!$X$4))</f>
        <v>9108</v>
      </c>
      <c r="E49" s="324">
        <f ca="1">N(IF(OR('OP1'!$D$53=1,$B49="",$B49&gt;'OP1'!$C$57),"",'OP1'!$X$4))</f>
        <v>0</v>
      </c>
      <c r="F49" s="324">
        <f ca="1">N(IF(OR(ROP!$C$33=1,$B49="",$B49&gt;ROP!$C$37),"",ROP!$H$128))</f>
        <v>0</v>
      </c>
      <c r="G49" s="324">
        <f ca="1">N(IF(OR(ROP!$D$33=1,$B49="",$B49&gt;ROP!$D$37),"",ROP!$H$139))</f>
        <v>0</v>
      </c>
      <c r="H49" s="324">
        <f ca="1">N(IF(OR(ROP!$E$33=1,$B49="",$B49&gt;ROP!$E$37),"",ROP!$H$150))</f>
        <v>0</v>
      </c>
      <c r="I49" s="324">
        <f ca="1">N(IF(OR(ROP!$F$33=1,$B49="",$B49&gt;ROP!$F$37),"",ROP!$H$161))</f>
        <v>0</v>
      </c>
      <c r="J49" s="324">
        <f ca="1">N(IF(OR(ROP!$G$33=1,$B49="",$B49&gt;ROP!$G$37),"",ROP!$H$172))</f>
        <v>0</v>
      </c>
      <c r="K49" s="324">
        <f ca="1">N(IF(OR(ROP!$H$33=1,$B49="",$B49&gt;ROP!$H$36),"",ROP!$H$53))</f>
        <v>0</v>
      </c>
      <c r="L49" s="324">
        <f t="shared" ca="1" si="2"/>
        <v>9108</v>
      </c>
      <c r="M49" s="324">
        <f t="shared" ca="1" si="5"/>
        <v>81972</v>
      </c>
      <c r="Q49" s="300">
        <f t="shared" ca="1" si="3"/>
        <v>29</v>
      </c>
      <c r="R49" s="300">
        <f t="shared" ca="1" si="4"/>
        <v>60</v>
      </c>
      <c r="S49" s="324">
        <f ca="1">IF(OR(OP!$D$53=1,$Q49=""),0,VLOOKUP(OP!$C$55,DIE,$Q49+1,0)*OP!$C$28)</f>
        <v>0</v>
      </c>
      <c r="T49" s="324">
        <f ca="1">IF(OR(OP!$D$53=1,$Q49=""),0,VLOOKUP(OP!$C$55,CV,$Q49+1,0)*OP!$C$28)</f>
        <v>0</v>
      </c>
      <c r="U49" s="324">
        <f ca="1">IF(OR('OP1'!$D$53=1,$Q49=""),0,VLOOKUP('OP1'!$C$55,_DIE1,$Q49+1,0)*'OP1'!$C$28)</f>
        <v>0</v>
      </c>
      <c r="V49" s="324">
        <f ca="1">IF(OR('OP1'!$D$53=1,$Q49="",VLOOKUP(Q49,DINS,5,0)=0),0,'OP1'!$C$28*10000*0.5)</f>
        <v>0</v>
      </c>
      <c r="W49" s="324">
        <f ca="1">IF(OR('OP1'!$D$53=1,$Q49=""),0,VLOOKUP('OP1'!$C$55,CV_1,$Q49+1,0)*'OP1'!$C$28)</f>
        <v>0</v>
      </c>
      <c r="X49" s="324">
        <f t="shared" ca="1" si="0"/>
        <v>0</v>
      </c>
      <c r="Y49" s="324">
        <f ca="1">IF(OR(OP!$D$53=1,$Q49=""),0,VLOOKUP(OP!$C$55,DIE,$Q49+1,0)*OP!$C$28)</f>
        <v>0</v>
      </c>
      <c r="Z49" s="324">
        <f ca="1">IF(OR(OP!$D$53=1,$Q49=""),0,VLOOKUP(OP!$C$55,DIE,$Q49+1,0)*OP!$C$28*2)</f>
        <v>0</v>
      </c>
      <c r="AA49" s="324">
        <f ca="1">IF(OR(OP!$D$53=1,$Q49=""),0,VLOOKUP(OP!$C$55,DIE,$Q49+1,0)*OP!$C$28*2)</f>
        <v>0</v>
      </c>
      <c r="AB49" s="324">
        <f ca="1">IF(OR(OP!$D$53=1,$Q149=""),0,VLOOKUP(OP!$C$55,DIE,$Q49+1,0)*OP!$C$28*2)</f>
        <v>0</v>
      </c>
      <c r="AC49" s="324">
        <f ca="1">IF(OR(OP!$D$53=1,$Q49=""),0,VLOOKUP(OP!$C$55,DIE,$Q49+1,0)*OP!$C$28*2)</f>
        <v>0</v>
      </c>
      <c r="AD49" s="324">
        <f ca="1">IF(OR(ROP!$C$33=1,$Q49=""),0,VLOOKUP(ROP!$C$39,AORCV,$Q49+1,0)*ROP!$C$30)</f>
        <v>0</v>
      </c>
      <c r="AE49" s="324">
        <f t="shared" ca="1" si="1"/>
        <v>0</v>
      </c>
      <c r="AF49" s="324">
        <f ca="1">IF(OR('OP1'!$D$53=1,$Q49=""),0,VLOOKUP('OP1'!$C$55,HL_1,$Q49+1,0)*'OP1'!$C$28)</f>
        <v>0</v>
      </c>
      <c r="AG49" s="324">
        <f ca="1">IF(OR('OP1'!$D$53=1,$Q49=""),0,VLOOKUP('OP1'!$C$55,HL,$Q49+1,0)*'OP1'!$C$28)</f>
        <v>0</v>
      </c>
    </row>
    <row r="50" spans="2:33" ht="16.5" hidden="1">
      <c r="B50" s="72">
        <f ca="1">IF(OR(B49&gt;=OP!$C$57,B49=""),"",IF(C49+1&gt;81,81-C49,B49+1))</f>
        <v>30</v>
      </c>
      <c r="C50" s="72">
        <f ca="1">IF(OR(MAX(B$21:$B49)&gt;=OP!$C$57),"",C49+(B50-B49))</f>
        <v>61</v>
      </c>
      <c r="D50" s="324">
        <f ca="1">N(IF(OR(OP!$D$53=1,$B50="",$B50&gt;OP!$C$57),"",OP!$X$4))</f>
        <v>9108</v>
      </c>
      <c r="E50" s="324">
        <f ca="1">N(IF(OR('OP1'!$D$53=1,$B50="",$B50&gt;'OP1'!$C$57),"",'OP1'!$X$4))</f>
        <v>0</v>
      </c>
      <c r="F50" s="324">
        <f ca="1">N(IF(OR(ROP!$C$33=1,$B50="",$B50&gt;ROP!$C$37),"",ROP!$H$128))</f>
        <v>0</v>
      </c>
      <c r="G50" s="324">
        <f ca="1">N(IF(OR(ROP!$D$33=1,$B50="",$B50&gt;ROP!$D$37),"",ROP!$H$139))</f>
        <v>0</v>
      </c>
      <c r="H50" s="324">
        <f ca="1">N(IF(OR(ROP!$E$33=1,$B50="",$B50&gt;ROP!$E$37),"",ROP!$H$150))</f>
        <v>0</v>
      </c>
      <c r="I50" s="324">
        <f ca="1">N(IF(OR(ROP!$F$33=1,$B50="",$B50&gt;ROP!$F$37),"",ROP!$H$161))</f>
        <v>0</v>
      </c>
      <c r="J50" s="324">
        <f ca="1">N(IF(OR(ROP!$G$33=1,$B50="",$B50&gt;ROP!$G$37),"",ROP!$H$172))</f>
        <v>0</v>
      </c>
      <c r="K50" s="324">
        <f ca="1">N(IF(OR(ROP!$H$33=1,$B50="",$B50&gt;ROP!$H$36),"",ROP!$H$53))</f>
        <v>0</v>
      </c>
      <c r="L50" s="324">
        <f t="shared" ca="1" si="2"/>
        <v>9108</v>
      </c>
      <c r="M50" s="324">
        <f t="shared" ca="1" si="5"/>
        <v>91080</v>
      </c>
      <c r="Q50" s="300">
        <f t="shared" ca="1" si="3"/>
        <v>30</v>
      </c>
      <c r="R50" s="300">
        <f t="shared" ca="1" si="4"/>
        <v>61</v>
      </c>
      <c r="S50" s="324">
        <f ca="1">IF(OR(OP!$D$53=1,$Q50=""),0,VLOOKUP(OP!$C$55,DIE,$Q50+1,0)*OP!$C$28)</f>
        <v>0</v>
      </c>
      <c r="T50" s="324">
        <f ca="1">IF(OR(OP!$D$53=1,$Q50=""),0,VLOOKUP(OP!$C$55,CV,$Q50+1,0)*OP!$C$28)</f>
        <v>0</v>
      </c>
      <c r="U50" s="324">
        <f ca="1">IF(OR('OP1'!$D$53=1,$Q50=""),0,VLOOKUP('OP1'!$C$55,_DIE1,$Q50+1,0)*'OP1'!$C$28)</f>
        <v>0</v>
      </c>
      <c r="V50" s="324">
        <f ca="1">IF(OR('OP1'!$D$53=1,$Q50="",VLOOKUP(Q50,DINS,5,0)=0),0,'OP1'!$C$28*10000*0.5)</f>
        <v>0</v>
      </c>
      <c r="W50" s="324">
        <f ca="1">IF(OR('OP1'!$D$53=1,$Q50=""),0,VLOOKUP('OP1'!$C$55,CV_1,$Q50+1,0)*'OP1'!$C$28)</f>
        <v>0</v>
      </c>
      <c r="X50" s="324">
        <f t="shared" ca="1" si="0"/>
        <v>0</v>
      </c>
      <c r="Y50" s="324">
        <f ca="1">IF(OR(OP!$D$53=1,$Q50=""),0,VLOOKUP(OP!$C$55,DIE,$Q50+1,0)*OP!$C$28)</f>
        <v>0</v>
      </c>
      <c r="Z50" s="324">
        <f ca="1">IF(OR(OP!$D$53=1,$Q50=""),0,VLOOKUP(OP!$C$55,DIE,$Q50+1,0)*OP!$C$28*2)</f>
        <v>0</v>
      </c>
      <c r="AA50" s="324">
        <f ca="1">IF(OR(OP!$D$53=1,$Q50=""),0,VLOOKUP(OP!$C$55,DIE,$Q50+1,0)*OP!$C$28*2)</f>
        <v>0</v>
      </c>
      <c r="AB50" s="324">
        <f ca="1">IF(OR(OP!$D$53=1,$Q150=""),0,VLOOKUP(OP!$C$55,DIE,$Q50+1,0)*OP!$C$28*2)</f>
        <v>0</v>
      </c>
      <c r="AC50" s="324">
        <f ca="1">IF(OR(OP!$D$53=1,$Q50=""),0,VLOOKUP(OP!$C$55,DIE,$Q50+1,0)*OP!$C$28*2)</f>
        <v>0</v>
      </c>
      <c r="AD50" s="324">
        <f ca="1">IF(OR(ROP!$C$33=1,$Q50=""),0,VLOOKUP(ROP!$C$39,AORCV,$Q50+1,0)*ROP!$C$30)</f>
        <v>0</v>
      </c>
      <c r="AE50" s="324">
        <f t="shared" ca="1" si="1"/>
        <v>0</v>
      </c>
      <c r="AF50" s="324">
        <f ca="1">IF(OR('OP1'!$D$53=1,$Q50=""),0,VLOOKUP('OP1'!$C$55,HL_1,$Q50+1,0)*'OP1'!$C$28)</f>
        <v>0</v>
      </c>
      <c r="AG50" s="324">
        <f ca="1">IF(OR('OP1'!$D$53=1,$Q50=""),0,VLOOKUP('OP1'!$C$55,HL,$Q50+1,0)*'OP1'!$C$28)</f>
        <v>0</v>
      </c>
    </row>
    <row r="51" spans="2:33" ht="16.5" hidden="1">
      <c r="B51" s="72">
        <f ca="1">IF(OR(B50&gt;=OP!$C$57,B50=""),"",IF(C50+1&gt;81,81-C50,B50+1))</f>
        <v>31</v>
      </c>
      <c r="C51" s="72">
        <f ca="1">IF(OR(MAX(B$21:$B50)&gt;=OP!$C$57),"",C50+(B51-B50))</f>
        <v>62</v>
      </c>
      <c r="D51" s="396">
        <f ca="1">N(IF(OR(OP!$D$53=1,$B51="",$B51&gt;OP!$C$57),"",OP!$X$5))</f>
        <v>18612</v>
      </c>
      <c r="E51" s="396">
        <f ca="1">N(IF(OR('OP1'!$D$53=1,$B51="",$B51&gt;'OP1'!$C$57),"",'OP1'!$X$5))</f>
        <v>0</v>
      </c>
      <c r="F51" s="396">
        <f ca="1">N(IF(OR(ROP!$C$33=1,$B51="",$B51&gt;ROP!$C$37),"",ROP!$H$129))</f>
        <v>0</v>
      </c>
      <c r="G51" s="396">
        <f ca="1">N(IF(OR(ROP!$D$33=1,$B51="",$B51&gt;ROP!$D$37),"",ROP!$H$140))</f>
        <v>0</v>
      </c>
      <c r="H51" s="396">
        <f ca="1">N(IF(OR(ROP!$E$33=1,$B51="",$B51&gt;ROP!$E$37),"",ROP!$H$151))</f>
        <v>0</v>
      </c>
      <c r="I51" s="396">
        <f ca="1">N(IF(OR(ROP!$F$33=1,$B51="",$B51&gt;ROP!$F$37),"",ROP!$H$162))</f>
        <v>0</v>
      </c>
      <c r="J51" s="396">
        <f ca="1">N(IF(OR(ROP!$G$33=1,$B51="",$B51&gt;ROP!$G$37),"",ROP!$H$173))</f>
        <v>0</v>
      </c>
      <c r="K51" s="396">
        <f ca="1">N(IF(OR(ROP!$H$33=1,$B51="",$B51&gt;ROP!$H$36),"",ROP!$H$53))</f>
        <v>0</v>
      </c>
      <c r="L51" s="396">
        <f t="shared" ca="1" si="2"/>
        <v>18612</v>
      </c>
      <c r="M51" s="396">
        <f ca="1">L51</f>
        <v>18612</v>
      </c>
      <c r="N51" t="s">
        <v>820</v>
      </c>
      <c r="Q51" s="300">
        <f t="shared" ca="1" si="3"/>
        <v>31</v>
      </c>
      <c r="R51" s="300">
        <f t="shared" ca="1" si="4"/>
        <v>62</v>
      </c>
      <c r="S51" s="324">
        <f ca="1">IF(OR(OP!$D$53=1,$Q51=""),0,VLOOKUP(OP!$C$55,DIE,$Q51+1,0)*OP!$C$28)</f>
        <v>0</v>
      </c>
      <c r="T51" s="324">
        <f ca="1">IF(OR(OP!$D$53=1,$Q51=""),0,VLOOKUP(OP!$C$55,CV,$Q51+1,0)*OP!$C$28)</f>
        <v>0</v>
      </c>
      <c r="U51" s="324">
        <f ca="1">IF(OR('OP1'!$D$53=1,$Q51=""),0,VLOOKUP('OP1'!$C$55,_DIE1,$Q51+1,0)*'OP1'!$C$28)</f>
        <v>0</v>
      </c>
      <c r="V51" s="324">
        <f ca="1">IF(OR('OP1'!$D$53=1,$Q51="",VLOOKUP(Q51,DINS,5,0)=0),0,'OP1'!$C$28*10000*0.5)</f>
        <v>0</v>
      </c>
      <c r="W51" s="324">
        <f ca="1">IF(OR('OP1'!$D$53=1,$Q51=""),0,VLOOKUP('OP1'!$C$55,CV_1,$Q51+1,0)*'OP1'!$C$28)</f>
        <v>0</v>
      </c>
      <c r="X51" s="324">
        <f t="shared" ca="1" si="0"/>
        <v>0</v>
      </c>
      <c r="Y51" s="324">
        <f ca="1">IF(OR(OP!$D$53=1,$Q51=""),0,VLOOKUP(OP!$C$55,DIE,$Q51+1,0)*OP!$C$28)</f>
        <v>0</v>
      </c>
      <c r="Z51" s="324">
        <f ca="1">IF(OR(OP!$D$53=1,$Q51=""),0,VLOOKUP(OP!$C$55,DIE,$Q51+1,0)*OP!$C$28*2)</f>
        <v>0</v>
      </c>
      <c r="AA51" s="324">
        <f ca="1">IF(OR(OP!$D$53=1,$Q51=""),0,VLOOKUP(OP!$C$55,DIE,$Q51+1,0)*OP!$C$28*2)</f>
        <v>0</v>
      </c>
      <c r="AB51" s="324">
        <f ca="1">IF(OR(OP!$D$53=1,$Q151=""),0,VLOOKUP(OP!$C$55,DIE,$Q51+1,0)*OP!$C$28*2)</f>
        <v>0</v>
      </c>
      <c r="AC51" s="324">
        <f ca="1">IF(OR(OP!$D$53=1,$Q51=""),0,VLOOKUP(OP!$C$55,DIE,$Q51+1,0)*OP!$C$28*2)</f>
        <v>0</v>
      </c>
      <c r="AD51" s="324">
        <f ca="1">IF(OR(ROP!$C$33=1,$Q51=""),0,VLOOKUP(ROP!$C$39,AORCV,$Q51+1,0)*ROP!$C$30)</f>
        <v>0</v>
      </c>
      <c r="AE51" s="324">
        <f t="shared" ca="1" si="1"/>
        <v>0</v>
      </c>
      <c r="AF51" s="324">
        <f ca="1">IF(OR('OP1'!$D$53=1,$Q51=""),0,VLOOKUP('OP1'!$C$55,HL_1,$Q51+1,0)*'OP1'!$C$28)</f>
        <v>0</v>
      </c>
      <c r="AG51" s="324">
        <f ca="1">IF(OR('OP1'!$D$53=1,$Q51=""),0,VLOOKUP('OP1'!$C$55,HL,$Q51+1,0)*'OP1'!$C$28)</f>
        <v>0</v>
      </c>
    </row>
    <row r="52" spans="2:33" ht="16.5" hidden="1">
      <c r="B52" s="72">
        <f ca="1">IF(OR(B51&gt;=OP!$C$57,B51=""),"",IF(C51+1&gt;81,81-C51,B51+1))</f>
        <v>32</v>
      </c>
      <c r="C52" s="72">
        <f ca="1">IF(OR(MAX(B$21:$B51)&gt;=OP!$C$57),"",C51+(B52-B51))</f>
        <v>63</v>
      </c>
      <c r="D52" s="396">
        <f ca="1">N(IF(OR(OP!$D$53=1,$B52="",$B52&gt;OP!$C$57),"",OP!$X$5))</f>
        <v>18612</v>
      </c>
      <c r="E52" s="396">
        <f ca="1">N(IF(OR('OP1'!$D$53=1,$B52="",$B52&gt;'OP1'!$C$57),"",'OP1'!$X$5))</f>
        <v>0</v>
      </c>
      <c r="F52" s="396">
        <f ca="1">N(IF(OR(ROP!$C$33=1,$B52="",$B52&gt;ROP!$C$37),"",ROP!$H$129))</f>
        <v>0</v>
      </c>
      <c r="G52" s="396">
        <f ca="1">N(IF(OR(ROP!$D$33=1,$B52="",$B52&gt;ROP!$D$37),"",ROP!$H$140))</f>
        <v>0</v>
      </c>
      <c r="H52" s="396">
        <f ca="1">N(IF(OR(ROP!$E$33=1,$B52="",$B52&gt;ROP!$E$37),"",ROP!$H$151))</f>
        <v>0</v>
      </c>
      <c r="I52" s="396">
        <f ca="1">N(IF(OR(ROP!$F$33=1,$B52="",$B52&gt;ROP!$F$37),"",ROP!$H$162))</f>
        <v>0</v>
      </c>
      <c r="J52" s="396">
        <f ca="1">N(IF(OR(ROP!$G$33=1,$B52="",$B52&gt;ROP!$G$37),"",ROP!$H$173))</f>
        <v>0</v>
      </c>
      <c r="K52" s="396">
        <f ca="1">N(IF(OR(ROP!$H$33=1,$B52="",$B52&gt;ROP!$H$36),"",ROP!$H$53))</f>
        <v>0</v>
      </c>
      <c r="L52" s="396">
        <f t="shared" ca="1" si="2"/>
        <v>18612</v>
      </c>
      <c r="M52" s="396">
        <f t="shared" ca="1" si="5"/>
        <v>37224</v>
      </c>
      <c r="Q52" s="300">
        <f t="shared" ca="1" si="3"/>
        <v>32</v>
      </c>
      <c r="R52" s="300">
        <f t="shared" ca="1" si="4"/>
        <v>63</v>
      </c>
      <c r="S52" s="324">
        <f ca="1">IF(OR(OP!$D$53=1,$Q52=""),0,VLOOKUP(OP!$C$55,DIE,$Q52+1,0)*OP!$C$28)</f>
        <v>0</v>
      </c>
      <c r="T52" s="324">
        <f ca="1">IF(OR(OP!$D$53=1,$Q52=""),0,VLOOKUP(OP!$C$55,CV,$Q52+1,0)*OP!$C$28)</f>
        <v>0</v>
      </c>
      <c r="U52" s="324">
        <f ca="1">IF(OR('OP1'!$D$53=1,$Q52=""),0,VLOOKUP('OP1'!$C$55,_DIE1,$Q52+1,0)*'OP1'!$C$28)</f>
        <v>0</v>
      </c>
      <c r="V52" s="324">
        <f ca="1">IF(OR('OP1'!$D$53=1,$Q52="",VLOOKUP(Q52,DINS,5,0)=0),0,'OP1'!$C$28*10000*0.5)</f>
        <v>0</v>
      </c>
      <c r="W52" s="324">
        <f ca="1">IF(OR('OP1'!$D$53=1,$Q52=""),0,VLOOKUP('OP1'!$C$55,CV_1,$Q52+1,0)*'OP1'!$C$28)</f>
        <v>0</v>
      </c>
      <c r="X52" s="324">
        <f t="shared" ca="1" si="0"/>
        <v>0</v>
      </c>
      <c r="Y52" s="324">
        <f ca="1">IF(OR(OP!$D$53=1,$Q52=""),0,VLOOKUP(OP!$C$55,DIE,$Q52+1,0)*OP!$C$28)</f>
        <v>0</v>
      </c>
      <c r="Z52" s="324">
        <f ca="1">IF(OR(OP!$D$53=1,$Q52=""),0,VLOOKUP(OP!$C$55,DIE,$Q52+1,0)*OP!$C$28*2)</f>
        <v>0</v>
      </c>
      <c r="AA52" s="324">
        <f ca="1">IF(OR(OP!$D$53=1,$Q52=""),0,VLOOKUP(OP!$C$55,DIE,$Q52+1,0)*OP!$C$28*2)</f>
        <v>0</v>
      </c>
      <c r="AB52" s="324">
        <f ca="1">IF(OR(OP!$D$53=1,$Q152=""),0,VLOOKUP(OP!$C$55,DIE,$Q52+1,0)*OP!$C$28*2)</f>
        <v>0</v>
      </c>
      <c r="AC52" s="324">
        <f ca="1">IF(OR(OP!$D$53=1,$Q52=""),0,VLOOKUP(OP!$C$55,DIE,$Q52+1,0)*OP!$C$28*2)</f>
        <v>0</v>
      </c>
      <c r="AD52" s="324">
        <f ca="1">IF(OR(ROP!$C$33=1,$Q52=""),0,VLOOKUP(ROP!$C$39,AORCV,$Q52+1,0)*ROP!$C$30)</f>
        <v>0</v>
      </c>
      <c r="AE52" s="324">
        <f t="shared" ca="1" si="1"/>
        <v>0</v>
      </c>
      <c r="AF52" s="324">
        <f ca="1">IF(OR('OP1'!$D$53=1,$Q52=""),0,VLOOKUP('OP1'!$C$55,HL_1,$Q52+1,0)*'OP1'!$C$28)</f>
        <v>0</v>
      </c>
      <c r="AG52" s="324">
        <f ca="1">IF(OR('OP1'!$D$53=1,$Q52=""),0,VLOOKUP('OP1'!$C$55,HL,$Q52+1,0)*'OP1'!$C$28)</f>
        <v>0</v>
      </c>
    </row>
    <row r="53" spans="2:33" ht="16.5" hidden="1">
      <c r="B53" s="72">
        <f ca="1">IF(OR(B52&gt;=OP!$C$57,B52=""),"",IF(C52+1&gt;81,81-C52,B52+1))</f>
        <v>33</v>
      </c>
      <c r="C53" s="72">
        <f ca="1">IF(OR(MAX(B$21:$B52)&gt;=OP!$C$57),"",C52+(B53-B52))</f>
        <v>64</v>
      </c>
      <c r="D53" s="396">
        <f ca="1">N(IF(OR(OP!$D$53=1,$B53="",$B53&gt;OP!$C$57),"",OP!$X$5))</f>
        <v>18612</v>
      </c>
      <c r="E53" s="396">
        <f ca="1">N(IF(OR('OP1'!$D$53=1,$B53="",$B53&gt;'OP1'!$C$57),"",'OP1'!$X$5))</f>
        <v>0</v>
      </c>
      <c r="F53" s="396">
        <f ca="1">N(IF(OR(ROP!$C$33=1,$B53="",$B53&gt;ROP!$C$37),"",ROP!$H$129))</f>
        <v>0</v>
      </c>
      <c r="G53" s="396">
        <f ca="1">N(IF(OR(ROP!$D$33=1,$B53="",$B53&gt;ROP!$D$37),"",ROP!$H$140))</f>
        <v>0</v>
      </c>
      <c r="H53" s="396">
        <f ca="1">N(IF(OR(ROP!$E$33=1,$B53="",$B53&gt;ROP!$E$37),"",ROP!$H$151))</f>
        <v>0</v>
      </c>
      <c r="I53" s="396">
        <f ca="1">N(IF(OR(ROP!$F$33=1,$B53="",$B53&gt;ROP!$F$37),"",ROP!$H$162))</f>
        <v>0</v>
      </c>
      <c r="J53" s="396">
        <f ca="1">N(IF(OR(ROP!$G$33=1,$B53="",$B53&gt;ROP!$G$37),"",ROP!$H$173))</f>
        <v>0</v>
      </c>
      <c r="K53" s="396">
        <f ca="1">N(IF(OR(ROP!$H$33=1,$B53="",$B53&gt;ROP!$H$36),"",ROP!$H$53))</f>
        <v>0</v>
      </c>
      <c r="L53" s="396">
        <f t="shared" ca="1" si="2"/>
        <v>18612</v>
      </c>
      <c r="M53" s="396">
        <f t="shared" ca="1" si="5"/>
        <v>55836</v>
      </c>
      <c r="Q53" s="300">
        <f t="shared" ca="1" si="3"/>
        <v>33</v>
      </c>
      <c r="R53" s="300">
        <f t="shared" ca="1" si="4"/>
        <v>64</v>
      </c>
      <c r="S53" s="324">
        <f ca="1">IF(OR(OP!$D$53=1,$Q53=""),0,VLOOKUP(OP!$C$55,DIE,$Q53+1,0)*OP!$C$28)</f>
        <v>0</v>
      </c>
      <c r="T53" s="324">
        <f ca="1">IF(OR(OP!$D$53=1,$Q53=""),0,VLOOKUP(OP!$C$55,CV,$Q53+1,0)*OP!$C$28)</f>
        <v>0</v>
      </c>
      <c r="U53" s="324">
        <f ca="1">IF(OR('OP1'!$D$53=1,$Q53=""),0,VLOOKUP('OP1'!$C$55,_DIE1,$Q53+1,0)*'OP1'!$C$28)</f>
        <v>0</v>
      </c>
      <c r="V53" s="324">
        <f ca="1">IF(OR('OP1'!$D$53=1,$Q53="",VLOOKUP(Q53,DINS,5,0)=0),0,'OP1'!$C$28*10000*0.5)</f>
        <v>0</v>
      </c>
      <c r="W53" s="324">
        <f ca="1">IF(OR('OP1'!$D$53=1,$Q53=""),0,VLOOKUP('OP1'!$C$55,CV_1,$Q53+1,0)*'OP1'!$C$28)</f>
        <v>0</v>
      </c>
      <c r="X53" s="324">
        <f t="shared" ref="X53:X84" ca="1" si="6">IF($Q53="",0,VLOOKUP($Q53,DINS,3,0)+VLOOKUP($Q53,DINS,5,0))</f>
        <v>0</v>
      </c>
      <c r="Y53" s="324">
        <f ca="1">IF(OR(OP!$D$53=1,$Q53=""),0,VLOOKUP(OP!$C$55,DIE,$Q53+1,0)*OP!$C$28)</f>
        <v>0</v>
      </c>
      <c r="Z53" s="324">
        <f ca="1">IF(OR(OP!$D$53=1,$Q53=""),0,VLOOKUP(OP!$C$55,DIE,$Q53+1,0)*OP!$C$28*2)</f>
        <v>0</v>
      </c>
      <c r="AA53" s="324">
        <f ca="1">IF(OR(OP!$D$53=1,$Q53=""),0,VLOOKUP(OP!$C$55,DIE,$Q53+1,0)*OP!$C$28*2)</f>
        <v>0</v>
      </c>
      <c r="AB53" s="324">
        <f ca="1">IF(OR(OP!$D$53=1,$Q153=""),0,VLOOKUP(OP!$C$55,DIE,$Q53+1,0)*OP!$C$28*2)</f>
        <v>0</v>
      </c>
      <c r="AC53" s="324">
        <f ca="1">IF(OR(OP!$D$53=1,$Q53=""),0,VLOOKUP(OP!$C$55,DIE,$Q53+1,0)*OP!$C$28*2)</f>
        <v>0</v>
      </c>
      <c r="AD53" s="324">
        <f ca="1">IF(OR(ROP!$C$33=1,$Q53=""),0,VLOOKUP(ROP!$C$39,AORCV,$Q53+1,0)*ROP!$C$30)</f>
        <v>0</v>
      </c>
      <c r="AE53" s="324">
        <f t="shared" ref="AE53:AE84" ca="1" si="7">IF($Q53="",0,VLOOKUP($Q53,DINS,4,0)+VLOOKUP($Q53,DINS,7,0)+VLOOKUP($Q53,DINS,14,0))</f>
        <v>0</v>
      </c>
      <c r="AF53" s="324">
        <f ca="1">IF(OR('OP1'!$D$53=1,$Q53=""),0,VLOOKUP('OP1'!$C$55,HL_1,$Q53+1,0)*'OP1'!$C$28)</f>
        <v>0</v>
      </c>
      <c r="AG53" s="324">
        <f ca="1">IF(OR('OP1'!$D$53=1,$Q53=""),0,VLOOKUP('OP1'!$C$55,HL,$Q53+1,0)*'OP1'!$C$28)</f>
        <v>0</v>
      </c>
    </row>
    <row r="54" spans="2:33" ht="16.5" hidden="1">
      <c r="B54" s="72">
        <f ca="1">IF(OR(B53&gt;=OP!$C$57,B53=""),"",IF(C53+1&gt;81,81-C53,B53+1))</f>
        <v>34</v>
      </c>
      <c r="C54" s="72">
        <f ca="1">IF(OR(MAX(B$21:$B53)&gt;=OP!$C$57),"",C53+(B54-B53))</f>
        <v>65</v>
      </c>
      <c r="D54" s="396">
        <f ca="1">N(IF(OR(OP!$D$53=1,$B54="",$B54&gt;OP!$C$57),"",OP!$X$5))</f>
        <v>18612</v>
      </c>
      <c r="E54" s="396">
        <f ca="1">N(IF(OR('OP1'!$D$53=1,$B54="",$B54&gt;'OP1'!$C$57),"",'OP1'!$X$5))</f>
        <v>0</v>
      </c>
      <c r="F54" s="396">
        <f ca="1">N(IF(OR(ROP!$C$33=1,$B54="",$B54&gt;ROP!$C$37),"",ROP!$H$129))</f>
        <v>0</v>
      </c>
      <c r="G54" s="396">
        <f ca="1">N(IF(OR(ROP!$D$33=1,$B54="",$B54&gt;ROP!$D$37),"",ROP!$H$140))</f>
        <v>0</v>
      </c>
      <c r="H54" s="396">
        <f ca="1">N(IF(OR(ROP!$E$33=1,$B54="",$B54&gt;ROP!$E$37),"",ROP!$H$151))</f>
        <v>0</v>
      </c>
      <c r="I54" s="396">
        <f ca="1">N(IF(OR(ROP!$F$33=1,$B54="",$B54&gt;ROP!$F$37),"",ROP!$H$162))</f>
        <v>0</v>
      </c>
      <c r="J54" s="396">
        <f ca="1">N(IF(OR(ROP!$G$33=1,$B54="",$B54&gt;ROP!$G$37),"",ROP!$H$173))</f>
        <v>0</v>
      </c>
      <c r="K54" s="396">
        <f ca="1">N(IF(OR(ROP!$H$33=1,$B54="",$B54&gt;ROP!$H$36),"",ROP!$H$53))</f>
        <v>0</v>
      </c>
      <c r="L54" s="396">
        <f t="shared" ca="1" si="2"/>
        <v>18612</v>
      </c>
      <c r="M54" s="396">
        <f t="shared" ca="1" si="5"/>
        <v>74448</v>
      </c>
      <c r="Q54" s="300">
        <f t="shared" ca="1" si="3"/>
        <v>34</v>
      </c>
      <c r="R54" s="300">
        <f t="shared" ca="1" si="4"/>
        <v>65</v>
      </c>
      <c r="S54" s="324">
        <f ca="1">IF(OR(OP!$D$53=1,$Q54=""),0,VLOOKUP(OP!$C$55,DIE,$Q54+1,0)*OP!$C$28)</f>
        <v>0</v>
      </c>
      <c r="T54" s="324">
        <f ca="1">IF(OR(OP!$D$53=1,$Q54=""),0,VLOOKUP(OP!$C$55,CV,$Q54+1,0)*OP!$C$28)</f>
        <v>0</v>
      </c>
      <c r="U54" s="324">
        <f ca="1">IF(OR('OP1'!$D$53=1,$Q54=""),0,VLOOKUP('OP1'!$C$55,_DIE1,$Q54+1,0)*'OP1'!$C$28)</f>
        <v>0</v>
      </c>
      <c r="V54" s="324">
        <f ca="1">IF(OR('OP1'!$D$53=1,$Q54="",VLOOKUP(Q54,DINS,5,0)=0),0,'OP1'!$C$28*10000*0.5)</f>
        <v>0</v>
      </c>
      <c r="W54" s="324">
        <f ca="1">IF(OR('OP1'!$D$53=1,$Q54=""),0,VLOOKUP('OP1'!$C$55,CV_1,$Q54+1,0)*'OP1'!$C$28)</f>
        <v>0</v>
      </c>
      <c r="X54" s="324">
        <f t="shared" ca="1" si="6"/>
        <v>0</v>
      </c>
      <c r="Y54" s="324">
        <f ca="1">IF(OR(OP!$D$53=1,$Q54=""),0,VLOOKUP(OP!$C$55,DIE,$Q54+1,0)*OP!$C$28)</f>
        <v>0</v>
      </c>
      <c r="Z54" s="324">
        <f ca="1">IF(OR(OP!$D$53=1,$Q54=""),0,VLOOKUP(OP!$C$55,DIE,$Q54+1,0)*OP!$C$28*2)</f>
        <v>0</v>
      </c>
      <c r="AA54" s="324">
        <f ca="1">IF(OR(OP!$D$53=1,$Q54=""),0,VLOOKUP(OP!$C$55,DIE,$Q54+1,0)*OP!$C$28*2)</f>
        <v>0</v>
      </c>
      <c r="AB54" s="324">
        <f ca="1">IF(OR(OP!$D$53=1,$Q154=""),0,VLOOKUP(OP!$C$55,DIE,$Q54+1,0)*OP!$C$28*2)</f>
        <v>0</v>
      </c>
      <c r="AC54" s="324">
        <f ca="1">IF(OR(OP!$D$53=1,$Q54=""),0,VLOOKUP(OP!$C$55,DIE,$Q54+1,0)*OP!$C$28*2)</f>
        <v>0</v>
      </c>
      <c r="AD54" s="324">
        <f ca="1">IF(OR(ROP!$C$33=1,$Q54=""),0,VLOOKUP(ROP!$C$39,AORCV,$Q54+1,0)*ROP!$C$30)</f>
        <v>0</v>
      </c>
      <c r="AE54" s="324">
        <f t="shared" ca="1" si="7"/>
        <v>0</v>
      </c>
      <c r="AF54" s="324">
        <f ca="1">IF(OR('OP1'!$D$53=1,$Q54=""),0,VLOOKUP('OP1'!$C$55,HL_1,$Q54+1,0)*'OP1'!$C$28)</f>
        <v>0</v>
      </c>
      <c r="AG54" s="324">
        <f ca="1">IF(OR('OP1'!$D$53=1,$Q54=""),0,VLOOKUP('OP1'!$C$55,HL,$Q54+1,0)*'OP1'!$C$28)</f>
        <v>0</v>
      </c>
    </row>
    <row r="55" spans="2:33" ht="16.5" hidden="1">
      <c r="B55" s="72">
        <f ca="1">IF(OR(B54&gt;=OP!$C$57,B54=""),"",IF(C54+1&gt;81,81-C54,B54+1))</f>
        <v>35</v>
      </c>
      <c r="C55" s="72">
        <f ca="1">IF(OR(MAX(B$21:$B54)&gt;=OP!$C$57),"",C54+(B55-B54))</f>
        <v>66</v>
      </c>
      <c r="D55" s="396">
        <f ca="1">N(IF(OR(OP!$D$53=1,$B55="",$B55&gt;OP!$C$57),"",OP!$X$5))</f>
        <v>18612</v>
      </c>
      <c r="E55" s="396">
        <f ca="1">N(IF(OR('OP1'!$D$53=1,$B55="",$B55&gt;'OP1'!$C$57),"",'OP1'!$X$5))</f>
        <v>0</v>
      </c>
      <c r="F55" s="396">
        <f ca="1">N(IF(OR(ROP!$C$33=1,$B55="",$B55&gt;ROP!$C$37),"",ROP!$H$129))</f>
        <v>0</v>
      </c>
      <c r="G55" s="396">
        <f ca="1">N(IF(OR(ROP!$D$33=1,$B55="",$B55&gt;ROP!$D$37),"",ROP!$H$140))</f>
        <v>0</v>
      </c>
      <c r="H55" s="396">
        <f ca="1">N(IF(OR(ROP!$E$33=1,$B55="",$B55&gt;ROP!$E$37),"",ROP!$H$151))</f>
        <v>0</v>
      </c>
      <c r="I55" s="396">
        <f ca="1">N(IF(OR(ROP!$F$33=1,$B55="",$B55&gt;ROP!$F$37),"",ROP!$H$162))</f>
        <v>0</v>
      </c>
      <c r="J55" s="396">
        <f ca="1">N(IF(OR(ROP!$G$33=1,$B55="",$B55&gt;ROP!$G$37),"",ROP!$H$173))</f>
        <v>0</v>
      </c>
      <c r="K55" s="396">
        <f ca="1">N(IF(OR(ROP!$H$33=1,$B55="",$B55&gt;ROP!$H$36),"",ROP!$H$53))</f>
        <v>0</v>
      </c>
      <c r="L55" s="396">
        <f t="shared" ca="1" si="2"/>
        <v>18612</v>
      </c>
      <c r="M55" s="396">
        <f t="shared" ca="1" si="5"/>
        <v>93060</v>
      </c>
      <c r="Q55" s="300">
        <f t="shared" ca="1" si="3"/>
        <v>35</v>
      </c>
      <c r="R55" s="300">
        <f t="shared" ca="1" si="4"/>
        <v>66</v>
      </c>
      <c r="S55" s="324">
        <f ca="1">IF(OR(OP!$D$53=1,$Q55=""),0,VLOOKUP(OP!$C$55,DIE,$Q55+1,0)*OP!$C$28)</f>
        <v>0</v>
      </c>
      <c r="T55" s="324">
        <f ca="1">IF(OR(OP!$D$53=1,$Q55=""),0,VLOOKUP(OP!$C$55,CV,$Q55+1,0)*OP!$C$28)</f>
        <v>0</v>
      </c>
      <c r="U55" s="324">
        <f ca="1">IF(OR('OP1'!$D$53=1,$Q55=""),0,VLOOKUP('OP1'!$C$55,_DIE1,$Q55+1,0)*'OP1'!$C$28)</f>
        <v>0</v>
      </c>
      <c r="V55" s="324">
        <f ca="1">IF(OR('OP1'!$D$53=1,$Q55="",VLOOKUP(Q55,DINS,5,0)=0),0,'OP1'!$C$28*10000*0.5)</f>
        <v>0</v>
      </c>
      <c r="W55" s="324">
        <f ca="1">IF(OR('OP1'!$D$53=1,$Q55=""),0,VLOOKUP('OP1'!$C$55,CV_1,$Q55+1,0)*'OP1'!$C$28)</f>
        <v>0</v>
      </c>
      <c r="X55" s="324">
        <f t="shared" ca="1" si="6"/>
        <v>0</v>
      </c>
      <c r="Y55" s="324">
        <f ca="1">IF(OR(OP!$D$53=1,$Q55=""),0,VLOOKUP(OP!$C$55,DIE,$Q55+1,0)*OP!$C$28)</f>
        <v>0</v>
      </c>
      <c r="Z55" s="324">
        <f ca="1">IF(OR(OP!$D$53=1,$Q55=""),0,VLOOKUP(OP!$C$55,DIE,$Q55+1,0)*OP!$C$28*2)</f>
        <v>0</v>
      </c>
      <c r="AA55" s="324">
        <f ca="1">IF(OR(OP!$D$53=1,$Q55=""),0,VLOOKUP(OP!$C$55,DIE,$Q55+1,0)*OP!$C$28*2)</f>
        <v>0</v>
      </c>
      <c r="AB55" s="324">
        <f ca="1">IF(OR(OP!$D$53=1,$Q155=""),0,VLOOKUP(OP!$C$55,DIE,$Q55+1,0)*OP!$C$28*2)</f>
        <v>0</v>
      </c>
      <c r="AC55" s="324">
        <f ca="1">IF(OR(OP!$D$53=1,$Q55=""),0,VLOOKUP(OP!$C$55,DIE,$Q55+1,0)*OP!$C$28*2)</f>
        <v>0</v>
      </c>
      <c r="AD55" s="324">
        <f ca="1">IF(OR(ROP!$C$33=1,$Q55=""),0,VLOOKUP(ROP!$C$39,AORCV,$Q55+1,0)*ROP!$C$30)</f>
        <v>0</v>
      </c>
      <c r="AE55" s="324">
        <f t="shared" ca="1" si="7"/>
        <v>0</v>
      </c>
      <c r="AF55" s="324">
        <f ca="1">IF(OR('OP1'!$D$53=1,$Q55=""),0,VLOOKUP('OP1'!$C$55,HL_1,$Q55+1,0)*'OP1'!$C$28)</f>
        <v>0</v>
      </c>
      <c r="AG55" s="324">
        <f ca="1">IF(OR('OP1'!$D$53=1,$Q55=""),0,VLOOKUP('OP1'!$C$55,HL,$Q55+1,0)*'OP1'!$C$28)</f>
        <v>0</v>
      </c>
    </row>
    <row r="56" spans="2:33" ht="16.5" hidden="1">
      <c r="B56" s="72">
        <f ca="1">IF(OR(B55&gt;=OP!$C$57,B55=""),"",IF(C55+1&gt;81,81-C55,B55+1))</f>
        <v>36</v>
      </c>
      <c r="C56" s="72">
        <f ca="1">IF(OR(MAX(B$21:$B55)&gt;=OP!$C$57),"",C55+(B56-B55))</f>
        <v>67</v>
      </c>
      <c r="D56" s="396">
        <f ca="1">N(IF(OR(OP!$D$53=1,$B56="",$B56&gt;OP!$C$57),"",OP!$X$5))</f>
        <v>18612</v>
      </c>
      <c r="E56" s="396">
        <f ca="1">N(IF(OR('OP1'!$D$53=1,$B56="",$B56&gt;'OP1'!$C$57),"",'OP1'!$X$5))</f>
        <v>0</v>
      </c>
      <c r="F56" s="396">
        <f ca="1">N(IF(OR(ROP!$C$33=1,$B56="",$B56&gt;ROP!$C$37),"",ROP!$H$129))</f>
        <v>0</v>
      </c>
      <c r="G56" s="396">
        <f ca="1">N(IF(OR(ROP!$D$33=1,$B56="",$B56&gt;ROP!$D$37),"",ROP!$H$140))</f>
        <v>0</v>
      </c>
      <c r="H56" s="396">
        <f ca="1">N(IF(OR(ROP!$E$33=1,$B56="",$B56&gt;ROP!$E$37),"",ROP!$H$151))</f>
        <v>0</v>
      </c>
      <c r="I56" s="396">
        <f ca="1">N(IF(OR(ROP!$F$33=1,$B56="",$B56&gt;ROP!$F$37),"",ROP!$H$162))</f>
        <v>0</v>
      </c>
      <c r="J56" s="396">
        <f ca="1">N(IF(OR(ROP!$G$33=1,$B56="",$B56&gt;ROP!$G$37),"",ROP!$H$173))</f>
        <v>0</v>
      </c>
      <c r="K56" s="396">
        <f ca="1">N(IF(OR(ROP!$H$33=1,$B56="",$B56&gt;ROP!$H$36),"",ROP!$H$53))</f>
        <v>0</v>
      </c>
      <c r="L56" s="396">
        <f t="shared" ca="1" si="2"/>
        <v>18612</v>
      </c>
      <c r="M56" s="396">
        <f t="shared" ca="1" si="5"/>
        <v>111672</v>
      </c>
      <c r="Q56" s="300">
        <f t="shared" ca="1" si="3"/>
        <v>36</v>
      </c>
      <c r="R56" s="300">
        <f t="shared" ca="1" si="4"/>
        <v>67</v>
      </c>
      <c r="S56" s="324">
        <f ca="1">IF(OR(OP!$D$53=1,$Q56=""),0,VLOOKUP(OP!$C$55,DIE,$Q56+1,0)*OP!$C$28)</f>
        <v>0</v>
      </c>
      <c r="T56" s="324">
        <f ca="1">IF(OR(OP!$D$53=1,$Q56=""),0,VLOOKUP(OP!$C$55,CV,$Q56+1,0)*OP!$C$28)</f>
        <v>0</v>
      </c>
      <c r="U56" s="324">
        <f ca="1">IF(OR('OP1'!$D$53=1,$Q56=""),0,VLOOKUP('OP1'!$C$55,_DIE1,$Q56+1,0)*'OP1'!$C$28)</f>
        <v>0</v>
      </c>
      <c r="V56" s="324">
        <f ca="1">IF(OR('OP1'!$D$53=1,$Q56="",VLOOKUP(Q56,DINS,5,0)=0),0,'OP1'!$C$28*10000*0.5)</f>
        <v>0</v>
      </c>
      <c r="W56" s="324">
        <f ca="1">IF(OR('OP1'!$D$53=1,$Q56=""),0,VLOOKUP('OP1'!$C$55,CV_1,$Q56+1,0)*'OP1'!$C$28)</f>
        <v>0</v>
      </c>
      <c r="X56" s="324">
        <f t="shared" ca="1" si="6"/>
        <v>0</v>
      </c>
      <c r="Y56" s="324">
        <f ca="1">IF(OR(OP!$D$53=1,$Q56=""),0,VLOOKUP(OP!$C$55,DIE,$Q56+1,0)*OP!$C$28)</f>
        <v>0</v>
      </c>
      <c r="Z56" s="324">
        <f ca="1">IF(OR(OP!$D$53=1,$Q56=""),0,VLOOKUP(OP!$C$55,DIE,$Q56+1,0)*OP!$C$28*2)</f>
        <v>0</v>
      </c>
      <c r="AA56" s="324">
        <f ca="1">IF(OR(OP!$D$53=1,$Q56=""),0,VLOOKUP(OP!$C$55,DIE,$Q56+1,0)*OP!$C$28*2)</f>
        <v>0</v>
      </c>
      <c r="AB56" s="324">
        <f ca="1">IF(OR(OP!$D$53=1,$Q156=""),0,VLOOKUP(OP!$C$55,DIE,$Q56+1,0)*OP!$C$28*2)</f>
        <v>0</v>
      </c>
      <c r="AC56" s="324">
        <f ca="1">IF(OR(OP!$D$53=1,$Q56=""),0,VLOOKUP(OP!$C$55,DIE,$Q56+1,0)*OP!$C$28*2)</f>
        <v>0</v>
      </c>
      <c r="AD56" s="324">
        <f ca="1">IF(OR(ROP!$C$33=1,$Q56=""),0,VLOOKUP(ROP!$C$39,AORCV,$Q56+1,0)*ROP!$C$30)</f>
        <v>0</v>
      </c>
      <c r="AE56" s="324">
        <f t="shared" ca="1" si="7"/>
        <v>0</v>
      </c>
      <c r="AF56" s="324">
        <f ca="1">IF(OR('OP1'!$D$53=1,$Q56=""),0,VLOOKUP('OP1'!$C$55,HL_1,$Q56+1,0)*'OP1'!$C$28)</f>
        <v>0</v>
      </c>
      <c r="AG56" s="324">
        <f ca="1">IF(OR('OP1'!$D$53=1,$Q56=""),0,VLOOKUP('OP1'!$C$55,HL,$Q56+1,0)*'OP1'!$C$28)</f>
        <v>0</v>
      </c>
    </row>
    <row r="57" spans="2:33" ht="16.5" hidden="1">
      <c r="B57" s="72">
        <f ca="1">IF(OR(B56&gt;=OP!$C$57,B56=""),"",IF(C56+1&gt;81,81-C56,B56+1))</f>
        <v>37</v>
      </c>
      <c r="C57" s="72">
        <f ca="1">IF(OR(MAX(B$21:$B56)&gt;=OP!$C$57),"",C56+(B57-B56))</f>
        <v>68</v>
      </c>
      <c r="D57" s="396">
        <f ca="1">N(IF(OR(OP!$D$53=1,$B57="",$B57&gt;OP!$C$57),"",OP!$X$5))</f>
        <v>18612</v>
      </c>
      <c r="E57" s="396">
        <f ca="1">N(IF(OR('OP1'!$D$53=1,$B57="",$B57&gt;'OP1'!$C$57),"",'OP1'!$X$5))</f>
        <v>0</v>
      </c>
      <c r="F57" s="396">
        <f ca="1">N(IF(OR(ROP!$C$33=1,$B57="",$B57&gt;ROP!$C$37),"",ROP!$H$129))</f>
        <v>0</v>
      </c>
      <c r="G57" s="396">
        <f ca="1">N(IF(OR(ROP!$D$33=1,$B57="",$B57&gt;ROP!$D$37),"",ROP!$H$140))</f>
        <v>0</v>
      </c>
      <c r="H57" s="396">
        <f ca="1">N(IF(OR(ROP!$E$33=1,$B57="",$B57&gt;ROP!$E$37),"",ROP!$H$151))</f>
        <v>0</v>
      </c>
      <c r="I57" s="396">
        <f ca="1">N(IF(OR(ROP!$F$33=1,$B57="",$B57&gt;ROP!$F$37),"",ROP!$H$162))</f>
        <v>0</v>
      </c>
      <c r="J57" s="396">
        <f ca="1">N(IF(OR(ROP!$G$33=1,$B57="",$B57&gt;ROP!$G$37),"",ROP!$H$173))</f>
        <v>0</v>
      </c>
      <c r="K57" s="396">
        <f ca="1">N(IF(OR(ROP!$H$33=1,$B57="",$B57&gt;ROP!$H$36),"",ROP!$H$53))</f>
        <v>0</v>
      </c>
      <c r="L57" s="396">
        <f t="shared" ca="1" si="2"/>
        <v>18612</v>
      </c>
      <c r="M57" s="396">
        <f t="shared" ca="1" si="5"/>
        <v>130284</v>
      </c>
      <c r="Q57" s="300">
        <f t="shared" ca="1" si="3"/>
        <v>37</v>
      </c>
      <c r="R57" s="300">
        <f t="shared" ca="1" si="4"/>
        <v>68</v>
      </c>
      <c r="S57" s="324">
        <f ca="1">IF(OR(OP!$D$53=1,$Q57=""),0,VLOOKUP(OP!$C$55,DIE,$Q57+1,0)*OP!$C$28)</f>
        <v>0</v>
      </c>
      <c r="T57" s="324">
        <f ca="1">IF(OR(OP!$D$53=1,$Q57=""),0,VLOOKUP(OP!$C$55,CV,$Q57+1,0)*OP!$C$28)</f>
        <v>0</v>
      </c>
      <c r="U57" s="324">
        <f ca="1">IF(OR('OP1'!$D$53=1,$Q57=""),0,VLOOKUP('OP1'!$C$55,_DIE1,$Q57+1,0)*'OP1'!$C$28)</f>
        <v>0</v>
      </c>
      <c r="V57" s="324">
        <f ca="1">IF(OR('OP1'!$D$53=1,$Q57="",VLOOKUP(Q57,DINS,5,0)=0),0,'OP1'!$C$28*10000*0.5)</f>
        <v>0</v>
      </c>
      <c r="W57" s="324">
        <f ca="1">IF(OR('OP1'!$D$53=1,$Q57=""),0,VLOOKUP('OP1'!$C$55,CV_1,$Q57+1,0)*'OP1'!$C$28)</f>
        <v>0</v>
      </c>
      <c r="X57" s="324">
        <f t="shared" ca="1" si="6"/>
        <v>0</v>
      </c>
      <c r="Y57" s="324">
        <f ca="1">IF(OR(OP!$D$53=1,$Q57=""),0,VLOOKUP(OP!$C$55,DIE,$Q57+1,0)*OP!$C$28)</f>
        <v>0</v>
      </c>
      <c r="Z57" s="324">
        <f ca="1">IF(OR(OP!$D$53=1,$Q57=""),0,VLOOKUP(OP!$C$55,DIE,$Q57+1,0)*OP!$C$28*2)</f>
        <v>0</v>
      </c>
      <c r="AA57" s="324">
        <f ca="1">IF(OR(OP!$D$53=1,$Q57=""),0,VLOOKUP(OP!$C$55,DIE,$Q57+1,0)*OP!$C$28*2)</f>
        <v>0</v>
      </c>
      <c r="AB57" s="324">
        <f ca="1">IF(OR(OP!$D$53=1,$Q157=""),0,VLOOKUP(OP!$C$55,DIE,$Q57+1,0)*OP!$C$28*2)</f>
        <v>0</v>
      </c>
      <c r="AC57" s="324">
        <f ca="1">IF(OR(OP!$D$53=1,$Q57=""),0,VLOOKUP(OP!$C$55,DIE,$Q57+1,0)*OP!$C$28*2)</f>
        <v>0</v>
      </c>
      <c r="AD57" s="324">
        <f ca="1">IF(OR(ROP!$C$33=1,$Q57=""),0,VLOOKUP(ROP!$C$39,AORCV,$Q57+1,0)*ROP!$C$30)</f>
        <v>0</v>
      </c>
      <c r="AE57" s="324">
        <f t="shared" ca="1" si="7"/>
        <v>0</v>
      </c>
      <c r="AF57" s="324">
        <f ca="1">IF(OR('OP1'!$D$53=1,$Q57=""),0,VLOOKUP('OP1'!$C$55,HL_1,$Q57+1,0)*'OP1'!$C$28)</f>
        <v>0</v>
      </c>
      <c r="AG57" s="324">
        <f ca="1">IF(OR('OP1'!$D$53=1,$Q57=""),0,VLOOKUP('OP1'!$C$55,HL,$Q57+1,0)*'OP1'!$C$28)</f>
        <v>0</v>
      </c>
    </row>
    <row r="58" spans="2:33" ht="16.5" hidden="1">
      <c r="B58" s="72">
        <f ca="1">IF(OR(B57&gt;=OP!$C$57,B57=""),"",IF(C57+1&gt;81,81-C57,B57+1))</f>
        <v>38</v>
      </c>
      <c r="C58" s="72">
        <f ca="1">IF(OR(MAX(B$21:$B57)&gt;=OP!$C$57),"",C57+(B58-B57))</f>
        <v>69</v>
      </c>
      <c r="D58" s="396">
        <f ca="1">N(IF(OR(OP!$D$53=1,$B58="",$B58&gt;OP!$C$57),"",OP!$X$5))</f>
        <v>18612</v>
      </c>
      <c r="E58" s="396">
        <f ca="1">N(IF(OR('OP1'!$D$53=1,$B58="",$B58&gt;'OP1'!$C$57),"",'OP1'!$X$5))</f>
        <v>0</v>
      </c>
      <c r="F58" s="396">
        <f ca="1">N(IF(OR(ROP!$C$33=1,$B58="",$B58&gt;ROP!$C$37),"",ROP!$H$129))</f>
        <v>0</v>
      </c>
      <c r="G58" s="396">
        <f ca="1">N(IF(OR(ROP!$D$33=1,$B58="",$B58&gt;ROP!$D$37),"",ROP!$H$140))</f>
        <v>0</v>
      </c>
      <c r="H58" s="396">
        <f ca="1">N(IF(OR(ROP!$E$33=1,$B58="",$B58&gt;ROP!$E$37),"",ROP!$H$151))</f>
        <v>0</v>
      </c>
      <c r="I58" s="396">
        <f ca="1">N(IF(OR(ROP!$F$33=1,$B58="",$B58&gt;ROP!$F$37),"",ROP!$H$162))</f>
        <v>0</v>
      </c>
      <c r="J58" s="396">
        <f ca="1">N(IF(OR(ROP!$G$33=1,$B58="",$B58&gt;ROP!$G$37),"",ROP!$H$173))</f>
        <v>0</v>
      </c>
      <c r="K58" s="396">
        <f ca="1">N(IF(OR(ROP!$H$33=1,$B58="",$B58&gt;ROP!$H$36),"",ROP!$H$53))</f>
        <v>0</v>
      </c>
      <c r="L58" s="396">
        <f t="shared" ca="1" si="2"/>
        <v>18612</v>
      </c>
      <c r="M58" s="396">
        <f t="shared" ca="1" si="5"/>
        <v>148896</v>
      </c>
      <c r="Q58" s="300">
        <f t="shared" ca="1" si="3"/>
        <v>38</v>
      </c>
      <c r="R58" s="300">
        <f t="shared" ca="1" si="4"/>
        <v>69</v>
      </c>
      <c r="S58" s="324">
        <f ca="1">IF(OR(OP!$D$53=1,$Q58=""),0,VLOOKUP(OP!$C$55,DIE,$Q58+1,0)*OP!$C$28)</f>
        <v>0</v>
      </c>
      <c r="T58" s="324">
        <f ca="1">IF(OR(OP!$D$53=1,$Q58=""),0,VLOOKUP(OP!$C$55,CV,$Q58+1,0)*OP!$C$28)</f>
        <v>0</v>
      </c>
      <c r="U58" s="324">
        <f ca="1">IF(OR('OP1'!$D$53=1,$Q58=""),0,VLOOKUP('OP1'!$C$55,_DIE1,$Q58+1,0)*'OP1'!$C$28)</f>
        <v>0</v>
      </c>
      <c r="V58" s="324">
        <f ca="1">IF(OR('OP1'!$D$53=1,$Q58="",VLOOKUP(Q58,DINS,5,0)=0),0,'OP1'!$C$28*10000*0.5)</f>
        <v>0</v>
      </c>
      <c r="W58" s="324">
        <f ca="1">IF(OR('OP1'!$D$53=1,$Q58=""),0,VLOOKUP('OP1'!$C$55,CV_1,$Q58+1,0)*'OP1'!$C$28)</f>
        <v>0</v>
      </c>
      <c r="X58" s="324">
        <f t="shared" ca="1" si="6"/>
        <v>0</v>
      </c>
      <c r="Y58" s="324">
        <f ca="1">IF(OR(OP!$D$53=1,$Q58=""),0,VLOOKUP(OP!$C$55,DIE,$Q58+1,0)*OP!$C$28)</f>
        <v>0</v>
      </c>
      <c r="Z58" s="324">
        <f ca="1">IF(OR(OP!$D$53=1,$Q58=""),0,VLOOKUP(OP!$C$55,DIE,$Q58+1,0)*OP!$C$28*2)</f>
        <v>0</v>
      </c>
      <c r="AA58" s="324">
        <f ca="1">IF(OR(OP!$D$53=1,$Q58=""),0,VLOOKUP(OP!$C$55,DIE,$Q58+1,0)*OP!$C$28*2)</f>
        <v>0</v>
      </c>
      <c r="AB58" s="324">
        <f ca="1">IF(OR(OP!$D$53=1,$Q158=""),0,VLOOKUP(OP!$C$55,DIE,$Q58+1,0)*OP!$C$28*2)</f>
        <v>0</v>
      </c>
      <c r="AC58" s="324">
        <f ca="1">IF(OR(OP!$D$53=1,$Q58=""),0,VLOOKUP(OP!$C$55,DIE,$Q58+1,0)*OP!$C$28*2)</f>
        <v>0</v>
      </c>
      <c r="AD58" s="324">
        <f ca="1">IF(OR(ROP!$C$33=1,$Q58=""),0,VLOOKUP(ROP!$C$39,AORCV,$Q58+1,0)*ROP!$C$30)</f>
        <v>0</v>
      </c>
      <c r="AE58" s="324">
        <f t="shared" ca="1" si="7"/>
        <v>0</v>
      </c>
      <c r="AF58" s="324">
        <f ca="1">IF(OR('OP1'!$D$53=1,$Q58=""),0,VLOOKUP('OP1'!$C$55,HL_1,$Q58+1,0)*'OP1'!$C$28)</f>
        <v>0</v>
      </c>
      <c r="AG58" s="324">
        <f ca="1">IF(OR('OP1'!$D$53=1,$Q58=""),0,VLOOKUP('OP1'!$C$55,HL,$Q58+1,0)*'OP1'!$C$28)</f>
        <v>0</v>
      </c>
    </row>
    <row r="59" spans="2:33" ht="16.5" hidden="1">
      <c r="B59" s="72">
        <f ca="1">IF(OR(B58&gt;=OP!$C$57,B58=""),"",IF(C58+1&gt;81,81-C58,B58+1))</f>
        <v>39</v>
      </c>
      <c r="C59" s="72">
        <f ca="1">IF(OR(MAX(B$21:$B58)&gt;=OP!$C$57),"",C58+(B59-B58))</f>
        <v>70</v>
      </c>
      <c r="D59" s="396">
        <f ca="1">N(IF(OR(OP!$D$53=1,$B59="",$B59&gt;OP!$C$57),"",OP!$X$5))</f>
        <v>18612</v>
      </c>
      <c r="E59" s="396">
        <f ca="1">N(IF(OR('OP1'!$D$53=1,$B59="",$B59&gt;'OP1'!$C$57),"",'OP1'!$X$5))</f>
        <v>0</v>
      </c>
      <c r="F59" s="396">
        <f ca="1">N(IF(OR(ROP!$C$33=1,$B59="",$B59&gt;ROP!$C$37),"",ROP!$H$129))</f>
        <v>0</v>
      </c>
      <c r="G59" s="396">
        <f ca="1">N(IF(OR(ROP!$D$33=1,$B59="",$B59&gt;ROP!$D$37),"",ROP!$H$140))</f>
        <v>0</v>
      </c>
      <c r="H59" s="396">
        <f ca="1">N(IF(OR(ROP!$E$33=1,$B59="",$B59&gt;ROP!$E$37),"",ROP!$H$151))</f>
        <v>0</v>
      </c>
      <c r="I59" s="396">
        <f ca="1">N(IF(OR(ROP!$F$33=1,$B59="",$B59&gt;ROP!$F$37),"",ROP!$H$162))</f>
        <v>0</v>
      </c>
      <c r="J59" s="396">
        <f ca="1">N(IF(OR(ROP!$G$33=1,$B59="",$B59&gt;ROP!$G$37),"",ROP!$H$173))</f>
        <v>0</v>
      </c>
      <c r="K59" s="396">
        <f ca="1">N(IF(OR(ROP!$H$33=1,$B59="",$B59&gt;ROP!$H$36),"",ROP!$H$53))</f>
        <v>0</v>
      </c>
      <c r="L59" s="396">
        <f t="shared" ca="1" si="2"/>
        <v>18612</v>
      </c>
      <c r="M59" s="396">
        <f t="shared" ca="1" si="5"/>
        <v>167508</v>
      </c>
      <c r="Q59" s="300">
        <f t="shared" ca="1" si="3"/>
        <v>39</v>
      </c>
      <c r="R59" s="300">
        <f t="shared" ca="1" si="4"/>
        <v>70</v>
      </c>
      <c r="S59" s="324">
        <f ca="1">IF(OR(OP!$D$53=1,$Q59=""),0,VLOOKUP(OP!$C$55,DIE,$Q59+1,0)*OP!$C$28)</f>
        <v>0</v>
      </c>
      <c r="T59" s="324">
        <f ca="1">IF(OR(OP!$D$53=1,$Q59=""),0,VLOOKUP(OP!$C$55,CV,$Q59+1,0)*OP!$C$28)</f>
        <v>0</v>
      </c>
      <c r="U59" s="324">
        <f ca="1">IF(OR('OP1'!$D$53=1,$Q59=""),0,VLOOKUP('OP1'!$C$55,_DIE1,$Q59+1,0)*'OP1'!$C$28)</f>
        <v>0</v>
      </c>
      <c r="V59" s="324">
        <f ca="1">IF(OR('OP1'!$D$53=1,$Q59="",VLOOKUP(Q59,DINS,5,0)=0),0,'OP1'!$C$28*10000*0.5)</f>
        <v>0</v>
      </c>
      <c r="W59" s="324">
        <f ca="1">IF(OR('OP1'!$D$53=1,$Q59=""),0,VLOOKUP('OP1'!$C$55,CV_1,$Q59+1,0)*'OP1'!$C$28)</f>
        <v>0</v>
      </c>
      <c r="X59" s="324">
        <f t="shared" ca="1" si="6"/>
        <v>0</v>
      </c>
      <c r="Y59" s="324">
        <f ca="1">IF(OR(OP!$D$53=1,$Q59=""),0,VLOOKUP(OP!$C$55,DIE,$Q59+1,0)*OP!$C$28)</f>
        <v>0</v>
      </c>
      <c r="Z59" s="324">
        <f ca="1">IF(OR(OP!$D$53=1,$Q59=""),0,VLOOKUP(OP!$C$55,DIE,$Q59+1,0)*OP!$C$28*2)</f>
        <v>0</v>
      </c>
      <c r="AA59" s="324">
        <f ca="1">IF(OR(OP!$D$53=1,$Q59=""),0,VLOOKUP(OP!$C$55,DIE,$Q59+1,0)*OP!$C$28*2)</f>
        <v>0</v>
      </c>
      <c r="AB59" s="324">
        <f ca="1">IF(OR(OP!$D$53=1,$Q159=""),0,VLOOKUP(OP!$C$55,DIE,$Q59+1,0)*OP!$C$28*2)</f>
        <v>0</v>
      </c>
      <c r="AC59" s="324">
        <f ca="1">IF(OR(OP!$D$53=1,$Q59=""),0,VLOOKUP(OP!$C$55,DIE,$Q59+1,0)*OP!$C$28*2)</f>
        <v>0</v>
      </c>
      <c r="AD59" s="324">
        <f ca="1">IF(OR(ROP!$C$33=1,$Q59=""),0,VLOOKUP(ROP!$C$39,AORCV,$Q59+1,0)*ROP!$C$30)</f>
        <v>0</v>
      </c>
      <c r="AE59" s="324">
        <f t="shared" ca="1" si="7"/>
        <v>0</v>
      </c>
      <c r="AF59" s="324">
        <f ca="1">IF(OR('OP1'!$D$53=1,$Q59=""),0,VLOOKUP('OP1'!$C$55,HL_1,$Q59+1,0)*'OP1'!$C$28)</f>
        <v>0</v>
      </c>
      <c r="AG59" s="324">
        <f ca="1">IF(OR('OP1'!$D$53=1,$Q59=""),0,VLOOKUP('OP1'!$C$55,HL,$Q59+1,0)*'OP1'!$C$28)</f>
        <v>0</v>
      </c>
    </row>
    <row r="60" spans="2:33" ht="16.5" hidden="1">
      <c r="B60" s="72">
        <f ca="1">IF(OR(B59&gt;=OP!$C$57,B59=""),"",IF(C59+1&gt;81,81-C59,B59+1))</f>
        <v>40</v>
      </c>
      <c r="C60" s="72">
        <f ca="1">IF(OR(MAX(B$21:$B59)&gt;=OP!$C$57),"",C59+(B60-B59))</f>
        <v>71</v>
      </c>
      <c r="D60" s="396">
        <f ca="1">N(IF(OR(OP!$D$53=1,$B60="",$B60&gt;OP!$C$57),"",OP!$X$5))</f>
        <v>18612</v>
      </c>
      <c r="E60" s="396">
        <f ca="1">N(IF(OR('OP1'!$D$53=1,$B60="",$B60&gt;'OP1'!$C$57),"",'OP1'!$X$5))</f>
        <v>0</v>
      </c>
      <c r="F60" s="396">
        <f ca="1">N(IF(OR(ROP!$C$33=1,$B60="",$B60&gt;ROP!$C$37),"",ROP!$H$129))</f>
        <v>0</v>
      </c>
      <c r="G60" s="396">
        <f ca="1">N(IF(OR(ROP!$D$33=1,$B60="",$B60&gt;ROP!$D$37),"",ROP!$H$140))</f>
        <v>0</v>
      </c>
      <c r="H60" s="396">
        <f ca="1">N(IF(OR(ROP!$E$33=1,$B60="",$B60&gt;ROP!$E$37),"",ROP!$H$151))</f>
        <v>0</v>
      </c>
      <c r="I60" s="396">
        <f ca="1">N(IF(OR(ROP!$F$33=1,$B60="",$B60&gt;ROP!$F$37),"",ROP!$H$162))</f>
        <v>0</v>
      </c>
      <c r="J60" s="396">
        <f ca="1">N(IF(OR(ROP!$G$33=1,$B60="",$B60&gt;ROP!$G$37),"",ROP!$H$173))</f>
        <v>0</v>
      </c>
      <c r="K60" s="396">
        <f ca="1">N(IF(OR(ROP!$H$33=1,$B60="",$B60&gt;ROP!$H$36),"",ROP!$H$53))</f>
        <v>0</v>
      </c>
      <c r="L60" s="396">
        <f t="shared" ca="1" si="2"/>
        <v>18612</v>
      </c>
      <c r="M60" s="396">
        <f t="shared" ca="1" si="5"/>
        <v>186120</v>
      </c>
      <c r="Q60" s="300">
        <f t="shared" ca="1" si="3"/>
        <v>40</v>
      </c>
      <c r="R60" s="300">
        <f t="shared" ca="1" si="4"/>
        <v>71</v>
      </c>
      <c r="S60" s="324">
        <f ca="1">IF(OR(OP!$D$53=1,$Q60=""),0,VLOOKUP(OP!$C$55,DIE,$Q60+1,0)*OP!$C$28)</f>
        <v>0</v>
      </c>
      <c r="T60" s="324">
        <f ca="1">IF(OR(OP!$D$53=1,$Q60=""),0,VLOOKUP(OP!$C$55,CV,$Q60+1,0)*OP!$C$28)</f>
        <v>0</v>
      </c>
      <c r="U60" s="324">
        <f ca="1">IF(OR('OP1'!$D$53=1,$Q60=""),0,VLOOKUP('OP1'!$C$55,_DIE1,$Q60+1,0)*'OP1'!$C$28)</f>
        <v>0</v>
      </c>
      <c r="V60" s="324">
        <f ca="1">IF(OR('OP1'!$D$53=1,$Q60="",VLOOKUP(Q60,DINS,5,0)=0),0,'OP1'!$C$28*10000*0.5)</f>
        <v>0</v>
      </c>
      <c r="W60" s="324">
        <f ca="1">IF(OR('OP1'!$D$53=1,$Q60=""),0,VLOOKUP('OP1'!$C$55,CV_1,$Q60+1,0)*'OP1'!$C$28)</f>
        <v>0</v>
      </c>
      <c r="X60" s="324">
        <f t="shared" ca="1" si="6"/>
        <v>0</v>
      </c>
      <c r="Y60" s="324">
        <f ca="1">IF(OR(OP!$D$53=1,$Q60=""),0,VLOOKUP(OP!$C$55,DIE,$Q60+1,0)*OP!$C$28)</f>
        <v>0</v>
      </c>
      <c r="Z60" s="324">
        <f ca="1">IF(OR(OP!$D$53=1,$Q60=""),0,VLOOKUP(OP!$C$55,DIE,$Q60+1,0)*OP!$C$28*2)</f>
        <v>0</v>
      </c>
      <c r="AA60" s="324">
        <f ca="1">IF(OR(OP!$D$53=1,$Q60=""),0,VLOOKUP(OP!$C$55,DIE,$Q60+1,0)*OP!$C$28*2)</f>
        <v>0</v>
      </c>
      <c r="AB60" s="324">
        <f ca="1">IF(OR(OP!$D$53=1,$Q160=""),0,VLOOKUP(OP!$C$55,DIE,$Q60+1,0)*OP!$C$28*2)</f>
        <v>0</v>
      </c>
      <c r="AC60" s="324">
        <f ca="1">IF(OR(OP!$D$53=1,$Q60=""),0,VLOOKUP(OP!$C$55,DIE,$Q60+1,0)*OP!$C$28*2)</f>
        <v>0</v>
      </c>
      <c r="AD60" s="324">
        <f ca="1">IF(OR(ROP!$C$33=1,$Q60=""),0,VLOOKUP(ROP!$C$39,AORCV,$Q60+1,0)*ROP!$C$30)</f>
        <v>0</v>
      </c>
      <c r="AE60" s="324">
        <f t="shared" ca="1" si="7"/>
        <v>0</v>
      </c>
      <c r="AF60" s="324">
        <f ca="1">IF(OR('OP1'!$D$53=1,$Q60=""),0,VLOOKUP('OP1'!$C$55,HL_1,$Q60+1,0)*'OP1'!$C$28)</f>
        <v>0</v>
      </c>
      <c r="AG60" s="324">
        <f ca="1">IF(OR('OP1'!$D$53=1,$Q60=""),0,VLOOKUP('OP1'!$C$55,HL,$Q60+1,0)*'OP1'!$C$28)</f>
        <v>0</v>
      </c>
    </row>
    <row r="61" spans="2:33" ht="16.5" hidden="1">
      <c r="B61" s="72" t="str">
        <f ca="1">IF(OR(B60&gt;=OP!$C$57,B60=""),"",IF(C60+1&gt;81,81-C60,B60+1))</f>
        <v/>
      </c>
      <c r="C61" s="72" t="str">
        <f ca="1">IF(OR(MAX(B$21:$B60)&gt;=OP!$C$57),"",C60+(B61-B60))</f>
        <v/>
      </c>
      <c r="D61" s="324">
        <f ca="1">N(IF(OR(OP!$D$53=1,$B61="",$B61&gt;OP!$C$57),"",OP!$X$6))</f>
        <v>0</v>
      </c>
      <c r="E61" s="324">
        <f ca="1">N(IF(OR('OP1'!$D$53=1,$B61="",$B61&gt;'OP1'!$C$57),"",'OP1'!$X$6))</f>
        <v>0</v>
      </c>
      <c r="F61" s="324">
        <f ca="1">N(IF(OR(ROP!$C$33=1,$B61="",$B61&gt;ROP!$C$37),"",ROP!$H$130))</f>
        <v>0</v>
      </c>
      <c r="G61" s="324">
        <f ca="1">N(IF(OR(ROP!$D$33=1,$B61="",$B61&gt;ROP!$D$37),"",ROP!$H$141))</f>
        <v>0</v>
      </c>
      <c r="H61" s="324">
        <f ca="1">N(IF(OR(ROP!$E$33=1,$B61="",$B61&gt;ROP!$E$37),"",ROP!$H$152))</f>
        <v>0</v>
      </c>
      <c r="I61" s="324">
        <f ca="1">N(IF(OR(ROP!$F$33=1,$B61="",$B61&gt;ROP!$F$37),"",ROP!$H$163))</f>
        <v>0</v>
      </c>
      <c r="J61" s="324">
        <f ca="1">N(IF(OR(ROP!$G$33=1,$B61="",$B61&gt;ROP!$G$37),"",ROP!$H$174))</f>
        <v>0</v>
      </c>
      <c r="K61" s="324">
        <f ca="1">N(IF(OR(ROP!$H$33=1,$B61="",$B61&gt;ROP!$H$36),"",ROP!$H$53))</f>
        <v>0</v>
      </c>
      <c r="L61" s="324">
        <f t="shared" ca="1" si="2"/>
        <v>0</v>
      </c>
      <c r="M61" s="324">
        <f ca="1">L61</f>
        <v>0</v>
      </c>
      <c r="N61" t="s">
        <v>820</v>
      </c>
      <c r="Q61" s="300" t="str">
        <f t="shared" ca="1" si="3"/>
        <v/>
      </c>
      <c r="R61" s="300" t="str">
        <f t="shared" ca="1" si="4"/>
        <v/>
      </c>
      <c r="S61" s="324">
        <f ca="1">IF(OR(OP!$D$53=1,$Q61=""),0,VLOOKUP(OP!$C$55,DIE,$Q61+1,0)*OP!$C$28)</f>
        <v>0</v>
      </c>
      <c r="T61" s="324">
        <f ca="1">IF(OR(OP!$D$53=1,$Q61=""),0,VLOOKUP(OP!$C$55,CV,$Q61+1,0)*OP!$C$28)</f>
        <v>0</v>
      </c>
      <c r="U61" s="324">
        <f ca="1">IF(OR('OP1'!$D$53=1,$Q61=""),0,VLOOKUP('OP1'!$C$55,_DIE1,$Q61+1,0)*'OP1'!$C$28)</f>
        <v>0</v>
      </c>
      <c r="V61" s="324">
        <f ca="1">IF(OR('OP1'!$D$53=1,$Q61="",VLOOKUP(Q61,DINS,5,0)=0),0,'OP1'!$C$28*10000*0.5)</f>
        <v>0</v>
      </c>
      <c r="W61" s="324">
        <f ca="1">IF(OR('OP1'!$D$53=1,$Q61=""),0,VLOOKUP('OP1'!$C$55,CV_1,$Q61+1,0)*'OP1'!$C$28)</f>
        <v>0</v>
      </c>
      <c r="X61" s="324">
        <f t="shared" ca="1" si="6"/>
        <v>0</v>
      </c>
      <c r="Y61" s="324">
        <f ca="1">IF(OR(OP!$D$53=1,$Q61=""),0,VLOOKUP(OP!$C$55,DIE,$Q61+1,0)*OP!$C$28)</f>
        <v>0</v>
      </c>
      <c r="Z61" s="324">
        <f ca="1">IF(OR(OP!$D$53=1,$Q61=""),0,VLOOKUP(OP!$C$55,DIE,$Q61+1,0)*OP!$C$28*2)</f>
        <v>0</v>
      </c>
      <c r="AA61" s="324">
        <f ca="1">IF(OR(OP!$D$53=1,$Q61=""),0,VLOOKUP(OP!$C$55,DIE,$Q61+1,0)*OP!$C$28*2)</f>
        <v>0</v>
      </c>
      <c r="AB61" s="324">
        <f ca="1">IF(OR(OP!$D$53=1,$Q161=""),0,VLOOKUP(OP!$C$55,DIE,$Q61+1,0)*OP!$C$28*2)</f>
        <v>0</v>
      </c>
      <c r="AC61" s="324">
        <f ca="1">IF(OR(OP!$D$53=1,$Q61=""),0,VLOOKUP(OP!$C$55,DIE,$Q61+1,0)*OP!$C$28*2)</f>
        <v>0</v>
      </c>
      <c r="AD61" s="324">
        <f ca="1">IF(OR(ROP!$C$33=1,$Q61=""),0,VLOOKUP(ROP!$C$39,AORCV,$Q61+1,0)*ROP!$C$30)</f>
        <v>0</v>
      </c>
      <c r="AE61" s="324">
        <f t="shared" ca="1" si="7"/>
        <v>0</v>
      </c>
      <c r="AF61" s="324">
        <f ca="1">IF(OR('OP1'!$D$53=1,$Q61=""),0,VLOOKUP('OP1'!$C$55,HL_1,$Q61+1,0)*'OP1'!$C$28)</f>
        <v>0</v>
      </c>
      <c r="AG61" s="324">
        <f ca="1">IF(OR('OP1'!$D$53=1,$Q61=""),0,VLOOKUP('OP1'!$C$55,HL,$Q61+1,0)*'OP1'!$C$28)</f>
        <v>0</v>
      </c>
    </row>
    <row r="62" spans="2:33" ht="16.5" hidden="1">
      <c r="B62" s="72" t="str">
        <f ca="1">IF(OR(B61&gt;=OP!$C$57,B61=""),"",IF(C61+1&gt;81,81-C61,B61+1))</f>
        <v/>
      </c>
      <c r="C62" s="72" t="str">
        <f ca="1">IF(OR(MAX(B$21:$B61)&gt;=OP!$C$57),"",C61+(B62-B61))</f>
        <v/>
      </c>
      <c r="D62" s="324">
        <f ca="1">N(IF(OR(OP!$D$53=1,$B62="",$B62&gt;OP!$C$57),"",OP!$X$6))</f>
        <v>0</v>
      </c>
      <c r="E62" s="324">
        <f ca="1">N(IF(OR('OP1'!$D$53=1,$B62="",$B62&gt;'OP1'!$C$57),"",'OP1'!$X$6))</f>
        <v>0</v>
      </c>
      <c r="F62" s="324">
        <f ca="1">N(IF(OR(ROP!$C$33=1,$B62="",$B62&gt;ROP!$C$37),"",ROP!$H$130))</f>
        <v>0</v>
      </c>
      <c r="G62" s="324">
        <f ca="1">N(IF(OR(ROP!$D$33=1,$B62="",$B62&gt;ROP!$D$37),"",ROP!$H$141))</f>
        <v>0</v>
      </c>
      <c r="H62" s="324">
        <f ca="1">N(IF(OR(ROP!$E$33=1,$B62="",$B62&gt;ROP!$E$37),"",ROP!$H$152))</f>
        <v>0</v>
      </c>
      <c r="I62" s="324">
        <f ca="1">N(IF(OR(ROP!$F$33=1,$B62="",$B62&gt;ROP!$F$37),"",ROP!$H$163))</f>
        <v>0</v>
      </c>
      <c r="J62" s="324">
        <f ca="1">N(IF(OR(ROP!$G$33=1,$B62="",$B62&gt;ROP!$G$37),"",ROP!$H$174))</f>
        <v>0</v>
      </c>
      <c r="K62" s="324">
        <f ca="1">N(IF(OR(ROP!$H$33=1,$B62="",$B62&gt;ROP!$H$36),"",ROP!$H$53))</f>
        <v>0</v>
      </c>
      <c r="L62" s="324">
        <f t="shared" ca="1" si="2"/>
        <v>0</v>
      </c>
      <c r="M62" s="324">
        <f t="shared" ca="1" si="5"/>
        <v>0</v>
      </c>
      <c r="Q62" s="300" t="str">
        <f t="shared" ca="1" si="3"/>
        <v/>
      </c>
      <c r="R62" s="300" t="str">
        <f t="shared" ca="1" si="4"/>
        <v/>
      </c>
      <c r="S62" s="324">
        <f ca="1">IF(OR(OP!$D$53=1,$Q62=""),0,VLOOKUP(OP!$C$55,DIE,$Q62+1,0)*OP!$C$28)</f>
        <v>0</v>
      </c>
      <c r="T62" s="324">
        <f ca="1">IF(OR(OP!$D$53=1,$Q62=""),0,VLOOKUP(OP!$C$55,CV,$Q62+1,0)*OP!$C$28)</f>
        <v>0</v>
      </c>
      <c r="U62" s="324">
        <f ca="1">IF(OR('OP1'!$D$53=1,$Q62=""),0,VLOOKUP('OP1'!$C$55,_DIE1,$Q62+1,0)*'OP1'!$C$28)</f>
        <v>0</v>
      </c>
      <c r="V62" s="324">
        <f ca="1">IF(OR('OP1'!$D$53=1,$Q62="",VLOOKUP(Q62,DINS,5,0)=0),0,'OP1'!$C$28*10000*0.5)</f>
        <v>0</v>
      </c>
      <c r="W62" s="324">
        <f ca="1">IF(OR('OP1'!$D$53=1,$Q62=""),0,VLOOKUP('OP1'!$C$55,CV_1,$Q62+1,0)*'OP1'!$C$28)</f>
        <v>0</v>
      </c>
      <c r="X62" s="324">
        <f t="shared" ca="1" si="6"/>
        <v>0</v>
      </c>
      <c r="Y62" s="324">
        <f ca="1">IF(OR(OP!$D$53=1,$Q62=""),0,VLOOKUP(OP!$C$55,DIE,$Q62+1,0)*OP!$C$28)</f>
        <v>0</v>
      </c>
      <c r="Z62" s="324">
        <f ca="1">IF(OR(OP!$D$53=1,$Q62=""),0,VLOOKUP(OP!$C$55,DIE,$Q62+1,0)*OP!$C$28*2)</f>
        <v>0</v>
      </c>
      <c r="AA62" s="324">
        <f ca="1">IF(OR(OP!$D$53=1,$Q62=""),0,VLOOKUP(OP!$C$55,DIE,$Q62+1,0)*OP!$C$28*2)</f>
        <v>0</v>
      </c>
      <c r="AB62" s="324">
        <f ca="1">IF(OR(OP!$D$53=1,$Q162=""),0,VLOOKUP(OP!$C$55,DIE,$Q62+1,0)*OP!$C$28*2)</f>
        <v>0</v>
      </c>
      <c r="AC62" s="324">
        <f ca="1">IF(OR(OP!$D$53=1,$Q62=""),0,VLOOKUP(OP!$C$55,DIE,$Q62+1,0)*OP!$C$28*2)</f>
        <v>0</v>
      </c>
      <c r="AD62" s="324">
        <f ca="1">IF(OR(ROP!$C$33=1,$Q62=""),0,VLOOKUP(ROP!$C$39,AORCV,$Q62+1,0)*ROP!$C$30)</f>
        <v>0</v>
      </c>
      <c r="AE62" s="324">
        <f t="shared" ca="1" si="7"/>
        <v>0</v>
      </c>
      <c r="AF62" s="324">
        <f ca="1">IF(OR('OP1'!$D$53=1,$Q62=""),0,VLOOKUP('OP1'!$C$55,HL_1,$Q62+1,0)*'OP1'!$C$28)</f>
        <v>0</v>
      </c>
      <c r="AG62" s="324">
        <f ca="1">IF(OR('OP1'!$D$53=1,$Q62=""),0,VLOOKUP('OP1'!$C$55,HL,$Q62+1,0)*'OP1'!$C$28)</f>
        <v>0</v>
      </c>
    </row>
    <row r="63" spans="2:33" ht="16.5" hidden="1">
      <c r="B63" s="72" t="str">
        <f ca="1">IF(OR(B62&gt;=OP!$C$57,B62=""),"",IF(C62+1&gt;81,81-C62,B62+1))</f>
        <v/>
      </c>
      <c r="C63" s="72" t="str">
        <f ca="1">IF(OR(MAX(B$21:$B62)&gt;=OP!$C$57),"",C62+(B63-B62))</f>
        <v/>
      </c>
      <c r="D63" s="324">
        <f ca="1">N(IF(OR(OP!$D$53=1,$B63="",$B63&gt;OP!$C$57),"",OP!$X$6))</f>
        <v>0</v>
      </c>
      <c r="E63" s="324">
        <f ca="1">N(IF(OR('OP1'!$D$53=1,$B63="",$B63&gt;'OP1'!$C$57),"",'OP1'!$X$6))</f>
        <v>0</v>
      </c>
      <c r="F63" s="324">
        <f ca="1">N(IF(OR(ROP!$C$33=1,$B63="",$B63&gt;ROP!$C$37),"",ROP!$H$130))</f>
        <v>0</v>
      </c>
      <c r="G63" s="324">
        <f ca="1">N(IF(OR(ROP!$D$33=1,$B63="",$B63&gt;ROP!$D$37),"",ROP!$H$141))</f>
        <v>0</v>
      </c>
      <c r="H63" s="324">
        <f ca="1">N(IF(OR(ROP!$E$33=1,$B63="",$B63&gt;ROP!$E$37),"",ROP!$H$152))</f>
        <v>0</v>
      </c>
      <c r="I63" s="324">
        <f ca="1">N(IF(OR(ROP!$F$33=1,$B63="",$B63&gt;ROP!$F$37),"",ROP!$H$163))</f>
        <v>0</v>
      </c>
      <c r="J63" s="324">
        <f ca="1">N(IF(OR(ROP!$G$33=1,$B63="",$B63&gt;ROP!$G$37),"",ROP!$H$174))</f>
        <v>0</v>
      </c>
      <c r="K63" s="324">
        <f ca="1">N(IF(OR(ROP!$H$33=1,$B63="",$B63&gt;ROP!$H$36),"",ROP!$H$53))</f>
        <v>0</v>
      </c>
      <c r="L63" s="324">
        <f t="shared" ca="1" si="2"/>
        <v>0</v>
      </c>
      <c r="M63" s="324">
        <f t="shared" ca="1" si="5"/>
        <v>0</v>
      </c>
      <c r="Q63" s="300" t="str">
        <f t="shared" ca="1" si="3"/>
        <v/>
      </c>
      <c r="R63" s="300" t="str">
        <f t="shared" ca="1" si="4"/>
        <v/>
      </c>
      <c r="S63" s="324">
        <f ca="1">IF(OR(OP!$D$53=1,$Q63=""),0,VLOOKUP(OP!$C$55,DIE,$Q63+1,0)*OP!$C$28)</f>
        <v>0</v>
      </c>
      <c r="T63" s="324">
        <f ca="1">IF(OR(OP!$D$53=1,$Q63=""),0,VLOOKUP(OP!$C$55,CV,$Q63+1,0)*OP!$C$28)</f>
        <v>0</v>
      </c>
      <c r="U63" s="324">
        <f ca="1">IF(OR('OP1'!$D$53=1,$Q63=""),0,VLOOKUP('OP1'!$C$55,_DIE1,$Q63+1,0)*'OP1'!$C$28)</f>
        <v>0</v>
      </c>
      <c r="V63" s="324">
        <f ca="1">IF(OR('OP1'!$D$53=1,$Q63="",VLOOKUP(Q63,DINS,5,0)=0),0,'OP1'!$C$28*10000*0.5)</f>
        <v>0</v>
      </c>
      <c r="W63" s="324">
        <f ca="1">IF(OR('OP1'!$D$53=1,$Q63=""),0,VLOOKUP('OP1'!$C$55,CV_1,$Q63+1,0)*'OP1'!$C$28)</f>
        <v>0</v>
      </c>
      <c r="X63" s="324">
        <f t="shared" ca="1" si="6"/>
        <v>0</v>
      </c>
      <c r="Y63" s="324">
        <f ca="1">IF(OR(OP!$D$53=1,$Q63=""),0,VLOOKUP(OP!$C$55,DIE,$Q63+1,0)*OP!$C$28)</f>
        <v>0</v>
      </c>
      <c r="Z63" s="324">
        <f ca="1">IF(OR(OP!$D$53=1,$Q63=""),0,VLOOKUP(OP!$C$55,DIE,$Q63+1,0)*OP!$C$28*2)</f>
        <v>0</v>
      </c>
      <c r="AA63" s="324">
        <f ca="1">IF(OR(OP!$D$53=1,$Q63=""),0,VLOOKUP(OP!$C$55,DIE,$Q63+1,0)*OP!$C$28*2)</f>
        <v>0</v>
      </c>
      <c r="AB63" s="324">
        <f ca="1">IF(OR(OP!$D$53=1,$Q163=""),0,VLOOKUP(OP!$C$55,DIE,$Q63+1,0)*OP!$C$28*2)</f>
        <v>0</v>
      </c>
      <c r="AC63" s="324">
        <f ca="1">IF(OR(OP!$D$53=1,$Q63=""),0,VLOOKUP(OP!$C$55,DIE,$Q63+1,0)*OP!$C$28*2)</f>
        <v>0</v>
      </c>
      <c r="AD63" s="324">
        <f ca="1">IF(OR(ROP!$C$33=1,$Q63=""),0,VLOOKUP(ROP!$C$39,AORCV,$Q63+1,0)*ROP!$C$30)</f>
        <v>0</v>
      </c>
      <c r="AE63" s="324">
        <f t="shared" ca="1" si="7"/>
        <v>0</v>
      </c>
      <c r="AF63" s="324">
        <f ca="1">IF(OR('OP1'!$D$53=1,$Q63=""),0,VLOOKUP('OP1'!$C$55,HL_1,$Q63+1,0)*'OP1'!$C$28)</f>
        <v>0</v>
      </c>
      <c r="AG63" s="324">
        <f ca="1">IF(OR('OP1'!$D$53=1,$Q63=""),0,VLOOKUP('OP1'!$C$55,HL,$Q63+1,0)*'OP1'!$C$28)</f>
        <v>0</v>
      </c>
    </row>
    <row r="64" spans="2:33" ht="16.5" hidden="1">
      <c r="B64" s="72" t="str">
        <f ca="1">IF(OR(B63&gt;=OP!$C$57,B63=""),"",IF(C63+1&gt;81,81-C63,B63+1))</f>
        <v/>
      </c>
      <c r="C64" s="72" t="str">
        <f ca="1">IF(OR(MAX(B$21:$B63)&gt;=OP!$C$57),"",C63+(B64-B63))</f>
        <v/>
      </c>
      <c r="D64" s="324">
        <f ca="1">N(IF(OR(OP!$D$53=1,$B64="",$B64&gt;OP!$C$57),"",OP!$X$6))</f>
        <v>0</v>
      </c>
      <c r="E64" s="324">
        <f ca="1">N(IF(OR('OP1'!$D$53=1,$B64="",$B64&gt;'OP1'!$C$57),"",'OP1'!$X$6))</f>
        <v>0</v>
      </c>
      <c r="F64" s="324">
        <f ca="1">N(IF(OR(ROP!$C$33=1,$B64="",$B64&gt;ROP!$C$37),"",ROP!$H$130))</f>
        <v>0</v>
      </c>
      <c r="G64" s="324">
        <f ca="1">N(IF(OR(ROP!$D$33=1,$B64="",$B64&gt;ROP!$D$37),"",ROP!$H$141))</f>
        <v>0</v>
      </c>
      <c r="H64" s="324">
        <f ca="1">N(IF(OR(ROP!$E$33=1,$B64="",$B64&gt;ROP!$E$37),"",ROP!$H$152))</f>
        <v>0</v>
      </c>
      <c r="I64" s="324">
        <f ca="1">N(IF(OR(ROP!$F$33=1,$B64="",$B64&gt;ROP!$F$37),"",ROP!$H$163))</f>
        <v>0</v>
      </c>
      <c r="J64" s="324">
        <f ca="1">N(IF(OR(ROP!$G$33=1,$B64="",$B64&gt;ROP!$G$37),"",ROP!$H$174))</f>
        <v>0</v>
      </c>
      <c r="K64" s="324">
        <f ca="1">N(IF(OR(ROP!$H$33=1,$B64="",$B64&gt;ROP!$H$36),"",ROP!$H$53))</f>
        <v>0</v>
      </c>
      <c r="L64" s="324">
        <f t="shared" ca="1" si="2"/>
        <v>0</v>
      </c>
      <c r="M64" s="324">
        <f t="shared" ca="1" si="5"/>
        <v>0</v>
      </c>
      <c r="Q64" s="300" t="str">
        <f t="shared" ca="1" si="3"/>
        <v/>
      </c>
      <c r="R64" s="300" t="str">
        <f t="shared" ca="1" si="4"/>
        <v/>
      </c>
      <c r="S64" s="324">
        <f ca="1">IF(OR(OP!$D$53=1,$Q64=""),0,VLOOKUP(OP!$C$55,DIE,$Q64+1,0)*OP!$C$28)</f>
        <v>0</v>
      </c>
      <c r="T64" s="324">
        <f ca="1">IF(OR(OP!$D$53=1,$Q64=""),0,VLOOKUP(OP!$C$55,CV,$Q64+1,0)*OP!$C$28)</f>
        <v>0</v>
      </c>
      <c r="U64" s="324">
        <f ca="1">IF(OR('OP1'!$D$53=1,$Q64=""),0,VLOOKUP('OP1'!$C$55,_DIE1,$Q64+1,0)*'OP1'!$C$28)</f>
        <v>0</v>
      </c>
      <c r="V64" s="324">
        <f ca="1">IF(OR('OP1'!$D$53=1,$Q64="",VLOOKUP(Q64,DINS,5,0)=0),0,'OP1'!$C$28*10000*0.5)</f>
        <v>0</v>
      </c>
      <c r="W64" s="324">
        <f ca="1">IF(OR('OP1'!$D$53=1,$Q64=""),0,VLOOKUP('OP1'!$C$55,CV_1,$Q64+1,0)*'OP1'!$C$28)</f>
        <v>0</v>
      </c>
      <c r="X64" s="324">
        <f t="shared" ca="1" si="6"/>
        <v>0</v>
      </c>
      <c r="Y64" s="324">
        <f ca="1">IF(OR(OP!$D$53=1,$Q64=""),0,VLOOKUP(OP!$C$55,DIE,$Q64+1,0)*OP!$C$28)</f>
        <v>0</v>
      </c>
      <c r="Z64" s="324">
        <f ca="1">IF(OR(OP!$D$53=1,$Q64=""),0,VLOOKUP(OP!$C$55,DIE,$Q64+1,0)*OP!$C$28*2)</f>
        <v>0</v>
      </c>
      <c r="AA64" s="324">
        <f ca="1">IF(OR(OP!$D$53=1,$Q64=""),0,VLOOKUP(OP!$C$55,DIE,$Q64+1,0)*OP!$C$28*2)</f>
        <v>0</v>
      </c>
      <c r="AB64" s="324">
        <f ca="1">IF(OR(OP!$D$53=1,$Q164=""),0,VLOOKUP(OP!$C$55,DIE,$Q64+1,0)*OP!$C$28*2)</f>
        <v>0</v>
      </c>
      <c r="AC64" s="324">
        <f ca="1">IF(OR(OP!$D$53=1,$Q64=""),0,VLOOKUP(OP!$C$55,DIE,$Q64+1,0)*OP!$C$28*2)</f>
        <v>0</v>
      </c>
      <c r="AD64" s="324">
        <f ca="1">IF(OR(ROP!$C$33=1,$Q64=""),0,VLOOKUP(ROP!$C$39,AORCV,$Q64+1,0)*ROP!$C$30)</f>
        <v>0</v>
      </c>
      <c r="AE64" s="324">
        <f t="shared" ca="1" si="7"/>
        <v>0</v>
      </c>
      <c r="AF64" s="324">
        <f ca="1">IF(OR('OP1'!$D$53=1,$Q64=""),0,VLOOKUP('OP1'!$C$55,HL_1,$Q64+1,0)*'OP1'!$C$28)</f>
        <v>0</v>
      </c>
      <c r="AG64" s="324">
        <f ca="1">IF(OR('OP1'!$D$53=1,$Q64=""),0,VLOOKUP('OP1'!$C$55,HL,$Q64+1,0)*'OP1'!$C$28)</f>
        <v>0</v>
      </c>
    </row>
    <row r="65" spans="2:33" ht="16.5" hidden="1">
      <c r="B65" s="72" t="str">
        <f ca="1">IF(OR(B64&gt;=OP!$C$57,B64=""),"",IF(C64+1&gt;81,81-C64,B64+1))</f>
        <v/>
      </c>
      <c r="C65" s="72" t="str">
        <f ca="1">IF(OR(MAX(B$21:$B64)&gt;=OP!$C$57),"",C64+(B65-B64))</f>
        <v/>
      </c>
      <c r="D65" s="324">
        <f ca="1">N(IF(OR(OP!$D$53=1,$B65="",$B65&gt;OP!$C$57),"",OP!$X$6))</f>
        <v>0</v>
      </c>
      <c r="E65" s="324">
        <f ca="1">N(IF(OR('OP1'!$D$53=1,$B65="",$B65&gt;'OP1'!$C$57),"",'OP1'!$X$6))</f>
        <v>0</v>
      </c>
      <c r="F65" s="324">
        <f ca="1">N(IF(OR(ROP!$C$33=1,$B65="",$B65&gt;ROP!$C$37),"",ROP!$H$130))</f>
        <v>0</v>
      </c>
      <c r="G65" s="324">
        <f ca="1">N(IF(OR(ROP!$D$33=1,$B65="",$B65&gt;ROP!$D$37),"",ROP!$H$141))</f>
        <v>0</v>
      </c>
      <c r="H65" s="324">
        <f ca="1">N(IF(OR(ROP!$E$33=1,$B65="",$B65&gt;ROP!$E$37),"",ROP!$H$152))</f>
        <v>0</v>
      </c>
      <c r="I65" s="324">
        <f ca="1">N(IF(OR(ROP!$F$33=1,$B65="",$B65&gt;ROP!$F$37),"",ROP!$H$163))</f>
        <v>0</v>
      </c>
      <c r="J65" s="324">
        <f ca="1">N(IF(OR(ROP!$G$33=1,$B65="",$B65&gt;ROP!$G$37),"",ROP!$H$174))</f>
        <v>0</v>
      </c>
      <c r="K65" s="324">
        <f ca="1">N(IF(OR(ROP!$H$33=1,$B65="",$B65&gt;ROP!$H$36),"",ROP!$H$53))</f>
        <v>0</v>
      </c>
      <c r="L65" s="324">
        <f t="shared" ca="1" si="2"/>
        <v>0</v>
      </c>
      <c r="M65" s="324">
        <f t="shared" ca="1" si="5"/>
        <v>0</v>
      </c>
      <c r="Q65" s="300" t="str">
        <f t="shared" ca="1" si="3"/>
        <v/>
      </c>
      <c r="R65" s="300" t="str">
        <f t="shared" ca="1" si="4"/>
        <v/>
      </c>
      <c r="S65" s="324">
        <f ca="1">IF(OR(OP!$D$53=1,$Q65=""),0,VLOOKUP(OP!$C$55,DIE,$Q65+1,0)*OP!$C$28)</f>
        <v>0</v>
      </c>
      <c r="T65" s="324">
        <f ca="1">IF(OR(OP!$D$53=1,$Q65=""),0,VLOOKUP(OP!$C$55,CV,$Q65+1,0)*OP!$C$28)</f>
        <v>0</v>
      </c>
      <c r="U65" s="324">
        <f ca="1">IF(OR('OP1'!$D$53=1,$Q65=""),0,VLOOKUP('OP1'!$C$55,_DIE1,$Q65+1,0)*'OP1'!$C$28)</f>
        <v>0</v>
      </c>
      <c r="V65" s="324">
        <f ca="1">IF(OR('OP1'!$D$53=1,$Q65="",VLOOKUP(Q65,DINS,5,0)=0),0,'OP1'!$C$28*10000*0.5)</f>
        <v>0</v>
      </c>
      <c r="W65" s="324">
        <f ca="1">IF(OR('OP1'!$D$53=1,$Q65=""),0,VLOOKUP('OP1'!$C$55,CV_1,$Q65+1,0)*'OP1'!$C$28)</f>
        <v>0</v>
      </c>
      <c r="X65" s="324">
        <f t="shared" ca="1" si="6"/>
        <v>0</v>
      </c>
      <c r="Y65" s="324">
        <f ca="1">IF(OR(OP!$D$53=1,$Q65=""),0,VLOOKUP(OP!$C$55,DIE,$Q65+1,0)*OP!$C$28)</f>
        <v>0</v>
      </c>
      <c r="Z65" s="324">
        <f ca="1">IF(OR(OP!$D$53=1,$Q65=""),0,VLOOKUP(OP!$C$55,DIE,$Q65+1,0)*OP!$C$28*2)</f>
        <v>0</v>
      </c>
      <c r="AA65" s="324">
        <f ca="1">IF(OR(OP!$D$53=1,$Q65=""),0,VLOOKUP(OP!$C$55,DIE,$Q65+1,0)*OP!$C$28*2)</f>
        <v>0</v>
      </c>
      <c r="AB65" s="324">
        <f ca="1">IF(OR(OP!$D$53=1,$Q165=""),0,VLOOKUP(OP!$C$55,DIE,$Q65+1,0)*OP!$C$28*2)</f>
        <v>0</v>
      </c>
      <c r="AC65" s="324">
        <f ca="1">IF(OR(OP!$D$53=1,$Q65=""),0,VLOOKUP(OP!$C$55,DIE,$Q65+1,0)*OP!$C$28*2)</f>
        <v>0</v>
      </c>
      <c r="AD65" s="324">
        <f ca="1">IF(OR(ROP!$C$33=1,$Q65=""),0,VLOOKUP(ROP!$C$39,AORCV,$Q65+1,0)*ROP!$C$30)</f>
        <v>0</v>
      </c>
      <c r="AE65" s="324">
        <f t="shared" ca="1" si="7"/>
        <v>0</v>
      </c>
      <c r="AF65" s="324">
        <f ca="1">IF(OR('OP1'!$D$53=1,$Q65=""),0,VLOOKUP('OP1'!$C$55,HL_1,$Q65+1,0)*'OP1'!$C$28)</f>
        <v>0</v>
      </c>
      <c r="AG65" s="324">
        <f ca="1">IF(OR('OP1'!$D$53=1,$Q65=""),0,VLOOKUP('OP1'!$C$55,HL,$Q65+1,0)*'OP1'!$C$28)</f>
        <v>0</v>
      </c>
    </row>
    <row r="66" spans="2:33" ht="16.5" hidden="1">
      <c r="B66" s="72" t="str">
        <f ca="1">IF(OR(B65&gt;=OP!$C$57,B65=""),"",IF(C65+1&gt;81,81-C65,B65+1))</f>
        <v/>
      </c>
      <c r="C66" s="72" t="str">
        <f ca="1">IF(OR(MAX(B$21:$B65)&gt;=OP!$C$57),"",C65+(B66-B65))</f>
        <v/>
      </c>
      <c r="D66" s="324">
        <f ca="1">N(IF(OR(OP!$D$53=1,$B66="",$B66&gt;OP!$C$57),"",OP!$X$6))</f>
        <v>0</v>
      </c>
      <c r="E66" s="324">
        <f ca="1">N(IF(OR('OP1'!$D$53=1,$B66="",$B66&gt;'OP1'!$C$57),"",'OP1'!$X$6))</f>
        <v>0</v>
      </c>
      <c r="F66" s="324">
        <f ca="1">N(IF(OR(ROP!$C$33=1,$B66="",$B66&gt;ROP!$C$37),"",ROP!$H$130))</f>
        <v>0</v>
      </c>
      <c r="G66" s="324">
        <f ca="1">N(IF(OR(ROP!$D$33=1,$B66="",$B66&gt;ROP!$D$37),"",ROP!$H$141))</f>
        <v>0</v>
      </c>
      <c r="H66" s="324">
        <f ca="1">N(IF(OR(ROP!$E$33=1,$B66="",$B66&gt;ROP!$E$37),"",ROP!$H$152))</f>
        <v>0</v>
      </c>
      <c r="I66" s="324">
        <f ca="1">N(IF(OR(ROP!$F$33=1,$B66="",$B66&gt;ROP!$F$37),"",ROP!$H$163))</f>
        <v>0</v>
      </c>
      <c r="J66" s="324">
        <f ca="1">N(IF(OR(ROP!$G$33=1,$B66="",$B66&gt;ROP!$G$37),"",ROP!$H$174))</f>
        <v>0</v>
      </c>
      <c r="K66" s="324">
        <f ca="1">N(IF(OR(ROP!$H$33=1,$B66="",$B66&gt;ROP!$H$36),"",ROP!$H$53))</f>
        <v>0</v>
      </c>
      <c r="L66" s="324">
        <f t="shared" ca="1" si="2"/>
        <v>0</v>
      </c>
      <c r="M66" s="324">
        <f t="shared" ca="1" si="5"/>
        <v>0</v>
      </c>
      <c r="Q66" s="300" t="str">
        <f t="shared" ca="1" si="3"/>
        <v/>
      </c>
      <c r="R66" s="300" t="str">
        <f t="shared" ca="1" si="4"/>
        <v/>
      </c>
      <c r="S66" s="324">
        <f ca="1">IF(OR(OP!$D$53=1,$Q66=""),0,VLOOKUP(OP!$C$55,DIE,$Q66+1,0)*OP!$C$28)</f>
        <v>0</v>
      </c>
      <c r="T66" s="324">
        <f ca="1">IF(OR(OP!$D$53=1,$Q66=""),0,VLOOKUP(OP!$C$55,CV,$Q66+1,0)*OP!$C$28)</f>
        <v>0</v>
      </c>
      <c r="U66" s="324">
        <f ca="1">IF(OR('OP1'!$D$53=1,$Q66=""),0,VLOOKUP('OP1'!$C$55,_DIE1,$Q66+1,0)*'OP1'!$C$28)</f>
        <v>0</v>
      </c>
      <c r="V66" s="324">
        <f ca="1">IF(OR('OP1'!$D$53=1,$Q66="",VLOOKUP(Q66,DINS,5,0)=0),0,'OP1'!$C$28*10000*0.5)</f>
        <v>0</v>
      </c>
      <c r="W66" s="324">
        <f ca="1">IF(OR('OP1'!$D$53=1,$Q66=""),0,VLOOKUP('OP1'!$C$55,CV_1,$Q66+1,0)*'OP1'!$C$28)</f>
        <v>0</v>
      </c>
      <c r="X66" s="324">
        <f t="shared" ca="1" si="6"/>
        <v>0</v>
      </c>
      <c r="Y66" s="324">
        <f ca="1">IF(OR(OP!$D$53=1,$Q66=""),0,VLOOKUP(OP!$C$55,DIE,$Q66+1,0)*OP!$C$28)</f>
        <v>0</v>
      </c>
      <c r="Z66" s="324">
        <f ca="1">IF(OR(OP!$D$53=1,$Q66=""),0,VLOOKUP(OP!$C$55,DIE,$Q66+1,0)*OP!$C$28*2)</f>
        <v>0</v>
      </c>
      <c r="AA66" s="324">
        <f ca="1">IF(OR(OP!$D$53=1,$Q66=""),0,VLOOKUP(OP!$C$55,DIE,$Q66+1,0)*OP!$C$28*2)</f>
        <v>0</v>
      </c>
      <c r="AB66" s="324">
        <f ca="1">IF(OR(OP!$D$53=1,$Q166=""),0,VLOOKUP(OP!$C$55,DIE,$Q66+1,0)*OP!$C$28*2)</f>
        <v>0</v>
      </c>
      <c r="AC66" s="324">
        <f ca="1">IF(OR(OP!$D$53=1,$Q66=""),0,VLOOKUP(OP!$C$55,DIE,$Q66+1,0)*OP!$C$28*2)</f>
        <v>0</v>
      </c>
      <c r="AD66" s="324">
        <f ca="1">IF(OR(ROP!$C$33=1,$Q66=""),0,VLOOKUP(ROP!$C$39,AORCV,$Q66+1,0)*ROP!$C$30)</f>
        <v>0</v>
      </c>
      <c r="AE66" s="324">
        <f t="shared" ca="1" si="7"/>
        <v>0</v>
      </c>
      <c r="AF66" s="324">
        <f ca="1">IF(OR('OP1'!$D$53=1,$Q66=""),0,VLOOKUP('OP1'!$C$55,HL_1,$Q66+1,0)*'OP1'!$C$28)</f>
        <v>0</v>
      </c>
      <c r="AG66" s="324">
        <f ca="1">IF(OR('OP1'!$D$53=1,$Q66=""),0,VLOOKUP('OP1'!$C$55,HL,$Q66+1,0)*'OP1'!$C$28)</f>
        <v>0</v>
      </c>
    </row>
    <row r="67" spans="2:33" ht="16.5" hidden="1">
      <c r="B67" s="72" t="str">
        <f ca="1">IF(OR(B66&gt;=OP!$C$57,B66=""),"",IF(C66+1&gt;81,81-C66,B66+1))</f>
        <v/>
      </c>
      <c r="C67" s="72" t="str">
        <f ca="1">IF(OR(MAX(B$21:$B66)&gt;=OP!$C$57),"",C66+(B67-B66))</f>
        <v/>
      </c>
      <c r="D67" s="324">
        <f ca="1">N(IF(OR(OP!$D$53=1,$B67="",$B67&gt;OP!$C$57),"",OP!$X$6))</f>
        <v>0</v>
      </c>
      <c r="E67" s="324">
        <f ca="1">N(IF(OR('OP1'!$D$53=1,$B67="",$B67&gt;'OP1'!$C$57),"",'OP1'!$X$6))</f>
        <v>0</v>
      </c>
      <c r="F67" s="324">
        <f ca="1">N(IF(OR(ROP!$C$33=1,$B67="",$B67&gt;ROP!$C$37),"",ROP!$H$130))</f>
        <v>0</v>
      </c>
      <c r="G67" s="324">
        <f ca="1">N(IF(OR(ROP!$D$33=1,$B67="",$B67&gt;ROP!$D$37),"",ROP!$H$141))</f>
        <v>0</v>
      </c>
      <c r="H67" s="324">
        <f ca="1">N(IF(OR(ROP!$E$33=1,$B67="",$B67&gt;ROP!$E$37),"",ROP!$H$152))</f>
        <v>0</v>
      </c>
      <c r="I67" s="324">
        <f ca="1">N(IF(OR(ROP!$F$33=1,$B67="",$B67&gt;ROP!$F$37),"",ROP!$H$163))</f>
        <v>0</v>
      </c>
      <c r="J67" s="324">
        <f ca="1">N(IF(OR(ROP!$G$33=1,$B67="",$B67&gt;ROP!$G$37),"",ROP!$H$174))</f>
        <v>0</v>
      </c>
      <c r="K67" s="324">
        <f ca="1">N(IF(OR(ROP!$H$33=1,$B67="",$B67&gt;ROP!$H$36),"",ROP!$H$53))</f>
        <v>0</v>
      </c>
      <c r="L67" s="324">
        <f t="shared" ca="1" si="2"/>
        <v>0</v>
      </c>
      <c r="M67" s="324">
        <f t="shared" ca="1" si="5"/>
        <v>0</v>
      </c>
      <c r="Q67" s="300" t="str">
        <f t="shared" ca="1" si="3"/>
        <v/>
      </c>
      <c r="R67" s="300" t="str">
        <f t="shared" ca="1" si="4"/>
        <v/>
      </c>
      <c r="S67" s="324">
        <f ca="1">IF(OR(OP!$D$53=1,$Q67=""),0,VLOOKUP(OP!$C$55,DIE,$Q67+1,0)*OP!$C$28)</f>
        <v>0</v>
      </c>
      <c r="T67" s="324">
        <f ca="1">IF(OR(OP!$D$53=1,$Q67=""),0,VLOOKUP(OP!$C$55,CV,$Q67+1,0)*OP!$C$28)</f>
        <v>0</v>
      </c>
      <c r="U67" s="324">
        <f ca="1">IF(OR('OP1'!$D$53=1,$Q67=""),0,VLOOKUP('OP1'!$C$55,_DIE1,$Q67+1,0)*'OP1'!$C$28)</f>
        <v>0</v>
      </c>
      <c r="V67" s="324">
        <f ca="1">IF(OR('OP1'!$D$53=1,$Q67="",VLOOKUP(Q67,DINS,5,0)=0),0,'OP1'!$C$28*10000*0.5)</f>
        <v>0</v>
      </c>
      <c r="W67" s="324">
        <f ca="1">IF(OR('OP1'!$D$53=1,$Q67=""),0,VLOOKUP('OP1'!$C$55,CV_1,$Q67+1,0)*'OP1'!$C$28)</f>
        <v>0</v>
      </c>
      <c r="X67" s="324">
        <f t="shared" ca="1" si="6"/>
        <v>0</v>
      </c>
      <c r="Y67" s="324">
        <f ca="1">IF(OR(OP!$D$53=1,$Q67=""),0,VLOOKUP(OP!$C$55,DIE,$Q67+1,0)*OP!$C$28)</f>
        <v>0</v>
      </c>
      <c r="Z67" s="324">
        <f ca="1">IF(OR(OP!$D$53=1,$Q67=""),0,VLOOKUP(OP!$C$55,DIE,$Q67+1,0)*OP!$C$28*2)</f>
        <v>0</v>
      </c>
      <c r="AA67" s="324">
        <f ca="1">IF(OR(OP!$D$53=1,$Q67=""),0,VLOOKUP(OP!$C$55,DIE,$Q67+1,0)*OP!$C$28*2)</f>
        <v>0</v>
      </c>
      <c r="AB67" s="324">
        <f ca="1">IF(OR(OP!$D$53=1,$Q167=""),0,VLOOKUP(OP!$C$55,DIE,$Q67+1,0)*OP!$C$28*2)</f>
        <v>0</v>
      </c>
      <c r="AC67" s="324">
        <f ca="1">IF(OR(OP!$D$53=1,$Q67=""),0,VLOOKUP(OP!$C$55,DIE,$Q67+1,0)*OP!$C$28*2)</f>
        <v>0</v>
      </c>
      <c r="AD67" s="324">
        <f ca="1">IF(OR(ROP!$C$33=1,$Q67=""),0,VLOOKUP(ROP!$C$39,AORCV,$Q67+1,0)*ROP!$C$30)</f>
        <v>0</v>
      </c>
      <c r="AE67" s="324">
        <f t="shared" ca="1" si="7"/>
        <v>0</v>
      </c>
      <c r="AF67" s="324">
        <f ca="1">IF(OR('OP1'!$D$53=1,$Q67=""),0,VLOOKUP('OP1'!$C$55,HL_1,$Q67+1,0)*'OP1'!$C$28)</f>
        <v>0</v>
      </c>
      <c r="AG67" s="324">
        <f ca="1">IF(OR('OP1'!$D$53=1,$Q67=""),0,VLOOKUP('OP1'!$C$55,HL,$Q67+1,0)*'OP1'!$C$28)</f>
        <v>0</v>
      </c>
    </row>
    <row r="68" spans="2:33" ht="16.5" hidden="1">
      <c r="B68" s="72" t="str">
        <f ca="1">IF(OR(B67&gt;=OP!$C$57,B67=""),"",IF(C67+1&gt;81,81-C67,B67+1))</f>
        <v/>
      </c>
      <c r="C68" s="72" t="str">
        <f ca="1">IF(OR(MAX(B$21:$B67)&gt;=OP!$C$57),"",C67+(B68-B67))</f>
        <v/>
      </c>
      <c r="D68" s="324">
        <f ca="1">N(IF(OR(OP!$D$53=1,$B68="",$B68&gt;OP!$C$57),"",OP!$X$6))</f>
        <v>0</v>
      </c>
      <c r="E68" s="324">
        <f ca="1">N(IF(OR('OP1'!$D$53=1,$B68="",$B68&gt;'OP1'!$C$57),"",'OP1'!$X$6))</f>
        <v>0</v>
      </c>
      <c r="F68" s="324">
        <f ca="1">N(IF(OR(ROP!$C$33=1,$B68="",$B68&gt;ROP!$C$37),"",ROP!$H$130))</f>
        <v>0</v>
      </c>
      <c r="G68" s="324">
        <f ca="1">N(IF(OR(ROP!$D$33=1,$B68="",$B68&gt;ROP!$D$37),"",ROP!$H$141))</f>
        <v>0</v>
      </c>
      <c r="H68" s="324">
        <f ca="1">N(IF(OR(ROP!$E$33=1,$B68="",$B68&gt;ROP!$E$37),"",ROP!$H$152))</f>
        <v>0</v>
      </c>
      <c r="I68" s="324">
        <f ca="1">N(IF(OR(ROP!$F$33=1,$B68="",$B68&gt;ROP!$F$37),"",ROP!$H$163))</f>
        <v>0</v>
      </c>
      <c r="J68" s="324">
        <f ca="1">N(IF(OR(ROP!$G$33=1,$B68="",$B68&gt;ROP!$G$37),"",ROP!$H$174))</f>
        <v>0</v>
      </c>
      <c r="K68" s="324">
        <f ca="1">N(IF(OR(ROP!$H$33=1,$B68="",$B68&gt;ROP!$H$36),"",ROP!$H$53))</f>
        <v>0</v>
      </c>
      <c r="L68" s="324">
        <f t="shared" ca="1" si="2"/>
        <v>0</v>
      </c>
      <c r="M68" s="324">
        <f t="shared" ca="1" si="5"/>
        <v>0</v>
      </c>
      <c r="Q68" s="300" t="str">
        <f t="shared" ca="1" si="3"/>
        <v/>
      </c>
      <c r="R68" s="300" t="str">
        <f t="shared" ca="1" si="4"/>
        <v/>
      </c>
      <c r="S68" s="324">
        <f ca="1">IF(OR(OP!$D$53=1,$Q68=""),0,VLOOKUP(OP!$C$55,DIE,$Q68+1,0)*OP!$C$28)</f>
        <v>0</v>
      </c>
      <c r="T68" s="324">
        <f ca="1">IF(OR(OP!$D$53=1,$Q68=""),0,VLOOKUP(OP!$C$55,CV,$Q68+1,0)*OP!$C$28)</f>
        <v>0</v>
      </c>
      <c r="U68" s="324">
        <f ca="1">IF(OR('OP1'!$D$53=1,$Q68=""),0,VLOOKUP('OP1'!$C$55,_DIE1,$Q68+1,0)*'OP1'!$C$28)</f>
        <v>0</v>
      </c>
      <c r="V68" s="324">
        <f ca="1">IF(OR('OP1'!$D$53=1,$Q68="",VLOOKUP(Q68,DINS,5,0)=0),0,'OP1'!$C$28*10000*0.5)</f>
        <v>0</v>
      </c>
      <c r="W68" s="324">
        <f ca="1">IF(OR('OP1'!$D$53=1,$Q68=""),0,VLOOKUP('OP1'!$C$55,CV_1,$Q68+1,0)*'OP1'!$C$28)</f>
        <v>0</v>
      </c>
      <c r="X68" s="324">
        <f t="shared" ca="1" si="6"/>
        <v>0</v>
      </c>
      <c r="Y68" s="324">
        <f ca="1">IF(OR(OP!$D$53=1,$Q68=""),0,VLOOKUP(OP!$C$55,DIE,$Q68+1,0)*OP!$C$28)</f>
        <v>0</v>
      </c>
      <c r="Z68" s="324">
        <f ca="1">IF(OR(OP!$D$53=1,$Q68=""),0,VLOOKUP(OP!$C$55,DIE,$Q68+1,0)*OP!$C$28*2)</f>
        <v>0</v>
      </c>
      <c r="AA68" s="324">
        <f ca="1">IF(OR(OP!$D$53=1,$Q68=""),0,VLOOKUP(OP!$C$55,DIE,$Q68+1,0)*OP!$C$28*2)</f>
        <v>0</v>
      </c>
      <c r="AB68" s="324">
        <f ca="1">IF(OR(OP!$D$53=1,$Q168=""),0,VLOOKUP(OP!$C$55,DIE,$Q68+1,0)*OP!$C$28*2)</f>
        <v>0</v>
      </c>
      <c r="AC68" s="324">
        <f ca="1">IF(OR(OP!$D$53=1,$Q68=""),0,VLOOKUP(OP!$C$55,DIE,$Q68+1,0)*OP!$C$28*2)</f>
        <v>0</v>
      </c>
      <c r="AD68" s="324">
        <f ca="1">IF(OR(ROP!$C$33=1,$Q68=""),0,VLOOKUP(ROP!$C$39,AORCV,$Q68+1,0)*ROP!$C$30)</f>
        <v>0</v>
      </c>
      <c r="AE68" s="324">
        <f t="shared" ca="1" si="7"/>
        <v>0</v>
      </c>
      <c r="AF68" s="324">
        <f ca="1">IF(OR('OP1'!$D$53=1,$Q68=""),0,VLOOKUP('OP1'!$C$55,HL_1,$Q68+1,0)*'OP1'!$C$28)</f>
        <v>0</v>
      </c>
      <c r="AG68" s="324">
        <f ca="1">IF(OR('OP1'!$D$53=1,$Q68=""),0,VLOOKUP('OP1'!$C$55,HL,$Q68+1,0)*'OP1'!$C$28)</f>
        <v>0</v>
      </c>
    </row>
    <row r="69" spans="2:33" ht="16.5" hidden="1">
      <c r="B69" s="72" t="str">
        <f ca="1">IF(OR(B68&gt;=OP!$C$57,B68=""),"",IF(C68+1&gt;81,81-C68,B68+1))</f>
        <v/>
      </c>
      <c r="C69" s="72" t="str">
        <f ca="1">IF(OR(MAX(B$21:$B68)&gt;=OP!$C$57),"",C68+(B69-B68))</f>
        <v/>
      </c>
      <c r="D69" s="324">
        <f ca="1">N(IF(OR(OP!$D$53=1,$B69="",$B69&gt;OP!$C$57),"",OP!$X$6))</f>
        <v>0</v>
      </c>
      <c r="E69" s="324">
        <f ca="1">N(IF(OR('OP1'!$D$53=1,$B69="",$B69&gt;'OP1'!$C$57),"",'OP1'!$X$6))</f>
        <v>0</v>
      </c>
      <c r="F69" s="324">
        <f ca="1">N(IF(OR(ROP!$C$33=1,$B69="",$B69&gt;ROP!$C$37),"",ROP!$H$130))</f>
        <v>0</v>
      </c>
      <c r="G69" s="324">
        <f ca="1">N(IF(OR(ROP!$D$33=1,$B69="",$B69&gt;ROP!$D$37),"",ROP!$H$141))</f>
        <v>0</v>
      </c>
      <c r="H69" s="324">
        <f ca="1">N(IF(OR(ROP!$E$33=1,$B69="",$B69&gt;ROP!$E$37),"",ROP!$H$152))</f>
        <v>0</v>
      </c>
      <c r="I69" s="324">
        <f ca="1">N(IF(OR(ROP!$F$33=1,$B69="",$B69&gt;ROP!$F$37),"",ROP!$H$163))</f>
        <v>0</v>
      </c>
      <c r="J69" s="324">
        <f ca="1">N(IF(OR(ROP!$G$33=1,$B69="",$B69&gt;ROP!$G$37),"",ROP!$H$174))</f>
        <v>0</v>
      </c>
      <c r="K69" s="324">
        <f ca="1">N(IF(OR(ROP!$H$33=1,$B69="",$B69&gt;ROP!$H$36),"",ROP!$H$53))</f>
        <v>0</v>
      </c>
      <c r="L69" s="324">
        <f t="shared" ca="1" si="2"/>
        <v>0</v>
      </c>
      <c r="M69" s="324">
        <f t="shared" ca="1" si="5"/>
        <v>0</v>
      </c>
      <c r="Q69" s="300" t="str">
        <f t="shared" ca="1" si="3"/>
        <v/>
      </c>
      <c r="R69" s="300" t="str">
        <f t="shared" ca="1" si="4"/>
        <v/>
      </c>
      <c r="S69" s="324">
        <f ca="1">IF(OR(OP!$D$53=1,$Q69=""),0,VLOOKUP(OP!$C$55,DIE,$Q69+1,0)*OP!$C$28)</f>
        <v>0</v>
      </c>
      <c r="T69" s="324">
        <f ca="1">IF(OR(OP!$D$53=1,$Q69=""),0,VLOOKUP(OP!$C$55,CV,$Q69+1,0)*OP!$C$28)</f>
        <v>0</v>
      </c>
      <c r="U69" s="324">
        <f ca="1">IF(OR('OP1'!$D$53=1,$Q69=""),0,VLOOKUP('OP1'!$C$55,_DIE1,$Q69+1,0)*'OP1'!$C$28)</f>
        <v>0</v>
      </c>
      <c r="V69" s="324">
        <f ca="1">IF(OR('OP1'!$D$53=1,$Q69="",VLOOKUP(Q69,DINS,5,0)=0),0,'OP1'!$C$28*10000*0.5)</f>
        <v>0</v>
      </c>
      <c r="W69" s="324">
        <f ca="1">IF(OR('OP1'!$D$53=1,$Q69=""),0,VLOOKUP('OP1'!$C$55,CV_1,$Q69+1,0)*'OP1'!$C$28)</f>
        <v>0</v>
      </c>
      <c r="X69" s="324">
        <f t="shared" ca="1" si="6"/>
        <v>0</v>
      </c>
      <c r="Y69" s="324">
        <f ca="1">IF(OR(OP!$D$53=1,$Q69=""),0,VLOOKUP(OP!$C$55,DIE,$Q69+1,0)*OP!$C$28)</f>
        <v>0</v>
      </c>
      <c r="Z69" s="324">
        <f ca="1">IF(OR(OP!$D$53=1,$Q69=""),0,VLOOKUP(OP!$C$55,DIE,$Q69+1,0)*OP!$C$28*2)</f>
        <v>0</v>
      </c>
      <c r="AA69" s="324">
        <f ca="1">IF(OR(OP!$D$53=1,$Q69=""),0,VLOOKUP(OP!$C$55,DIE,$Q69+1,0)*OP!$C$28*2)</f>
        <v>0</v>
      </c>
      <c r="AB69" s="324">
        <f ca="1">IF(OR(OP!$D$53=1,$Q169=""),0,VLOOKUP(OP!$C$55,DIE,$Q69+1,0)*OP!$C$28*2)</f>
        <v>0</v>
      </c>
      <c r="AC69" s="324">
        <f ca="1">IF(OR(OP!$D$53=1,$Q69=""),0,VLOOKUP(OP!$C$55,DIE,$Q69+1,0)*OP!$C$28*2)</f>
        <v>0</v>
      </c>
      <c r="AD69" s="324">
        <f ca="1">IF(OR(ROP!$C$33=1,$Q69=""),0,VLOOKUP(ROP!$C$39,AORCV,$Q69+1,0)*ROP!$C$30)</f>
        <v>0</v>
      </c>
      <c r="AE69" s="324">
        <f t="shared" ca="1" si="7"/>
        <v>0</v>
      </c>
      <c r="AF69" s="324">
        <f ca="1">IF(OR('OP1'!$D$53=1,$Q69=""),0,VLOOKUP('OP1'!$C$55,HL_1,$Q69+1,0)*'OP1'!$C$28)</f>
        <v>0</v>
      </c>
      <c r="AG69" s="324">
        <f ca="1">IF(OR('OP1'!$D$53=1,$Q69=""),0,VLOOKUP('OP1'!$C$55,HL,$Q69+1,0)*'OP1'!$C$28)</f>
        <v>0</v>
      </c>
    </row>
    <row r="70" spans="2:33" ht="16.5" hidden="1">
      <c r="B70" s="72" t="str">
        <f ca="1">IF(OR(B69&gt;=OP!$C$57,B69=""),"",IF(C69+1&gt;81,81-C69,B69+1))</f>
        <v/>
      </c>
      <c r="C70" s="72" t="str">
        <f ca="1">IF(OR(MAX(B$21:$B69)&gt;=OP!$C$57),"",C69+(B70-B69))</f>
        <v/>
      </c>
      <c r="D70" s="324">
        <f ca="1">N(IF(OR(OP!$D$53=1,$B70="",$B70&gt;OP!$C$57),"",OP!$X$6))</f>
        <v>0</v>
      </c>
      <c r="E70" s="324">
        <f ca="1">N(IF(OR('OP1'!$D$53=1,$B70="",$B70&gt;'OP1'!$C$57),"",'OP1'!$X$6))</f>
        <v>0</v>
      </c>
      <c r="F70" s="324">
        <f ca="1">N(IF(OR(ROP!$C$33=1,$B70="",$B70&gt;ROP!$C$37),"",ROP!$H$130))</f>
        <v>0</v>
      </c>
      <c r="G70" s="324">
        <f ca="1">N(IF(OR(ROP!$D$33=1,$B70="",$B70&gt;ROP!$D$37),"",ROP!$H$141))</f>
        <v>0</v>
      </c>
      <c r="H70" s="324">
        <f ca="1">N(IF(OR(ROP!$E$33=1,$B70="",$B70&gt;ROP!$E$37),"",ROP!$H$152))</f>
        <v>0</v>
      </c>
      <c r="I70" s="324">
        <f ca="1">N(IF(OR(ROP!$F$33=1,$B70="",$B70&gt;ROP!$F$37),"",ROP!$H$163))</f>
        <v>0</v>
      </c>
      <c r="J70" s="324">
        <f ca="1">N(IF(OR(ROP!$G$33=1,$B70="",$B70&gt;ROP!$G$37),"",ROP!$H$174))</f>
        <v>0</v>
      </c>
      <c r="K70" s="324">
        <f ca="1">N(IF(OR(ROP!$H$33=1,$B70="",$B70&gt;ROP!$H$36),"",ROP!$H$53))</f>
        <v>0</v>
      </c>
      <c r="L70" s="324">
        <f t="shared" ca="1" si="2"/>
        <v>0</v>
      </c>
      <c r="M70" s="324">
        <f t="shared" ca="1" si="5"/>
        <v>0</v>
      </c>
      <c r="Q70" s="300" t="str">
        <f t="shared" ca="1" si="3"/>
        <v/>
      </c>
      <c r="R70" s="300" t="str">
        <f t="shared" ca="1" si="4"/>
        <v/>
      </c>
      <c r="S70" s="324">
        <f ca="1">IF(OR(OP!$D$53=1,$Q70=""),0,VLOOKUP(OP!$C$55,DIE,$Q70+1,0)*OP!$C$28)</f>
        <v>0</v>
      </c>
      <c r="T70" s="324">
        <f ca="1">IF(OR(OP!$D$53=1,$Q70=""),0,VLOOKUP(OP!$C$55,CV,$Q70+1,0)*OP!$C$28)</f>
        <v>0</v>
      </c>
      <c r="U70" s="324">
        <f ca="1">IF(OR('OP1'!$D$53=1,$Q70=""),0,VLOOKUP('OP1'!$C$55,_DIE1,$Q70+1,0)*'OP1'!$C$28)</f>
        <v>0</v>
      </c>
      <c r="V70" s="324">
        <f ca="1">IF(OR('OP1'!$D$53=1,$Q70="",VLOOKUP(Q70,DINS,5,0)=0),0,'OP1'!$C$28*10000*0.5)</f>
        <v>0</v>
      </c>
      <c r="W70" s="324">
        <f ca="1">IF(OR('OP1'!$D$53=1,$Q70=""),0,VLOOKUP('OP1'!$C$55,CV_1,$Q70+1,0)*'OP1'!$C$28)</f>
        <v>0</v>
      </c>
      <c r="X70" s="324">
        <f t="shared" ca="1" si="6"/>
        <v>0</v>
      </c>
      <c r="Y70" s="324">
        <f ca="1">IF(OR(OP!$D$53=1,$Q70=""),0,VLOOKUP(OP!$C$55,DIE,$Q70+1,0)*OP!$C$28)</f>
        <v>0</v>
      </c>
      <c r="Z70" s="324">
        <f ca="1">IF(OR(OP!$D$53=1,$Q70=""),0,VLOOKUP(OP!$C$55,DIE,$Q70+1,0)*OP!$C$28*2)</f>
        <v>0</v>
      </c>
      <c r="AA70" s="324">
        <f ca="1">IF(OR(OP!$D$53=1,$Q70=""),0,VLOOKUP(OP!$C$55,DIE,$Q70+1,0)*OP!$C$28*2)</f>
        <v>0</v>
      </c>
      <c r="AB70" s="324">
        <f ca="1">IF(OR(OP!$D$53=1,$Q170=""),0,VLOOKUP(OP!$C$55,DIE,$Q70+1,0)*OP!$C$28*2)</f>
        <v>0</v>
      </c>
      <c r="AC70" s="324">
        <f ca="1">IF(OR(OP!$D$53=1,$Q70=""),0,VLOOKUP(OP!$C$55,DIE,$Q70+1,0)*OP!$C$28*2)</f>
        <v>0</v>
      </c>
      <c r="AD70" s="324">
        <f ca="1">IF(OR(ROP!$C$33=1,$Q70=""),0,VLOOKUP(ROP!$C$39,AORCV,$Q70+1,0)*ROP!$C$30)</f>
        <v>0</v>
      </c>
      <c r="AE70" s="324">
        <f t="shared" ca="1" si="7"/>
        <v>0</v>
      </c>
      <c r="AF70" s="324">
        <f ca="1">IF(OR('OP1'!$D$53=1,$Q70=""),0,VLOOKUP('OP1'!$C$55,HL_1,$Q70+1,0)*'OP1'!$C$28)</f>
        <v>0</v>
      </c>
      <c r="AG70" s="324">
        <f ca="1">IF(OR('OP1'!$D$53=1,$Q70=""),0,VLOOKUP('OP1'!$C$55,HL,$Q70+1,0)*'OP1'!$C$28)</f>
        <v>0</v>
      </c>
    </row>
    <row r="71" spans="2:33" ht="16.5" hidden="1">
      <c r="B71" s="72" t="str">
        <f ca="1">IF(OR(B70&gt;=OP!$C$57,B70=""),"",IF(C70+1&gt;81,81-C70,B70+1))</f>
        <v/>
      </c>
      <c r="C71" s="72" t="str">
        <f ca="1">IF(OR(MAX(B$21:$B70)&gt;=OP!$C$57),"",C70+(B71-B70))</f>
        <v/>
      </c>
      <c r="D71" s="396">
        <f ca="1">N(IF(OR(OP!$D$53=1,$B71="",$B71&gt;OP!$C$57),"",OP!$X$7))</f>
        <v>0</v>
      </c>
      <c r="E71" s="396">
        <f ca="1">N(IF(OR('OP1'!$D$53=1,$B71="",$B71&gt;'OP1'!$C$57),"",'OP1'!$X$7))</f>
        <v>0</v>
      </c>
      <c r="F71" s="396">
        <f ca="1">N(IF(OR(ROP!$C$33=1,$B71="",$B71&gt;ROP!$C$37),"",ROP!$H$131))</f>
        <v>0</v>
      </c>
      <c r="G71" s="396">
        <f ca="1">N(IF(OR(ROP!$D$33=1,$B71="",$B71&gt;ROP!$D$37),"",ROP!$H$142))</f>
        <v>0</v>
      </c>
      <c r="H71" s="396">
        <f ca="1">N(IF(OR(ROP!$E$33=1,$B71="",$B71&gt;ROP!$E$37),"",ROP!$H$153))</f>
        <v>0</v>
      </c>
      <c r="I71" s="396">
        <f ca="1">N(IF(OR(ROP!$F$33=1,$B71="",$B71&gt;ROP!$F$37),"",ROP!$H$164))</f>
        <v>0</v>
      </c>
      <c r="J71" s="396">
        <f ca="1">N(IF(OR(ROP!$G$33=1,$B71="",$B71&gt;ROP!$G$37),"",ROP!$H$175))</f>
        <v>0</v>
      </c>
      <c r="K71" s="396">
        <f ca="1">N(IF(OR(ROP!$H$33=1,$B71="",$B71&gt;ROP!$H$36),"",ROP!$H$53))</f>
        <v>0</v>
      </c>
      <c r="L71" s="396">
        <f t="shared" ca="1" si="2"/>
        <v>0</v>
      </c>
      <c r="M71" s="396">
        <f ca="1">L71</f>
        <v>0</v>
      </c>
      <c r="N71" t="s">
        <v>820</v>
      </c>
      <c r="Q71" s="300" t="str">
        <f t="shared" ca="1" si="3"/>
        <v/>
      </c>
      <c r="R71" s="300" t="str">
        <f t="shared" ca="1" si="4"/>
        <v/>
      </c>
      <c r="S71" s="324">
        <f ca="1">IF(OR(OP!$D$53=1,$Q71=""),0,VLOOKUP(OP!$C$55,DIE,$Q71+1,0)*OP!$C$28)</f>
        <v>0</v>
      </c>
      <c r="T71" s="324">
        <f ca="1">IF(OR(OP!$D$53=1,$Q71=""),0,VLOOKUP(OP!$C$55,CV,$Q71+1,0)*OP!$C$28)</f>
        <v>0</v>
      </c>
      <c r="U71" s="324">
        <f ca="1">IF(OR('OP1'!$D$53=1,$Q71=""),0,VLOOKUP('OP1'!$C$55,_DIE1,$Q71+1,0)*'OP1'!$C$28)</f>
        <v>0</v>
      </c>
      <c r="V71" s="324">
        <f ca="1">IF(OR('OP1'!$D$53=1,$Q71="",VLOOKUP(Q71,DINS,5,0)=0),0,'OP1'!$C$28*10000*0.5)</f>
        <v>0</v>
      </c>
      <c r="W71" s="324">
        <f ca="1">IF(OR('OP1'!$D$53=1,$Q71=""),0,VLOOKUP('OP1'!$C$55,CV_1,$Q71+1,0)*'OP1'!$C$28)</f>
        <v>0</v>
      </c>
      <c r="X71" s="324">
        <f t="shared" ca="1" si="6"/>
        <v>0</v>
      </c>
      <c r="Y71" s="324">
        <f ca="1">IF(OR(OP!$D$53=1,$Q71=""),0,VLOOKUP(OP!$C$55,DIE,$Q71+1,0)*OP!$C$28)</f>
        <v>0</v>
      </c>
      <c r="Z71" s="324">
        <f ca="1">IF(OR(OP!$D$53=1,$Q71=""),0,VLOOKUP(OP!$C$55,DIE,$Q71+1,0)*OP!$C$28*2)</f>
        <v>0</v>
      </c>
      <c r="AA71" s="324">
        <f ca="1">IF(OR(OP!$D$53=1,$Q71=""),0,VLOOKUP(OP!$C$55,DIE,$Q71+1,0)*OP!$C$28*2)</f>
        <v>0</v>
      </c>
      <c r="AB71" s="324">
        <f ca="1">IF(OR(OP!$D$53=1,$Q171=""),0,VLOOKUP(OP!$C$55,DIE,$Q71+1,0)*OP!$C$28*2)</f>
        <v>0</v>
      </c>
      <c r="AC71" s="324">
        <f ca="1">IF(OR(OP!$D$53=1,$Q71=""),0,VLOOKUP(OP!$C$55,DIE,$Q71+1,0)*OP!$C$28*2)</f>
        <v>0</v>
      </c>
      <c r="AD71" s="324">
        <f ca="1">IF(OR(ROP!$C$33=1,$Q71=""),0,VLOOKUP(ROP!$C$39,AORCV,$Q71+1,0)*ROP!$C$30)</f>
        <v>0</v>
      </c>
      <c r="AE71" s="324">
        <f t="shared" ca="1" si="7"/>
        <v>0</v>
      </c>
      <c r="AF71" s="324">
        <f ca="1">IF(OR('OP1'!$D$53=1,$Q71=""),0,VLOOKUP('OP1'!$C$55,HL_1,$Q71+1,0)*'OP1'!$C$28)</f>
        <v>0</v>
      </c>
      <c r="AG71" s="324">
        <f ca="1">IF(OR('OP1'!$D$53=1,$Q71=""),0,VLOOKUP('OP1'!$C$55,HL,$Q71+1,0)*'OP1'!$C$28)</f>
        <v>0</v>
      </c>
    </row>
    <row r="72" spans="2:33" ht="16.5" hidden="1">
      <c r="B72" s="72" t="str">
        <f ca="1">IF(OR(B71&gt;=OP!$C$57,B71=""),"",IF(C71+1&gt;81,81-C71,B71+1))</f>
        <v/>
      </c>
      <c r="C72" s="72" t="str">
        <f ca="1">IF(OR(MAX(B$21:$B71)&gt;=OP!$C$57),"",C71+(B72-B71))</f>
        <v/>
      </c>
      <c r="D72" s="396">
        <f ca="1">N(IF(OR(OP!$D$53=1,$B72="",$B72&gt;OP!$C$57),"",OP!$X$7))</f>
        <v>0</v>
      </c>
      <c r="E72" s="396">
        <f ca="1">N(IF(OR('OP1'!$D$53=1,$B72="",$B72&gt;'OP1'!$C$57),"",'OP1'!$X$7))</f>
        <v>0</v>
      </c>
      <c r="F72" s="396">
        <f ca="1">N(IF(OR(ROP!$C$33=1,$B72="",$B72&gt;ROP!$C$37),"",ROP!$H$131))</f>
        <v>0</v>
      </c>
      <c r="G72" s="396">
        <f ca="1">N(IF(OR(ROP!$D$33=1,$B72="",$B72&gt;ROP!$D$37),"",ROP!$H$142))</f>
        <v>0</v>
      </c>
      <c r="H72" s="396">
        <f ca="1">N(IF(OR(ROP!$E$33=1,$B72="",$B72&gt;ROP!$E$37),"",ROP!$H$153))</f>
        <v>0</v>
      </c>
      <c r="I72" s="396">
        <f ca="1">N(IF(OR(ROP!$F$33=1,$B72="",$B72&gt;ROP!$F$37),"",ROP!$H$164))</f>
        <v>0</v>
      </c>
      <c r="J72" s="396">
        <f ca="1">N(IF(OR(ROP!$G$33=1,$B72="",$B72&gt;ROP!$G$37),"",ROP!$H$175))</f>
        <v>0</v>
      </c>
      <c r="K72" s="396">
        <f ca="1">N(IF(OR(ROP!$H$33=1,$B72="",$B72&gt;ROP!$H$36),"",ROP!$H$53))</f>
        <v>0</v>
      </c>
      <c r="L72" s="396">
        <f t="shared" ca="1" si="2"/>
        <v>0</v>
      </c>
      <c r="M72" s="396">
        <f t="shared" ca="1" si="5"/>
        <v>0</v>
      </c>
      <c r="Q72" s="300" t="str">
        <f t="shared" ca="1" si="3"/>
        <v/>
      </c>
      <c r="R72" s="300" t="str">
        <f t="shared" ca="1" si="4"/>
        <v/>
      </c>
      <c r="S72" s="324">
        <f ca="1">IF(OR(OP!$D$53=1,$Q72=""),0,VLOOKUP(OP!$C$55,DIE,$Q72+1,0)*OP!$C$28)</f>
        <v>0</v>
      </c>
      <c r="T72" s="324">
        <f ca="1">IF(OR(OP!$D$53=1,$Q72=""),0,VLOOKUP(OP!$C$55,CV,$Q72+1,0)*OP!$C$28)</f>
        <v>0</v>
      </c>
      <c r="U72" s="324">
        <f ca="1">IF(OR('OP1'!$D$53=1,$Q72=""),0,VLOOKUP('OP1'!$C$55,_DIE1,$Q72+1,0)*'OP1'!$C$28)</f>
        <v>0</v>
      </c>
      <c r="V72" s="324">
        <f ca="1">IF(OR('OP1'!$D$53=1,$Q72="",VLOOKUP(Q72,DINS,5,0)=0),0,'OP1'!$C$28*10000*0.5)</f>
        <v>0</v>
      </c>
      <c r="W72" s="324">
        <f ca="1">IF(OR('OP1'!$D$53=1,$Q72=""),0,VLOOKUP('OP1'!$C$55,CV_1,$Q72+1,0)*'OP1'!$C$28)</f>
        <v>0</v>
      </c>
      <c r="X72" s="324">
        <f t="shared" ca="1" si="6"/>
        <v>0</v>
      </c>
      <c r="Y72" s="324">
        <f ca="1">IF(OR(OP!$D$53=1,$Q72=""),0,VLOOKUP(OP!$C$55,DIE,$Q72+1,0)*OP!$C$28)</f>
        <v>0</v>
      </c>
      <c r="Z72" s="324">
        <f ca="1">IF(OR(OP!$D$53=1,$Q72=""),0,VLOOKUP(OP!$C$55,DIE,$Q72+1,0)*OP!$C$28*2)</f>
        <v>0</v>
      </c>
      <c r="AA72" s="324">
        <f ca="1">IF(OR(OP!$D$53=1,$Q72=""),0,VLOOKUP(OP!$C$55,DIE,$Q72+1,0)*OP!$C$28*2)</f>
        <v>0</v>
      </c>
      <c r="AB72" s="324">
        <f ca="1">IF(OR(OP!$D$53=1,$Q172=""),0,VLOOKUP(OP!$C$55,DIE,$Q72+1,0)*OP!$C$28*2)</f>
        <v>0</v>
      </c>
      <c r="AC72" s="324">
        <f ca="1">IF(OR(OP!$D$53=1,$Q72=""),0,VLOOKUP(OP!$C$55,DIE,$Q72+1,0)*OP!$C$28*2)</f>
        <v>0</v>
      </c>
      <c r="AD72" s="324">
        <f ca="1">IF(OR(ROP!$C$33=1,$Q72=""),0,VLOOKUP(ROP!$C$39,AORCV,$Q72+1,0)*ROP!$C$30)</f>
        <v>0</v>
      </c>
      <c r="AE72" s="324">
        <f t="shared" ca="1" si="7"/>
        <v>0</v>
      </c>
      <c r="AF72" s="324">
        <f ca="1">IF(OR('OP1'!$D$53=1,$Q72=""),0,VLOOKUP('OP1'!$C$55,HL_1,$Q72+1,0)*'OP1'!$C$28)</f>
        <v>0</v>
      </c>
      <c r="AG72" s="324">
        <f ca="1">IF(OR('OP1'!$D$53=1,$Q72=""),0,VLOOKUP('OP1'!$C$55,HL,$Q72+1,0)*'OP1'!$C$28)</f>
        <v>0</v>
      </c>
    </row>
    <row r="73" spans="2:33" ht="16.5" hidden="1">
      <c r="B73" s="72" t="str">
        <f ca="1">IF(OR(B72&gt;=OP!$C$57,B72=""),"",IF(C72+1&gt;81,81-C72,B72+1))</f>
        <v/>
      </c>
      <c r="C73" s="72" t="str">
        <f ca="1">IF(OR(MAX(B$21:$B72)&gt;=OP!$C$57),"",C72+(B73-B72))</f>
        <v/>
      </c>
      <c r="D73" s="396">
        <f ca="1">N(IF(OR(OP!$D$53=1,$B73="",$B73&gt;OP!$C$57),"",OP!$X$7))</f>
        <v>0</v>
      </c>
      <c r="E73" s="396">
        <f ca="1">N(IF(OR('OP1'!$D$53=1,$B73="",$B73&gt;'OP1'!$C$57),"",'OP1'!$X$7))</f>
        <v>0</v>
      </c>
      <c r="F73" s="396">
        <f ca="1">N(IF(OR(ROP!$C$33=1,$B73="",$B73&gt;ROP!$C$37),"",ROP!$H$131))</f>
        <v>0</v>
      </c>
      <c r="G73" s="396">
        <f ca="1">N(IF(OR(ROP!$D$33=1,$B73="",$B73&gt;ROP!$D$37),"",ROP!$H$142))</f>
        <v>0</v>
      </c>
      <c r="H73" s="396">
        <f ca="1">N(IF(OR(ROP!$E$33=1,$B73="",$B73&gt;ROP!$E$37),"",ROP!$H$153))</f>
        <v>0</v>
      </c>
      <c r="I73" s="396">
        <f ca="1">N(IF(OR(ROP!$F$33=1,$B73="",$B73&gt;ROP!$F$37),"",ROP!$H$164))</f>
        <v>0</v>
      </c>
      <c r="J73" s="396">
        <f ca="1">N(IF(OR(ROP!$G$33=1,$B73="",$B73&gt;ROP!$G$37),"",ROP!$H$175))</f>
        <v>0</v>
      </c>
      <c r="K73" s="396">
        <f ca="1">N(IF(OR(ROP!$H$33=1,$B73="",$B73&gt;ROP!$H$36),"",ROP!$H$53))</f>
        <v>0</v>
      </c>
      <c r="L73" s="396">
        <f t="shared" ca="1" si="2"/>
        <v>0</v>
      </c>
      <c r="M73" s="396">
        <f t="shared" ca="1" si="5"/>
        <v>0</v>
      </c>
      <c r="Q73" s="300" t="str">
        <f t="shared" ca="1" si="3"/>
        <v/>
      </c>
      <c r="R73" s="300" t="str">
        <f t="shared" ca="1" si="4"/>
        <v/>
      </c>
      <c r="S73" s="324">
        <f ca="1">IF(OR(OP!$D$53=1,$Q73=""),0,VLOOKUP(OP!$C$55,DIE,$Q73+1,0)*OP!$C$28)</f>
        <v>0</v>
      </c>
      <c r="T73" s="324">
        <f ca="1">IF(OR(OP!$D$53=1,$Q73=""),0,VLOOKUP(OP!$C$55,CV,$Q73+1,0)*OP!$C$28)</f>
        <v>0</v>
      </c>
      <c r="U73" s="324">
        <f ca="1">IF(OR('OP1'!$D$53=1,$Q73=""),0,VLOOKUP('OP1'!$C$55,_DIE1,$Q73+1,0)*'OP1'!$C$28)</f>
        <v>0</v>
      </c>
      <c r="V73" s="324">
        <f ca="1">IF(OR('OP1'!$D$53=1,$Q73="",VLOOKUP(Q73,DINS,5,0)=0),0,'OP1'!$C$28*10000*0.5)</f>
        <v>0</v>
      </c>
      <c r="W73" s="324">
        <f ca="1">IF(OR('OP1'!$D$53=1,$Q73=""),0,VLOOKUP('OP1'!$C$55,CV_1,$Q73+1,0)*'OP1'!$C$28)</f>
        <v>0</v>
      </c>
      <c r="X73" s="324">
        <f t="shared" ca="1" si="6"/>
        <v>0</v>
      </c>
      <c r="Y73" s="324">
        <f ca="1">IF(OR(OP!$D$53=1,$Q73=""),0,VLOOKUP(OP!$C$55,DIE,$Q73+1,0)*OP!$C$28)</f>
        <v>0</v>
      </c>
      <c r="Z73" s="324">
        <f ca="1">IF(OR(OP!$D$53=1,$Q73=""),0,VLOOKUP(OP!$C$55,DIE,$Q73+1,0)*OP!$C$28*2)</f>
        <v>0</v>
      </c>
      <c r="AA73" s="324">
        <f ca="1">IF(OR(OP!$D$53=1,$Q73=""),0,VLOOKUP(OP!$C$55,DIE,$Q73+1,0)*OP!$C$28*2)</f>
        <v>0</v>
      </c>
      <c r="AB73" s="324">
        <f ca="1">IF(OR(OP!$D$53=1,$Q173=""),0,VLOOKUP(OP!$C$55,DIE,$Q73+1,0)*OP!$C$28*2)</f>
        <v>0</v>
      </c>
      <c r="AC73" s="324">
        <f ca="1">IF(OR(OP!$D$53=1,$Q73=""),0,VLOOKUP(OP!$C$55,DIE,$Q73+1,0)*OP!$C$28*2)</f>
        <v>0</v>
      </c>
      <c r="AD73" s="324">
        <f ca="1">IF(OR(ROP!$C$33=1,$Q73=""),0,VLOOKUP(ROP!$C$39,AORCV,$Q73+1,0)*ROP!$C$30)</f>
        <v>0</v>
      </c>
      <c r="AE73" s="324">
        <f t="shared" ca="1" si="7"/>
        <v>0</v>
      </c>
      <c r="AF73" s="324">
        <f ca="1">IF(OR('OP1'!$D$53=1,$Q73=""),0,VLOOKUP('OP1'!$C$55,HL_1,$Q73+1,0)*'OP1'!$C$28)</f>
        <v>0</v>
      </c>
      <c r="AG73" s="324">
        <f ca="1">IF(OR('OP1'!$D$53=1,$Q73=""),0,VLOOKUP('OP1'!$C$55,HL,$Q73+1,0)*'OP1'!$C$28)</f>
        <v>0</v>
      </c>
    </row>
    <row r="74" spans="2:33" ht="16.5" hidden="1">
      <c r="B74" s="72" t="str">
        <f ca="1">IF(OR(B73&gt;=OP!$C$57,B73=""),"",IF(C73+1&gt;81,81-C73,B73+1))</f>
        <v/>
      </c>
      <c r="C74" s="72" t="str">
        <f ca="1">IF(OR(MAX(B$21:$B73)&gt;=OP!$C$57),"",C73+(B74-B73))</f>
        <v/>
      </c>
      <c r="D74" s="396">
        <f ca="1">N(IF(OR(OP!$D$53=1,$B74="",$B74&gt;OP!$C$57),"",OP!$X$7))</f>
        <v>0</v>
      </c>
      <c r="E74" s="396">
        <f ca="1">N(IF(OR('OP1'!$D$53=1,$B74="",$B74&gt;'OP1'!$C$57),"",'OP1'!$X$7))</f>
        <v>0</v>
      </c>
      <c r="F74" s="396">
        <f ca="1">N(IF(OR(ROP!$C$33=1,$B74="",$B74&gt;ROP!$C$37),"",ROP!$H$131))</f>
        <v>0</v>
      </c>
      <c r="G74" s="396">
        <f ca="1">N(IF(OR(ROP!$D$33=1,$B74="",$B74&gt;ROP!$D$37),"",ROP!$H$142))</f>
        <v>0</v>
      </c>
      <c r="H74" s="396">
        <f ca="1">N(IF(OR(ROP!$E$33=1,$B74="",$B74&gt;ROP!$E$37),"",ROP!$H$153))</f>
        <v>0</v>
      </c>
      <c r="I74" s="396">
        <f ca="1">N(IF(OR(ROP!$F$33=1,$B74="",$B74&gt;ROP!$F$37),"",ROP!$H$164))</f>
        <v>0</v>
      </c>
      <c r="J74" s="396">
        <f ca="1">N(IF(OR(ROP!$G$33=1,$B74="",$B74&gt;ROP!$G$37),"",ROP!$H$175))</f>
        <v>0</v>
      </c>
      <c r="K74" s="396">
        <f ca="1">N(IF(OR(ROP!$H$33=1,$B74="",$B74&gt;ROP!$H$36),"",ROP!$H$53))</f>
        <v>0</v>
      </c>
      <c r="L74" s="396">
        <f t="shared" ca="1" si="2"/>
        <v>0</v>
      </c>
      <c r="M74" s="396">
        <f t="shared" ca="1" si="5"/>
        <v>0</v>
      </c>
      <c r="Q74" s="300" t="str">
        <f t="shared" ca="1" si="3"/>
        <v/>
      </c>
      <c r="R74" s="300" t="str">
        <f t="shared" ca="1" si="4"/>
        <v/>
      </c>
      <c r="S74" s="324">
        <f ca="1">IF(OR(OP!$D$53=1,$Q74=""),0,VLOOKUP(OP!$C$55,DIE,$Q74+1,0)*OP!$C$28)</f>
        <v>0</v>
      </c>
      <c r="T74" s="324">
        <f ca="1">IF(OR(OP!$D$53=1,$Q74=""),0,VLOOKUP(OP!$C$55,CV,$Q74+1,0)*OP!$C$28)</f>
        <v>0</v>
      </c>
      <c r="U74" s="324">
        <f ca="1">IF(OR('OP1'!$D$53=1,$Q74=""),0,VLOOKUP('OP1'!$C$55,_DIE1,$Q74+1,0)*'OP1'!$C$28)</f>
        <v>0</v>
      </c>
      <c r="V74" s="324">
        <f ca="1">IF(OR('OP1'!$D$53=1,$Q74="",VLOOKUP(Q74,DINS,5,0)=0),0,'OP1'!$C$28*10000*0.5)</f>
        <v>0</v>
      </c>
      <c r="W74" s="324">
        <f ca="1">IF(OR('OP1'!$D$53=1,$Q74=""),0,VLOOKUP('OP1'!$C$55,CV_1,$Q74+1,0)*'OP1'!$C$28)</f>
        <v>0</v>
      </c>
      <c r="X74" s="324">
        <f t="shared" ca="1" si="6"/>
        <v>0</v>
      </c>
      <c r="Y74" s="324">
        <f ca="1">IF(OR(OP!$D$53=1,$Q74=""),0,VLOOKUP(OP!$C$55,DIE,$Q74+1,0)*OP!$C$28)</f>
        <v>0</v>
      </c>
      <c r="Z74" s="324">
        <f ca="1">IF(OR(OP!$D$53=1,$Q74=""),0,VLOOKUP(OP!$C$55,DIE,$Q74+1,0)*OP!$C$28*2)</f>
        <v>0</v>
      </c>
      <c r="AA74" s="324">
        <f ca="1">IF(OR(OP!$D$53=1,$Q74=""),0,VLOOKUP(OP!$C$55,DIE,$Q74+1,0)*OP!$C$28*2)</f>
        <v>0</v>
      </c>
      <c r="AB74" s="324">
        <f ca="1">IF(OR(OP!$D$53=1,$Q174=""),0,VLOOKUP(OP!$C$55,DIE,$Q74+1,0)*OP!$C$28*2)</f>
        <v>0</v>
      </c>
      <c r="AC74" s="324">
        <f ca="1">IF(OR(OP!$D$53=1,$Q74=""),0,VLOOKUP(OP!$C$55,DIE,$Q74+1,0)*OP!$C$28*2)</f>
        <v>0</v>
      </c>
      <c r="AD74" s="324">
        <f ca="1">IF(OR(ROP!$C$33=1,$Q74=""),0,VLOOKUP(ROP!$C$39,AORCV,$Q74+1,0)*ROP!$C$30)</f>
        <v>0</v>
      </c>
      <c r="AE74" s="324">
        <f t="shared" ca="1" si="7"/>
        <v>0</v>
      </c>
      <c r="AF74" s="324">
        <f ca="1">IF(OR('OP1'!$D$53=1,$Q74=""),0,VLOOKUP('OP1'!$C$55,HL_1,$Q74+1,0)*'OP1'!$C$28)</f>
        <v>0</v>
      </c>
      <c r="AG74" s="324">
        <f ca="1">IF(OR('OP1'!$D$53=1,$Q74=""),0,VLOOKUP('OP1'!$C$55,HL,$Q74+1,0)*'OP1'!$C$28)</f>
        <v>0</v>
      </c>
    </row>
    <row r="75" spans="2:33" ht="16.5" hidden="1">
      <c r="B75" s="72" t="str">
        <f ca="1">IF(OR(B74&gt;=OP!$C$57,B74=""),"",IF(C74+1&gt;81,81-C74,B74+1))</f>
        <v/>
      </c>
      <c r="C75" s="72" t="str">
        <f ca="1">IF(OR(MAX(B$21:$B74)&gt;=OP!$C$57),"",C74+(B75-B74))</f>
        <v/>
      </c>
      <c r="D75" s="396">
        <f ca="1">N(IF(OR(OP!$D$53=1,$B75="",$B75&gt;OP!$C$57),"",OP!$X$7))</f>
        <v>0</v>
      </c>
      <c r="E75" s="396">
        <f ca="1">N(IF(OR('OP1'!$D$53=1,$B75="",$B75&gt;'OP1'!$C$57),"",'OP1'!$X$7))</f>
        <v>0</v>
      </c>
      <c r="F75" s="396">
        <f ca="1">N(IF(OR(ROP!$C$33=1,$B75="",$B75&gt;ROP!$C$37),"",ROP!$H$131))</f>
        <v>0</v>
      </c>
      <c r="G75" s="396">
        <f ca="1">N(IF(OR(ROP!$D$33=1,$B75="",$B75&gt;ROP!$D$37),"",ROP!$H$142))</f>
        <v>0</v>
      </c>
      <c r="H75" s="396">
        <f ca="1">N(IF(OR(ROP!$E$33=1,$B75="",$B75&gt;ROP!$E$37),"",ROP!$H$153))</f>
        <v>0</v>
      </c>
      <c r="I75" s="396">
        <f ca="1">N(IF(OR(ROP!$F$33=1,$B75="",$B75&gt;ROP!$F$37),"",ROP!$H$164))</f>
        <v>0</v>
      </c>
      <c r="J75" s="396">
        <f ca="1">N(IF(OR(ROP!$G$33=1,$B75="",$B75&gt;ROP!$G$37),"",ROP!$H$175))</f>
        <v>0</v>
      </c>
      <c r="K75" s="396">
        <f ca="1">N(IF(OR(ROP!$H$33=1,$B75="",$B75&gt;ROP!$H$36),"",ROP!$H$53))</f>
        <v>0</v>
      </c>
      <c r="L75" s="396">
        <f t="shared" ca="1" si="2"/>
        <v>0</v>
      </c>
      <c r="M75" s="396">
        <f t="shared" ca="1" si="5"/>
        <v>0</v>
      </c>
      <c r="Q75" s="300" t="str">
        <f t="shared" ca="1" si="3"/>
        <v/>
      </c>
      <c r="R75" s="300" t="str">
        <f t="shared" ca="1" si="4"/>
        <v/>
      </c>
      <c r="S75" s="324">
        <f ca="1">IF(OR(OP!$D$53=1,$Q75=""),0,VLOOKUP(OP!$C$55,DIE,$Q75+1,0)*OP!$C$28)</f>
        <v>0</v>
      </c>
      <c r="T75" s="324">
        <f ca="1">IF(OR(OP!$D$53=1,$Q75=""),0,VLOOKUP(OP!$C$55,CV,$Q75+1,0)*OP!$C$28)</f>
        <v>0</v>
      </c>
      <c r="U75" s="324">
        <f ca="1">IF(OR('OP1'!$D$53=1,$Q75=""),0,VLOOKUP('OP1'!$C$55,_DIE1,$Q75+1,0)*'OP1'!$C$28)</f>
        <v>0</v>
      </c>
      <c r="V75" s="324">
        <f ca="1">IF(OR('OP1'!$D$53=1,$Q75="",VLOOKUP(Q75,DINS,5,0)=0),0,'OP1'!$C$28*10000*0.5)</f>
        <v>0</v>
      </c>
      <c r="W75" s="324">
        <f ca="1">IF(OR('OP1'!$D$53=1,$Q75=""),0,VLOOKUP('OP1'!$C$55,CV_1,$Q75+1,0)*'OP1'!$C$28)</f>
        <v>0</v>
      </c>
      <c r="X75" s="324">
        <f t="shared" ca="1" si="6"/>
        <v>0</v>
      </c>
      <c r="Y75" s="324">
        <f ca="1">IF(OR(OP!$D$53=1,$Q75=""),0,VLOOKUP(OP!$C$55,DIE,$Q75+1,0)*OP!$C$28)</f>
        <v>0</v>
      </c>
      <c r="Z75" s="324">
        <f ca="1">IF(OR(OP!$D$53=1,$Q75=""),0,VLOOKUP(OP!$C$55,DIE,$Q75+1,0)*OP!$C$28*2)</f>
        <v>0</v>
      </c>
      <c r="AA75" s="324">
        <f ca="1">IF(OR(OP!$D$53=1,$Q75=""),0,VLOOKUP(OP!$C$55,DIE,$Q75+1,0)*OP!$C$28*2)</f>
        <v>0</v>
      </c>
      <c r="AB75" s="324">
        <f ca="1">IF(OR(OP!$D$53=1,$Q175=""),0,VLOOKUP(OP!$C$55,DIE,$Q75+1,0)*OP!$C$28*2)</f>
        <v>0</v>
      </c>
      <c r="AC75" s="324">
        <f ca="1">IF(OR(OP!$D$53=1,$Q75=""),0,VLOOKUP(OP!$C$55,DIE,$Q75+1,0)*OP!$C$28*2)</f>
        <v>0</v>
      </c>
      <c r="AD75" s="324">
        <f ca="1">IF(OR(ROP!$C$33=1,$Q75=""),0,VLOOKUP(ROP!$C$39,AORCV,$Q75+1,0)*ROP!$C$30)</f>
        <v>0</v>
      </c>
      <c r="AE75" s="324">
        <f t="shared" ca="1" si="7"/>
        <v>0</v>
      </c>
      <c r="AF75" s="324">
        <f ca="1">IF(OR('OP1'!$D$53=1,$Q75=""),0,VLOOKUP('OP1'!$C$55,HL_1,$Q75+1,0)*'OP1'!$C$28)</f>
        <v>0</v>
      </c>
      <c r="AG75" s="324">
        <f ca="1">IF(OR('OP1'!$D$53=1,$Q75=""),0,VLOOKUP('OP1'!$C$55,HL,$Q75+1,0)*'OP1'!$C$28)</f>
        <v>0</v>
      </c>
    </row>
    <row r="76" spans="2:33" ht="16.5" hidden="1">
      <c r="B76" s="72" t="str">
        <f ca="1">IF(OR(B75&gt;=OP!$C$57,B75=""),"",IF(C75+1&gt;81,81-C75,B75+1))</f>
        <v/>
      </c>
      <c r="C76" s="72" t="str">
        <f ca="1">IF(OR(MAX(B$21:$B75)&gt;=OP!$C$57),"",C75+(B76-B75))</f>
        <v/>
      </c>
      <c r="D76" s="396">
        <f ca="1">N(IF(OR(OP!$D$53=1,$B76="",$B76&gt;OP!$C$57),"",OP!$X$7))</f>
        <v>0</v>
      </c>
      <c r="E76" s="396">
        <f ca="1">N(IF(OR('OP1'!$D$53=1,$B76="",$B76&gt;'OP1'!$C$57),"",'OP1'!$X$7))</f>
        <v>0</v>
      </c>
      <c r="F76" s="396">
        <f ca="1">N(IF(OR(ROP!$C$33=1,$B76="",$B76&gt;ROP!$C$37),"",ROP!$H$131))</f>
        <v>0</v>
      </c>
      <c r="G76" s="396">
        <f ca="1">N(IF(OR(ROP!$D$33=1,$B76="",$B76&gt;ROP!$D$37),"",ROP!$H$142))</f>
        <v>0</v>
      </c>
      <c r="H76" s="396">
        <f ca="1">N(IF(OR(ROP!$E$33=1,$B76="",$B76&gt;ROP!$E$37),"",ROP!$H$153))</f>
        <v>0</v>
      </c>
      <c r="I76" s="396">
        <f ca="1">N(IF(OR(ROP!$F$33=1,$B76="",$B76&gt;ROP!$F$37),"",ROP!$H$164))</f>
        <v>0</v>
      </c>
      <c r="J76" s="396">
        <f ca="1">N(IF(OR(ROP!$G$33=1,$B76="",$B76&gt;ROP!$G$37),"",ROP!$H$175))</f>
        <v>0</v>
      </c>
      <c r="K76" s="396">
        <f ca="1">N(IF(OR(ROP!$H$33=1,$B76="",$B76&gt;ROP!$H$36),"",ROP!$H$53))</f>
        <v>0</v>
      </c>
      <c r="L76" s="396">
        <f t="shared" ca="1" si="2"/>
        <v>0</v>
      </c>
      <c r="M76" s="396">
        <f t="shared" ca="1" si="5"/>
        <v>0</v>
      </c>
      <c r="Q76" s="300" t="str">
        <f t="shared" ca="1" si="3"/>
        <v/>
      </c>
      <c r="R76" s="300" t="str">
        <f t="shared" ca="1" si="4"/>
        <v/>
      </c>
      <c r="S76" s="324">
        <f ca="1">IF(OR(OP!$D$53=1,$Q76=""),0,VLOOKUP(OP!$C$55,DIE,$Q76+1,0)*OP!$C$28)</f>
        <v>0</v>
      </c>
      <c r="T76" s="324">
        <f ca="1">IF(OR(OP!$D$53=1,$Q76=""),0,VLOOKUP(OP!$C$55,CV,$Q76+1,0)*OP!$C$28)</f>
        <v>0</v>
      </c>
      <c r="U76" s="324">
        <f ca="1">IF(OR('OP1'!$D$53=1,$Q76=""),0,VLOOKUP('OP1'!$C$55,_DIE1,$Q76+1,0)*'OP1'!$C$28)</f>
        <v>0</v>
      </c>
      <c r="V76" s="324">
        <f ca="1">IF(OR('OP1'!$D$53=1,$Q76="",VLOOKUP(Q76,DINS,5,0)=0),0,'OP1'!$C$28*10000*0.5)</f>
        <v>0</v>
      </c>
      <c r="W76" s="324">
        <f ca="1">IF(OR('OP1'!$D$53=1,$Q76=""),0,VLOOKUP('OP1'!$C$55,CV_1,$Q76+1,0)*'OP1'!$C$28)</f>
        <v>0</v>
      </c>
      <c r="X76" s="324">
        <f t="shared" ca="1" si="6"/>
        <v>0</v>
      </c>
      <c r="Y76" s="324">
        <f ca="1">IF(OR(OP!$D$53=1,$Q76=""),0,VLOOKUP(OP!$C$55,DIE,$Q76+1,0)*OP!$C$28)</f>
        <v>0</v>
      </c>
      <c r="Z76" s="324">
        <f ca="1">IF(OR(OP!$D$53=1,$Q76=""),0,VLOOKUP(OP!$C$55,DIE,$Q76+1,0)*OP!$C$28*2)</f>
        <v>0</v>
      </c>
      <c r="AA76" s="324">
        <f ca="1">IF(OR(OP!$D$53=1,$Q76=""),0,VLOOKUP(OP!$C$55,DIE,$Q76+1,0)*OP!$C$28*2)</f>
        <v>0</v>
      </c>
      <c r="AB76" s="324">
        <f ca="1">IF(OR(OP!$D$53=1,$Q176=""),0,VLOOKUP(OP!$C$55,DIE,$Q76+1,0)*OP!$C$28*2)</f>
        <v>0</v>
      </c>
      <c r="AC76" s="324">
        <f ca="1">IF(OR(OP!$D$53=1,$Q76=""),0,VLOOKUP(OP!$C$55,DIE,$Q76+1,0)*OP!$C$28*2)</f>
        <v>0</v>
      </c>
      <c r="AD76" s="324">
        <f ca="1">IF(OR(ROP!$C$33=1,$Q76=""),0,VLOOKUP(ROP!$C$39,AORCV,$Q76+1,0)*ROP!$C$30)</f>
        <v>0</v>
      </c>
      <c r="AE76" s="324">
        <f t="shared" ca="1" si="7"/>
        <v>0</v>
      </c>
      <c r="AF76" s="324">
        <f ca="1">IF(OR('OP1'!$D$53=1,$Q76=""),0,VLOOKUP('OP1'!$C$55,HL_1,$Q76+1,0)*'OP1'!$C$28)</f>
        <v>0</v>
      </c>
      <c r="AG76" s="324">
        <f ca="1">IF(OR('OP1'!$D$53=1,$Q76=""),0,VLOOKUP('OP1'!$C$55,HL,$Q76+1,0)*'OP1'!$C$28)</f>
        <v>0</v>
      </c>
    </row>
    <row r="77" spans="2:33" ht="16.5" hidden="1">
      <c r="B77" s="72" t="str">
        <f ca="1">IF(OR(B76&gt;=OP!$C$57,B76=""),"",IF(C76+1&gt;81,81-C76,B76+1))</f>
        <v/>
      </c>
      <c r="C77" s="72" t="str">
        <f ca="1">IF(OR(MAX(B$21:$B76)&gt;=OP!$C$57),"",C76+(B77-B76))</f>
        <v/>
      </c>
      <c r="D77" s="396">
        <f ca="1">N(IF(OR(OP!$D$53=1,$B77="",$B77&gt;OP!$C$57),"",OP!$X$7))</f>
        <v>0</v>
      </c>
      <c r="E77" s="396">
        <f ca="1">N(IF(OR('OP1'!$D$53=1,$B77="",$B77&gt;'OP1'!$C$57),"",'OP1'!$X$7))</f>
        <v>0</v>
      </c>
      <c r="F77" s="396">
        <f ca="1">N(IF(OR(ROP!$C$33=1,$B77="",$B77&gt;ROP!$C$37),"",ROP!$H$131))</f>
        <v>0</v>
      </c>
      <c r="G77" s="396">
        <f ca="1">N(IF(OR(ROP!$D$33=1,$B77="",$B77&gt;ROP!$D$37),"",ROP!$H$142))</f>
        <v>0</v>
      </c>
      <c r="H77" s="396">
        <f ca="1">N(IF(OR(ROP!$E$33=1,$B77="",$B77&gt;ROP!$E$37),"",ROP!$H$153))</f>
        <v>0</v>
      </c>
      <c r="I77" s="396">
        <f ca="1">N(IF(OR(ROP!$F$33=1,$B77="",$B77&gt;ROP!$F$37),"",ROP!$H$164))</f>
        <v>0</v>
      </c>
      <c r="J77" s="396">
        <f ca="1">N(IF(OR(ROP!$G$33=1,$B77="",$B77&gt;ROP!$G$37),"",ROP!$H$175))</f>
        <v>0</v>
      </c>
      <c r="K77" s="396">
        <f ca="1">N(IF(OR(ROP!$H$33=1,$B77="",$B77&gt;ROP!$H$36),"",ROP!$H$53))</f>
        <v>0</v>
      </c>
      <c r="L77" s="396">
        <f t="shared" ca="1" si="2"/>
        <v>0</v>
      </c>
      <c r="M77" s="396">
        <f t="shared" ca="1" si="5"/>
        <v>0</v>
      </c>
      <c r="Q77" s="300" t="str">
        <f t="shared" ca="1" si="3"/>
        <v/>
      </c>
      <c r="R77" s="300" t="str">
        <f t="shared" ca="1" si="4"/>
        <v/>
      </c>
      <c r="S77" s="324">
        <f ca="1">IF(OR(OP!$D$53=1,$Q77=""),0,VLOOKUP(OP!$C$55,DIE,$Q77+1,0)*OP!$C$28)</f>
        <v>0</v>
      </c>
      <c r="T77" s="324">
        <f ca="1">IF(OR(OP!$D$53=1,$Q77=""),0,VLOOKUP(OP!$C$55,CV,$Q77+1,0)*OP!$C$28)</f>
        <v>0</v>
      </c>
      <c r="U77" s="324">
        <f ca="1">IF(OR('OP1'!$D$53=1,$Q77=""),0,VLOOKUP('OP1'!$C$55,_DIE1,$Q77+1,0)*'OP1'!$C$28)</f>
        <v>0</v>
      </c>
      <c r="V77" s="324">
        <f ca="1">IF(OR('OP1'!$D$53=1,$Q77="",VLOOKUP(Q77,DINS,5,0)=0),0,'OP1'!$C$28*10000*0.5)</f>
        <v>0</v>
      </c>
      <c r="W77" s="324">
        <f ca="1">IF(OR('OP1'!$D$53=1,$Q77=""),0,VLOOKUP('OP1'!$C$55,CV_1,$Q77+1,0)*'OP1'!$C$28)</f>
        <v>0</v>
      </c>
      <c r="X77" s="324">
        <f t="shared" ca="1" si="6"/>
        <v>0</v>
      </c>
      <c r="Y77" s="324">
        <f ca="1">IF(OR(OP!$D$53=1,$Q77=""),0,VLOOKUP(OP!$C$55,DIE,$Q77+1,0)*OP!$C$28)</f>
        <v>0</v>
      </c>
      <c r="Z77" s="324">
        <f ca="1">IF(OR(OP!$D$53=1,$Q77=""),0,VLOOKUP(OP!$C$55,DIE,$Q77+1,0)*OP!$C$28*2)</f>
        <v>0</v>
      </c>
      <c r="AA77" s="324">
        <f ca="1">IF(OR(OP!$D$53=1,$Q77=""),0,VLOOKUP(OP!$C$55,DIE,$Q77+1,0)*OP!$C$28*2)</f>
        <v>0</v>
      </c>
      <c r="AB77" s="324">
        <f ca="1">IF(OR(OP!$D$53=1,$Q177=""),0,VLOOKUP(OP!$C$55,DIE,$Q77+1,0)*OP!$C$28*2)</f>
        <v>0</v>
      </c>
      <c r="AC77" s="324">
        <f ca="1">IF(OR(OP!$D$53=1,$Q77=""),0,VLOOKUP(OP!$C$55,DIE,$Q77+1,0)*OP!$C$28*2)</f>
        <v>0</v>
      </c>
      <c r="AD77" s="324">
        <f ca="1">IF(OR(ROP!$C$33=1,$Q77=""),0,VLOOKUP(ROP!$C$39,AORCV,$Q77+1,0)*ROP!$C$30)</f>
        <v>0</v>
      </c>
      <c r="AE77" s="324">
        <f t="shared" ca="1" si="7"/>
        <v>0</v>
      </c>
      <c r="AF77" s="324">
        <f ca="1">IF(OR('OP1'!$D$53=1,$Q77=""),0,VLOOKUP('OP1'!$C$55,HL_1,$Q77+1,0)*'OP1'!$C$28)</f>
        <v>0</v>
      </c>
      <c r="AG77" s="324">
        <f ca="1">IF(OR('OP1'!$D$53=1,$Q77=""),0,VLOOKUP('OP1'!$C$55,HL,$Q77+1,0)*'OP1'!$C$28)</f>
        <v>0</v>
      </c>
    </row>
    <row r="78" spans="2:33" ht="16.5" hidden="1">
      <c r="B78" s="72" t="str">
        <f ca="1">IF(OR(B77&gt;=OP!$C$57,B77=""),"",IF(C77+1&gt;81,81-C77,B77+1))</f>
        <v/>
      </c>
      <c r="C78" s="72" t="str">
        <f ca="1">IF(OR(MAX(B$21:$B77)&gt;=OP!$C$57),"",C77+(B78-B77))</f>
        <v/>
      </c>
      <c r="D78" s="396">
        <f ca="1">N(IF(OR(OP!$D$53=1,$B78="",$B78&gt;OP!$C$57),"",OP!$X$7))</f>
        <v>0</v>
      </c>
      <c r="E78" s="396">
        <f ca="1">N(IF(OR('OP1'!$D$53=1,$B78="",$B78&gt;'OP1'!$C$57),"",'OP1'!$X$7))</f>
        <v>0</v>
      </c>
      <c r="F78" s="396">
        <f ca="1">N(IF(OR(ROP!$C$33=1,$B78="",$B78&gt;ROP!$C$37),"",ROP!$H$131))</f>
        <v>0</v>
      </c>
      <c r="G78" s="396">
        <f ca="1">N(IF(OR(ROP!$D$33=1,$B78="",$B78&gt;ROP!$D$37),"",ROP!$H$142))</f>
        <v>0</v>
      </c>
      <c r="H78" s="396">
        <f ca="1">N(IF(OR(ROP!$E$33=1,$B78="",$B78&gt;ROP!$E$37),"",ROP!$H$153))</f>
        <v>0</v>
      </c>
      <c r="I78" s="396">
        <f ca="1">N(IF(OR(ROP!$F$33=1,$B78="",$B78&gt;ROP!$F$37),"",ROP!$H$164))</f>
        <v>0</v>
      </c>
      <c r="J78" s="396">
        <f ca="1">N(IF(OR(ROP!$G$33=1,$B78="",$B78&gt;ROP!$G$37),"",ROP!$H$175))</f>
        <v>0</v>
      </c>
      <c r="K78" s="396">
        <f ca="1">N(IF(OR(ROP!$H$33=1,$B78="",$B78&gt;ROP!$H$36),"",ROP!$H$53))</f>
        <v>0</v>
      </c>
      <c r="L78" s="396">
        <f t="shared" ca="1" si="2"/>
        <v>0</v>
      </c>
      <c r="M78" s="396">
        <f t="shared" ca="1" si="5"/>
        <v>0</v>
      </c>
      <c r="Q78" s="300" t="str">
        <f t="shared" ca="1" si="3"/>
        <v/>
      </c>
      <c r="R78" s="300" t="str">
        <f t="shared" ca="1" si="4"/>
        <v/>
      </c>
      <c r="S78" s="324">
        <f ca="1">IF(OR(OP!$D$53=1,$Q78=""),0,VLOOKUP(OP!$C$55,DIE,$Q78+1,0)*OP!$C$28)</f>
        <v>0</v>
      </c>
      <c r="T78" s="324">
        <f ca="1">IF(OR(OP!$D$53=1,$Q78=""),0,VLOOKUP(OP!$C$55,CV,$Q78+1,0)*OP!$C$28)</f>
        <v>0</v>
      </c>
      <c r="U78" s="324">
        <f ca="1">IF(OR('OP1'!$D$53=1,$Q78=""),0,VLOOKUP('OP1'!$C$55,_DIE1,$Q78+1,0)*'OP1'!$C$28)</f>
        <v>0</v>
      </c>
      <c r="V78" s="324">
        <f ca="1">IF(OR('OP1'!$D$53=1,$Q78="",VLOOKUP(Q78,DINS,5,0)=0),0,'OP1'!$C$28*10000*0.5)</f>
        <v>0</v>
      </c>
      <c r="W78" s="324">
        <f ca="1">IF(OR('OP1'!$D$53=1,$Q78=""),0,VLOOKUP('OP1'!$C$55,CV_1,$Q78+1,0)*'OP1'!$C$28)</f>
        <v>0</v>
      </c>
      <c r="X78" s="324">
        <f t="shared" ca="1" si="6"/>
        <v>0</v>
      </c>
      <c r="Y78" s="324">
        <f ca="1">IF(OR(OP!$D$53=1,$Q78=""),0,VLOOKUP(OP!$C$55,DIE,$Q78+1,0)*OP!$C$28)</f>
        <v>0</v>
      </c>
      <c r="Z78" s="324">
        <f ca="1">IF(OR(OP!$D$53=1,$Q78=""),0,VLOOKUP(OP!$C$55,DIE,$Q78+1,0)*OP!$C$28*2)</f>
        <v>0</v>
      </c>
      <c r="AA78" s="324">
        <f ca="1">IF(OR(OP!$D$53=1,$Q78=""),0,VLOOKUP(OP!$C$55,DIE,$Q78+1,0)*OP!$C$28*2)</f>
        <v>0</v>
      </c>
      <c r="AB78" s="324">
        <f ca="1">IF(OR(OP!$D$53=1,$Q178=""),0,VLOOKUP(OP!$C$55,DIE,$Q78+1,0)*OP!$C$28*2)</f>
        <v>0</v>
      </c>
      <c r="AC78" s="324">
        <f ca="1">IF(OR(OP!$D$53=1,$Q78=""),0,VLOOKUP(OP!$C$55,DIE,$Q78+1,0)*OP!$C$28*2)</f>
        <v>0</v>
      </c>
      <c r="AD78" s="324">
        <f ca="1">IF(OR(ROP!$C$33=1,$Q78=""),0,VLOOKUP(ROP!$C$39,AORCV,$Q78+1,0)*ROP!$C$30)</f>
        <v>0</v>
      </c>
      <c r="AE78" s="324">
        <f t="shared" ca="1" si="7"/>
        <v>0</v>
      </c>
      <c r="AF78" s="324">
        <f ca="1">IF(OR('OP1'!$D$53=1,$Q78=""),0,VLOOKUP('OP1'!$C$55,HL_1,$Q78+1,0)*'OP1'!$C$28)</f>
        <v>0</v>
      </c>
      <c r="AG78" s="324">
        <f ca="1">IF(OR('OP1'!$D$53=1,$Q78=""),0,VLOOKUP('OP1'!$C$55,HL,$Q78+1,0)*'OP1'!$C$28)</f>
        <v>0</v>
      </c>
    </row>
    <row r="79" spans="2:33" ht="16.5" hidden="1">
      <c r="B79" s="72" t="str">
        <f ca="1">IF(OR(B78&gt;=OP!$C$57,B78=""),"",IF(C78+1&gt;81,81-C78,B78+1))</f>
        <v/>
      </c>
      <c r="C79" s="72" t="str">
        <f ca="1">IF(OR(MAX(B$21:$B78)&gt;=OP!$C$57),"",C78+(B79-B78))</f>
        <v/>
      </c>
      <c r="D79" s="396">
        <f ca="1">N(IF(OR(OP!$D$53=1,$B79="",$B79&gt;OP!$C$57),"",OP!$X$7))</f>
        <v>0</v>
      </c>
      <c r="E79" s="396">
        <f ca="1">N(IF(OR('OP1'!$D$53=1,$B79="",$B79&gt;'OP1'!$C$57),"",'OP1'!$X$7))</f>
        <v>0</v>
      </c>
      <c r="F79" s="396">
        <f ca="1">N(IF(OR(ROP!$C$33=1,$B79="",$B79&gt;ROP!$C$37),"",ROP!$H$131))</f>
        <v>0</v>
      </c>
      <c r="G79" s="396">
        <f ca="1">N(IF(OR(ROP!$D$33=1,$B79="",$B79&gt;ROP!$D$37),"",ROP!$H$142))</f>
        <v>0</v>
      </c>
      <c r="H79" s="396">
        <f ca="1">N(IF(OR(ROP!$E$33=1,$B79="",$B79&gt;ROP!$E$37),"",ROP!$H$153))</f>
        <v>0</v>
      </c>
      <c r="I79" s="396">
        <f ca="1">N(IF(OR(ROP!$F$33=1,$B79="",$B79&gt;ROP!$F$37),"",ROP!$H$164))</f>
        <v>0</v>
      </c>
      <c r="J79" s="396">
        <f ca="1">N(IF(OR(ROP!$G$33=1,$B79="",$B79&gt;ROP!$G$37),"",ROP!$H$175))</f>
        <v>0</v>
      </c>
      <c r="K79" s="396">
        <f ca="1">N(IF(OR(ROP!$H$33=1,$B79="",$B79&gt;ROP!$H$36),"",ROP!$H$53))</f>
        <v>0</v>
      </c>
      <c r="L79" s="396">
        <f t="shared" ca="1" si="2"/>
        <v>0</v>
      </c>
      <c r="M79" s="396">
        <f t="shared" ca="1" si="5"/>
        <v>0</v>
      </c>
      <c r="Q79" s="300" t="str">
        <f t="shared" ca="1" si="3"/>
        <v/>
      </c>
      <c r="R79" s="300" t="str">
        <f t="shared" ca="1" si="4"/>
        <v/>
      </c>
      <c r="S79" s="324">
        <f ca="1">IF(OR(OP!$D$53=1,$Q79=""),0,VLOOKUP(OP!$C$55,DIE,$Q79+1,0)*OP!$C$28)</f>
        <v>0</v>
      </c>
      <c r="T79" s="324">
        <f ca="1">IF(OR(OP!$D$53=1,$Q79=""),0,VLOOKUP(OP!$C$55,CV,$Q79+1,0)*OP!$C$28)</f>
        <v>0</v>
      </c>
      <c r="U79" s="324">
        <f ca="1">IF(OR('OP1'!$D$53=1,$Q79=""),0,VLOOKUP('OP1'!$C$55,_DIE1,$Q79+1,0)*'OP1'!$C$28)</f>
        <v>0</v>
      </c>
      <c r="V79" s="324">
        <f ca="1">IF(OR('OP1'!$D$53=1,$Q79="",VLOOKUP(Q79,DINS,5,0)=0),0,'OP1'!$C$28*10000*0.5)</f>
        <v>0</v>
      </c>
      <c r="W79" s="324">
        <f ca="1">IF(OR('OP1'!$D$53=1,$Q79=""),0,VLOOKUP('OP1'!$C$55,CV_1,$Q79+1,0)*'OP1'!$C$28)</f>
        <v>0</v>
      </c>
      <c r="X79" s="324">
        <f t="shared" ca="1" si="6"/>
        <v>0</v>
      </c>
      <c r="Y79" s="324">
        <f ca="1">IF(OR(OP!$D$53=1,$Q79=""),0,VLOOKUP(OP!$C$55,DIE,$Q79+1,0)*OP!$C$28)</f>
        <v>0</v>
      </c>
      <c r="Z79" s="324">
        <f ca="1">IF(OR(OP!$D$53=1,$Q79=""),0,VLOOKUP(OP!$C$55,DIE,$Q79+1,0)*OP!$C$28*2)</f>
        <v>0</v>
      </c>
      <c r="AA79" s="324">
        <f ca="1">IF(OR(OP!$D$53=1,$Q79=""),0,VLOOKUP(OP!$C$55,DIE,$Q79+1,0)*OP!$C$28*2)</f>
        <v>0</v>
      </c>
      <c r="AB79" s="324">
        <f ca="1">IF(OR(OP!$D$53=1,$Q179=""),0,VLOOKUP(OP!$C$55,DIE,$Q79+1,0)*OP!$C$28*2)</f>
        <v>0</v>
      </c>
      <c r="AC79" s="324">
        <f ca="1">IF(OR(OP!$D$53=1,$Q79=""),0,VLOOKUP(OP!$C$55,DIE,$Q79+1,0)*OP!$C$28*2)</f>
        <v>0</v>
      </c>
      <c r="AD79" s="324">
        <f ca="1">IF(OR(ROP!$C$33=1,$Q79=""),0,VLOOKUP(ROP!$C$39,AORCV,$Q79+1,0)*ROP!$C$30)</f>
        <v>0</v>
      </c>
      <c r="AE79" s="324">
        <f t="shared" ca="1" si="7"/>
        <v>0</v>
      </c>
      <c r="AF79" s="324">
        <f ca="1">IF(OR('OP1'!$D$53=1,$Q79=""),0,VLOOKUP('OP1'!$C$55,HL_1,$Q79+1,0)*'OP1'!$C$28)</f>
        <v>0</v>
      </c>
      <c r="AG79" s="324">
        <f ca="1">IF(OR('OP1'!$D$53=1,$Q79=""),0,VLOOKUP('OP1'!$C$55,HL,$Q79+1,0)*'OP1'!$C$28)</f>
        <v>0</v>
      </c>
    </row>
    <row r="80" spans="2:33" ht="16.5" hidden="1">
      <c r="B80" s="72" t="str">
        <f ca="1">IF(OR(B79&gt;=OP!$C$57,B79=""),"",IF(C79+1&gt;81,81-C79,B79+1))</f>
        <v/>
      </c>
      <c r="C80" s="72" t="str">
        <f ca="1">IF(OR(MAX(B$21:$B79)&gt;=OP!$C$57),"",C79+(B80-B79))</f>
        <v/>
      </c>
      <c r="D80" s="396">
        <f ca="1">N(IF(OR(OP!$D$53=1,$B80="",$B80&gt;OP!$C$57),"",OP!$X$7))</f>
        <v>0</v>
      </c>
      <c r="E80" s="396">
        <f ca="1">N(IF(OR('OP1'!$D$53=1,$B80="",$B80&gt;'OP1'!$C$57),"",'OP1'!$X$7))</f>
        <v>0</v>
      </c>
      <c r="F80" s="396">
        <f ca="1">N(IF(OR(ROP!$C$33=1,$B80="",$B80&gt;ROP!$C$37),"",ROP!$H$131))</f>
        <v>0</v>
      </c>
      <c r="G80" s="396">
        <f ca="1">N(IF(OR(ROP!$D$33=1,$B80="",$B80&gt;ROP!$D$37),"",ROP!$H$142))</f>
        <v>0</v>
      </c>
      <c r="H80" s="396">
        <f ca="1">N(IF(OR(ROP!$E$33=1,$B80="",$B80&gt;ROP!$E$37),"",ROP!$H$153))</f>
        <v>0</v>
      </c>
      <c r="I80" s="396">
        <f ca="1">N(IF(OR(ROP!$F$33=1,$B80="",$B80&gt;ROP!$F$37),"",ROP!$H$164))</f>
        <v>0</v>
      </c>
      <c r="J80" s="396">
        <f ca="1">N(IF(OR(ROP!$G$33=1,$B80="",$B80&gt;ROP!$G$37),"",ROP!$H$175))</f>
        <v>0</v>
      </c>
      <c r="K80" s="396">
        <f ca="1">N(IF(OR(ROP!$H$33=1,$B80="",$B80&gt;ROP!$H$36),"",ROP!$H$53))</f>
        <v>0</v>
      </c>
      <c r="L80" s="396">
        <f t="shared" ca="1" si="2"/>
        <v>0</v>
      </c>
      <c r="M80" s="396">
        <f t="shared" ca="1" si="5"/>
        <v>0</v>
      </c>
      <c r="Q80" s="300" t="str">
        <f t="shared" ca="1" si="3"/>
        <v/>
      </c>
      <c r="R80" s="300" t="str">
        <f t="shared" ca="1" si="4"/>
        <v/>
      </c>
      <c r="S80" s="324">
        <f ca="1">IF(OR(OP!$D$53=1,$Q80=""),0,VLOOKUP(OP!$C$55,DIE,$Q80+1,0)*OP!$C$28)</f>
        <v>0</v>
      </c>
      <c r="T80" s="324">
        <f ca="1">IF(OR(OP!$D$53=1,$Q80=""),0,VLOOKUP(OP!$C$55,CV,$Q80+1,0)*OP!$C$28)</f>
        <v>0</v>
      </c>
      <c r="U80" s="324">
        <f ca="1">IF(OR('OP1'!$D$53=1,$Q80=""),0,VLOOKUP('OP1'!$C$55,_DIE1,$Q80+1,0)*'OP1'!$C$28)</f>
        <v>0</v>
      </c>
      <c r="V80" s="324">
        <f ca="1">IF(OR('OP1'!$D$53=1,$Q80="",VLOOKUP(Q80,DINS,5,0)=0),0,'OP1'!$C$28*10000*0.5)</f>
        <v>0</v>
      </c>
      <c r="W80" s="324">
        <f ca="1">IF(OR('OP1'!$D$53=1,$Q80=""),0,VLOOKUP('OP1'!$C$55,CV_1,$Q80+1,0)*'OP1'!$C$28)</f>
        <v>0</v>
      </c>
      <c r="X80" s="324">
        <f t="shared" ca="1" si="6"/>
        <v>0</v>
      </c>
      <c r="Y80" s="324">
        <f ca="1">IF(OR(OP!$D$53=1,$Q80=""),0,VLOOKUP(OP!$C$55,DIE,$Q80+1,0)*OP!$C$28)</f>
        <v>0</v>
      </c>
      <c r="Z80" s="324">
        <f ca="1">IF(OR(OP!$D$53=1,$Q80=""),0,VLOOKUP(OP!$C$55,DIE,$Q80+1,0)*OP!$C$28*2)</f>
        <v>0</v>
      </c>
      <c r="AA80" s="324">
        <f ca="1">IF(OR(OP!$D$53=1,$Q80=""),0,VLOOKUP(OP!$C$55,DIE,$Q80+1,0)*OP!$C$28*2)</f>
        <v>0</v>
      </c>
      <c r="AB80" s="324">
        <f ca="1">IF(OR(OP!$D$53=1,$Q180=""),0,VLOOKUP(OP!$C$55,DIE,$Q80+1,0)*OP!$C$28*2)</f>
        <v>0</v>
      </c>
      <c r="AC80" s="324">
        <f ca="1">IF(OR(OP!$D$53=1,$Q80=""),0,VLOOKUP(OP!$C$55,DIE,$Q80+1,0)*OP!$C$28*2)</f>
        <v>0</v>
      </c>
      <c r="AD80" s="324">
        <f ca="1">IF(OR(ROP!$C$33=1,$Q80=""),0,VLOOKUP(ROP!$C$39,AORCV,$Q80+1,0)*ROP!$C$30)</f>
        <v>0</v>
      </c>
      <c r="AE80" s="324">
        <f t="shared" ca="1" si="7"/>
        <v>0</v>
      </c>
      <c r="AF80" s="324">
        <f ca="1">IF(OR('OP1'!$D$53=1,$Q80=""),0,VLOOKUP('OP1'!$C$55,HL_1,$Q80+1,0)*'OP1'!$C$28)</f>
        <v>0</v>
      </c>
      <c r="AG80" s="324">
        <f ca="1">IF(OR('OP1'!$D$53=1,$Q80=""),0,VLOOKUP('OP1'!$C$55,HL,$Q80+1,0)*'OP1'!$C$28)</f>
        <v>0</v>
      </c>
    </row>
    <row r="81" spans="2:33" ht="16.5" hidden="1">
      <c r="B81" s="72" t="str">
        <f ca="1">IF(OR(B80&gt;=OP!$C$57,B80=""),"",IF(C80+1&gt;81,81-C80,B80+1))</f>
        <v/>
      </c>
      <c r="C81" s="72" t="str">
        <f ca="1">IF(OR(MAX(B$21:$B80)&gt;=OP!$C$57),"",C80+(B81-B80))</f>
        <v/>
      </c>
      <c r="D81" s="324">
        <f ca="1">N(IF(OR(OP!$D$53=1,$B81="",$B81&gt;OP!$C$57),"",OP!$X$8))</f>
        <v>0</v>
      </c>
      <c r="E81" s="324">
        <f ca="1">N(IF(OR('OP1'!$D$53=1,$B81="",$B81&gt;'OP1'!$C$57),"",'OP1'!$X$8))</f>
        <v>0</v>
      </c>
      <c r="F81" s="324">
        <f ca="1">N(IF(OR(ROP!$C$33=1,$B81="",$B81&gt;ROP!$C$37),"",ROP!$H$132))</f>
        <v>0</v>
      </c>
      <c r="G81" s="324">
        <f ca="1">N(IF(OR(ROP!$D$33=1,$B81="",$B81&gt;ROP!$D$37),"",ROP!$H$143))</f>
        <v>0</v>
      </c>
      <c r="H81" s="324">
        <f ca="1">N(IF(OR(ROP!$E$33=1,$B81="",$B81&gt;ROP!$E$37),"",ROP!$H$154))</f>
        <v>0</v>
      </c>
      <c r="I81" s="324">
        <f ca="1">N(IF(OR(ROP!$F$33=1,$B81="",$B81&gt;ROP!$F$37),"",ROP!$H$165))</f>
        <v>0</v>
      </c>
      <c r="J81" s="324">
        <f ca="1">N(IF(OR(ROP!$G$33=1,$B81="",$B81&gt;ROP!$G$37),"",ROP!$H$176))</f>
        <v>0</v>
      </c>
      <c r="K81" s="324">
        <f ca="1">N(IF(OR(ROP!$H$33=1,$B81="",$B81&gt;ROP!$H$36),"",ROP!$H$53))</f>
        <v>0</v>
      </c>
      <c r="L81" s="324">
        <f t="shared" ca="1" si="2"/>
        <v>0</v>
      </c>
      <c r="M81" s="324">
        <f ca="1">L81</f>
        <v>0</v>
      </c>
      <c r="N81" t="s">
        <v>820</v>
      </c>
      <c r="Q81" s="300" t="str">
        <f t="shared" ca="1" si="3"/>
        <v/>
      </c>
      <c r="R81" s="300" t="str">
        <f t="shared" ca="1" si="4"/>
        <v/>
      </c>
      <c r="S81" s="324">
        <f ca="1">IF(OR(OP!$D$53=1,$Q81=""),0,VLOOKUP(OP!$C$55,DIE,$Q81+1,0)*OP!$C$28)</f>
        <v>0</v>
      </c>
      <c r="T81" s="324">
        <f ca="1">IF(OR(OP!$D$53=1,$Q81=""),0,VLOOKUP(OP!$C$55,CV,$Q81+1,0)*OP!$C$28)</f>
        <v>0</v>
      </c>
      <c r="U81" s="324">
        <f ca="1">IF(OR('OP1'!$D$53=1,$Q81=""),0,VLOOKUP('OP1'!$C$55,_DIE1,$Q81+1,0)*'OP1'!$C$28)</f>
        <v>0</v>
      </c>
      <c r="V81" s="324">
        <f ca="1">IF(OR('OP1'!$D$53=1,$Q81="",VLOOKUP(Q81,DINS,5,0)=0),0,'OP1'!$C$28*10000*0.5)</f>
        <v>0</v>
      </c>
      <c r="W81" s="324">
        <f ca="1">IF(OR('OP1'!$D$53=1,$Q81=""),0,VLOOKUP('OP1'!$C$55,CV_1,$Q81+1,0)*'OP1'!$C$28)</f>
        <v>0</v>
      </c>
      <c r="X81" s="324">
        <f t="shared" ca="1" si="6"/>
        <v>0</v>
      </c>
      <c r="Y81" s="324">
        <f ca="1">IF(OR(OP!$D$53=1,$Q81=""),0,VLOOKUP(OP!$C$55,DIE,$Q81+1,0)*OP!$C$28)</f>
        <v>0</v>
      </c>
      <c r="Z81" s="324">
        <f ca="1">IF(OR(OP!$D$53=1,$Q81=""),0,VLOOKUP(OP!$C$55,DIE,$Q81+1,0)*OP!$C$28*2)</f>
        <v>0</v>
      </c>
      <c r="AA81" s="324">
        <f ca="1">IF(OR(OP!$D$53=1,$Q81=""),0,VLOOKUP(OP!$C$55,DIE,$Q81+1,0)*OP!$C$28*2)</f>
        <v>0</v>
      </c>
      <c r="AB81" s="324">
        <f ca="1">IF(OR(OP!$D$53=1,$Q181=""),0,VLOOKUP(OP!$C$55,DIE,$Q81+1,0)*OP!$C$28*2)</f>
        <v>0</v>
      </c>
      <c r="AC81" s="324">
        <f ca="1">IF(OR(OP!$D$53=1,$Q81=""),0,VLOOKUP(OP!$C$55,DIE,$Q81+1,0)*OP!$C$28*2)</f>
        <v>0</v>
      </c>
      <c r="AD81" s="324">
        <f ca="1">IF(OR(ROP!$C$33=1,$Q81=""),0,VLOOKUP(ROP!$C$39,AORCV,$Q81+1,0)*ROP!$C$30)</f>
        <v>0</v>
      </c>
      <c r="AE81" s="324">
        <f t="shared" ca="1" si="7"/>
        <v>0</v>
      </c>
      <c r="AF81" s="324">
        <f ca="1">IF(OR('OP1'!$D$53=1,$Q81=""),0,VLOOKUP('OP1'!$C$55,HL_1,$Q81+1,0)*'OP1'!$C$28)</f>
        <v>0</v>
      </c>
      <c r="AG81" s="324">
        <f ca="1">IF(OR('OP1'!$D$53=1,$Q81=""),0,VLOOKUP('OP1'!$C$55,HL,$Q81+1,0)*'OP1'!$C$28)</f>
        <v>0</v>
      </c>
    </row>
    <row r="82" spans="2:33" ht="16.5" hidden="1">
      <c r="B82" s="72" t="str">
        <f ca="1">IF(OR(B81&gt;=OP!$C$57,B81=""),"",IF(C81+1&gt;81,81-C81,B81+1))</f>
        <v/>
      </c>
      <c r="C82" s="72" t="str">
        <f ca="1">IF(OR(MAX(B$21:$B81)&gt;=OP!$C$57),"",C81+(B82-B81))</f>
        <v/>
      </c>
      <c r="D82" s="324">
        <f ca="1">N(IF(OR(OP!$D$53=1,$B82="",$B82&gt;OP!$C$57),"",OP!$X$8))</f>
        <v>0</v>
      </c>
      <c r="E82" s="324">
        <f ca="1">N(IF(OR('OP1'!$D$53=1,$B82="",$B82&gt;'OP1'!$C$57),"",'OP1'!$X$8))</f>
        <v>0</v>
      </c>
      <c r="F82" s="324">
        <f ca="1">N(IF(OR(ROP!$C$33=1,$B82="",$B82&gt;ROP!$C$37),"",ROP!$H$132))</f>
        <v>0</v>
      </c>
      <c r="G82" s="324">
        <f ca="1">N(IF(OR(ROP!$D$33=1,$B82="",$B82&gt;ROP!$D$37),"",ROP!$H$143))</f>
        <v>0</v>
      </c>
      <c r="H82" s="324">
        <f ca="1">N(IF(OR(ROP!$E$33=1,$B82="",$B82&gt;ROP!$E$37),"",ROP!$H$154))</f>
        <v>0</v>
      </c>
      <c r="I82" s="324">
        <f ca="1">N(IF(OR(ROP!$F$33=1,$B82="",$B82&gt;ROP!$F$37),"",ROP!$H$165))</f>
        <v>0</v>
      </c>
      <c r="J82" s="324">
        <f ca="1">N(IF(OR(ROP!$G$33=1,$B82="",$B82&gt;ROP!$G$37),"",ROP!$H$176))</f>
        <v>0</v>
      </c>
      <c r="K82" s="324">
        <f ca="1">N(IF(OR(ROP!$H$33=1,$B82="",$B82&gt;ROP!$H$36),"",ROP!$H$53))</f>
        <v>0</v>
      </c>
      <c r="L82" s="324">
        <f t="shared" ca="1" si="2"/>
        <v>0</v>
      </c>
      <c r="M82" s="324">
        <f t="shared" ca="1" si="5"/>
        <v>0</v>
      </c>
      <c r="Q82" s="300" t="str">
        <f t="shared" ca="1" si="3"/>
        <v/>
      </c>
      <c r="R82" s="300" t="str">
        <f t="shared" ca="1" si="4"/>
        <v/>
      </c>
      <c r="S82" s="324">
        <f ca="1">IF(OR(OP!$D$53=1,$Q82=""),0,VLOOKUP(OP!$C$55,DIE,$Q82+1,0)*OP!$C$28)</f>
        <v>0</v>
      </c>
      <c r="T82" s="324">
        <f ca="1">IF(OR(OP!$D$53=1,$Q82=""),0,VLOOKUP(OP!$C$55,CV,$Q82+1,0)*OP!$C$28)</f>
        <v>0</v>
      </c>
      <c r="U82" s="324">
        <f ca="1">IF(OR('OP1'!$D$53=1,$Q82=""),0,VLOOKUP('OP1'!$C$55,_DIE1,$Q82+1,0)*'OP1'!$C$28)</f>
        <v>0</v>
      </c>
      <c r="V82" s="324">
        <f ca="1">IF(OR('OP1'!$D$53=1,$Q82="",VLOOKUP(Q82,DINS,5,0)=0),0,'OP1'!$C$28*10000*0.5)</f>
        <v>0</v>
      </c>
      <c r="W82" s="324">
        <f ca="1">IF(OR('OP1'!$D$53=1,$Q82=""),0,VLOOKUP('OP1'!$C$55,CV_1,$Q82+1,0)*'OP1'!$C$28)</f>
        <v>0</v>
      </c>
      <c r="X82" s="324">
        <f t="shared" ca="1" si="6"/>
        <v>0</v>
      </c>
      <c r="Y82" s="324">
        <f ca="1">IF(OR(OP!$D$53=1,$Q82=""),0,VLOOKUP(OP!$C$55,DIE,$Q82+1,0)*OP!$C$28)</f>
        <v>0</v>
      </c>
      <c r="Z82" s="324">
        <f ca="1">IF(OR(OP!$D$53=1,$Q82=""),0,VLOOKUP(OP!$C$55,DIE,$Q82+1,0)*OP!$C$28*2)</f>
        <v>0</v>
      </c>
      <c r="AA82" s="324">
        <f ca="1">IF(OR(OP!$D$53=1,$Q82=""),0,VLOOKUP(OP!$C$55,DIE,$Q82+1,0)*OP!$C$28*2)</f>
        <v>0</v>
      </c>
      <c r="AB82" s="324">
        <f ca="1">IF(OR(OP!$D$53=1,$Q182=""),0,VLOOKUP(OP!$C$55,DIE,$Q82+1,0)*OP!$C$28*2)</f>
        <v>0</v>
      </c>
      <c r="AC82" s="324">
        <f ca="1">IF(OR(OP!$D$53=1,$Q82=""),0,VLOOKUP(OP!$C$55,DIE,$Q82+1,0)*OP!$C$28*2)</f>
        <v>0</v>
      </c>
      <c r="AD82" s="324">
        <f ca="1">IF(OR(ROP!$C$33=1,$Q82=""),0,VLOOKUP(ROP!$C$39,AORCV,$Q82+1,0)*ROP!$C$30)</f>
        <v>0</v>
      </c>
      <c r="AE82" s="324">
        <f t="shared" ca="1" si="7"/>
        <v>0</v>
      </c>
      <c r="AF82" s="324">
        <f ca="1">IF(OR('OP1'!$D$53=1,$Q82=""),0,VLOOKUP('OP1'!$C$55,HL_1,$Q82+1,0)*'OP1'!$C$28)</f>
        <v>0</v>
      </c>
      <c r="AG82" s="324">
        <f ca="1">IF(OR('OP1'!$D$53=1,$Q82=""),0,VLOOKUP('OP1'!$C$55,HL,$Q82+1,0)*'OP1'!$C$28)</f>
        <v>0</v>
      </c>
    </row>
    <row r="83" spans="2:33" ht="16.5" hidden="1">
      <c r="B83" s="72" t="str">
        <f ca="1">IF(OR(B82&gt;=OP!$C$57,B82=""),"",IF(C82+1&gt;81,81-C82,B82+1))</f>
        <v/>
      </c>
      <c r="C83" s="72" t="str">
        <f ca="1">IF(OR(MAX(B$21:$B82)&gt;=OP!$C$57),"",C82+(B83-B82))</f>
        <v/>
      </c>
      <c r="D83" s="324">
        <f ca="1">N(IF(OR(OP!$D$53=1,$B83="",$B83&gt;OP!$C$57),"",OP!$X$8))</f>
        <v>0</v>
      </c>
      <c r="E83" s="324">
        <f ca="1">N(IF(OR('OP1'!$D$53=1,$B83="",$B83&gt;'OP1'!$C$57),"",'OP1'!$X$8))</f>
        <v>0</v>
      </c>
      <c r="F83" s="324">
        <f ca="1">N(IF(OR(ROP!$C$33=1,$B83="",$B83&gt;ROP!$C$37),"",ROP!$H$132))</f>
        <v>0</v>
      </c>
      <c r="G83" s="324">
        <f ca="1">N(IF(OR(ROP!$D$33=1,$B83="",$B83&gt;ROP!$D$37),"",ROP!$H$143))</f>
        <v>0</v>
      </c>
      <c r="H83" s="324">
        <f ca="1">N(IF(OR(ROP!$E$33=1,$B83="",$B83&gt;ROP!$E$37),"",ROP!$H$154))</f>
        <v>0</v>
      </c>
      <c r="I83" s="324">
        <f ca="1">N(IF(OR(ROP!$F$33=1,$B83="",$B83&gt;ROP!$F$37),"",ROP!$H$165))</f>
        <v>0</v>
      </c>
      <c r="J83" s="324">
        <f ca="1">N(IF(OR(ROP!$G$33=1,$B83="",$B83&gt;ROP!$G$37),"",ROP!$H$176))</f>
        <v>0</v>
      </c>
      <c r="K83" s="324">
        <f ca="1">N(IF(OR(ROP!$H$33=1,$B83="",$B83&gt;ROP!$H$36),"",ROP!$H$53))</f>
        <v>0</v>
      </c>
      <c r="L83" s="324">
        <f t="shared" ca="1" si="2"/>
        <v>0</v>
      </c>
      <c r="M83" s="324">
        <f t="shared" ca="1" si="5"/>
        <v>0</v>
      </c>
      <c r="Q83" s="300" t="str">
        <f t="shared" ca="1" si="3"/>
        <v/>
      </c>
      <c r="R83" s="300" t="str">
        <f t="shared" ca="1" si="4"/>
        <v/>
      </c>
      <c r="S83" s="324">
        <f ca="1">IF(OR(OP!$D$53=1,$Q83=""),0,VLOOKUP(OP!$C$55,DIE,$Q83+1,0)*OP!$C$28)</f>
        <v>0</v>
      </c>
      <c r="T83" s="324">
        <f ca="1">IF(OR(OP!$D$53=1,$Q83=""),0,VLOOKUP(OP!$C$55,CV,$Q83+1,0)*OP!$C$28)</f>
        <v>0</v>
      </c>
      <c r="U83" s="324">
        <f ca="1">IF(OR('OP1'!$D$53=1,$Q83=""),0,VLOOKUP('OP1'!$C$55,_DIE1,$Q83+1,0)*'OP1'!$C$28)</f>
        <v>0</v>
      </c>
      <c r="V83" s="324">
        <f ca="1">IF(OR('OP1'!$D$53=1,$Q83="",VLOOKUP(Q83,DINS,5,0)=0),0,'OP1'!$C$28*10000*0.5)</f>
        <v>0</v>
      </c>
      <c r="W83" s="324">
        <f ca="1">IF(OR('OP1'!$D$53=1,$Q83=""),0,VLOOKUP('OP1'!$C$55,CV_1,$Q83+1,0)*'OP1'!$C$28)</f>
        <v>0</v>
      </c>
      <c r="X83" s="324">
        <f t="shared" ca="1" si="6"/>
        <v>0</v>
      </c>
      <c r="Y83" s="324">
        <f ca="1">IF(OR(OP!$D$53=1,$Q83=""),0,VLOOKUP(OP!$C$55,DIE,$Q83+1,0)*OP!$C$28)</f>
        <v>0</v>
      </c>
      <c r="Z83" s="324">
        <f ca="1">IF(OR(OP!$D$53=1,$Q83=""),0,VLOOKUP(OP!$C$55,DIE,$Q83+1,0)*OP!$C$28*2)</f>
        <v>0</v>
      </c>
      <c r="AA83" s="324">
        <f ca="1">IF(OR(OP!$D$53=1,$Q83=""),0,VLOOKUP(OP!$C$55,DIE,$Q83+1,0)*OP!$C$28*2)</f>
        <v>0</v>
      </c>
      <c r="AB83" s="324">
        <f ca="1">IF(OR(OP!$D$53=1,$Q183=""),0,VLOOKUP(OP!$C$55,DIE,$Q83+1,0)*OP!$C$28*2)</f>
        <v>0</v>
      </c>
      <c r="AC83" s="324">
        <f ca="1">IF(OR(OP!$D$53=1,$Q83=""),0,VLOOKUP(OP!$C$55,DIE,$Q83+1,0)*OP!$C$28*2)</f>
        <v>0</v>
      </c>
      <c r="AD83" s="324">
        <f ca="1">IF(OR(ROP!$C$33=1,$Q83=""),0,VLOOKUP(ROP!$C$39,AORCV,$Q83+1,0)*ROP!$C$30)</f>
        <v>0</v>
      </c>
      <c r="AE83" s="324">
        <f t="shared" ca="1" si="7"/>
        <v>0</v>
      </c>
      <c r="AF83" s="324">
        <f ca="1">IF(OR('OP1'!$D$53=1,$Q83=""),0,VLOOKUP('OP1'!$C$55,HL_1,$Q83+1,0)*'OP1'!$C$28)</f>
        <v>0</v>
      </c>
      <c r="AG83" s="324">
        <f ca="1">IF(OR('OP1'!$D$53=1,$Q83=""),0,VLOOKUP('OP1'!$C$55,HL,$Q83+1,0)*'OP1'!$C$28)</f>
        <v>0</v>
      </c>
    </row>
    <row r="84" spans="2:33" ht="16.5" hidden="1">
      <c r="B84" s="72" t="str">
        <f ca="1">IF(OR(B83&gt;=OP!$C$57,B83=""),"",IF(C83+1&gt;81,81-C83,B83+1))</f>
        <v/>
      </c>
      <c r="C84" s="72" t="str">
        <f ca="1">IF(OR(MAX(B$21:$B83)&gt;=OP!$C$57),"",C83+(B84-B83))</f>
        <v/>
      </c>
      <c r="D84" s="324">
        <f ca="1">N(IF(OR(OP!$D$53=1,$B84="",$B84&gt;OP!$C$57),"",OP!$X$8))</f>
        <v>0</v>
      </c>
      <c r="E84" s="324">
        <f ca="1">N(IF(OR('OP1'!$D$53=1,$B84="",$B84&gt;'OP1'!$C$57),"",'OP1'!$X$8))</f>
        <v>0</v>
      </c>
      <c r="F84" s="324">
        <f ca="1">N(IF(OR(ROP!$C$33=1,$B84="",$B84&gt;ROP!$C$37),"",ROP!$H$132))</f>
        <v>0</v>
      </c>
      <c r="G84" s="324">
        <f ca="1">N(IF(OR(ROP!$D$33=1,$B84="",$B84&gt;ROP!$D$37),"",ROP!$H$143))</f>
        <v>0</v>
      </c>
      <c r="H84" s="324">
        <f ca="1">N(IF(OR(ROP!$E$33=1,$B84="",$B84&gt;ROP!$E$37),"",ROP!$H$154))</f>
        <v>0</v>
      </c>
      <c r="I84" s="324">
        <f ca="1">N(IF(OR(ROP!$F$33=1,$B84="",$B84&gt;ROP!$F$37),"",ROP!$H$165))</f>
        <v>0</v>
      </c>
      <c r="J84" s="324">
        <f ca="1">N(IF(OR(ROP!$G$33=1,$B84="",$B84&gt;ROP!$G$37),"",ROP!$H$176))</f>
        <v>0</v>
      </c>
      <c r="K84" s="324">
        <f ca="1">N(IF(OR(ROP!$H$33=1,$B84="",$B84&gt;ROP!$H$36),"",ROP!$H$53))</f>
        <v>0</v>
      </c>
      <c r="L84" s="324">
        <f t="shared" ca="1" si="2"/>
        <v>0</v>
      </c>
      <c r="M84" s="324">
        <f t="shared" ca="1" si="5"/>
        <v>0</v>
      </c>
      <c r="Q84" s="300" t="str">
        <f t="shared" ca="1" si="3"/>
        <v/>
      </c>
      <c r="R84" s="300" t="str">
        <f t="shared" ca="1" si="4"/>
        <v/>
      </c>
      <c r="S84" s="324">
        <f ca="1">IF(OR(OP!$D$53=1,$Q84=""),0,VLOOKUP(OP!$C$55,DIE,$Q84+1,0)*OP!$C$28)</f>
        <v>0</v>
      </c>
      <c r="T84" s="324">
        <f ca="1">IF(OR(OP!$D$53=1,$Q84=""),0,VLOOKUP(OP!$C$55,CV,$Q84+1,0)*OP!$C$28)</f>
        <v>0</v>
      </c>
      <c r="U84" s="324">
        <f ca="1">IF(OR('OP1'!$D$53=1,$Q84=""),0,VLOOKUP('OP1'!$C$55,_DIE1,$Q84+1,0)*'OP1'!$C$28)</f>
        <v>0</v>
      </c>
      <c r="V84" s="324">
        <f ca="1">IF(OR('OP1'!$D$53=1,$Q84="",VLOOKUP(Q84,DINS,5,0)=0),0,'OP1'!$C$28*10000*0.5)</f>
        <v>0</v>
      </c>
      <c r="W84" s="324">
        <f ca="1">IF(OR('OP1'!$D$53=1,$Q84=""),0,VLOOKUP('OP1'!$C$55,CV_1,$Q84+1,0)*'OP1'!$C$28)</f>
        <v>0</v>
      </c>
      <c r="X84" s="324">
        <f t="shared" ca="1" si="6"/>
        <v>0</v>
      </c>
      <c r="Y84" s="324">
        <f ca="1">IF(OR(OP!$D$53=1,$Q84=""),0,VLOOKUP(OP!$C$55,DIE,$Q84+1,0)*OP!$C$28)</f>
        <v>0</v>
      </c>
      <c r="Z84" s="324">
        <f ca="1">IF(OR(OP!$D$53=1,$Q84=""),0,VLOOKUP(OP!$C$55,DIE,$Q84+1,0)*OP!$C$28*2)</f>
        <v>0</v>
      </c>
      <c r="AA84" s="324">
        <f ca="1">IF(OR(OP!$D$53=1,$Q84=""),0,VLOOKUP(OP!$C$55,DIE,$Q84+1,0)*OP!$C$28*2)</f>
        <v>0</v>
      </c>
      <c r="AB84" s="324">
        <f ca="1">IF(OR(OP!$D$53=1,$Q184=""),0,VLOOKUP(OP!$C$55,DIE,$Q84+1,0)*OP!$C$28*2)</f>
        <v>0</v>
      </c>
      <c r="AC84" s="324">
        <f ca="1">IF(OR(OP!$D$53=1,$Q84=""),0,VLOOKUP(OP!$C$55,DIE,$Q84+1,0)*OP!$C$28*2)</f>
        <v>0</v>
      </c>
      <c r="AD84" s="324">
        <f ca="1">IF(OR(ROP!$C$33=1,$Q84=""),0,VLOOKUP(ROP!$C$39,AORCV,$Q84+1,0)*ROP!$C$30)</f>
        <v>0</v>
      </c>
      <c r="AE84" s="324">
        <f t="shared" ca="1" si="7"/>
        <v>0</v>
      </c>
      <c r="AF84" s="324">
        <f ca="1">IF(OR('OP1'!$D$53=1,$Q84=""),0,VLOOKUP('OP1'!$C$55,HL_1,$Q84+1,0)*'OP1'!$C$28)</f>
        <v>0</v>
      </c>
      <c r="AG84" s="324">
        <f ca="1">IF(OR('OP1'!$D$53=1,$Q84=""),0,VLOOKUP('OP1'!$C$55,HL,$Q84+1,0)*'OP1'!$C$28)</f>
        <v>0</v>
      </c>
    </row>
    <row r="85" spans="2:33" ht="16.5" hidden="1">
      <c r="B85" s="72" t="str">
        <f ca="1">IF(OR(B84&gt;=OP!$C$57,B84=""),"",IF(C84+1&gt;81,81-C84,B84+1))</f>
        <v/>
      </c>
      <c r="C85" s="72" t="str">
        <f ca="1">IF(OR(MAX(B$21:$B84)&gt;=OP!$C$57),"",C84+(B85-B84))</f>
        <v/>
      </c>
      <c r="D85" s="324">
        <f ca="1">N(IF(OR(OP!$D$53=1,$B85="",$B85&gt;OP!$C$57),"",OP!$X$8))</f>
        <v>0</v>
      </c>
      <c r="E85" s="324">
        <f ca="1">N(IF(OR('OP1'!$D$53=1,$B85="",$B85&gt;'OP1'!$C$57),"",'OP1'!$X$8))</f>
        <v>0</v>
      </c>
      <c r="F85" s="324">
        <f ca="1">N(IF(OR(ROP!$C$33=1,$B85="",$B85&gt;ROP!$C$37),"",ROP!$H$132))</f>
        <v>0</v>
      </c>
      <c r="G85" s="324">
        <f ca="1">N(IF(OR(ROP!$D$33=1,$B85="",$B85&gt;ROP!$D$37),"",ROP!$H$143))</f>
        <v>0</v>
      </c>
      <c r="H85" s="324">
        <f ca="1">N(IF(OR(ROP!$E$33=1,$B85="",$B85&gt;ROP!$E$37),"",ROP!$H$154))</f>
        <v>0</v>
      </c>
      <c r="I85" s="324">
        <f ca="1">N(IF(OR(ROP!$F$33=1,$B85="",$B85&gt;ROP!$F$37),"",ROP!$H$165))</f>
        <v>0</v>
      </c>
      <c r="J85" s="324">
        <f ca="1">N(IF(OR(ROP!$G$33=1,$B85="",$B85&gt;ROP!$G$37),"",ROP!$H$176))</f>
        <v>0</v>
      </c>
      <c r="K85" s="324">
        <f ca="1">N(IF(OR(ROP!$H$33=1,$B85="",$B85&gt;ROP!$H$36),"",ROP!$H$53))</f>
        <v>0</v>
      </c>
      <c r="L85" s="324">
        <f t="shared" ca="1" si="2"/>
        <v>0</v>
      </c>
      <c r="M85" s="324">
        <f t="shared" ca="1" si="5"/>
        <v>0</v>
      </c>
      <c r="Q85" s="300" t="str">
        <f t="shared" ca="1" si="3"/>
        <v/>
      </c>
      <c r="R85" s="300" t="str">
        <f t="shared" ca="1" si="4"/>
        <v/>
      </c>
      <c r="S85" s="324">
        <f ca="1">IF(OR(OP!$D$53=1,$Q85=""),0,VLOOKUP(OP!$C$55,DIE,$Q85+1,0)*OP!$C$28)</f>
        <v>0</v>
      </c>
      <c r="T85" s="324">
        <f ca="1">IF(OR(OP!$D$53=1,$Q85=""),0,VLOOKUP(OP!$C$55,CV,$Q85+1,0)*OP!$C$28)</f>
        <v>0</v>
      </c>
      <c r="U85" s="324">
        <f ca="1">IF(OR('OP1'!$D$53=1,$Q85=""),0,VLOOKUP('OP1'!$C$55,_DIE1,$Q85+1,0)*'OP1'!$C$28)</f>
        <v>0</v>
      </c>
      <c r="V85" s="324">
        <f ca="1">IF(OR('OP1'!$D$53=1,$Q85="",VLOOKUP(Q85,DINS,5,0)=0),0,'OP1'!$C$28*10000*0.5)</f>
        <v>0</v>
      </c>
      <c r="W85" s="324">
        <f ca="1">IF(OR('OP1'!$D$53=1,$Q85=""),0,VLOOKUP('OP1'!$C$55,CV_1,$Q85+1,0)*'OP1'!$C$28)</f>
        <v>0</v>
      </c>
      <c r="X85" s="324">
        <f t="shared" ref="X85:X121" ca="1" si="8">IF($Q85="",0,VLOOKUP($Q85,DINS,3,0)+VLOOKUP($Q85,DINS,5,0))</f>
        <v>0</v>
      </c>
      <c r="Y85" s="324">
        <f ca="1">IF(OR(OP!$D$53=1,$Q85=""),0,VLOOKUP(OP!$C$55,DIE,$Q85+1,0)*OP!$C$28)</f>
        <v>0</v>
      </c>
      <c r="Z85" s="324">
        <f ca="1">IF(OR(OP!$D$53=1,$Q85=""),0,VLOOKUP(OP!$C$55,DIE,$Q85+1,0)*OP!$C$28*2)</f>
        <v>0</v>
      </c>
      <c r="AA85" s="324">
        <f ca="1">IF(OR(OP!$D$53=1,$Q85=""),0,VLOOKUP(OP!$C$55,DIE,$Q85+1,0)*OP!$C$28*2)</f>
        <v>0</v>
      </c>
      <c r="AB85" s="324">
        <f ca="1">IF(OR(OP!$D$53=1,$Q185=""),0,VLOOKUP(OP!$C$55,DIE,$Q85+1,0)*OP!$C$28*2)</f>
        <v>0</v>
      </c>
      <c r="AC85" s="324">
        <f ca="1">IF(OR(OP!$D$53=1,$Q85=""),0,VLOOKUP(OP!$C$55,DIE,$Q85+1,0)*OP!$C$28*2)</f>
        <v>0</v>
      </c>
      <c r="AD85" s="324">
        <f ca="1">IF(OR(ROP!$C$33=1,$Q85=""),0,VLOOKUP(ROP!$C$39,AORCV,$Q85+1,0)*ROP!$C$30)</f>
        <v>0</v>
      </c>
      <c r="AE85" s="324">
        <f t="shared" ref="AE85:AE121" ca="1" si="9">IF($Q85="",0,VLOOKUP($Q85,DINS,4,0)+VLOOKUP($Q85,DINS,7,0)+VLOOKUP($Q85,DINS,14,0))</f>
        <v>0</v>
      </c>
      <c r="AF85" s="324">
        <f ca="1">IF(OR('OP1'!$D$53=1,$Q85=""),0,VLOOKUP('OP1'!$C$55,HL_1,$Q85+1,0)*'OP1'!$C$28)</f>
        <v>0</v>
      </c>
      <c r="AG85" s="324">
        <f ca="1">IF(OR('OP1'!$D$53=1,$Q85=""),0,VLOOKUP('OP1'!$C$55,HL,$Q85+1,0)*'OP1'!$C$28)</f>
        <v>0</v>
      </c>
    </row>
    <row r="86" spans="2:33" ht="16.5" hidden="1">
      <c r="B86" s="72" t="str">
        <f ca="1">IF(OR(B85&gt;=OP!$C$57,B85=""),"",IF(C85+1&gt;81,81-C85,B85+1))</f>
        <v/>
      </c>
      <c r="C86" s="72" t="str">
        <f ca="1">IF(OR(MAX(B$21:$B85)&gt;=OP!$C$57),"",C85+(B86-B85))</f>
        <v/>
      </c>
      <c r="D86" s="324">
        <f ca="1">N(IF(OR(OP!$D$53=1,$B86="",$B86&gt;OP!$C$57),"",OP!$X$8))</f>
        <v>0</v>
      </c>
      <c r="E86" s="324">
        <f ca="1">N(IF(OR('OP1'!$D$53=1,$B86="",$B86&gt;'OP1'!$C$57),"",'OP1'!$X$8))</f>
        <v>0</v>
      </c>
      <c r="F86" s="324">
        <f ca="1">N(IF(OR(ROP!$C$33=1,$B86="",$B86&gt;ROP!$C$37),"",ROP!$H$132))</f>
        <v>0</v>
      </c>
      <c r="G86" s="324">
        <f ca="1">N(IF(OR(ROP!$D$33=1,$B86="",$B86&gt;ROP!$D$37),"",ROP!$H$143))</f>
        <v>0</v>
      </c>
      <c r="H86" s="324">
        <f ca="1">N(IF(OR(ROP!$E$33=1,$B86="",$B86&gt;ROP!$E$37),"",ROP!$H$154))</f>
        <v>0</v>
      </c>
      <c r="I86" s="324">
        <f ca="1">N(IF(OR(ROP!$F$33=1,$B86="",$B86&gt;ROP!$F$37),"",ROP!$H$165))</f>
        <v>0</v>
      </c>
      <c r="J86" s="324">
        <f ca="1">N(IF(OR(ROP!$G$33=1,$B86="",$B86&gt;ROP!$G$37),"",ROP!$H$176))</f>
        <v>0</v>
      </c>
      <c r="K86" s="324">
        <f ca="1">N(IF(OR(ROP!$H$33=1,$B86="",$B86&gt;ROP!$H$36),"",ROP!$H$53))</f>
        <v>0</v>
      </c>
      <c r="L86" s="324">
        <f ca="1">SUM(D86:K86)</f>
        <v>0</v>
      </c>
      <c r="M86" s="324">
        <f t="shared" ca="1" si="5"/>
        <v>0</v>
      </c>
      <c r="Q86" s="300" t="str">
        <f t="shared" ref="Q86:Q121" ca="1" si="10">B86</f>
        <v/>
      </c>
      <c r="R86" s="300" t="str">
        <f t="shared" ref="R86:R122" ca="1" si="11">C86</f>
        <v/>
      </c>
      <c r="S86" s="324">
        <f ca="1">IF(OR(OP!$D$53=1,$Q86=""),0,VLOOKUP(OP!$C$55,DIE,$Q86+1,0)*OP!$C$28)</f>
        <v>0</v>
      </c>
      <c r="T86" s="324">
        <f ca="1">IF(OR(OP!$D$53=1,$Q86=""),0,VLOOKUP(OP!$C$55,CV,$Q86+1,0)*OP!$C$28)</f>
        <v>0</v>
      </c>
      <c r="U86" s="324">
        <f ca="1">IF(OR('OP1'!$D$53=1,$Q86=""),0,VLOOKUP('OP1'!$C$55,_DIE1,$Q86+1,0)*'OP1'!$C$28)</f>
        <v>0</v>
      </c>
      <c r="V86" s="324">
        <f ca="1">IF(OR('OP1'!$D$53=1,$Q86="",VLOOKUP(Q86,DINS,5,0)=0),0,'OP1'!$C$28*10000*0.5)</f>
        <v>0</v>
      </c>
      <c r="W86" s="324">
        <f ca="1">IF(OR('OP1'!$D$53=1,$Q86=""),0,VLOOKUP('OP1'!$C$55,CV_1,$Q86+1,0)*'OP1'!$C$28)</f>
        <v>0</v>
      </c>
      <c r="X86" s="324">
        <f t="shared" ca="1" si="8"/>
        <v>0</v>
      </c>
      <c r="Y86" s="324">
        <f ca="1">IF(OR(OP!$D$53=1,$Q86=""),0,VLOOKUP(OP!$C$55,DIE,$Q86+1,0)*OP!$C$28)</f>
        <v>0</v>
      </c>
      <c r="Z86" s="324">
        <f ca="1">IF(OR(OP!$D$53=1,$Q86=""),0,VLOOKUP(OP!$C$55,DIE,$Q86+1,0)*OP!$C$28*2)</f>
        <v>0</v>
      </c>
      <c r="AA86" s="324">
        <f ca="1">IF(OR(OP!$D$53=1,$Q86=""),0,VLOOKUP(OP!$C$55,DIE,$Q86+1,0)*OP!$C$28*2)</f>
        <v>0</v>
      </c>
      <c r="AB86" s="324">
        <f ca="1">IF(OR(OP!$D$53=1,$Q186=""),0,VLOOKUP(OP!$C$55,DIE,$Q86+1,0)*OP!$C$28*2)</f>
        <v>0</v>
      </c>
      <c r="AC86" s="324">
        <f ca="1">IF(OR(OP!$D$53=1,$Q86=""),0,VLOOKUP(OP!$C$55,DIE,$Q86+1,0)*OP!$C$28*2)</f>
        <v>0</v>
      </c>
      <c r="AD86" s="324">
        <f ca="1">IF(OR(ROP!$C$33=1,$Q86=""),0,VLOOKUP(ROP!$C$39,AORCV,$Q86+1,0)*ROP!$C$30)</f>
        <v>0</v>
      </c>
      <c r="AE86" s="324">
        <f t="shared" ca="1" si="9"/>
        <v>0</v>
      </c>
      <c r="AF86" s="324">
        <f ca="1">IF(OR('OP1'!$D$53=1,$Q86=""),0,VLOOKUP('OP1'!$C$55,HL_1,$Q86+1,0)*'OP1'!$C$28)</f>
        <v>0</v>
      </c>
      <c r="AG86" s="324">
        <f ca="1">IF(OR('OP1'!$D$53=1,$Q86=""),0,VLOOKUP('OP1'!$C$55,HL,$Q86+1,0)*'OP1'!$C$28)</f>
        <v>0</v>
      </c>
    </row>
    <row r="87" spans="2:33" ht="16.5" hidden="1">
      <c r="B87" s="72" t="str">
        <f ca="1">IF(OR(B86&gt;=OP!$C$57,B86=""),"",IF(C86+1&gt;81,81-C86,B86+1))</f>
        <v/>
      </c>
      <c r="C87" s="72" t="str">
        <f ca="1">IF(OR(MAX(B$21:$B86)&gt;=OP!$C$57),"",C86+(B87-B86))</f>
        <v/>
      </c>
      <c r="D87" s="324">
        <f ca="1">N(IF(OR(OP!$D$53=1,$B87="",$B87&gt;OP!$C$57),"",OP!$X$8))</f>
        <v>0</v>
      </c>
      <c r="E87" s="324">
        <f ca="1">N(IF(OR('OP1'!$D$53=1,$B87="",$B87&gt;'OP1'!$C$57),"",'OP1'!$X$8))</f>
        <v>0</v>
      </c>
      <c r="F87" s="324">
        <f ca="1">N(IF(OR(ROP!$C$33=1,$B87="",$B87&gt;ROP!$C$37),"",ROP!$H$132))</f>
        <v>0</v>
      </c>
      <c r="G87" s="324">
        <f ca="1">N(IF(OR(ROP!$D$33=1,$B87="",$B87&gt;ROP!$D$37),"",ROP!$H$143))</f>
        <v>0</v>
      </c>
      <c r="H87" s="324">
        <f ca="1">N(IF(OR(ROP!$E$33=1,$B87="",$B87&gt;ROP!$E$37),"",ROP!$H$154))</f>
        <v>0</v>
      </c>
      <c r="I87" s="324">
        <f ca="1">N(IF(OR(ROP!$F$33=1,$B87="",$B87&gt;ROP!$F$37),"",ROP!$H$165))</f>
        <v>0</v>
      </c>
      <c r="J87" s="324">
        <f ca="1">N(IF(OR(ROP!$G$33=1,$B87="",$B87&gt;ROP!$G$37),"",ROP!$H$176))</f>
        <v>0</v>
      </c>
      <c r="K87" s="324">
        <f ca="1">N(IF(OR(ROP!$H$33=1,$B87="",$B87&gt;ROP!$H$36),"",ROP!$H$53))</f>
        <v>0</v>
      </c>
      <c r="L87" s="324">
        <f ca="1">SUM(D87:K87)</f>
        <v>0</v>
      </c>
      <c r="M87" s="324">
        <f t="shared" ref="M87:M121" ca="1" si="12">M86+L87</f>
        <v>0</v>
      </c>
      <c r="Q87" s="300" t="str">
        <f t="shared" ca="1" si="10"/>
        <v/>
      </c>
      <c r="R87" s="300" t="str">
        <f t="shared" ca="1" si="11"/>
        <v/>
      </c>
      <c r="S87" s="324">
        <f ca="1">IF(OR(OP!$D$53=1,$Q87=""),0,VLOOKUP(OP!$C$55,DIE,$Q87+1,0)*OP!$C$28)</f>
        <v>0</v>
      </c>
      <c r="T87" s="324">
        <f ca="1">IF(OR(OP!$D$53=1,$Q87=""),0,VLOOKUP(OP!$C$55,CV,$Q87+1,0)*OP!$C$28)</f>
        <v>0</v>
      </c>
      <c r="U87" s="324">
        <f ca="1">IF(OR('OP1'!$D$53=1,$Q87=""),0,VLOOKUP('OP1'!$C$55,_DIE1,$Q87+1,0)*'OP1'!$C$28)</f>
        <v>0</v>
      </c>
      <c r="V87" s="324">
        <f ca="1">IF(OR('OP1'!$D$53=1,$Q87="",VLOOKUP(Q87,DINS,5,0)=0),0,'OP1'!$C$28*10000*0.5)</f>
        <v>0</v>
      </c>
      <c r="W87" s="324">
        <f ca="1">IF(OR('OP1'!$D$53=1,$Q87=""),0,VLOOKUP('OP1'!$C$55,CV_1,$Q87+1,0)*'OP1'!$C$28)</f>
        <v>0</v>
      </c>
      <c r="X87" s="324">
        <f t="shared" ca="1" si="8"/>
        <v>0</v>
      </c>
      <c r="Y87" s="324">
        <f ca="1">IF(OR(OP!$D$53=1,$Q87=""),0,VLOOKUP(OP!$C$55,DIE,$Q87+1,0)*OP!$C$28)</f>
        <v>0</v>
      </c>
      <c r="Z87" s="324">
        <f ca="1">IF(OR(OP!$D$53=1,$Q87=""),0,VLOOKUP(OP!$C$55,DIE,$Q87+1,0)*OP!$C$28*2)</f>
        <v>0</v>
      </c>
      <c r="AA87" s="324">
        <f ca="1">IF(OR(OP!$D$53=1,$Q87=""),0,VLOOKUP(OP!$C$55,DIE,$Q87+1,0)*OP!$C$28*2)</f>
        <v>0</v>
      </c>
      <c r="AB87" s="324">
        <f ca="1">IF(OR(OP!$D$53=1,$Q187=""),0,VLOOKUP(OP!$C$55,DIE,$Q87+1,0)*OP!$C$28*2)</f>
        <v>0</v>
      </c>
      <c r="AC87" s="324">
        <f ca="1">IF(OR(OP!$D$53=1,$Q87=""),0,VLOOKUP(OP!$C$55,DIE,$Q87+1,0)*OP!$C$28*2)</f>
        <v>0</v>
      </c>
      <c r="AD87" s="324">
        <f ca="1">IF(OR(ROP!$C$33=1,$Q87=""),0,VLOOKUP(ROP!$C$39,AORCV,$Q87+1,0)*ROP!$C$30)</f>
        <v>0</v>
      </c>
      <c r="AE87" s="324">
        <f t="shared" ca="1" si="9"/>
        <v>0</v>
      </c>
      <c r="AF87" s="324">
        <f ca="1">IF(OR('OP1'!$D$53=1,$Q87=""),0,VLOOKUP('OP1'!$C$55,HL_1,$Q87+1,0)*'OP1'!$C$28)</f>
        <v>0</v>
      </c>
      <c r="AG87" s="324">
        <f ca="1">IF(OR('OP1'!$D$53=1,$Q87=""),0,VLOOKUP('OP1'!$C$55,HL,$Q87+1,0)*'OP1'!$C$28)</f>
        <v>0</v>
      </c>
    </row>
    <row r="88" spans="2:33" ht="16.5" hidden="1">
      <c r="B88" s="72" t="str">
        <f ca="1">IF(OR(B87&gt;=OP!$C$57,B87=""),"",IF(C87+1&gt;81,81-C87,B87+1))</f>
        <v/>
      </c>
      <c r="C88" s="72" t="str">
        <f ca="1">IF(OR(MAX(B$21:$B87)&gt;=OP!$C$57),"",C87+(B88-B87))</f>
        <v/>
      </c>
      <c r="D88" s="324">
        <f ca="1">N(IF(OR(OP!$D$53=1,$B88="",$B88&gt;OP!$C$57),"",OP!$X$8))</f>
        <v>0</v>
      </c>
      <c r="E88" s="324">
        <f ca="1">N(IF(OR('OP1'!$D$53=1,$B88="",$B88&gt;'OP1'!$C$57),"",'OP1'!$X$8))</f>
        <v>0</v>
      </c>
      <c r="F88" s="324">
        <f ca="1">N(IF(OR(ROP!$C$33=1,$B88="",$B88&gt;ROP!$C$37),"",ROP!$H$132))</f>
        <v>0</v>
      </c>
      <c r="G88" s="324">
        <f ca="1">N(IF(OR(ROP!$D$33=1,$B88="",$B88&gt;ROP!$D$37),"",ROP!$H$143))</f>
        <v>0</v>
      </c>
      <c r="H88" s="324">
        <f ca="1">N(IF(OR(ROP!$E$33=1,$B88="",$B88&gt;ROP!$E$37),"",ROP!$H$154))</f>
        <v>0</v>
      </c>
      <c r="I88" s="324">
        <f ca="1">N(IF(OR(ROP!$F$33=1,$B88="",$B88&gt;ROP!$F$37),"",ROP!$H$165))</f>
        <v>0</v>
      </c>
      <c r="J88" s="324">
        <f ca="1">N(IF(OR(ROP!$G$33=1,$B88="",$B88&gt;ROP!$G$37),"",ROP!$H$176))</f>
        <v>0</v>
      </c>
      <c r="K88" s="324">
        <f ca="1">N(IF(OR(ROP!$H$33=1,$B88="",$B88&gt;ROP!$H$36),"",ROP!$H$53))</f>
        <v>0</v>
      </c>
      <c r="L88" s="324">
        <f ca="1">SUM(D88:K88)</f>
        <v>0</v>
      </c>
      <c r="M88" s="324">
        <f t="shared" ca="1" si="12"/>
        <v>0</v>
      </c>
      <c r="Q88" s="300" t="str">
        <f t="shared" ca="1" si="10"/>
        <v/>
      </c>
      <c r="R88" s="300" t="str">
        <f t="shared" ca="1" si="11"/>
        <v/>
      </c>
      <c r="S88" s="324">
        <f ca="1">IF(OR(OP!$D$53=1,$Q88=""),0,VLOOKUP(OP!$C$55,DIE,$Q88+1,0)*OP!$C$28)</f>
        <v>0</v>
      </c>
      <c r="T88" s="324">
        <f ca="1">IF(OR(OP!$D$53=1,$Q88=""),0,VLOOKUP(OP!$C$55,CV,$Q88+1,0)*OP!$C$28)</f>
        <v>0</v>
      </c>
      <c r="U88" s="324">
        <f ca="1">IF(OR('OP1'!$D$53=1,$Q88=""),0,VLOOKUP('OP1'!$C$55,_DIE1,$Q88+1,0)*'OP1'!$C$28)</f>
        <v>0</v>
      </c>
      <c r="V88" s="324">
        <f ca="1">IF(OR('OP1'!$D$53=1,$Q88="",VLOOKUP(Q88,DINS,5,0)=0),0,'OP1'!$C$28*10000*0.5)</f>
        <v>0</v>
      </c>
      <c r="W88" s="324">
        <f ca="1">IF(OR('OP1'!$D$53=1,$Q88=""),0,VLOOKUP('OP1'!$C$55,CV_1,$Q88+1,0)*'OP1'!$C$28)</f>
        <v>0</v>
      </c>
      <c r="X88" s="324">
        <f t="shared" ca="1" si="8"/>
        <v>0</v>
      </c>
      <c r="Y88" s="324">
        <f ca="1">IF(OR(OP!$D$53=1,$Q88=""),0,VLOOKUP(OP!$C$55,DIE,$Q88+1,0)*OP!$C$28)</f>
        <v>0</v>
      </c>
      <c r="Z88" s="324">
        <f ca="1">IF(OR(OP!$D$53=1,$Q88=""),0,VLOOKUP(OP!$C$55,DIE,$Q88+1,0)*OP!$C$28*2)</f>
        <v>0</v>
      </c>
      <c r="AA88" s="324">
        <f ca="1">IF(OR(OP!$D$53=1,$Q88=""),0,VLOOKUP(OP!$C$55,DIE,$Q88+1,0)*OP!$C$28*2)</f>
        <v>0</v>
      </c>
      <c r="AB88" s="324">
        <f ca="1">IF(OR(OP!$D$53=1,$Q188=""),0,VLOOKUP(OP!$C$55,DIE,$Q88+1,0)*OP!$C$28*2)</f>
        <v>0</v>
      </c>
      <c r="AC88" s="324">
        <f ca="1">IF(OR(OP!$D$53=1,$Q88=""),0,VLOOKUP(OP!$C$55,DIE,$Q88+1,0)*OP!$C$28*2)</f>
        <v>0</v>
      </c>
      <c r="AD88" s="324">
        <f ca="1">IF(OR(ROP!$C$33=1,$Q88=""),0,VLOOKUP(ROP!$C$39,AORCV,$Q88+1,0)*ROP!$C$30)</f>
        <v>0</v>
      </c>
      <c r="AE88" s="324">
        <f t="shared" ca="1" si="9"/>
        <v>0</v>
      </c>
      <c r="AF88" s="324">
        <f ca="1">IF(OR('OP1'!$D$53=1,$Q88=""),0,VLOOKUP('OP1'!$C$55,HL_1,$Q88+1,0)*'OP1'!$C$28)</f>
        <v>0</v>
      </c>
      <c r="AG88" s="324">
        <f ca="1">IF(OR('OP1'!$D$53=1,$Q88=""),0,VLOOKUP('OP1'!$C$55,HL,$Q88+1,0)*'OP1'!$C$28)</f>
        <v>0</v>
      </c>
    </row>
    <row r="89" spans="2:33" ht="16.5" hidden="1">
      <c r="B89" s="72" t="str">
        <f ca="1">IF(OR(B88&gt;=OP!$C$57,B88=""),"",IF(C88+1&gt;81,81-C88,B88+1))</f>
        <v/>
      </c>
      <c r="C89" s="72" t="str">
        <f ca="1">IF(OR(MAX(B$21:$B88)&gt;=OP!$C$57),"",C88+(B89-B88))</f>
        <v/>
      </c>
      <c r="D89" s="324">
        <f ca="1">N(IF(OR(OP!$D$53=1,$B89="",$B89&gt;OP!$C$57),"",OP!$X$8))</f>
        <v>0</v>
      </c>
      <c r="E89" s="324">
        <f ca="1">N(IF(OR('OP1'!$D$53=1,$B89="",$B89&gt;'OP1'!$C$57),"",'OP1'!$X$8))</f>
        <v>0</v>
      </c>
      <c r="F89" s="324">
        <f ca="1">N(IF(OR(ROP!$C$33=1,$B89="",$B89&gt;ROP!$C$37),"",ROP!$H$132))</f>
        <v>0</v>
      </c>
      <c r="G89" s="324">
        <f ca="1">N(IF(OR(ROP!$D$33=1,$B89="",$B89&gt;ROP!$D$37),"",ROP!$H$143))</f>
        <v>0</v>
      </c>
      <c r="H89" s="324">
        <f ca="1">N(IF(OR(ROP!$E$33=1,$B89="",$B89&gt;ROP!$E$37),"",ROP!$H$154))</f>
        <v>0</v>
      </c>
      <c r="I89" s="324">
        <f ca="1">N(IF(OR(ROP!$F$33=1,$B89="",$B89&gt;ROP!$F$37),"",ROP!$H$165))</f>
        <v>0</v>
      </c>
      <c r="J89" s="324">
        <f ca="1">N(IF(OR(ROP!$G$33=1,$B89="",$B89&gt;ROP!$G$37),"",ROP!$H$176))</f>
        <v>0</v>
      </c>
      <c r="K89" s="324">
        <f ca="1">N(IF(OR(ROP!$H$33=1,$B89="",$B89&gt;ROP!$H$36),"",ROP!$H$53))</f>
        <v>0</v>
      </c>
      <c r="L89" s="324">
        <f ca="1">SUM(D89:K89)</f>
        <v>0</v>
      </c>
      <c r="M89" s="324">
        <f t="shared" ca="1" si="12"/>
        <v>0</v>
      </c>
      <c r="Q89" s="300" t="str">
        <f t="shared" ca="1" si="10"/>
        <v/>
      </c>
      <c r="R89" s="300" t="str">
        <f t="shared" ca="1" si="11"/>
        <v/>
      </c>
      <c r="S89" s="324">
        <f ca="1">IF(OR(OP!$D$53=1,$Q89=""),0,VLOOKUP(OP!$C$55,DIE,$Q89+1,0)*OP!$C$28)</f>
        <v>0</v>
      </c>
      <c r="T89" s="324">
        <f ca="1">IF(OR(OP!$D$53=1,$Q89=""),0,VLOOKUP(OP!$C$55,CV,$Q89+1,0)*OP!$C$28)</f>
        <v>0</v>
      </c>
      <c r="U89" s="324">
        <f ca="1">IF(OR('OP1'!$D$53=1,$Q89=""),0,VLOOKUP('OP1'!$C$55,_DIE1,$Q89+1,0)*'OP1'!$C$28)</f>
        <v>0</v>
      </c>
      <c r="V89" s="324">
        <f ca="1">IF(OR('OP1'!$D$53=1,$Q89="",VLOOKUP(Q89,DINS,5,0)=0),0,'OP1'!$C$28*10000*0.5)</f>
        <v>0</v>
      </c>
      <c r="W89" s="324">
        <f ca="1">IF(OR('OP1'!$D$53=1,$Q89=""),0,VLOOKUP('OP1'!$C$55,CV_1,$Q89+1,0)*'OP1'!$C$28)</f>
        <v>0</v>
      </c>
      <c r="X89" s="324">
        <f t="shared" ca="1" si="8"/>
        <v>0</v>
      </c>
      <c r="Y89" s="324">
        <f ca="1">IF(OR(OP!$D$53=1,$Q89=""),0,VLOOKUP(OP!$C$55,DIE,$Q89+1,0)*OP!$C$28)</f>
        <v>0</v>
      </c>
      <c r="Z89" s="324">
        <f ca="1">IF(OR(OP!$D$53=1,$Q89=""),0,VLOOKUP(OP!$C$55,DIE,$Q89+1,0)*OP!$C$28*2)</f>
        <v>0</v>
      </c>
      <c r="AA89" s="324">
        <f ca="1">IF(OR(OP!$D$53=1,$Q89=""),0,VLOOKUP(OP!$C$55,DIE,$Q89+1,0)*OP!$C$28*2)</f>
        <v>0</v>
      </c>
      <c r="AB89" s="324">
        <f ca="1">IF(OR(OP!$D$53=1,$Q189=""),0,VLOOKUP(OP!$C$55,DIE,$Q89+1,0)*OP!$C$28*2)</f>
        <v>0</v>
      </c>
      <c r="AC89" s="324">
        <f ca="1">IF(OR(OP!$D$53=1,$Q89=""),0,VLOOKUP(OP!$C$55,DIE,$Q89+1,0)*OP!$C$28*2)</f>
        <v>0</v>
      </c>
      <c r="AD89" s="324">
        <f ca="1">IF(OR(ROP!$C$33=1,$Q89=""),0,VLOOKUP(ROP!$C$39,AORCV,$Q89+1,0)*ROP!$C$30)</f>
        <v>0</v>
      </c>
      <c r="AE89" s="324">
        <f t="shared" ca="1" si="9"/>
        <v>0</v>
      </c>
      <c r="AF89" s="324">
        <f ca="1">IF(OR('OP1'!$D$53=1,$Q89=""),0,VLOOKUP('OP1'!$C$55,HL_1,$Q89+1,0)*'OP1'!$C$28)</f>
        <v>0</v>
      </c>
      <c r="AG89" s="324">
        <f ca="1">IF(OR('OP1'!$D$53=1,$Q89=""),0,VLOOKUP('OP1'!$C$55,HL,$Q89+1,0)*'OP1'!$C$28)</f>
        <v>0</v>
      </c>
    </row>
    <row r="90" spans="2:33" ht="16.5" hidden="1">
      <c r="B90" s="72" t="str">
        <f ca="1">IF(OR(B89&gt;=OP!$C$57,B89=""),"",IF(C89+1&gt;81,81-C89,B89+1))</f>
        <v/>
      </c>
      <c r="C90" s="72" t="str">
        <f ca="1">IF(OR(MAX(B$21:$B89)&gt;=OP!$C$57),"",C89+(B90-B89))</f>
        <v/>
      </c>
      <c r="D90" s="324">
        <f ca="1">N(IF(OR(OP!$D$53=1,$B90="",$B90&gt;OP!$C$57),"",OP!$X$8))</f>
        <v>0</v>
      </c>
      <c r="E90" s="324">
        <f ca="1">N(IF(OR('OP1'!$D$53=1,$B90="",$B90&gt;'OP1'!$C$57),"",'OP1'!$X$8))</f>
        <v>0</v>
      </c>
      <c r="F90" s="324">
        <f ca="1">N(IF(OR(ROP!$C$33=1,$B90="",$B90&gt;ROP!$C$37),"",ROP!$H$132))</f>
        <v>0</v>
      </c>
      <c r="G90" s="324">
        <f ca="1">N(IF(OR(ROP!$D$33=1,$B90="",$B90&gt;ROP!$D$37),"",ROP!$H$143))</f>
        <v>0</v>
      </c>
      <c r="H90" s="324">
        <f ca="1">N(IF(OR(ROP!$E$33=1,$B90="",$B90&gt;ROP!$E$37),"",ROP!$H$154))</f>
        <v>0</v>
      </c>
      <c r="I90" s="324">
        <f ca="1">N(IF(OR(ROP!$F$33=1,$B90="",$B90&gt;ROP!$F$37),"",ROP!$H$165))</f>
        <v>0</v>
      </c>
      <c r="J90" s="324">
        <f ca="1">N(IF(OR(ROP!$G$33=1,$B90="",$B90&gt;ROP!$G$37),"",ROP!$H$176))</f>
        <v>0</v>
      </c>
      <c r="K90" s="324">
        <f ca="1">N(IF(OR(ROP!$H$33=1,$B90="",$B90&gt;ROP!$H$36),"",ROP!$H$53))</f>
        <v>0</v>
      </c>
      <c r="L90" s="324">
        <f ca="1">SUM(D90:K90)</f>
        <v>0</v>
      </c>
      <c r="M90" s="324">
        <f t="shared" ca="1" si="12"/>
        <v>0</v>
      </c>
      <c r="Q90" s="300" t="str">
        <f t="shared" ca="1" si="10"/>
        <v/>
      </c>
      <c r="R90" s="300" t="str">
        <f t="shared" ca="1" si="11"/>
        <v/>
      </c>
      <c r="S90" s="324">
        <f ca="1">IF(OR(OP!$D$53=1,$Q90=""),0,VLOOKUP(OP!$C$55,DIE,$Q90+1,0)*OP!$C$28)</f>
        <v>0</v>
      </c>
      <c r="T90" s="324">
        <f ca="1">IF(OR(OP!$D$53=1,$Q90=""),0,VLOOKUP(OP!$C$55,CV,$Q90+1,0)*OP!$C$28)</f>
        <v>0</v>
      </c>
      <c r="U90" s="324">
        <f ca="1">IF(OR('OP1'!$D$53=1,$Q90=""),0,VLOOKUP('OP1'!$C$55,_DIE1,$Q90+1,0)*'OP1'!$C$28)</f>
        <v>0</v>
      </c>
      <c r="V90" s="324">
        <f ca="1">IF(OR('OP1'!$D$53=1,$Q90="",VLOOKUP(Q90,DINS,5,0)=0),0,'OP1'!$C$28*10000*0.5)</f>
        <v>0</v>
      </c>
      <c r="W90" s="324">
        <f ca="1">IF(OR('OP1'!$D$53=1,$Q90=""),0,VLOOKUP('OP1'!$C$55,CV_1,$Q90+1,0)*'OP1'!$C$28)</f>
        <v>0</v>
      </c>
      <c r="X90" s="324">
        <f t="shared" ca="1" si="8"/>
        <v>0</v>
      </c>
      <c r="Y90" s="324">
        <f ca="1">IF(OR(OP!$D$53=1,$Q90=""),0,VLOOKUP(OP!$C$55,DIE,$Q90+1,0)*OP!$C$28)</f>
        <v>0</v>
      </c>
      <c r="Z90" s="324">
        <f ca="1">IF(OR(OP!$D$53=1,$Q90=""),0,VLOOKUP(OP!$C$55,DIE,$Q90+1,0)*OP!$C$28*2)</f>
        <v>0</v>
      </c>
      <c r="AA90" s="324">
        <f ca="1">IF(OR(OP!$D$53=1,$Q90=""),0,VLOOKUP(OP!$C$55,DIE,$Q90+1,0)*OP!$C$28*2)</f>
        <v>0</v>
      </c>
      <c r="AB90" s="324">
        <f ca="1">IF(OR(OP!$D$53=1,$Q190=""),0,VLOOKUP(OP!$C$55,DIE,$Q90+1,0)*OP!$C$28*2)</f>
        <v>0</v>
      </c>
      <c r="AC90" s="324">
        <f ca="1">IF(OR(OP!$D$53=1,$Q90=""),0,VLOOKUP(OP!$C$55,DIE,$Q90+1,0)*OP!$C$28*2)</f>
        <v>0</v>
      </c>
      <c r="AD90" s="324">
        <f ca="1">IF(OR(ROP!$C$33=1,$Q90=""),0,VLOOKUP(ROP!$C$39,AORCV,$Q90+1,0)*ROP!$C$30)</f>
        <v>0</v>
      </c>
      <c r="AE90" s="324">
        <f t="shared" ca="1" si="9"/>
        <v>0</v>
      </c>
      <c r="AF90" s="324">
        <f ca="1">IF(OR('OP1'!$D$53=1,$Q90=""),0,VLOOKUP('OP1'!$C$55,HL_1,$Q90+1,0)*'OP1'!$C$28)</f>
        <v>0</v>
      </c>
      <c r="AG90" s="324">
        <f ca="1">IF(OR('OP1'!$D$53=1,$Q90=""),0,VLOOKUP('OP1'!$C$55,HL,$Q90+1,0)*'OP1'!$C$28)</f>
        <v>0</v>
      </c>
    </row>
    <row r="91" spans="2:33" ht="16.5" hidden="1">
      <c r="B91" s="72" t="str">
        <f ca="1">IF(OR(B90&gt;=OP!$C$57,B90=""),"",IF(C90+1&gt;81,81-C90,B90+1))</f>
        <v/>
      </c>
      <c r="C91" s="72" t="str">
        <f ca="1">IF(OR(MAX(B$21:$B90)&gt;=OP!$C$57),"",C90+(B91-B90))</f>
        <v/>
      </c>
      <c r="D91" s="324"/>
      <c r="E91" s="324"/>
      <c r="F91" s="324"/>
      <c r="G91" s="324"/>
      <c r="H91" s="324"/>
      <c r="I91" s="324"/>
      <c r="J91" s="324"/>
      <c r="K91" s="324"/>
      <c r="L91" s="324"/>
      <c r="M91" s="324">
        <f>L91</f>
        <v>0</v>
      </c>
      <c r="N91" t="s">
        <v>820</v>
      </c>
      <c r="Q91" s="300" t="str">
        <f t="shared" ca="1" si="10"/>
        <v/>
      </c>
      <c r="R91" s="300" t="str">
        <f t="shared" ca="1" si="11"/>
        <v/>
      </c>
      <c r="S91" s="324">
        <f ca="1">IF(OR(OP!$D$53=1,$Q91=""),0,VLOOKUP(OP!$C$55,DIE,$Q91+1,0)*OP!$C$28)</f>
        <v>0</v>
      </c>
      <c r="T91" s="324">
        <f ca="1">IF(OR(OP!$D$53=1,$Q91=""),0,VLOOKUP(OP!$C$55,CV,$Q91+1,0)*OP!$C$28)</f>
        <v>0</v>
      </c>
      <c r="U91" s="324">
        <f ca="1">IF(OR('OP1'!$D$53=1,$Q91=""),0,VLOOKUP('OP1'!$C$55,_DIE1,$Q91+1,0)*'OP1'!$C$28)</f>
        <v>0</v>
      </c>
      <c r="V91" s="324">
        <f ca="1">IF(OR('OP1'!$D$53=1,$Q91="",VLOOKUP(Q91,DINS,5,0)=0),0,'OP1'!$C$28*10000*0.5)</f>
        <v>0</v>
      </c>
      <c r="W91" s="324">
        <f ca="1">IF(OR('OP1'!$D$53=1,$Q91=""),0,VLOOKUP('OP1'!$C$55,CV_1,$Q91+1,0)*'OP1'!$C$28)</f>
        <v>0</v>
      </c>
      <c r="X91" s="324">
        <f t="shared" ca="1" si="8"/>
        <v>0</v>
      </c>
      <c r="Y91" s="324">
        <f ca="1">IF(OR(OP!$D$53=1,$Q91=""),0,VLOOKUP(OP!$C$55,DIE,$Q91+1,0)*OP!$C$28)</f>
        <v>0</v>
      </c>
      <c r="Z91" s="324">
        <f ca="1">IF(OR(OP!$D$53=1,$Q91=""),0,VLOOKUP(OP!$C$55,DIE,$Q91+1,0)*OP!$C$28*2)</f>
        <v>0</v>
      </c>
      <c r="AA91" s="324">
        <f ca="1">IF(OR(OP!$D$53=1,$Q91=""),0,VLOOKUP(OP!$C$55,DIE,$Q91+1,0)*OP!$C$28*2)</f>
        <v>0</v>
      </c>
      <c r="AB91" s="324">
        <f ca="1">IF(OR(OP!$D$53=1,$Q191=""),0,VLOOKUP(OP!$C$55,DIE,$Q91+1,0)*OP!$C$28*2)</f>
        <v>0</v>
      </c>
      <c r="AC91" s="324">
        <f ca="1">IF(OR(OP!$D$53=1,$Q91=""),0,VLOOKUP(OP!$C$55,DIE,$Q91+1,0)*OP!$C$28*2)</f>
        <v>0</v>
      </c>
      <c r="AD91" s="324">
        <f ca="1">IF(OR(ROP!$C$33=1,$Q91=""),0,VLOOKUP(ROP!$C$39,AORCV,$Q91+1,0)*ROP!$C$30)</f>
        <v>0</v>
      </c>
      <c r="AE91" s="324">
        <f t="shared" ca="1" si="9"/>
        <v>0</v>
      </c>
      <c r="AF91" s="324">
        <f ca="1">IF(OR('OP1'!$D$53=1,$Q91=""),0,VLOOKUP('OP1'!$C$55,HL_1,$Q91+1,0)*'OP1'!$C$28)</f>
        <v>0</v>
      </c>
      <c r="AG91" s="324">
        <f ca="1">IF(OR('OP1'!$D$53=1,$Q91=""),0,VLOOKUP('OP1'!$C$55,HL,$Q91+1,0)*'OP1'!$C$28)</f>
        <v>0</v>
      </c>
    </row>
    <row r="92" spans="2:33" ht="16.5" hidden="1">
      <c r="B92" s="72" t="str">
        <f ca="1">IF(OR(B91&gt;=OP!$C$57,B91=""),"",IF(C91+1&gt;81,81-C91,B91+1))</f>
        <v/>
      </c>
      <c r="C92" s="72" t="str">
        <f ca="1">IF(OR(MAX(B$21:$B91)&gt;=OP!$C$57),"",C91+(B92-B91))</f>
        <v/>
      </c>
      <c r="D92" s="324"/>
      <c r="E92" s="324"/>
      <c r="F92" s="324"/>
      <c r="G92" s="324"/>
      <c r="H92" s="324"/>
      <c r="I92" s="324"/>
      <c r="J92" s="324"/>
      <c r="K92" s="324"/>
      <c r="L92" s="324"/>
      <c r="M92" s="324">
        <f t="shared" si="12"/>
        <v>0</v>
      </c>
      <c r="Q92" s="300" t="str">
        <f t="shared" ca="1" si="10"/>
        <v/>
      </c>
      <c r="R92" s="300" t="str">
        <f t="shared" ca="1" si="11"/>
        <v/>
      </c>
      <c r="S92" s="324">
        <f ca="1">IF(OR(OP!$D$53=1,$Q92=""),0,VLOOKUP(OP!$C$55,DIE,$Q92+1,0)*OP!$C$28)</f>
        <v>0</v>
      </c>
      <c r="T92" s="324">
        <f ca="1">IF(OR(OP!$D$53=1,$Q92=""),0,VLOOKUP(OP!$C$55,CV,$Q92+1,0)*OP!$C$28)</f>
        <v>0</v>
      </c>
      <c r="U92" s="324">
        <f ca="1">IF(OR('OP1'!$D$53=1,$Q92=""),0,VLOOKUP('OP1'!$C$55,_DIE1,$Q92+1,0)*'OP1'!$C$28)</f>
        <v>0</v>
      </c>
      <c r="V92" s="324">
        <f ca="1">IF(OR('OP1'!$D$53=1,$Q92="",VLOOKUP(Q92,DINS,5,0)=0),0,'OP1'!$C$28*10000*0.5)</f>
        <v>0</v>
      </c>
      <c r="W92" s="324">
        <f ca="1">IF(OR('OP1'!$D$53=1,$Q92=""),0,VLOOKUP('OP1'!$C$55,CV_1,$Q92+1,0)*'OP1'!$C$28)</f>
        <v>0</v>
      </c>
      <c r="X92" s="324">
        <f t="shared" ca="1" si="8"/>
        <v>0</v>
      </c>
      <c r="Y92" s="324">
        <f ca="1">IF(OR(OP!$D$53=1,$Q92=""),0,VLOOKUP(OP!$C$55,DIE,$Q92+1,0)*OP!$C$28)</f>
        <v>0</v>
      </c>
      <c r="Z92" s="324">
        <f ca="1">IF(OR(OP!$D$53=1,$Q92=""),0,VLOOKUP(OP!$C$55,DIE,$Q92+1,0)*OP!$C$28*2)</f>
        <v>0</v>
      </c>
      <c r="AA92" s="324">
        <f ca="1">IF(OR(OP!$D$53=1,$Q92=""),0,VLOOKUP(OP!$C$55,DIE,$Q92+1,0)*OP!$C$28*2)</f>
        <v>0</v>
      </c>
      <c r="AB92" s="324">
        <f ca="1">IF(OR(OP!$D$53=1,$Q192=""),0,VLOOKUP(OP!$C$55,DIE,$Q92+1,0)*OP!$C$28*2)</f>
        <v>0</v>
      </c>
      <c r="AC92" s="324">
        <f ca="1">IF(OR(OP!$D$53=1,$Q92=""),0,VLOOKUP(OP!$C$55,DIE,$Q92+1,0)*OP!$C$28*2)</f>
        <v>0</v>
      </c>
      <c r="AD92" s="324">
        <f ca="1">IF(OR(ROP!$C$33=1,$Q92=""),0,VLOOKUP(ROP!$C$39,AORCV,$Q92+1,0)*ROP!$C$30)</f>
        <v>0</v>
      </c>
      <c r="AE92" s="324">
        <f t="shared" ca="1" si="9"/>
        <v>0</v>
      </c>
      <c r="AF92" s="324">
        <f ca="1">IF(OR('OP1'!$D$53=1,$Q92=""),0,VLOOKUP('OP1'!$C$55,HL_1,$Q92+1,0)*'OP1'!$C$28)</f>
        <v>0</v>
      </c>
      <c r="AG92" s="324">
        <f ca="1">IF(OR('OP1'!$D$53=1,$Q92=""),0,VLOOKUP('OP1'!$C$55,HL,$Q92+1,0)*'OP1'!$C$28)</f>
        <v>0</v>
      </c>
    </row>
    <row r="93" spans="2:33" ht="16.5" hidden="1">
      <c r="B93" s="72" t="str">
        <f ca="1">IF(OR(B92&gt;=OP!$C$57,B92=""),"",IF(C92+1&gt;81,81-C92,B92+1))</f>
        <v/>
      </c>
      <c r="C93" s="72" t="str">
        <f ca="1">IF(OR(MAX(B$21:$B92)&gt;=OP!$C$57),"",C92+(B93-B92))</f>
        <v/>
      </c>
      <c r="D93" s="324"/>
      <c r="E93" s="324"/>
      <c r="F93" s="324"/>
      <c r="G93" s="324"/>
      <c r="H93" s="324"/>
      <c r="I93" s="324"/>
      <c r="J93" s="324"/>
      <c r="K93" s="324"/>
      <c r="L93" s="324"/>
      <c r="M93" s="324">
        <f t="shared" si="12"/>
        <v>0</v>
      </c>
      <c r="Q93" s="300" t="str">
        <f t="shared" ca="1" si="10"/>
        <v/>
      </c>
      <c r="R93" s="300" t="str">
        <f t="shared" ca="1" si="11"/>
        <v/>
      </c>
      <c r="S93" s="324">
        <f ca="1">IF(OR(OP!$D$53=1,$Q93=""),0,VLOOKUP(OP!$C$55,DIE,$Q93+1,0)*OP!$C$28)</f>
        <v>0</v>
      </c>
      <c r="T93" s="324">
        <f ca="1">IF(OR(OP!$D$53=1,$Q93=""),0,VLOOKUP(OP!$C$55,CV,$Q93+1,0)*OP!$C$28)</f>
        <v>0</v>
      </c>
      <c r="U93" s="324">
        <f ca="1">IF(OR('OP1'!$D$53=1,$Q93=""),0,VLOOKUP('OP1'!$C$55,_DIE1,$Q93+1,0)*'OP1'!$C$28)</f>
        <v>0</v>
      </c>
      <c r="V93" s="324">
        <f ca="1">IF(OR('OP1'!$D$53=1,$Q93="",VLOOKUP(Q93,DINS,5,0)=0),0,'OP1'!$C$28*10000*0.5)</f>
        <v>0</v>
      </c>
      <c r="W93" s="324">
        <f ca="1">IF(OR('OP1'!$D$53=1,$Q93=""),0,VLOOKUP('OP1'!$C$55,CV_1,$Q93+1,0)*'OP1'!$C$28)</f>
        <v>0</v>
      </c>
      <c r="X93" s="324">
        <f t="shared" ca="1" si="8"/>
        <v>0</v>
      </c>
      <c r="Y93" s="324">
        <f ca="1">IF(OR(OP!$D$53=1,$Q93=""),0,VLOOKUP(OP!$C$55,DIE,$Q93+1,0)*OP!$C$28)</f>
        <v>0</v>
      </c>
      <c r="Z93" s="324">
        <f ca="1">IF(OR(OP!$D$53=1,$Q93=""),0,VLOOKUP(OP!$C$55,DIE,$Q93+1,0)*OP!$C$28*2)</f>
        <v>0</v>
      </c>
      <c r="AA93" s="324">
        <f ca="1">IF(OR(OP!$D$53=1,$Q93=""),0,VLOOKUP(OP!$C$55,DIE,$Q93+1,0)*OP!$C$28*2)</f>
        <v>0</v>
      </c>
      <c r="AB93" s="324">
        <f ca="1">IF(OR(OP!$D$53=1,$Q193=""),0,VLOOKUP(OP!$C$55,DIE,$Q93+1,0)*OP!$C$28*2)</f>
        <v>0</v>
      </c>
      <c r="AC93" s="324">
        <f ca="1">IF(OR(OP!$D$53=1,$Q93=""),0,VLOOKUP(OP!$C$55,DIE,$Q93+1,0)*OP!$C$28*2)</f>
        <v>0</v>
      </c>
      <c r="AD93" s="324">
        <f ca="1">IF(OR(ROP!$C$33=1,$Q93=""),0,VLOOKUP(ROP!$C$39,AORCV,$Q93+1,0)*ROP!$C$30)</f>
        <v>0</v>
      </c>
      <c r="AE93" s="324">
        <f t="shared" ca="1" si="9"/>
        <v>0</v>
      </c>
      <c r="AF93" s="324">
        <f ca="1">IF(OR('OP1'!$D$53=1,$Q93=""),0,VLOOKUP('OP1'!$C$55,HL_1,$Q93+1,0)*'OP1'!$C$28)</f>
        <v>0</v>
      </c>
      <c r="AG93" s="324">
        <f ca="1">IF(OR('OP1'!$D$53=1,$Q93=""),0,VLOOKUP('OP1'!$C$55,HL,$Q93+1,0)*'OP1'!$C$28)</f>
        <v>0</v>
      </c>
    </row>
    <row r="94" spans="2:33" ht="16.5" hidden="1">
      <c r="B94" s="72" t="str">
        <f ca="1">IF(OR(B93&gt;=OP!$C$57,B93=""),"",IF(C93+1&gt;81,81-C93,B93+1))</f>
        <v/>
      </c>
      <c r="C94" s="72" t="str">
        <f ca="1">IF(OR(MAX(B$21:$B93)&gt;=OP!$C$57),"",C93+(B94-B93))</f>
        <v/>
      </c>
      <c r="D94" s="324"/>
      <c r="E94" s="324"/>
      <c r="F94" s="324"/>
      <c r="G94" s="324"/>
      <c r="H94" s="324"/>
      <c r="I94" s="324"/>
      <c r="J94" s="324"/>
      <c r="K94" s="324"/>
      <c r="L94" s="324"/>
      <c r="M94" s="324">
        <f t="shared" si="12"/>
        <v>0</v>
      </c>
      <c r="Q94" s="300" t="str">
        <f t="shared" ca="1" si="10"/>
        <v/>
      </c>
      <c r="R94" s="300" t="str">
        <f t="shared" ca="1" si="11"/>
        <v/>
      </c>
      <c r="S94" s="324">
        <f ca="1">IF(OR(OP!$D$53=1,$Q94=""),0,VLOOKUP(OP!$C$55,DIE,$Q94+1,0)*OP!$C$28)</f>
        <v>0</v>
      </c>
      <c r="T94" s="324">
        <f ca="1">IF(OR(OP!$D$53=1,$Q94=""),0,VLOOKUP(OP!$C$55,CV,$Q94+1,0)*OP!$C$28)</f>
        <v>0</v>
      </c>
      <c r="U94" s="324">
        <f ca="1">IF(OR('OP1'!$D$53=1,$Q94=""),0,VLOOKUP('OP1'!$C$55,_DIE1,$Q94+1,0)*'OP1'!$C$28)</f>
        <v>0</v>
      </c>
      <c r="V94" s="324">
        <f ca="1">IF(OR('OP1'!$D$53=1,$Q94="",VLOOKUP(Q94,DINS,5,0)=0),0,'OP1'!$C$28*10000*0.5)</f>
        <v>0</v>
      </c>
      <c r="W94" s="324">
        <f ca="1">IF(OR('OP1'!$D$53=1,$Q94=""),0,VLOOKUP('OP1'!$C$55,CV_1,$Q94+1,0)*'OP1'!$C$28)</f>
        <v>0</v>
      </c>
      <c r="X94" s="324">
        <f t="shared" ca="1" si="8"/>
        <v>0</v>
      </c>
      <c r="Y94" s="324">
        <f ca="1">IF(OR(OP!$D$53=1,$Q94=""),0,VLOOKUP(OP!$C$55,DIE,$Q94+1,0)*OP!$C$28)</f>
        <v>0</v>
      </c>
      <c r="Z94" s="324">
        <f ca="1">IF(OR(OP!$D$53=1,$Q94=""),0,VLOOKUP(OP!$C$55,DIE,$Q94+1,0)*OP!$C$28*2)</f>
        <v>0</v>
      </c>
      <c r="AA94" s="324">
        <f ca="1">IF(OR(OP!$D$53=1,$Q94=""),0,VLOOKUP(OP!$C$55,DIE,$Q94+1,0)*OP!$C$28*2)</f>
        <v>0</v>
      </c>
      <c r="AB94" s="324">
        <f ca="1">IF(OR(OP!$D$53=1,$Q194=""),0,VLOOKUP(OP!$C$55,DIE,$Q94+1,0)*OP!$C$28*2)</f>
        <v>0</v>
      </c>
      <c r="AC94" s="324">
        <f ca="1">IF(OR(OP!$D$53=1,$Q94=""),0,VLOOKUP(OP!$C$55,DIE,$Q94+1,0)*OP!$C$28*2)</f>
        <v>0</v>
      </c>
      <c r="AD94" s="324">
        <f ca="1">IF(OR(ROP!$C$33=1,$Q94=""),0,VLOOKUP(ROP!$C$39,AORCV,$Q94+1,0)*ROP!$C$30)</f>
        <v>0</v>
      </c>
      <c r="AE94" s="324">
        <f t="shared" ca="1" si="9"/>
        <v>0</v>
      </c>
      <c r="AF94" s="324">
        <f ca="1">IF(OR('OP1'!$D$53=1,$Q94=""),0,VLOOKUP('OP1'!$C$55,HL_1,$Q94+1,0)*'OP1'!$C$28)</f>
        <v>0</v>
      </c>
      <c r="AG94" s="324">
        <f ca="1">IF(OR('OP1'!$D$53=1,$Q94=""),0,VLOOKUP('OP1'!$C$55,HL,$Q94+1,0)*'OP1'!$C$28)</f>
        <v>0</v>
      </c>
    </row>
    <row r="95" spans="2:33" ht="16.5" hidden="1">
      <c r="B95" s="72" t="str">
        <f ca="1">IF(OR(B94&gt;=OP!$C$57,B94=""),"",IF(C94+1&gt;81,81-C94,B94+1))</f>
        <v/>
      </c>
      <c r="C95" s="72" t="str">
        <f ca="1">IF(OR(MAX(B$21:$B94)&gt;=OP!$C$57),"",C94+(B95-B94))</f>
        <v/>
      </c>
      <c r="D95" s="324"/>
      <c r="E95" s="324"/>
      <c r="F95" s="324"/>
      <c r="G95" s="324"/>
      <c r="H95" s="324"/>
      <c r="I95" s="324"/>
      <c r="J95" s="324"/>
      <c r="K95" s="324"/>
      <c r="L95" s="324"/>
      <c r="M95" s="324">
        <f t="shared" si="12"/>
        <v>0</v>
      </c>
      <c r="Q95" s="300" t="str">
        <f t="shared" ca="1" si="10"/>
        <v/>
      </c>
      <c r="R95" s="300" t="str">
        <f t="shared" ca="1" si="11"/>
        <v/>
      </c>
      <c r="S95" s="324">
        <f ca="1">IF(OR(OP!$D$53=1,$Q95=""),0,VLOOKUP(OP!$C$55,DIE,$Q95+1,0)*OP!$C$28)</f>
        <v>0</v>
      </c>
      <c r="T95" s="324">
        <f ca="1">IF(OR(OP!$D$53=1,$Q95=""),0,VLOOKUP(OP!$C$55,CV,$Q95+1,0)*OP!$C$28)</f>
        <v>0</v>
      </c>
      <c r="U95" s="324">
        <f ca="1">IF(OR('OP1'!$D$53=1,$Q95=""),0,VLOOKUP('OP1'!$C$55,_DIE1,$Q95+1,0)*'OP1'!$C$28)</f>
        <v>0</v>
      </c>
      <c r="V95" s="324">
        <f ca="1">IF(OR('OP1'!$D$53=1,$Q95="",VLOOKUP(Q95,DINS,5,0)=0),0,'OP1'!$C$28*10000*0.5)</f>
        <v>0</v>
      </c>
      <c r="W95" s="324">
        <f ca="1">IF(OR('OP1'!$D$53=1,$Q95=""),0,VLOOKUP('OP1'!$C$55,CV_1,$Q95+1,0)*'OP1'!$C$28)</f>
        <v>0</v>
      </c>
      <c r="X95" s="324">
        <f t="shared" ca="1" si="8"/>
        <v>0</v>
      </c>
      <c r="Y95" s="324">
        <f ca="1">IF(OR(OP!$D$53=1,$Q95=""),0,VLOOKUP(OP!$C$55,DIE,$Q95+1,0)*OP!$C$28)</f>
        <v>0</v>
      </c>
      <c r="Z95" s="324">
        <f ca="1">IF(OR(OP!$D$53=1,$Q95=""),0,VLOOKUP(OP!$C$55,DIE,$Q95+1,0)*OP!$C$28*2)</f>
        <v>0</v>
      </c>
      <c r="AA95" s="324">
        <f ca="1">IF(OR(OP!$D$53=1,$Q95=""),0,VLOOKUP(OP!$C$55,DIE,$Q95+1,0)*OP!$C$28*2)</f>
        <v>0</v>
      </c>
      <c r="AB95" s="324">
        <f ca="1">IF(OR(OP!$D$53=1,$Q195=""),0,VLOOKUP(OP!$C$55,DIE,$Q95+1,0)*OP!$C$28*2)</f>
        <v>0</v>
      </c>
      <c r="AC95" s="324">
        <f ca="1">IF(OR(OP!$D$53=1,$Q95=""),0,VLOOKUP(OP!$C$55,DIE,$Q95+1,0)*OP!$C$28*2)</f>
        <v>0</v>
      </c>
      <c r="AD95" s="324">
        <f ca="1">IF(OR(ROP!$C$33=1,$Q95=""),0,VLOOKUP(ROP!$C$39,AORCV,$Q95+1,0)*ROP!$C$30)</f>
        <v>0</v>
      </c>
      <c r="AE95" s="324">
        <f t="shared" ca="1" si="9"/>
        <v>0</v>
      </c>
      <c r="AF95" s="324">
        <f ca="1">IF(OR('OP1'!$D$53=1,$Q95=""),0,VLOOKUP('OP1'!$C$55,HL_1,$Q95+1,0)*'OP1'!$C$28)</f>
        <v>0</v>
      </c>
      <c r="AG95" s="324">
        <f ca="1">IF(OR('OP1'!$D$53=1,$Q95=""),0,VLOOKUP('OP1'!$C$55,HL,$Q95+1,0)*'OP1'!$C$28)</f>
        <v>0</v>
      </c>
    </row>
    <row r="96" spans="2:33" ht="16.5" hidden="1">
      <c r="B96" s="72" t="str">
        <f ca="1">IF(OR(B95&gt;=OP!$C$57,B95=""),"",IF(C95+1&gt;81,81-C95,B95+1))</f>
        <v/>
      </c>
      <c r="C96" s="72" t="str">
        <f ca="1">IF(OR(MAX(B$21:$B95)&gt;=OP!$C$57),"",C95+(B96-B95))</f>
        <v/>
      </c>
      <c r="D96" s="324"/>
      <c r="E96" s="324"/>
      <c r="F96" s="324"/>
      <c r="G96" s="324"/>
      <c r="H96" s="324"/>
      <c r="I96" s="324"/>
      <c r="J96" s="324"/>
      <c r="K96" s="324"/>
      <c r="L96" s="324"/>
      <c r="M96" s="324">
        <f t="shared" si="12"/>
        <v>0</v>
      </c>
      <c r="Q96" s="300" t="str">
        <f t="shared" ca="1" si="10"/>
        <v/>
      </c>
      <c r="R96" s="300" t="str">
        <f t="shared" ca="1" si="11"/>
        <v/>
      </c>
      <c r="S96" s="324">
        <f ca="1">IF(OR(OP!$D$53=1,$Q96=""),0,VLOOKUP(OP!$C$55,DIE,$Q96+1,0)*OP!$C$28)</f>
        <v>0</v>
      </c>
      <c r="T96" s="324">
        <f ca="1">IF(OR(OP!$D$53=1,$Q96=""),0,VLOOKUP(OP!$C$55,CV,$Q96+1,0)*OP!$C$28)</f>
        <v>0</v>
      </c>
      <c r="U96" s="324">
        <f ca="1">IF(OR('OP1'!$D$53=1,$Q96=""),0,VLOOKUP('OP1'!$C$55,_DIE1,$Q96+1,0)*'OP1'!$C$28)</f>
        <v>0</v>
      </c>
      <c r="V96" s="324">
        <f ca="1">IF(OR('OP1'!$D$53=1,$Q96="",VLOOKUP(Q96,DINS,5,0)=0),0,'OP1'!$C$28*10000*0.5)</f>
        <v>0</v>
      </c>
      <c r="W96" s="324">
        <f ca="1">IF(OR('OP1'!$D$53=1,$Q96=""),0,VLOOKUP('OP1'!$C$55,CV_1,$Q96+1,0)*'OP1'!$C$28)</f>
        <v>0</v>
      </c>
      <c r="X96" s="324">
        <f t="shared" ca="1" si="8"/>
        <v>0</v>
      </c>
      <c r="Y96" s="324">
        <f ca="1">IF(OR(OP!$D$53=1,$Q96=""),0,VLOOKUP(OP!$C$55,DIE,$Q96+1,0)*OP!$C$28)</f>
        <v>0</v>
      </c>
      <c r="Z96" s="324">
        <f ca="1">IF(OR(OP!$D$53=1,$Q96=""),0,VLOOKUP(OP!$C$55,DIE,$Q96+1,0)*OP!$C$28*2)</f>
        <v>0</v>
      </c>
      <c r="AA96" s="324">
        <f ca="1">IF(OR(OP!$D$53=1,$Q96=""),0,VLOOKUP(OP!$C$55,DIE,$Q96+1,0)*OP!$C$28*2)</f>
        <v>0</v>
      </c>
      <c r="AB96" s="324">
        <f ca="1">IF(OR(OP!$D$53=1,$Q196=""),0,VLOOKUP(OP!$C$55,DIE,$Q96+1,0)*OP!$C$28*2)</f>
        <v>0</v>
      </c>
      <c r="AC96" s="324">
        <f ca="1">IF(OR(OP!$D$53=1,$Q96=""),0,VLOOKUP(OP!$C$55,DIE,$Q96+1,0)*OP!$C$28*2)</f>
        <v>0</v>
      </c>
      <c r="AD96" s="324">
        <f ca="1">IF(OR(ROP!$C$33=1,$Q96=""),0,VLOOKUP(ROP!$C$39,AORCV,$Q96+1,0)*ROP!$C$30)</f>
        <v>0</v>
      </c>
      <c r="AE96" s="324">
        <f t="shared" ca="1" si="9"/>
        <v>0</v>
      </c>
      <c r="AF96" s="324">
        <f ca="1">IF(OR('OP1'!$D$53=1,$Q96=""),0,VLOOKUP('OP1'!$C$55,HL_1,$Q96+1,0)*'OP1'!$C$28)</f>
        <v>0</v>
      </c>
      <c r="AG96" s="324">
        <f ca="1">IF(OR('OP1'!$D$53=1,$Q96=""),0,VLOOKUP('OP1'!$C$55,HL,$Q96+1,0)*'OP1'!$C$28)</f>
        <v>0</v>
      </c>
    </row>
    <row r="97" spans="2:33" ht="16.5" hidden="1">
      <c r="B97" s="72" t="str">
        <f ca="1">IF(OR(B96&gt;=OP!$C$57,B96=""),"",IF(C96+1&gt;81,81-C96,B96+1))</f>
        <v/>
      </c>
      <c r="C97" s="72" t="str">
        <f ca="1">IF(OR(MAX(B$21:$B96)&gt;=OP!$C$57),"",C96+(B97-B96))</f>
        <v/>
      </c>
      <c r="D97" s="324"/>
      <c r="E97" s="324"/>
      <c r="F97" s="324"/>
      <c r="G97" s="324"/>
      <c r="H97" s="324"/>
      <c r="I97" s="324"/>
      <c r="J97" s="324"/>
      <c r="K97" s="324"/>
      <c r="L97" s="324"/>
      <c r="M97" s="324">
        <f t="shared" si="12"/>
        <v>0</v>
      </c>
      <c r="Q97" s="300" t="str">
        <f t="shared" ca="1" si="10"/>
        <v/>
      </c>
      <c r="R97" s="300" t="str">
        <f t="shared" ca="1" si="11"/>
        <v/>
      </c>
      <c r="S97" s="324">
        <f ca="1">IF(OR(OP!$D$53=1,$Q97=""),0,VLOOKUP(OP!$C$55,DIE,$Q97+1,0)*OP!$C$28)</f>
        <v>0</v>
      </c>
      <c r="T97" s="324">
        <f ca="1">IF(OR(OP!$D$53=1,$Q97=""),0,VLOOKUP(OP!$C$55,CV,$Q97+1,0)*OP!$C$28)</f>
        <v>0</v>
      </c>
      <c r="U97" s="324">
        <f ca="1">IF(OR('OP1'!$D$53=1,$Q97=""),0,VLOOKUP('OP1'!$C$55,_DIE1,$Q97+1,0)*'OP1'!$C$28)</f>
        <v>0</v>
      </c>
      <c r="V97" s="324">
        <f ca="1">IF(OR('OP1'!$D$53=1,$Q97="",VLOOKUP(Q97,DINS,5,0)=0),0,'OP1'!$C$28*10000*0.5)</f>
        <v>0</v>
      </c>
      <c r="W97" s="324">
        <f ca="1">IF(OR('OP1'!$D$53=1,$Q97=""),0,VLOOKUP('OP1'!$C$55,CV_1,$Q97+1,0)*'OP1'!$C$28)</f>
        <v>0</v>
      </c>
      <c r="X97" s="324">
        <f t="shared" ca="1" si="8"/>
        <v>0</v>
      </c>
      <c r="Y97" s="324">
        <f ca="1">IF(OR(OP!$D$53=1,$Q97=""),0,VLOOKUP(OP!$C$55,DIE,$Q97+1,0)*OP!$C$28)</f>
        <v>0</v>
      </c>
      <c r="Z97" s="324">
        <f ca="1">IF(OR(OP!$D$53=1,$Q97=""),0,VLOOKUP(OP!$C$55,DIE,$Q97+1,0)*OP!$C$28*2)</f>
        <v>0</v>
      </c>
      <c r="AA97" s="324">
        <f ca="1">IF(OR(OP!$D$53=1,$Q97=""),0,VLOOKUP(OP!$C$55,DIE,$Q97+1,0)*OP!$C$28*2)</f>
        <v>0</v>
      </c>
      <c r="AB97" s="324">
        <f ca="1">IF(OR(OP!$D$53=1,$Q197=""),0,VLOOKUP(OP!$C$55,DIE,$Q97+1,0)*OP!$C$28*2)</f>
        <v>0</v>
      </c>
      <c r="AC97" s="324">
        <f ca="1">IF(OR(OP!$D$53=1,$Q97=""),0,VLOOKUP(OP!$C$55,DIE,$Q97+1,0)*OP!$C$28*2)</f>
        <v>0</v>
      </c>
      <c r="AD97" s="324">
        <f ca="1">IF(OR(ROP!$C$33=1,$Q97=""),0,VLOOKUP(ROP!$C$39,AORCV,$Q97+1,0)*ROP!$C$30)</f>
        <v>0</v>
      </c>
      <c r="AE97" s="324">
        <f t="shared" ca="1" si="9"/>
        <v>0</v>
      </c>
      <c r="AF97" s="324">
        <f ca="1">IF(OR('OP1'!$D$53=1,$Q97=""),0,VLOOKUP('OP1'!$C$55,HL_1,$Q97+1,0)*'OP1'!$C$28)</f>
        <v>0</v>
      </c>
      <c r="AG97" s="324">
        <f ca="1">IF(OR('OP1'!$D$53=1,$Q97=""),0,VLOOKUP('OP1'!$C$55,HL,$Q97+1,0)*'OP1'!$C$28)</f>
        <v>0</v>
      </c>
    </row>
    <row r="98" spans="2:33" ht="16.5" hidden="1">
      <c r="B98" s="72" t="str">
        <f ca="1">IF(OR(B97&gt;=OP!$C$57,B97=""),"",IF(C97+1&gt;81,81-C97,B97+1))</f>
        <v/>
      </c>
      <c r="C98" s="72" t="str">
        <f ca="1">IF(OR(MAX(B$21:$B97)&gt;=OP!$C$57),"",C97+(B98-B97))</f>
        <v/>
      </c>
      <c r="D98" s="324"/>
      <c r="E98" s="324"/>
      <c r="F98" s="324"/>
      <c r="G98" s="324"/>
      <c r="H98" s="324"/>
      <c r="I98" s="324"/>
      <c r="J98" s="324"/>
      <c r="K98" s="324"/>
      <c r="L98" s="324"/>
      <c r="M98" s="324">
        <f t="shared" si="12"/>
        <v>0</v>
      </c>
      <c r="Q98" s="300" t="str">
        <f t="shared" ca="1" si="10"/>
        <v/>
      </c>
      <c r="R98" s="300" t="str">
        <f t="shared" ca="1" si="11"/>
        <v/>
      </c>
      <c r="S98" s="324">
        <f ca="1">IF(OR(OP!$D$53=1,$Q98=""),0,VLOOKUP(OP!$C$55,DIE,$Q98+1,0)*OP!$C$28)</f>
        <v>0</v>
      </c>
      <c r="T98" s="324">
        <f ca="1">IF(OR(OP!$D$53=1,$Q98=""),0,VLOOKUP(OP!$C$55,CV,$Q98+1,0)*OP!$C$28)</f>
        <v>0</v>
      </c>
      <c r="U98" s="324">
        <f ca="1">IF(OR('OP1'!$D$53=1,$Q98=""),0,VLOOKUP('OP1'!$C$55,_DIE1,$Q98+1,0)*'OP1'!$C$28)</f>
        <v>0</v>
      </c>
      <c r="V98" s="324">
        <f ca="1">IF(OR('OP1'!$D$53=1,$Q98="",VLOOKUP(Q98,DINS,5,0)=0),0,'OP1'!$C$28*10000*0.5)</f>
        <v>0</v>
      </c>
      <c r="W98" s="324">
        <f ca="1">IF(OR('OP1'!$D$53=1,$Q98=""),0,VLOOKUP('OP1'!$C$55,CV_1,$Q98+1,0)*'OP1'!$C$28)</f>
        <v>0</v>
      </c>
      <c r="X98" s="324">
        <f t="shared" ca="1" si="8"/>
        <v>0</v>
      </c>
      <c r="Y98" s="324">
        <f ca="1">IF(OR(OP!$D$53=1,$Q98=""),0,VLOOKUP(OP!$C$55,DIE,$Q98+1,0)*OP!$C$28)</f>
        <v>0</v>
      </c>
      <c r="Z98" s="324">
        <f ca="1">IF(OR(OP!$D$53=1,$Q98=""),0,VLOOKUP(OP!$C$55,DIE,$Q98+1,0)*OP!$C$28*2)</f>
        <v>0</v>
      </c>
      <c r="AA98" s="324">
        <f ca="1">IF(OR(OP!$D$53=1,$Q98=""),0,VLOOKUP(OP!$C$55,DIE,$Q98+1,0)*OP!$C$28*2)</f>
        <v>0</v>
      </c>
      <c r="AB98" s="324">
        <f ca="1">IF(OR(OP!$D$53=1,$Q198=""),0,VLOOKUP(OP!$C$55,DIE,$Q98+1,0)*OP!$C$28*2)</f>
        <v>0</v>
      </c>
      <c r="AC98" s="324">
        <f ca="1">IF(OR(OP!$D$53=1,$Q98=""),0,VLOOKUP(OP!$C$55,DIE,$Q98+1,0)*OP!$C$28*2)</f>
        <v>0</v>
      </c>
      <c r="AD98" s="324">
        <f ca="1">IF(OR(ROP!$C$33=1,$Q98=""),0,VLOOKUP(ROP!$C$39,AORCV,$Q98+1,0)*ROP!$C$30)</f>
        <v>0</v>
      </c>
      <c r="AE98" s="324">
        <f t="shared" ca="1" si="9"/>
        <v>0</v>
      </c>
      <c r="AF98" s="324">
        <f ca="1">IF(OR('OP1'!$D$53=1,$Q98=""),0,VLOOKUP('OP1'!$C$55,HL_1,$Q98+1,0)*'OP1'!$C$28)</f>
        <v>0</v>
      </c>
      <c r="AG98" s="324">
        <f ca="1">IF(OR('OP1'!$D$53=1,$Q98=""),0,VLOOKUP('OP1'!$C$55,HL,$Q98+1,0)*'OP1'!$C$28)</f>
        <v>0</v>
      </c>
    </row>
    <row r="99" spans="2:33" ht="16.5" hidden="1">
      <c r="B99" s="72" t="str">
        <f ca="1">IF(OR(B98&gt;=OP!$C$57,B98=""),"",IF(C98+1&gt;81,81-C98,B98+1))</f>
        <v/>
      </c>
      <c r="C99" s="72" t="str">
        <f ca="1">IF(OR(MAX(B$21:$B98)&gt;=OP!$C$57),"",C98+(B99-B98))</f>
        <v/>
      </c>
      <c r="D99" s="324"/>
      <c r="E99" s="324"/>
      <c r="F99" s="324"/>
      <c r="G99" s="324"/>
      <c r="H99" s="324"/>
      <c r="I99" s="324"/>
      <c r="J99" s="324"/>
      <c r="K99" s="324"/>
      <c r="L99" s="324"/>
      <c r="M99" s="324">
        <f t="shared" si="12"/>
        <v>0</v>
      </c>
      <c r="Q99" s="300" t="str">
        <f t="shared" ca="1" si="10"/>
        <v/>
      </c>
      <c r="R99" s="300" t="str">
        <f t="shared" ca="1" si="11"/>
        <v/>
      </c>
      <c r="S99" s="324">
        <f ca="1">IF(OR(OP!$D$53=1,$Q99=""),0,VLOOKUP(OP!$C$55,DIE,$Q99+1,0)*OP!$C$28)</f>
        <v>0</v>
      </c>
      <c r="T99" s="324">
        <f ca="1">IF(OR(OP!$D$53=1,$Q99=""),0,VLOOKUP(OP!$C$55,CV,$Q99+1,0)*OP!$C$28)</f>
        <v>0</v>
      </c>
      <c r="U99" s="324">
        <f ca="1">IF(OR('OP1'!$D$53=1,$Q99=""),0,VLOOKUP('OP1'!$C$55,_DIE1,$Q99+1,0)*'OP1'!$C$28)</f>
        <v>0</v>
      </c>
      <c r="V99" s="324">
        <f ca="1">IF(OR('OP1'!$D$53=1,$Q99="",VLOOKUP(Q99,DINS,5,0)=0),0,'OP1'!$C$28*10000*0.5)</f>
        <v>0</v>
      </c>
      <c r="W99" s="324">
        <f ca="1">IF(OR('OP1'!$D$53=1,$Q99=""),0,VLOOKUP('OP1'!$C$55,CV_1,$Q99+1,0)*'OP1'!$C$28)</f>
        <v>0</v>
      </c>
      <c r="X99" s="324">
        <f t="shared" ca="1" si="8"/>
        <v>0</v>
      </c>
      <c r="Y99" s="324">
        <f ca="1">IF(OR(OP!$D$53=1,$Q99=""),0,VLOOKUP(OP!$C$55,DIE,$Q99+1,0)*OP!$C$28)</f>
        <v>0</v>
      </c>
      <c r="Z99" s="324">
        <f ca="1">IF(OR(OP!$D$53=1,$Q99=""),0,VLOOKUP(OP!$C$55,DIE,$Q99+1,0)*OP!$C$28*2)</f>
        <v>0</v>
      </c>
      <c r="AA99" s="324">
        <f ca="1">IF(OR(OP!$D$53=1,$Q99=""),0,VLOOKUP(OP!$C$55,DIE,$Q99+1,0)*OP!$C$28*2)</f>
        <v>0</v>
      </c>
      <c r="AB99" s="324">
        <f ca="1">IF(OR(OP!$D$53=1,$Q199=""),0,VLOOKUP(OP!$C$55,DIE,$Q99+1,0)*OP!$C$28*2)</f>
        <v>0</v>
      </c>
      <c r="AC99" s="324">
        <f ca="1">IF(OR(OP!$D$53=1,$Q99=""),0,VLOOKUP(OP!$C$55,DIE,$Q99+1,0)*OP!$C$28*2)</f>
        <v>0</v>
      </c>
      <c r="AD99" s="324">
        <f ca="1">IF(OR(ROP!$C$33=1,$Q99=""),0,VLOOKUP(ROP!$C$39,AORCV,$Q99+1,0)*ROP!$C$30)</f>
        <v>0</v>
      </c>
      <c r="AE99" s="324">
        <f t="shared" ca="1" si="9"/>
        <v>0</v>
      </c>
      <c r="AF99" s="324">
        <f ca="1">IF(OR('OP1'!$D$53=1,$Q99=""),0,VLOOKUP('OP1'!$C$55,HL_1,$Q99+1,0)*'OP1'!$C$28)</f>
        <v>0</v>
      </c>
      <c r="AG99" s="324">
        <f ca="1">IF(OR('OP1'!$D$53=1,$Q99=""),0,VLOOKUP('OP1'!$C$55,HL,$Q99+1,0)*'OP1'!$C$28)</f>
        <v>0</v>
      </c>
    </row>
    <row r="100" spans="2:33" ht="16.5" hidden="1">
      <c r="B100" s="72" t="str">
        <f ca="1">IF(OR(B99&gt;=OP!$C$57,B99=""),"",IF(C99+1&gt;81,81-C99,B99+1))</f>
        <v/>
      </c>
      <c r="C100" s="72" t="str">
        <f ca="1">IF(OR(MAX(B$21:$B99)&gt;=OP!$C$57),"",C99+(B100-B99))</f>
        <v/>
      </c>
      <c r="D100" s="324"/>
      <c r="E100" s="324"/>
      <c r="F100" s="324"/>
      <c r="G100" s="324"/>
      <c r="H100" s="324"/>
      <c r="I100" s="324"/>
      <c r="J100" s="324"/>
      <c r="K100" s="324"/>
      <c r="L100" s="324"/>
      <c r="M100" s="324">
        <f t="shared" si="12"/>
        <v>0</v>
      </c>
      <c r="Q100" s="300" t="str">
        <f t="shared" ca="1" si="10"/>
        <v/>
      </c>
      <c r="R100" s="300" t="str">
        <f t="shared" ca="1" si="11"/>
        <v/>
      </c>
      <c r="S100" s="324">
        <f ca="1">IF(OR(OP!$D$53=1,$Q100=""),0,VLOOKUP(OP!$C$55,DIE,$Q100+1,0)*OP!$C$28)</f>
        <v>0</v>
      </c>
      <c r="T100" s="324">
        <f ca="1">IF(OR(OP!$D$53=1,$Q100=""),0,VLOOKUP(OP!$C$55,CV,$Q100+1,0)*OP!$C$28)</f>
        <v>0</v>
      </c>
      <c r="U100" s="324">
        <f ca="1">IF(OR('OP1'!$D$53=1,$Q100=""),0,VLOOKUP('OP1'!$C$55,_DIE1,$Q100+1,0)*'OP1'!$C$28)</f>
        <v>0</v>
      </c>
      <c r="V100" s="324">
        <f ca="1">IF(OR('OP1'!$D$53=1,$Q100="",VLOOKUP(Q100,DINS,5,0)=0),0,'OP1'!$C$28*10000*0.5)</f>
        <v>0</v>
      </c>
      <c r="W100" s="324">
        <f ca="1">IF(OR('OP1'!$D$53=1,$Q100=""),0,VLOOKUP('OP1'!$C$55,CV_1,$Q100+1,0)*'OP1'!$C$28)</f>
        <v>0</v>
      </c>
      <c r="X100" s="324">
        <f t="shared" ca="1" si="8"/>
        <v>0</v>
      </c>
      <c r="Y100" s="324">
        <f ca="1">IF(OR(OP!$D$53=1,$Q100=""),0,VLOOKUP(OP!$C$55,DIE,$Q100+1,0)*OP!$C$28)</f>
        <v>0</v>
      </c>
      <c r="Z100" s="324">
        <f ca="1">IF(OR(OP!$D$53=1,$Q100=""),0,VLOOKUP(OP!$C$55,DIE,$Q100+1,0)*OP!$C$28*2)</f>
        <v>0</v>
      </c>
      <c r="AA100" s="324">
        <f ca="1">IF(OR(OP!$D$53=1,$Q100=""),0,VLOOKUP(OP!$C$55,DIE,$Q100+1,0)*OP!$C$28*2)</f>
        <v>0</v>
      </c>
      <c r="AB100" s="324">
        <f ca="1">IF(OR(OP!$D$53=1,$Q200=""),0,VLOOKUP(OP!$C$55,DIE,$Q100+1,0)*OP!$C$28*2)</f>
        <v>0</v>
      </c>
      <c r="AC100" s="324">
        <f ca="1">IF(OR(OP!$D$53=1,$Q100=""),0,VLOOKUP(OP!$C$55,DIE,$Q100+1,0)*OP!$C$28*2)</f>
        <v>0</v>
      </c>
      <c r="AD100" s="324">
        <f ca="1">IF(OR(ROP!$C$33=1,$Q100=""),0,VLOOKUP(ROP!$C$39,AORCV,$Q100+1,0)*ROP!$C$30)</f>
        <v>0</v>
      </c>
      <c r="AE100" s="324">
        <f t="shared" ca="1" si="9"/>
        <v>0</v>
      </c>
      <c r="AF100" s="324">
        <f ca="1">IF(OR('OP1'!$D$53=1,$Q100=""),0,VLOOKUP('OP1'!$C$55,HL_1,$Q100+1,0)*'OP1'!$C$28)</f>
        <v>0</v>
      </c>
      <c r="AG100" s="324">
        <f ca="1">IF(OR('OP1'!$D$53=1,$Q100=""),0,VLOOKUP('OP1'!$C$55,HL,$Q100+1,0)*'OP1'!$C$28)</f>
        <v>0</v>
      </c>
    </row>
    <row r="101" spans="2:33" ht="16.5" hidden="1">
      <c r="B101" s="72" t="str">
        <f ca="1">IF(OR(B100&gt;=OP!$C$57,B100=""),"",IF(C100+1&gt;81,81-C100,B100+1))</f>
        <v/>
      </c>
      <c r="C101" s="72" t="str">
        <f ca="1">IF(OR(MAX(B$21:$B100)&gt;=OP!$C$57),"",C100+(B101-B100))</f>
        <v/>
      </c>
      <c r="D101" s="324"/>
      <c r="E101" s="324"/>
      <c r="F101" s="324"/>
      <c r="G101" s="324"/>
      <c r="H101" s="324"/>
      <c r="I101" s="324"/>
      <c r="J101" s="324"/>
      <c r="K101" s="324"/>
      <c r="L101" s="324"/>
      <c r="M101" s="324">
        <f>L101</f>
        <v>0</v>
      </c>
      <c r="N101" t="s">
        <v>820</v>
      </c>
      <c r="Q101" s="300" t="str">
        <f t="shared" ca="1" si="10"/>
        <v/>
      </c>
      <c r="R101" s="300" t="str">
        <f t="shared" ca="1" si="11"/>
        <v/>
      </c>
      <c r="S101" s="324">
        <f ca="1">IF(OR(OP!$D$53=1,$Q101=""),0,VLOOKUP(OP!$C$55,DIE,$Q101+1,0)*OP!$C$28)</f>
        <v>0</v>
      </c>
      <c r="T101" s="324">
        <f ca="1">IF(OR(OP!$D$53=1,$Q101=""),0,VLOOKUP(OP!$C$55,CV,$Q101+1,0)*OP!$C$28)</f>
        <v>0</v>
      </c>
      <c r="U101" s="324">
        <f ca="1">IF(OR('OP1'!$D$53=1,$Q101=""),0,VLOOKUP('OP1'!$C$55,_DIE1,$Q101+1,0)*'OP1'!$C$28)</f>
        <v>0</v>
      </c>
      <c r="V101" s="324">
        <f ca="1">IF(OR('OP1'!$D$53=1,$Q101="",VLOOKUP(Q101,DINS,5,0)=0),0,'OP1'!$C$28*10000*0.5)</f>
        <v>0</v>
      </c>
      <c r="W101" s="324">
        <f ca="1">IF(OR('OP1'!$D$53=1,$Q101=""),0,VLOOKUP('OP1'!$C$55,CV_1,$Q101+1,0)*'OP1'!$C$28)</f>
        <v>0</v>
      </c>
      <c r="X101" s="324">
        <f t="shared" ca="1" si="8"/>
        <v>0</v>
      </c>
      <c r="Y101" s="324">
        <f ca="1">IF(OR(OP!$D$53=1,$Q101=""),0,VLOOKUP(OP!$C$55,DIE,$Q101+1,0)*OP!$C$28)</f>
        <v>0</v>
      </c>
      <c r="Z101" s="324">
        <f ca="1">IF(OR(OP!$D$53=1,$Q101=""),0,VLOOKUP(OP!$C$55,DIE,$Q101+1,0)*OP!$C$28*2)</f>
        <v>0</v>
      </c>
      <c r="AA101" s="324">
        <f ca="1">IF(OR(OP!$D$53=1,$Q101=""),0,VLOOKUP(OP!$C$55,DIE,$Q101+1,0)*OP!$C$28*2)</f>
        <v>0</v>
      </c>
      <c r="AB101" s="324">
        <f ca="1">IF(OR(OP!$D$53=1,$Q201=""),0,VLOOKUP(OP!$C$55,DIE,$Q101+1,0)*OP!$C$28*2)</f>
        <v>0</v>
      </c>
      <c r="AC101" s="324">
        <f ca="1">IF(OR(OP!$D$53=1,$Q101=""),0,VLOOKUP(OP!$C$55,DIE,$Q101+1,0)*OP!$C$28*2)</f>
        <v>0</v>
      </c>
      <c r="AD101" s="324">
        <f ca="1">IF(OR(ROP!$C$33=1,$Q101=""),0,VLOOKUP(ROP!$C$39,AORCV,$Q101+1,0)*ROP!$C$30)</f>
        <v>0</v>
      </c>
      <c r="AE101" s="324">
        <f t="shared" ca="1" si="9"/>
        <v>0</v>
      </c>
      <c r="AF101" s="324">
        <f ca="1">IF(OR('OP1'!$D$53=1,$Q101=""),0,VLOOKUP('OP1'!$C$55,HL_1,$Q101+1,0)*'OP1'!$C$28)</f>
        <v>0</v>
      </c>
      <c r="AG101" s="324">
        <f ca="1">IF(OR('OP1'!$D$53=1,$Q101=""),0,VLOOKUP('OP1'!$C$55,HL,$Q101+1,0)*'OP1'!$C$28)</f>
        <v>0</v>
      </c>
    </row>
    <row r="102" spans="2:33" ht="16.5" hidden="1">
      <c r="B102" s="72" t="str">
        <f ca="1">IF(OR(B101&gt;=OP!$C$57,B101=""),"",IF(C101+1&gt;81,81-C101,B101+1))</f>
        <v/>
      </c>
      <c r="C102" s="72" t="str">
        <f ca="1">IF(OR(MAX(B$21:$B101)&gt;=OP!$C$57),"",C101+(B102-B101))</f>
        <v/>
      </c>
      <c r="D102" s="324"/>
      <c r="E102" s="324"/>
      <c r="F102" s="324"/>
      <c r="G102" s="324"/>
      <c r="H102" s="324"/>
      <c r="I102" s="324"/>
      <c r="J102" s="324"/>
      <c r="K102" s="324"/>
      <c r="L102" s="324"/>
      <c r="M102" s="324">
        <f t="shared" si="12"/>
        <v>0</v>
      </c>
      <c r="Q102" s="300" t="str">
        <f t="shared" ca="1" si="10"/>
        <v/>
      </c>
      <c r="R102" s="300" t="str">
        <f t="shared" ca="1" si="11"/>
        <v/>
      </c>
      <c r="S102" s="324">
        <f ca="1">IF(OR(OP!$D$53=1,$Q102=""),0,VLOOKUP(OP!$C$55,DIE,$Q102+1,0)*OP!$C$28)</f>
        <v>0</v>
      </c>
      <c r="T102" s="324">
        <f ca="1">IF(OR(OP!$D$53=1,$Q102=""),0,VLOOKUP(OP!$C$55,CV,$Q102+1,0)*OP!$C$28)</f>
        <v>0</v>
      </c>
      <c r="U102" s="324">
        <f ca="1">IF(OR('OP1'!$D$53=1,$Q102=""),0,VLOOKUP('OP1'!$C$55,_DIE1,$Q102+1,0)*'OP1'!$C$28)</f>
        <v>0</v>
      </c>
      <c r="V102" s="324">
        <f ca="1">IF(OR('OP1'!$D$53=1,$Q102="",VLOOKUP(Q102,DINS,5,0)=0),0,'OP1'!$C$28*10000*0.5)</f>
        <v>0</v>
      </c>
      <c r="W102" s="324">
        <f ca="1">IF(OR('OP1'!$D$53=1,$Q102=""),0,VLOOKUP('OP1'!$C$55,CV_1,$Q102+1,0)*'OP1'!$C$28)</f>
        <v>0</v>
      </c>
      <c r="X102" s="324">
        <f t="shared" ca="1" si="8"/>
        <v>0</v>
      </c>
      <c r="Y102" s="324">
        <f ca="1">IF(OR(OP!$D$53=1,$Q102=""),0,VLOOKUP(OP!$C$55,DIE,$Q102+1,0)*OP!$C$28)</f>
        <v>0</v>
      </c>
      <c r="Z102" s="324">
        <f ca="1">IF(OR(OP!$D$53=1,$Q102=""),0,VLOOKUP(OP!$C$55,DIE,$Q102+1,0)*OP!$C$28*2)</f>
        <v>0</v>
      </c>
      <c r="AA102" s="324">
        <f ca="1">IF(OR(OP!$D$53=1,$Q102=""),0,VLOOKUP(OP!$C$55,DIE,$Q102+1,0)*OP!$C$28*2)</f>
        <v>0</v>
      </c>
      <c r="AB102" s="324">
        <f ca="1">IF(OR(OP!$D$53=1,$Q202=""),0,VLOOKUP(OP!$C$55,DIE,$Q102+1,0)*OP!$C$28*2)</f>
        <v>0</v>
      </c>
      <c r="AC102" s="324">
        <f ca="1">IF(OR(OP!$D$53=1,$Q102=""),0,VLOOKUP(OP!$C$55,DIE,$Q102+1,0)*OP!$C$28*2)</f>
        <v>0</v>
      </c>
      <c r="AD102" s="324">
        <f ca="1">IF(OR(ROP!$C$33=1,$Q102=""),0,VLOOKUP(ROP!$C$39,AORCV,$Q102+1,0)*ROP!$C$30)</f>
        <v>0</v>
      </c>
      <c r="AE102" s="324">
        <f t="shared" ca="1" si="9"/>
        <v>0</v>
      </c>
      <c r="AF102" s="324">
        <f ca="1">IF(OR('OP1'!$D$53=1,$Q102=""),0,VLOOKUP('OP1'!$C$55,HL_1,$Q102+1,0)*'OP1'!$C$28)</f>
        <v>0</v>
      </c>
      <c r="AG102" s="324">
        <f ca="1">IF(OR('OP1'!$D$53=1,$Q102=""),0,VLOOKUP('OP1'!$C$55,HL,$Q102+1,0)*'OP1'!$C$28)</f>
        <v>0</v>
      </c>
    </row>
    <row r="103" spans="2:33" ht="16.5" hidden="1">
      <c r="B103" s="72" t="str">
        <f ca="1">IF(OR(B102&gt;=OP!$C$57,B102=""),"",IF(C102+1&gt;81,81-C102,B102+1))</f>
        <v/>
      </c>
      <c r="C103" s="72" t="str">
        <f ca="1">IF(OR(MAX(B$21:$B102)&gt;=OP!$C$57),"",C102+(B103-B102))</f>
        <v/>
      </c>
      <c r="D103" s="324"/>
      <c r="E103" s="324"/>
      <c r="F103" s="324"/>
      <c r="G103" s="324"/>
      <c r="H103" s="324"/>
      <c r="I103" s="324"/>
      <c r="J103" s="324"/>
      <c r="K103" s="324"/>
      <c r="L103" s="324"/>
      <c r="M103" s="324">
        <f t="shared" si="12"/>
        <v>0</v>
      </c>
      <c r="Q103" s="300" t="str">
        <f t="shared" ca="1" si="10"/>
        <v/>
      </c>
      <c r="R103" s="300" t="str">
        <f t="shared" ca="1" si="11"/>
        <v/>
      </c>
      <c r="S103" s="324">
        <f ca="1">IF(OR(OP!$D$53=1,$Q103=""),0,VLOOKUP(OP!$C$55,DIE,$Q103+1,0)*OP!$C$28)</f>
        <v>0</v>
      </c>
      <c r="T103" s="324">
        <f ca="1">IF(OR(OP!$D$53=1,$Q103=""),0,VLOOKUP(OP!$C$55,CV,$Q103+1,0)*OP!$C$28)</f>
        <v>0</v>
      </c>
      <c r="U103" s="324">
        <f ca="1">IF(OR('OP1'!$D$53=1,$Q103=""),0,VLOOKUP('OP1'!$C$55,_DIE1,$Q103+1,0)*'OP1'!$C$28)</f>
        <v>0</v>
      </c>
      <c r="V103" s="324">
        <f ca="1">IF(OR('OP1'!$D$53=1,$Q103="",VLOOKUP(Q103,DINS,5,0)=0),0,'OP1'!$C$28*10000*0.5)</f>
        <v>0</v>
      </c>
      <c r="W103" s="324">
        <f ca="1">IF(OR('OP1'!$D$53=1,$Q103=""),0,VLOOKUP('OP1'!$C$55,CV_1,$Q103+1,0)*'OP1'!$C$28)</f>
        <v>0</v>
      </c>
      <c r="X103" s="324">
        <f t="shared" ca="1" si="8"/>
        <v>0</v>
      </c>
      <c r="Y103" s="324">
        <f ca="1">IF(OR(OP!$D$53=1,$Q103=""),0,VLOOKUP(OP!$C$55,DIE,$Q103+1,0)*OP!$C$28)</f>
        <v>0</v>
      </c>
      <c r="Z103" s="324">
        <f ca="1">IF(OR(OP!$D$53=1,$Q103=""),0,VLOOKUP(OP!$C$55,DIE,$Q103+1,0)*OP!$C$28*2)</f>
        <v>0</v>
      </c>
      <c r="AA103" s="324">
        <f ca="1">IF(OR(OP!$D$53=1,$Q103=""),0,VLOOKUP(OP!$C$55,DIE,$Q103+1,0)*OP!$C$28*2)</f>
        <v>0</v>
      </c>
      <c r="AB103" s="324">
        <f ca="1">IF(OR(OP!$D$53=1,$Q203=""),0,VLOOKUP(OP!$C$55,DIE,$Q103+1,0)*OP!$C$28*2)</f>
        <v>0</v>
      </c>
      <c r="AC103" s="324">
        <f ca="1">IF(OR(OP!$D$53=1,$Q103=""),0,VLOOKUP(OP!$C$55,DIE,$Q103+1,0)*OP!$C$28*2)</f>
        <v>0</v>
      </c>
      <c r="AD103" s="324">
        <f ca="1">IF(OR(ROP!$C$33=1,$Q103=""),0,VLOOKUP(ROP!$C$39,AORCV,$Q103+1,0)*ROP!$C$30)</f>
        <v>0</v>
      </c>
      <c r="AE103" s="324">
        <f t="shared" ca="1" si="9"/>
        <v>0</v>
      </c>
      <c r="AF103" s="324">
        <f ca="1">IF(OR('OP1'!$D$53=1,$Q103=""),0,VLOOKUP('OP1'!$C$55,HL_1,$Q103+1,0)*'OP1'!$C$28)</f>
        <v>0</v>
      </c>
      <c r="AG103" s="324">
        <f ca="1">IF(OR('OP1'!$D$53=1,$Q103=""),0,VLOOKUP('OP1'!$C$55,HL,$Q103+1,0)*'OP1'!$C$28)</f>
        <v>0</v>
      </c>
    </row>
    <row r="104" spans="2:33" ht="16.5" hidden="1">
      <c r="B104" s="72" t="str">
        <f ca="1">IF(OR(B103&gt;=OP!$C$57,B103=""),"",IF(C103+1&gt;81,81-C103,B103+1))</f>
        <v/>
      </c>
      <c r="C104" s="72" t="str">
        <f ca="1">IF(OR(MAX(B$21:$B103)&gt;=OP!$C$57),"",C103+(B104-B103))</f>
        <v/>
      </c>
      <c r="D104" s="324"/>
      <c r="E104" s="324"/>
      <c r="F104" s="324"/>
      <c r="G104" s="324"/>
      <c r="H104" s="324"/>
      <c r="I104" s="324"/>
      <c r="J104" s="324"/>
      <c r="K104" s="324"/>
      <c r="L104" s="324"/>
      <c r="M104" s="324">
        <f t="shared" si="12"/>
        <v>0</v>
      </c>
      <c r="Q104" s="300" t="str">
        <f t="shared" ca="1" si="10"/>
        <v/>
      </c>
      <c r="R104" s="300" t="str">
        <f t="shared" ca="1" si="11"/>
        <v/>
      </c>
      <c r="S104" s="324">
        <f ca="1">IF(OR(OP!$D$53=1,$Q104=""),0,VLOOKUP(OP!$C$55,DIE,$Q104+1,0)*OP!$C$28)</f>
        <v>0</v>
      </c>
      <c r="T104" s="324">
        <f ca="1">IF(OR(OP!$D$53=1,$Q104=""),0,VLOOKUP(OP!$C$55,CV,$Q104+1,0)*OP!$C$28)</f>
        <v>0</v>
      </c>
      <c r="U104" s="324">
        <f ca="1">IF(OR('OP1'!$D$53=1,$Q104=""),0,VLOOKUP('OP1'!$C$55,_DIE1,$Q104+1,0)*'OP1'!$C$28)</f>
        <v>0</v>
      </c>
      <c r="V104" s="324">
        <f ca="1">IF(OR('OP1'!$D$53=1,$Q104="",VLOOKUP(Q104,DINS,5,0)=0),0,'OP1'!$C$28*10000*0.5)</f>
        <v>0</v>
      </c>
      <c r="W104" s="324">
        <f ca="1">IF(OR('OP1'!$D$53=1,$Q104=""),0,VLOOKUP('OP1'!$C$55,CV_1,$Q104+1,0)*'OP1'!$C$28)</f>
        <v>0</v>
      </c>
      <c r="X104" s="324">
        <f t="shared" ca="1" si="8"/>
        <v>0</v>
      </c>
      <c r="Y104" s="324">
        <f ca="1">IF(OR(OP!$D$53=1,$Q104=""),0,VLOOKUP(OP!$C$55,DIE,$Q104+1,0)*OP!$C$28)</f>
        <v>0</v>
      </c>
      <c r="Z104" s="324">
        <f ca="1">IF(OR(OP!$D$53=1,$Q104=""),0,VLOOKUP(OP!$C$55,DIE,$Q104+1,0)*OP!$C$28*2)</f>
        <v>0</v>
      </c>
      <c r="AA104" s="324">
        <f ca="1">IF(OR(OP!$D$53=1,$Q104=""),0,VLOOKUP(OP!$C$55,DIE,$Q104+1,0)*OP!$C$28*2)</f>
        <v>0</v>
      </c>
      <c r="AB104" s="324">
        <f ca="1">IF(OR(OP!$D$53=1,$Q204=""),0,VLOOKUP(OP!$C$55,DIE,$Q104+1,0)*OP!$C$28*2)</f>
        <v>0</v>
      </c>
      <c r="AC104" s="324">
        <f ca="1">IF(OR(OP!$D$53=1,$Q104=""),0,VLOOKUP(OP!$C$55,DIE,$Q104+1,0)*OP!$C$28*2)</f>
        <v>0</v>
      </c>
      <c r="AD104" s="324">
        <f ca="1">IF(OR(ROP!$C$33=1,$Q104=""),0,VLOOKUP(ROP!$C$39,AORCV,$Q104+1,0)*ROP!$C$30)</f>
        <v>0</v>
      </c>
      <c r="AE104" s="324">
        <f t="shared" ca="1" si="9"/>
        <v>0</v>
      </c>
      <c r="AF104" s="324">
        <f ca="1">IF(OR('OP1'!$D$53=1,$Q104=""),0,VLOOKUP('OP1'!$C$55,HL_1,$Q104+1,0)*'OP1'!$C$28)</f>
        <v>0</v>
      </c>
      <c r="AG104" s="324">
        <f ca="1">IF(OR('OP1'!$D$53=1,$Q104=""),0,VLOOKUP('OP1'!$C$55,HL,$Q104+1,0)*'OP1'!$C$28)</f>
        <v>0</v>
      </c>
    </row>
    <row r="105" spans="2:33" ht="16.5" hidden="1">
      <c r="B105" s="72" t="str">
        <f ca="1">IF(OR(B104&gt;=OP!$C$57,B104=""),"",IF(C104+1&gt;81,81-C104,B104+1))</f>
        <v/>
      </c>
      <c r="C105" s="72" t="str">
        <f ca="1">IF(OR(MAX(B$21:$B104)&gt;=OP!$C$57),"",C104+(B105-B104))</f>
        <v/>
      </c>
      <c r="D105" s="324"/>
      <c r="E105" s="324"/>
      <c r="F105" s="324"/>
      <c r="G105" s="324"/>
      <c r="H105" s="324"/>
      <c r="I105" s="324"/>
      <c r="J105" s="324"/>
      <c r="K105" s="324"/>
      <c r="L105" s="324"/>
      <c r="M105" s="324">
        <f t="shared" si="12"/>
        <v>0</v>
      </c>
      <c r="Q105" s="300" t="str">
        <f t="shared" ca="1" si="10"/>
        <v/>
      </c>
      <c r="R105" s="300" t="str">
        <f t="shared" ca="1" si="11"/>
        <v/>
      </c>
      <c r="S105" s="324">
        <f ca="1">IF(OR(OP!$D$53=1,$Q105=""),0,VLOOKUP(OP!$C$55,DIE,$Q105+1,0)*OP!$C$28)</f>
        <v>0</v>
      </c>
      <c r="T105" s="324">
        <f ca="1">IF(OR(OP!$D$53=1,$Q105=""),0,VLOOKUP(OP!$C$55,CV,$Q105+1,0)*OP!$C$28)</f>
        <v>0</v>
      </c>
      <c r="U105" s="324">
        <f ca="1">IF(OR('OP1'!$D$53=1,$Q105=""),0,VLOOKUP('OP1'!$C$55,_DIE1,$Q105+1,0)*'OP1'!$C$28)</f>
        <v>0</v>
      </c>
      <c r="V105" s="324">
        <f ca="1">IF(OR('OP1'!$D$53=1,$Q105="",VLOOKUP(Q105,DINS,5,0)=0),0,'OP1'!$C$28*10000*0.5)</f>
        <v>0</v>
      </c>
      <c r="W105" s="324">
        <f ca="1">IF(OR('OP1'!$D$53=1,$Q105=""),0,VLOOKUP('OP1'!$C$55,CV_1,$Q105+1,0)*'OP1'!$C$28)</f>
        <v>0</v>
      </c>
      <c r="X105" s="324">
        <f t="shared" ca="1" si="8"/>
        <v>0</v>
      </c>
      <c r="Y105" s="324">
        <f ca="1">IF(OR(OP!$D$53=1,$Q105=""),0,VLOOKUP(OP!$C$55,DIE,$Q105+1,0)*OP!$C$28)</f>
        <v>0</v>
      </c>
      <c r="Z105" s="324">
        <f ca="1">IF(OR(OP!$D$53=1,$Q105=""),0,VLOOKUP(OP!$C$55,DIE,$Q105+1,0)*OP!$C$28*2)</f>
        <v>0</v>
      </c>
      <c r="AA105" s="324">
        <f ca="1">IF(OR(OP!$D$53=1,$Q105=""),0,VLOOKUP(OP!$C$55,DIE,$Q105+1,0)*OP!$C$28*2)</f>
        <v>0</v>
      </c>
      <c r="AB105" s="324">
        <f ca="1">IF(OR(OP!$D$53=1,$Q205=""),0,VLOOKUP(OP!$C$55,DIE,$Q105+1,0)*OP!$C$28*2)</f>
        <v>0</v>
      </c>
      <c r="AC105" s="324">
        <f ca="1">IF(OR(OP!$D$53=1,$Q105=""),0,VLOOKUP(OP!$C$55,DIE,$Q105+1,0)*OP!$C$28*2)</f>
        <v>0</v>
      </c>
      <c r="AD105" s="324">
        <f ca="1">IF(OR(ROP!$C$33=1,$Q105=""),0,VLOOKUP(ROP!$C$39,AORCV,$Q105+1,0)*ROP!$C$30)</f>
        <v>0</v>
      </c>
      <c r="AE105" s="324">
        <f t="shared" ca="1" si="9"/>
        <v>0</v>
      </c>
      <c r="AF105" s="324">
        <f ca="1">IF(OR('OP1'!$D$53=1,$Q105=""),0,VLOOKUP('OP1'!$C$55,HL_1,$Q105+1,0)*'OP1'!$C$28)</f>
        <v>0</v>
      </c>
      <c r="AG105" s="324">
        <f ca="1">IF(OR('OP1'!$D$53=1,$Q105=""),0,VLOOKUP('OP1'!$C$55,HL,$Q105+1,0)*'OP1'!$C$28)</f>
        <v>0</v>
      </c>
    </row>
    <row r="106" spans="2:33" ht="16.5" hidden="1">
      <c r="B106" s="72" t="str">
        <f ca="1">IF(OR(B105&gt;=OP!$C$57,B105=""),"",IF(C105+1&gt;81,81-C105,B105+1))</f>
        <v/>
      </c>
      <c r="C106" s="72" t="str">
        <f ca="1">IF(OR(MAX(B$21:$B105)&gt;=OP!$C$57),"",C105+(B106-B105))</f>
        <v/>
      </c>
      <c r="D106" s="324"/>
      <c r="E106" s="324"/>
      <c r="F106" s="324"/>
      <c r="G106" s="324"/>
      <c r="H106" s="324"/>
      <c r="I106" s="324"/>
      <c r="J106" s="324"/>
      <c r="K106" s="324"/>
      <c r="L106" s="324"/>
      <c r="M106" s="324">
        <f t="shared" si="12"/>
        <v>0</v>
      </c>
      <c r="Q106" s="300" t="str">
        <f t="shared" ca="1" si="10"/>
        <v/>
      </c>
      <c r="R106" s="300" t="str">
        <f t="shared" ca="1" si="11"/>
        <v/>
      </c>
      <c r="S106" s="324">
        <f ca="1">IF(OR(OP!$D$53=1,$Q106=""),0,VLOOKUP(OP!$C$55,DIE,$Q106+1,0)*OP!$C$28)</f>
        <v>0</v>
      </c>
      <c r="T106" s="324">
        <f ca="1">IF(OR(OP!$D$53=1,$Q106=""),0,VLOOKUP(OP!$C$55,CV,$Q106+1,0)*OP!$C$28)</f>
        <v>0</v>
      </c>
      <c r="U106" s="324">
        <f ca="1">IF(OR('OP1'!$D$53=1,$Q106=""),0,VLOOKUP('OP1'!$C$55,_DIE1,$Q106+1,0)*'OP1'!$C$28)</f>
        <v>0</v>
      </c>
      <c r="V106" s="324">
        <f ca="1">IF(OR('OP1'!$D$53=1,$Q106="",VLOOKUP(Q106,DINS,5,0)=0),0,'OP1'!$C$28*10000*0.5)</f>
        <v>0</v>
      </c>
      <c r="W106" s="324">
        <f ca="1">IF(OR('OP1'!$D$53=1,$Q106=""),0,VLOOKUP('OP1'!$C$55,CV_1,$Q106+1,0)*'OP1'!$C$28)</f>
        <v>0</v>
      </c>
      <c r="X106" s="324">
        <f t="shared" ca="1" si="8"/>
        <v>0</v>
      </c>
      <c r="Y106" s="324">
        <f ca="1">IF(OR(OP!$D$53=1,$Q106=""),0,VLOOKUP(OP!$C$55,DIE,$Q106+1,0)*OP!$C$28)</f>
        <v>0</v>
      </c>
      <c r="Z106" s="324">
        <f ca="1">IF(OR(OP!$D$53=1,$Q106=""),0,VLOOKUP(OP!$C$55,DIE,$Q106+1,0)*OP!$C$28*2)</f>
        <v>0</v>
      </c>
      <c r="AA106" s="324">
        <f ca="1">IF(OR(OP!$D$53=1,$Q106=""),0,VLOOKUP(OP!$C$55,DIE,$Q106+1,0)*OP!$C$28*2)</f>
        <v>0</v>
      </c>
      <c r="AB106" s="324">
        <f ca="1">IF(OR(OP!$D$53=1,$Q206=""),0,VLOOKUP(OP!$C$55,DIE,$Q106+1,0)*OP!$C$28*2)</f>
        <v>0</v>
      </c>
      <c r="AC106" s="324">
        <f ca="1">IF(OR(OP!$D$53=1,$Q106=""),0,VLOOKUP(OP!$C$55,DIE,$Q106+1,0)*OP!$C$28*2)</f>
        <v>0</v>
      </c>
      <c r="AD106" s="324">
        <f ca="1">IF(OR(ROP!$C$33=1,$Q106=""),0,VLOOKUP(ROP!$C$39,AORCV,$Q106+1,0)*ROP!$C$30)</f>
        <v>0</v>
      </c>
      <c r="AE106" s="324">
        <f t="shared" ca="1" si="9"/>
        <v>0</v>
      </c>
      <c r="AF106" s="324">
        <f ca="1">IF(OR('OP1'!$D$53=1,$Q106=""),0,VLOOKUP('OP1'!$C$55,HL_1,$Q106+1,0)*'OP1'!$C$28)</f>
        <v>0</v>
      </c>
      <c r="AG106" s="324">
        <f ca="1">IF(OR('OP1'!$D$53=1,$Q106=""),0,VLOOKUP('OP1'!$C$55,HL,$Q106+1,0)*'OP1'!$C$28)</f>
        <v>0</v>
      </c>
    </row>
    <row r="107" spans="2:33" ht="16.5" hidden="1">
      <c r="B107" s="72" t="str">
        <f ca="1">IF(OR(B106&gt;=OP!$C$57,B106=""),"",IF(C106+1&gt;81,81-C106,B106+1))</f>
        <v/>
      </c>
      <c r="C107" s="72" t="str">
        <f ca="1">IF(OR(MAX(B$21:$B106)&gt;=OP!$C$57),"",C106+(B107-B106))</f>
        <v/>
      </c>
      <c r="D107" s="324"/>
      <c r="E107" s="324"/>
      <c r="F107" s="324"/>
      <c r="G107" s="324"/>
      <c r="H107" s="324"/>
      <c r="I107" s="324"/>
      <c r="J107" s="324"/>
      <c r="K107" s="324"/>
      <c r="L107" s="324"/>
      <c r="M107" s="324">
        <f t="shared" si="12"/>
        <v>0</v>
      </c>
      <c r="Q107" s="300" t="str">
        <f t="shared" ca="1" si="10"/>
        <v/>
      </c>
      <c r="R107" s="300" t="str">
        <f t="shared" ca="1" si="11"/>
        <v/>
      </c>
      <c r="S107" s="324">
        <f ca="1">IF(OR(OP!$D$53=1,$Q107=""),0,VLOOKUP(OP!$C$55,DIE,$Q107+1,0)*OP!$C$28)</f>
        <v>0</v>
      </c>
      <c r="T107" s="324">
        <f ca="1">IF(OR(OP!$D$53=1,$Q107=""),0,VLOOKUP(OP!$C$55,CV,$Q107+1,0)*OP!$C$28)</f>
        <v>0</v>
      </c>
      <c r="U107" s="324">
        <f ca="1">IF(OR('OP1'!$D$53=1,$Q107=""),0,VLOOKUP('OP1'!$C$55,_DIE1,$Q107+1,0)*'OP1'!$C$28)</f>
        <v>0</v>
      </c>
      <c r="V107" s="324">
        <f ca="1">IF(OR('OP1'!$D$53=1,$Q107="",VLOOKUP(Q107,DINS,5,0)=0),0,'OP1'!$C$28*10000*0.5)</f>
        <v>0</v>
      </c>
      <c r="W107" s="324">
        <f ca="1">IF(OR('OP1'!$D$53=1,$Q107=""),0,VLOOKUP('OP1'!$C$55,CV_1,$Q107+1,0)*'OP1'!$C$28)</f>
        <v>0</v>
      </c>
      <c r="X107" s="324">
        <f t="shared" ca="1" si="8"/>
        <v>0</v>
      </c>
      <c r="Y107" s="324">
        <f ca="1">IF(OR(OP!$D$53=1,$Q107=""),0,VLOOKUP(OP!$C$55,DIE,$Q107+1,0)*OP!$C$28)</f>
        <v>0</v>
      </c>
      <c r="Z107" s="324">
        <f ca="1">IF(OR(OP!$D$53=1,$Q107=""),0,VLOOKUP(OP!$C$55,DIE,$Q107+1,0)*OP!$C$28*2)</f>
        <v>0</v>
      </c>
      <c r="AA107" s="324">
        <f ca="1">IF(OR(OP!$D$53=1,$Q107=""),0,VLOOKUP(OP!$C$55,DIE,$Q107+1,0)*OP!$C$28*2)</f>
        <v>0</v>
      </c>
      <c r="AB107" s="324">
        <f ca="1">IF(OR(OP!$D$53=1,$Q207=""),0,VLOOKUP(OP!$C$55,DIE,$Q107+1,0)*OP!$C$28*2)</f>
        <v>0</v>
      </c>
      <c r="AC107" s="324">
        <f ca="1">IF(OR(OP!$D$53=1,$Q107=""),0,VLOOKUP(OP!$C$55,DIE,$Q107+1,0)*OP!$C$28*2)</f>
        <v>0</v>
      </c>
      <c r="AD107" s="324">
        <f ca="1">IF(OR(ROP!$C$33=1,$Q107=""),0,VLOOKUP(ROP!$C$39,AORCV,$Q107+1,0)*ROP!$C$30)</f>
        <v>0</v>
      </c>
      <c r="AE107" s="324">
        <f t="shared" ca="1" si="9"/>
        <v>0</v>
      </c>
      <c r="AF107" s="324">
        <f ca="1">IF(OR('OP1'!$D$53=1,$Q107=""),0,VLOOKUP('OP1'!$C$55,HL_1,$Q107+1,0)*'OP1'!$C$28)</f>
        <v>0</v>
      </c>
      <c r="AG107" s="324">
        <f ca="1">IF(OR('OP1'!$D$53=1,$Q107=""),0,VLOOKUP('OP1'!$C$55,HL,$Q107+1,0)*'OP1'!$C$28)</f>
        <v>0</v>
      </c>
    </row>
    <row r="108" spans="2:33" ht="16.5" hidden="1">
      <c r="B108" s="72" t="str">
        <f ca="1">IF(OR(B107&gt;=OP!$C$57,B107=""),"",IF(C107+1&gt;81,81-C107,B107+1))</f>
        <v/>
      </c>
      <c r="C108" s="72" t="str">
        <f ca="1">IF(OR(MAX(B$21:$B107)&gt;=OP!$C$57),"",C107+(B108-B107))</f>
        <v/>
      </c>
      <c r="D108" s="324"/>
      <c r="E108" s="324"/>
      <c r="F108" s="324"/>
      <c r="G108" s="324"/>
      <c r="H108" s="324"/>
      <c r="I108" s="324"/>
      <c r="J108" s="324"/>
      <c r="K108" s="324"/>
      <c r="L108" s="324"/>
      <c r="M108" s="324">
        <f t="shared" si="12"/>
        <v>0</v>
      </c>
      <c r="Q108" s="300" t="str">
        <f t="shared" ca="1" si="10"/>
        <v/>
      </c>
      <c r="R108" s="300" t="str">
        <f t="shared" ca="1" si="11"/>
        <v/>
      </c>
      <c r="S108" s="324">
        <f ca="1">IF(OR(OP!$D$53=1,$Q108=""),0,VLOOKUP(OP!$C$55,DIE,$Q108+1,0)*OP!$C$28)</f>
        <v>0</v>
      </c>
      <c r="T108" s="324">
        <f ca="1">IF(OR(OP!$D$53=1,$Q108=""),0,VLOOKUP(OP!$C$55,CV,$Q108+1,0)*OP!$C$28)</f>
        <v>0</v>
      </c>
      <c r="U108" s="324">
        <f ca="1">IF(OR('OP1'!$D$53=1,$Q108=""),0,VLOOKUP('OP1'!$C$55,_DIE1,$Q108+1,0)*'OP1'!$C$28)</f>
        <v>0</v>
      </c>
      <c r="V108" s="324">
        <f ca="1">IF(OR('OP1'!$D$53=1,$Q108="",VLOOKUP(Q108,DINS,5,0)=0),0,'OP1'!$C$28*10000*0.5)</f>
        <v>0</v>
      </c>
      <c r="W108" s="324">
        <f ca="1">IF(OR('OP1'!$D$53=1,$Q108=""),0,VLOOKUP('OP1'!$C$55,CV_1,$Q108+1,0)*'OP1'!$C$28)</f>
        <v>0</v>
      </c>
      <c r="X108" s="324">
        <f t="shared" ca="1" si="8"/>
        <v>0</v>
      </c>
      <c r="Y108" s="324">
        <f ca="1">IF(OR(OP!$D$53=1,$Q108=""),0,VLOOKUP(OP!$C$55,DIE,$Q108+1,0)*OP!$C$28)</f>
        <v>0</v>
      </c>
      <c r="Z108" s="324">
        <f ca="1">IF(OR(OP!$D$53=1,$Q108=""),0,VLOOKUP(OP!$C$55,DIE,$Q108+1,0)*OP!$C$28*2)</f>
        <v>0</v>
      </c>
      <c r="AA108" s="324">
        <f ca="1">IF(OR(OP!$D$53=1,$Q108=""),0,VLOOKUP(OP!$C$55,DIE,$Q108+1,0)*OP!$C$28*2)</f>
        <v>0</v>
      </c>
      <c r="AB108" s="324">
        <f ca="1">IF(OR(OP!$D$53=1,$Q208=""),0,VLOOKUP(OP!$C$55,DIE,$Q108+1,0)*OP!$C$28*2)</f>
        <v>0</v>
      </c>
      <c r="AC108" s="324">
        <f ca="1">IF(OR(OP!$D$53=1,$Q108=""),0,VLOOKUP(OP!$C$55,DIE,$Q108+1,0)*OP!$C$28*2)</f>
        <v>0</v>
      </c>
      <c r="AD108" s="324">
        <f ca="1">IF(OR(ROP!$C$33=1,$Q108=""),0,VLOOKUP(ROP!$C$39,AORCV,$Q108+1,0)*ROP!$C$30)</f>
        <v>0</v>
      </c>
      <c r="AE108" s="324">
        <f t="shared" ca="1" si="9"/>
        <v>0</v>
      </c>
      <c r="AF108" s="324">
        <f ca="1">IF(OR('OP1'!$D$53=1,$Q108=""),0,VLOOKUP('OP1'!$C$55,HL_1,$Q108+1,0)*'OP1'!$C$28)</f>
        <v>0</v>
      </c>
      <c r="AG108" s="324">
        <f ca="1">IF(OR('OP1'!$D$53=1,$Q108=""),0,VLOOKUP('OP1'!$C$55,HL,$Q108+1,0)*'OP1'!$C$28)</f>
        <v>0</v>
      </c>
    </row>
    <row r="109" spans="2:33" ht="16.5" hidden="1">
      <c r="B109" s="72" t="str">
        <f ca="1">IF(OR(B108&gt;=OP!$C$57,B108=""),"",IF(C108+1&gt;81,81-C108,B108+1))</f>
        <v/>
      </c>
      <c r="C109" s="72" t="str">
        <f ca="1">IF(OR(MAX(B$21:$B108)&gt;=OP!$C$57),"",C108+(B109-B108))</f>
        <v/>
      </c>
      <c r="D109" s="324"/>
      <c r="E109" s="324"/>
      <c r="F109" s="324"/>
      <c r="G109" s="324"/>
      <c r="H109" s="324"/>
      <c r="I109" s="324"/>
      <c r="J109" s="324"/>
      <c r="K109" s="324"/>
      <c r="L109" s="324"/>
      <c r="M109" s="324">
        <f t="shared" si="12"/>
        <v>0</v>
      </c>
      <c r="Q109" s="300" t="str">
        <f t="shared" ca="1" si="10"/>
        <v/>
      </c>
      <c r="R109" s="300" t="str">
        <f t="shared" ca="1" si="11"/>
        <v/>
      </c>
      <c r="S109" s="324">
        <f ca="1">IF(OR(OP!$D$53=1,$Q109=""),0,VLOOKUP(OP!$C$55,DIE,$Q109+1,0)*OP!$C$28)</f>
        <v>0</v>
      </c>
      <c r="T109" s="324">
        <f ca="1">IF(OR(OP!$D$53=1,$Q109=""),0,VLOOKUP(OP!$C$55,CV,$Q109+1,0)*OP!$C$28)</f>
        <v>0</v>
      </c>
      <c r="U109" s="324">
        <f ca="1">IF(OR('OP1'!$D$53=1,$Q109=""),0,VLOOKUP('OP1'!$C$55,_DIE1,$Q109+1,0)*'OP1'!$C$28)</f>
        <v>0</v>
      </c>
      <c r="V109" s="324">
        <f ca="1">IF(OR('OP1'!$D$53=1,$Q109="",VLOOKUP(Q109,DINS,5,0)=0),0,'OP1'!$C$28*10000*0.5)</f>
        <v>0</v>
      </c>
      <c r="W109" s="324">
        <f ca="1">IF(OR('OP1'!$D$53=1,$Q109=""),0,VLOOKUP('OP1'!$C$55,CV_1,$Q109+1,0)*'OP1'!$C$28)</f>
        <v>0</v>
      </c>
      <c r="X109" s="324">
        <f t="shared" ca="1" si="8"/>
        <v>0</v>
      </c>
      <c r="Y109" s="324">
        <f ca="1">IF(OR(OP!$D$53=1,$Q109=""),0,VLOOKUP(OP!$C$55,DIE,$Q109+1,0)*OP!$C$28)</f>
        <v>0</v>
      </c>
      <c r="Z109" s="324">
        <f ca="1">IF(OR(OP!$D$53=1,$Q109=""),0,VLOOKUP(OP!$C$55,DIE,$Q109+1,0)*OP!$C$28*2)</f>
        <v>0</v>
      </c>
      <c r="AA109" s="324">
        <f ca="1">IF(OR(OP!$D$53=1,$Q109=""),0,VLOOKUP(OP!$C$55,DIE,$Q109+1,0)*OP!$C$28*2)</f>
        <v>0</v>
      </c>
      <c r="AB109" s="324">
        <f ca="1">IF(OR(OP!$D$53=1,$Q209=""),0,VLOOKUP(OP!$C$55,DIE,$Q109+1,0)*OP!$C$28*2)</f>
        <v>0</v>
      </c>
      <c r="AC109" s="324">
        <f ca="1">IF(OR(OP!$D$53=1,$Q109=""),0,VLOOKUP(OP!$C$55,DIE,$Q109+1,0)*OP!$C$28*2)</f>
        <v>0</v>
      </c>
      <c r="AD109" s="324">
        <f ca="1">IF(OR(ROP!$C$33=1,$Q109=""),0,VLOOKUP(ROP!$C$39,AORCV,$Q109+1,0)*ROP!$C$30)</f>
        <v>0</v>
      </c>
      <c r="AE109" s="324">
        <f t="shared" ca="1" si="9"/>
        <v>0</v>
      </c>
      <c r="AF109" s="324">
        <f ca="1">IF(OR('OP1'!$D$53=1,$Q109=""),0,VLOOKUP('OP1'!$C$55,HL_1,$Q109+1,0)*'OP1'!$C$28)</f>
        <v>0</v>
      </c>
      <c r="AG109" s="324">
        <f ca="1">IF(OR('OP1'!$D$53=1,$Q109=""),0,VLOOKUP('OP1'!$C$55,HL,$Q109+1,0)*'OP1'!$C$28)</f>
        <v>0</v>
      </c>
    </row>
    <row r="110" spans="2:33" ht="16.5" hidden="1">
      <c r="B110" s="72" t="str">
        <f ca="1">IF(OR(B109&gt;=OP!$C$57,B109=""),"",IF(C109+1&gt;81,81-C109,B109+1))</f>
        <v/>
      </c>
      <c r="C110" s="72" t="str">
        <f ca="1">IF(OR(MAX(B$21:$B109)&gt;=OP!$C$57),"",C109+(B110-B109))</f>
        <v/>
      </c>
      <c r="D110" s="324"/>
      <c r="E110" s="324"/>
      <c r="F110" s="324"/>
      <c r="G110" s="324"/>
      <c r="H110" s="324"/>
      <c r="I110" s="324"/>
      <c r="J110" s="324"/>
      <c r="K110" s="324"/>
      <c r="L110" s="324"/>
      <c r="M110" s="324">
        <f t="shared" si="12"/>
        <v>0</v>
      </c>
      <c r="Q110" s="300" t="str">
        <f t="shared" ca="1" si="10"/>
        <v/>
      </c>
      <c r="R110" s="300" t="str">
        <f t="shared" ca="1" si="11"/>
        <v/>
      </c>
      <c r="S110" s="324">
        <f ca="1">IF(OR(OP!$D$53=1,$Q110=""),0,VLOOKUP(OP!$C$55,DIE,$Q110+1,0)*OP!$C$28)</f>
        <v>0</v>
      </c>
      <c r="T110" s="324">
        <f ca="1">IF(OR(OP!$D$53=1,$Q110=""),0,VLOOKUP(OP!$C$55,CV,$Q110+1,0)*OP!$C$28)</f>
        <v>0</v>
      </c>
      <c r="U110" s="324">
        <f ca="1">IF(OR('OP1'!$D$53=1,$Q110=""),0,VLOOKUP('OP1'!$C$55,_DIE1,$Q110+1,0)*'OP1'!$C$28)</f>
        <v>0</v>
      </c>
      <c r="V110" s="324">
        <f ca="1">IF(OR('OP1'!$D$53=1,$Q110="",VLOOKUP(Q110,DINS,5,0)=0),0,'OP1'!$C$28*10000*0.5)</f>
        <v>0</v>
      </c>
      <c r="W110" s="324">
        <f ca="1">IF(OR('OP1'!$D$53=1,$Q110=""),0,VLOOKUP('OP1'!$C$55,CV_1,$Q110+1,0)*'OP1'!$C$28)</f>
        <v>0</v>
      </c>
      <c r="X110" s="324">
        <f t="shared" ca="1" si="8"/>
        <v>0</v>
      </c>
      <c r="Y110" s="324">
        <f ca="1">IF(OR(OP!$D$53=1,$Q110=""),0,VLOOKUP(OP!$C$55,DIE,$Q110+1,0)*OP!$C$28)</f>
        <v>0</v>
      </c>
      <c r="Z110" s="324">
        <f ca="1">IF(OR(OP!$D$53=1,$Q110=""),0,VLOOKUP(OP!$C$55,DIE,$Q110+1,0)*OP!$C$28*2)</f>
        <v>0</v>
      </c>
      <c r="AA110" s="324">
        <f ca="1">IF(OR(OP!$D$53=1,$Q110=""),0,VLOOKUP(OP!$C$55,DIE,$Q110+1,0)*OP!$C$28*2)</f>
        <v>0</v>
      </c>
      <c r="AB110" s="324">
        <f ca="1">IF(OR(OP!$D$53=1,$Q210=""),0,VLOOKUP(OP!$C$55,DIE,$Q110+1,0)*OP!$C$28*2)</f>
        <v>0</v>
      </c>
      <c r="AC110" s="324">
        <f ca="1">IF(OR(OP!$D$53=1,$Q110=""),0,VLOOKUP(OP!$C$55,DIE,$Q110+1,0)*OP!$C$28*2)</f>
        <v>0</v>
      </c>
      <c r="AD110" s="324">
        <f ca="1">IF(OR(ROP!$C$33=1,$Q110=""),0,VLOOKUP(ROP!$C$39,AORCV,$Q110+1,0)*ROP!$C$30)</f>
        <v>0</v>
      </c>
      <c r="AE110" s="324">
        <f t="shared" ca="1" si="9"/>
        <v>0</v>
      </c>
      <c r="AF110" s="324">
        <f ca="1">IF(OR('OP1'!$D$53=1,$Q110=""),0,VLOOKUP('OP1'!$C$55,HL_1,$Q110+1,0)*'OP1'!$C$28)</f>
        <v>0</v>
      </c>
      <c r="AG110" s="324">
        <f ca="1">IF(OR('OP1'!$D$53=1,$Q110=""),0,VLOOKUP('OP1'!$C$55,HL,$Q110+1,0)*'OP1'!$C$28)</f>
        <v>0</v>
      </c>
    </row>
    <row r="111" spans="2:33" ht="16.5" hidden="1">
      <c r="B111" s="72" t="str">
        <f ca="1">IF(OR(B110&gt;=OP!$C$57,B110=""),"",IF(C110+1&gt;81,81-C110,B110+1))</f>
        <v/>
      </c>
      <c r="C111" s="72" t="str">
        <f ca="1">IF(OR(MAX(B$21:$B110)&gt;=OP!$C$57),"",C110+(B111-B110))</f>
        <v/>
      </c>
      <c r="D111" s="324"/>
      <c r="E111" s="324"/>
      <c r="F111" s="324"/>
      <c r="G111" s="324"/>
      <c r="H111" s="324"/>
      <c r="I111" s="324"/>
      <c r="J111" s="324"/>
      <c r="K111" s="324"/>
      <c r="L111" s="324"/>
      <c r="M111" s="324">
        <f>L111</f>
        <v>0</v>
      </c>
      <c r="N111" t="s">
        <v>820</v>
      </c>
      <c r="Q111" s="300" t="str">
        <f t="shared" ca="1" si="10"/>
        <v/>
      </c>
      <c r="R111" s="300" t="str">
        <f t="shared" ca="1" si="11"/>
        <v/>
      </c>
      <c r="S111" s="324">
        <f ca="1">IF(OR(OP!$D$53=1,$Q111=""),0,VLOOKUP(OP!$C$55,DIE,$Q111+1,0)*OP!$C$28)</f>
        <v>0</v>
      </c>
      <c r="T111" s="324">
        <f ca="1">IF(OR(OP!$D$53=1,$Q111=""),0,VLOOKUP(OP!$C$55,CV,$Q111+1,0)*OP!$C$28)</f>
        <v>0</v>
      </c>
      <c r="U111" s="324">
        <f ca="1">IF(OR('OP1'!$D$53=1,$Q111=""),0,VLOOKUP('OP1'!$C$55,_DIE1,$Q111+1,0)*'OP1'!$C$28)</f>
        <v>0</v>
      </c>
      <c r="V111" s="324">
        <f ca="1">IF(OR('OP1'!$D$53=1,$Q111="",VLOOKUP(Q111,DINS,5,0)=0),0,'OP1'!$C$28*10000*0.5)</f>
        <v>0</v>
      </c>
      <c r="W111" s="324">
        <f ca="1">IF(OR('OP1'!$D$53=1,$Q111=""),0,VLOOKUP('OP1'!$C$55,CV_1,$Q111+1,0)*'OP1'!$C$28)</f>
        <v>0</v>
      </c>
      <c r="X111" s="324">
        <f t="shared" ca="1" si="8"/>
        <v>0</v>
      </c>
      <c r="Y111" s="324">
        <f ca="1">IF(OR(OP!$D$53=1,$Q111=""),0,VLOOKUP(OP!$C$55,DIE,$Q111+1,0)*OP!$C$28)</f>
        <v>0</v>
      </c>
      <c r="Z111" s="324">
        <f ca="1">IF(OR(OP!$D$53=1,$Q111=""),0,VLOOKUP(OP!$C$55,DIE,$Q111+1,0)*OP!$C$28*2)</f>
        <v>0</v>
      </c>
      <c r="AA111" s="324">
        <f ca="1">IF(OR(OP!$D$53=1,$Q111=""),0,VLOOKUP(OP!$C$55,DIE,$Q111+1,0)*OP!$C$28*2)</f>
        <v>0</v>
      </c>
      <c r="AB111" s="324">
        <f ca="1">IF(OR(OP!$D$53=1,$Q211=""),0,VLOOKUP(OP!$C$55,DIE,$Q111+1,0)*OP!$C$28*2)</f>
        <v>0</v>
      </c>
      <c r="AC111" s="324">
        <f ca="1">IF(OR(OP!$D$53=1,$Q111=""),0,VLOOKUP(OP!$C$55,DIE,$Q111+1,0)*OP!$C$28*2)</f>
        <v>0</v>
      </c>
      <c r="AD111" s="324">
        <f ca="1">IF(OR(ROP!$C$33=1,$Q111=""),0,VLOOKUP(ROP!$C$39,AORCV,$Q111+1,0)*ROP!$C$30)</f>
        <v>0</v>
      </c>
      <c r="AE111" s="324">
        <f t="shared" ca="1" si="9"/>
        <v>0</v>
      </c>
      <c r="AF111" s="324">
        <f ca="1">IF(OR('OP1'!$D$53=1,$Q111=""),0,VLOOKUP('OP1'!$C$55,HL_1,$Q111+1,0)*'OP1'!$C$28)</f>
        <v>0</v>
      </c>
      <c r="AG111" s="324">
        <f ca="1">IF(OR('OP1'!$D$53=1,$Q111=""),0,VLOOKUP('OP1'!$C$55,HL,$Q111+1,0)*'OP1'!$C$28)</f>
        <v>0</v>
      </c>
    </row>
    <row r="112" spans="2:33" ht="16.5" hidden="1">
      <c r="B112" s="72" t="str">
        <f ca="1">IF(OR(B111&gt;=OP!$C$57,B111=""),"",IF(C111+1&gt;81,81-C111,B111+1))</f>
        <v/>
      </c>
      <c r="C112" s="72" t="str">
        <f ca="1">IF(OR(MAX(B$21:$B111)&gt;=OP!$C$57),"",C111+(B112-B111))</f>
        <v/>
      </c>
      <c r="D112" s="324"/>
      <c r="E112" s="324"/>
      <c r="F112" s="324"/>
      <c r="G112" s="324"/>
      <c r="H112" s="324"/>
      <c r="I112" s="324"/>
      <c r="J112" s="324"/>
      <c r="K112" s="324"/>
      <c r="L112" s="324"/>
      <c r="M112" s="324">
        <f t="shared" si="12"/>
        <v>0</v>
      </c>
      <c r="Q112" s="300" t="str">
        <f t="shared" ca="1" si="10"/>
        <v/>
      </c>
      <c r="R112" s="300" t="str">
        <f t="shared" ca="1" si="11"/>
        <v/>
      </c>
      <c r="S112" s="324">
        <f ca="1">IF(OR(OP!$D$53=1,$Q112=""),0,VLOOKUP(OP!$C$55,DIE,$Q112+1,0)*OP!$C$28)</f>
        <v>0</v>
      </c>
      <c r="T112" s="324">
        <f ca="1">IF(OR(OP!$D$53=1,$Q112=""),0,VLOOKUP(OP!$C$55,CV,$Q112+1,0)*OP!$C$28)</f>
        <v>0</v>
      </c>
      <c r="U112" s="324">
        <f ca="1">IF(OR('OP1'!$D$53=1,$Q112=""),0,VLOOKUP('OP1'!$C$55,_DIE1,$Q112+1,0)*'OP1'!$C$28)</f>
        <v>0</v>
      </c>
      <c r="V112" s="324">
        <f ca="1">IF(OR('OP1'!$D$53=1,$Q112="",VLOOKUP(Q112,DINS,5,0)=0),0,'OP1'!$C$28*10000*0.5)</f>
        <v>0</v>
      </c>
      <c r="W112" s="324">
        <f ca="1">IF(OR('OP1'!$D$53=1,$Q112=""),0,VLOOKUP('OP1'!$C$55,CV_1,$Q112+1,0)*'OP1'!$C$28)</f>
        <v>0</v>
      </c>
      <c r="X112" s="324">
        <f t="shared" ca="1" si="8"/>
        <v>0</v>
      </c>
      <c r="Y112" s="324">
        <f ca="1">IF(OR(OP!$D$53=1,$Q112=""),0,VLOOKUP(OP!$C$55,DIE,$Q112+1,0)*OP!$C$28)</f>
        <v>0</v>
      </c>
      <c r="Z112" s="324">
        <f ca="1">IF(OR(OP!$D$53=1,$Q112=""),0,VLOOKUP(OP!$C$55,DIE,$Q112+1,0)*OP!$C$28*2)</f>
        <v>0</v>
      </c>
      <c r="AA112" s="324">
        <f ca="1">IF(OR(OP!$D$53=1,$Q112=""),0,VLOOKUP(OP!$C$55,DIE,$Q112+1,0)*OP!$C$28*2)</f>
        <v>0</v>
      </c>
      <c r="AB112" s="324">
        <f ca="1">IF(OR(OP!$D$53=1,$Q212=""),0,VLOOKUP(OP!$C$55,DIE,$Q112+1,0)*OP!$C$28*2)</f>
        <v>0</v>
      </c>
      <c r="AC112" s="324">
        <f ca="1">IF(OR(OP!$D$53=1,$Q112=""),0,VLOOKUP(OP!$C$55,DIE,$Q112+1,0)*OP!$C$28*2)</f>
        <v>0</v>
      </c>
      <c r="AD112" s="324">
        <f ca="1">IF(OR(ROP!$C$33=1,$Q112=""),0,VLOOKUP(ROP!$C$39,AORCV,$Q112+1,0)*ROP!$C$30)</f>
        <v>0</v>
      </c>
      <c r="AE112" s="324">
        <f t="shared" ca="1" si="9"/>
        <v>0</v>
      </c>
      <c r="AF112" s="324">
        <f ca="1">IF(OR('OP1'!$D$53=1,$Q112=""),0,VLOOKUP('OP1'!$C$55,HL_1,$Q112+1,0)*'OP1'!$C$28)</f>
        <v>0</v>
      </c>
      <c r="AG112" s="324">
        <f ca="1">IF(OR('OP1'!$D$53=1,$Q112=""),0,VLOOKUP('OP1'!$C$55,HL,$Q112+1,0)*'OP1'!$C$28)</f>
        <v>0</v>
      </c>
    </row>
    <row r="113" spans="2:33" ht="16.5" hidden="1">
      <c r="B113" s="72" t="str">
        <f ca="1">IF(OR(B112&gt;=OP!$C$57,B112=""),"",IF(C112+1&gt;81,81-C112,B112+1))</f>
        <v/>
      </c>
      <c r="C113" s="72" t="str">
        <f ca="1">IF(OR(MAX(B$21:$B112)&gt;=OP!$C$57),"",C112+(B113-B112))</f>
        <v/>
      </c>
      <c r="D113" s="324"/>
      <c r="E113" s="324"/>
      <c r="F113" s="324"/>
      <c r="G113" s="324"/>
      <c r="H113" s="324"/>
      <c r="I113" s="324"/>
      <c r="J113" s="324"/>
      <c r="K113" s="324"/>
      <c r="L113" s="324"/>
      <c r="M113" s="324">
        <f t="shared" si="12"/>
        <v>0</v>
      </c>
      <c r="Q113" s="300" t="str">
        <f t="shared" ca="1" si="10"/>
        <v/>
      </c>
      <c r="R113" s="300" t="str">
        <f t="shared" ca="1" si="11"/>
        <v/>
      </c>
      <c r="S113" s="324">
        <f ca="1">IF(OR(OP!$D$53=1,$Q113=""),0,VLOOKUP(OP!$C$55,DIE,$Q113+1,0)*OP!$C$28)</f>
        <v>0</v>
      </c>
      <c r="T113" s="324">
        <f ca="1">IF(OR(OP!$D$53=1,$Q113=""),0,VLOOKUP(OP!$C$55,CV,$Q113+1,0)*OP!$C$28)</f>
        <v>0</v>
      </c>
      <c r="U113" s="324">
        <f ca="1">IF(OR('OP1'!$D$53=1,$Q113=""),0,VLOOKUP('OP1'!$C$55,_DIE1,$Q113+1,0)*'OP1'!$C$28)</f>
        <v>0</v>
      </c>
      <c r="V113" s="324">
        <f ca="1">IF(OR('OP1'!$D$53=1,$Q113="",VLOOKUP(Q113,DINS,5,0)=0),0,'OP1'!$C$28*10000*0.5)</f>
        <v>0</v>
      </c>
      <c r="W113" s="324">
        <f ca="1">IF(OR('OP1'!$D$53=1,$Q113=""),0,VLOOKUP('OP1'!$C$55,CV_1,$Q113+1,0)*'OP1'!$C$28)</f>
        <v>0</v>
      </c>
      <c r="X113" s="324">
        <f t="shared" ca="1" si="8"/>
        <v>0</v>
      </c>
      <c r="Y113" s="324">
        <f ca="1">IF(OR(OP!$D$53=1,$Q113=""),0,VLOOKUP(OP!$C$55,DIE,$Q113+1,0)*OP!$C$28)</f>
        <v>0</v>
      </c>
      <c r="Z113" s="324">
        <f ca="1">IF(OR(OP!$D$53=1,$Q113=""),0,VLOOKUP(OP!$C$55,DIE,$Q113+1,0)*OP!$C$28*2)</f>
        <v>0</v>
      </c>
      <c r="AA113" s="324">
        <f ca="1">IF(OR(OP!$D$53=1,$Q113=""),0,VLOOKUP(OP!$C$55,DIE,$Q113+1,0)*OP!$C$28*2)</f>
        <v>0</v>
      </c>
      <c r="AB113" s="324">
        <f ca="1">IF(OR(OP!$D$53=1,$Q213=""),0,VLOOKUP(OP!$C$55,DIE,$Q113+1,0)*OP!$C$28*2)</f>
        <v>0</v>
      </c>
      <c r="AC113" s="324">
        <f ca="1">IF(OR(OP!$D$53=1,$Q113=""),0,VLOOKUP(OP!$C$55,DIE,$Q113+1,0)*OP!$C$28*2)</f>
        <v>0</v>
      </c>
      <c r="AD113" s="324">
        <f ca="1">IF(OR(ROP!$C$33=1,$Q113=""),0,VLOOKUP(ROP!$C$39,AORCV,$Q113+1,0)*ROP!$C$30)</f>
        <v>0</v>
      </c>
      <c r="AE113" s="324">
        <f t="shared" ca="1" si="9"/>
        <v>0</v>
      </c>
      <c r="AF113" s="324">
        <f ca="1">IF(OR('OP1'!$D$53=1,$Q113=""),0,VLOOKUP('OP1'!$C$55,HL_1,$Q113+1,0)*'OP1'!$C$28)</f>
        <v>0</v>
      </c>
      <c r="AG113" s="324">
        <f ca="1">IF(OR('OP1'!$D$53=1,$Q113=""),0,VLOOKUP('OP1'!$C$55,HL,$Q113+1,0)*'OP1'!$C$28)</f>
        <v>0</v>
      </c>
    </row>
    <row r="114" spans="2:33" ht="16.5" hidden="1">
      <c r="B114" s="72" t="str">
        <f ca="1">IF(OR(B113&gt;=OP!$C$57,B113=""),"",IF(C113+1&gt;81,81-C113,B113+1))</f>
        <v/>
      </c>
      <c r="C114" s="72" t="str">
        <f ca="1">IF(OR(MAX(B$21:$B113)&gt;=OP!$C$57),"",C113+(B114-B113))</f>
        <v/>
      </c>
      <c r="D114" s="324"/>
      <c r="E114" s="324"/>
      <c r="F114" s="324"/>
      <c r="G114" s="324"/>
      <c r="H114" s="324"/>
      <c r="I114" s="324"/>
      <c r="J114" s="324"/>
      <c r="K114" s="324"/>
      <c r="L114" s="324"/>
      <c r="M114" s="324">
        <f t="shared" si="12"/>
        <v>0</v>
      </c>
      <c r="Q114" s="300" t="str">
        <f t="shared" ca="1" si="10"/>
        <v/>
      </c>
      <c r="R114" s="300" t="str">
        <f t="shared" ca="1" si="11"/>
        <v/>
      </c>
      <c r="S114" s="324">
        <f ca="1">IF(OR(OP!$D$53=1,$Q114=""),0,VLOOKUP(OP!$C$55,DIE,$Q114+1,0)*OP!$C$28)</f>
        <v>0</v>
      </c>
      <c r="T114" s="324">
        <f ca="1">IF(OR(OP!$D$53=1,$Q114=""),0,VLOOKUP(OP!$C$55,CV,$Q114+1,0)*OP!$C$28)</f>
        <v>0</v>
      </c>
      <c r="U114" s="324">
        <f ca="1">IF(OR('OP1'!$D$53=1,$Q114=""),0,VLOOKUP('OP1'!$C$55,_DIE1,$Q114+1,0)*'OP1'!$C$28)</f>
        <v>0</v>
      </c>
      <c r="V114" s="324">
        <f ca="1">IF(OR('OP1'!$D$53=1,$Q114="",VLOOKUP(Q114,DINS,5,0)=0),0,'OP1'!$C$28*10000*0.5)</f>
        <v>0</v>
      </c>
      <c r="W114" s="324">
        <f ca="1">IF(OR('OP1'!$D$53=1,$Q114=""),0,VLOOKUP('OP1'!$C$55,CV_1,$Q114+1,0)*'OP1'!$C$28)</f>
        <v>0</v>
      </c>
      <c r="X114" s="324">
        <f t="shared" ca="1" si="8"/>
        <v>0</v>
      </c>
      <c r="Y114" s="324">
        <f ca="1">IF(OR(OP!$D$53=1,$Q114=""),0,VLOOKUP(OP!$C$55,DIE,$Q114+1,0)*OP!$C$28)</f>
        <v>0</v>
      </c>
      <c r="Z114" s="324">
        <f ca="1">IF(OR(OP!$D$53=1,$Q114=""),0,VLOOKUP(OP!$C$55,DIE,$Q114+1,0)*OP!$C$28*2)</f>
        <v>0</v>
      </c>
      <c r="AA114" s="324">
        <f ca="1">IF(OR(OP!$D$53=1,$Q114=""),0,VLOOKUP(OP!$C$55,DIE,$Q114+1,0)*OP!$C$28*2)</f>
        <v>0</v>
      </c>
      <c r="AB114" s="324">
        <f ca="1">IF(OR(OP!$D$53=1,$Q214=""),0,VLOOKUP(OP!$C$55,DIE,$Q114+1,0)*OP!$C$28*2)</f>
        <v>0</v>
      </c>
      <c r="AC114" s="324">
        <f ca="1">IF(OR(OP!$D$53=1,$Q114=""),0,VLOOKUP(OP!$C$55,DIE,$Q114+1,0)*OP!$C$28*2)</f>
        <v>0</v>
      </c>
      <c r="AD114" s="324">
        <f ca="1">IF(OR(ROP!$C$33=1,$Q114=""),0,VLOOKUP(ROP!$C$39,AORCV,$Q114+1,0)*ROP!$C$30)</f>
        <v>0</v>
      </c>
      <c r="AE114" s="324">
        <f t="shared" ca="1" si="9"/>
        <v>0</v>
      </c>
      <c r="AF114" s="324">
        <f ca="1">IF(OR('OP1'!$D$53=1,$Q114=""),0,VLOOKUP('OP1'!$C$55,HL_1,$Q114+1,0)*'OP1'!$C$28)</f>
        <v>0</v>
      </c>
      <c r="AG114" s="324">
        <f ca="1">IF(OR('OP1'!$D$53=1,$Q114=""),0,VLOOKUP('OP1'!$C$55,HL,$Q114+1,0)*'OP1'!$C$28)</f>
        <v>0</v>
      </c>
    </row>
    <row r="115" spans="2:33" ht="16.5" hidden="1">
      <c r="B115" s="72" t="str">
        <f ca="1">IF(OR(B114&gt;=OP!$C$57,B114=""),"",IF(C114+1&gt;81,81-C114,B114+1))</f>
        <v/>
      </c>
      <c r="C115" s="72" t="str">
        <f ca="1">IF(OR(MAX(B$21:$B114)&gt;=OP!$C$57),"",C114+(B115-B114))</f>
        <v/>
      </c>
      <c r="D115" s="324"/>
      <c r="E115" s="324"/>
      <c r="F115" s="324"/>
      <c r="G115" s="324"/>
      <c r="H115" s="324"/>
      <c r="I115" s="324"/>
      <c r="J115" s="324"/>
      <c r="K115" s="324"/>
      <c r="L115" s="324"/>
      <c r="M115" s="324">
        <f t="shared" si="12"/>
        <v>0</v>
      </c>
      <c r="Q115" s="300" t="str">
        <f t="shared" ca="1" si="10"/>
        <v/>
      </c>
      <c r="R115" s="300" t="str">
        <f t="shared" ca="1" si="11"/>
        <v/>
      </c>
      <c r="S115" s="324">
        <f ca="1">IF(OR(OP!$D$53=1,$Q115=""),0,VLOOKUP(OP!$C$55,DIE,$Q115+1,0)*OP!$C$28)</f>
        <v>0</v>
      </c>
      <c r="T115" s="324">
        <f ca="1">IF(OR(OP!$D$53=1,$Q115=""),0,VLOOKUP(OP!$C$55,CV,$Q115+1,0)*OP!$C$28)</f>
        <v>0</v>
      </c>
      <c r="U115" s="324">
        <f ca="1">IF(OR('OP1'!$D$53=1,$Q115=""),0,VLOOKUP('OP1'!$C$55,_DIE1,$Q115+1,0)*'OP1'!$C$28)</f>
        <v>0</v>
      </c>
      <c r="V115" s="324">
        <f ca="1">IF(OR('OP1'!$D$53=1,$Q115="",VLOOKUP(Q115,DINS,5,0)=0),0,'OP1'!$C$28*10000*0.5)</f>
        <v>0</v>
      </c>
      <c r="W115" s="324">
        <f ca="1">IF(OR('OP1'!$D$53=1,$Q115=""),0,VLOOKUP('OP1'!$C$55,CV_1,$Q115+1,0)*'OP1'!$C$28)</f>
        <v>0</v>
      </c>
      <c r="X115" s="324">
        <f t="shared" ca="1" si="8"/>
        <v>0</v>
      </c>
      <c r="Y115" s="324">
        <f ca="1">IF(OR(OP!$D$53=1,$Q115=""),0,VLOOKUP(OP!$C$55,DIE,$Q115+1,0)*OP!$C$28)</f>
        <v>0</v>
      </c>
      <c r="Z115" s="324">
        <f ca="1">IF(OR(OP!$D$53=1,$Q115=""),0,VLOOKUP(OP!$C$55,DIE,$Q115+1,0)*OP!$C$28*2)</f>
        <v>0</v>
      </c>
      <c r="AA115" s="324">
        <f ca="1">IF(OR(OP!$D$53=1,$Q115=""),0,VLOOKUP(OP!$C$55,DIE,$Q115+1,0)*OP!$C$28*2)</f>
        <v>0</v>
      </c>
      <c r="AB115" s="324">
        <f ca="1">IF(OR(OP!$D$53=1,$Q215=""),0,VLOOKUP(OP!$C$55,DIE,$Q115+1,0)*OP!$C$28*2)</f>
        <v>0</v>
      </c>
      <c r="AC115" s="324">
        <f ca="1">IF(OR(OP!$D$53=1,$Q115=""),0,VLOOKUP(OP!$C$55,DIE,$Q115+1,0)*OP!$C$28*2)</f>
        <v>0</v>
      </c>
      <c r="AD115" s="324">
        <f ca="1">IF(OR(ROP!$C$33=1,$Q115=""),0,VLOOKUP(ROP!$C$39,AORCV,$Q115+1,0)*ROP!$C$30)</f>
        <v>0</v>
      </c>
      <c r="AE115" s="324">
        <f t="shared" ca="1" si="9"/>
        <v>0</v>
      </c>
      <c r="AF115" s="324">
        <f ca="1">IF(OR('OP1'!$D$53=1,$Q115=""),0,VLOOKUP('OP1'!$C$55,HL_1,$Q115+1,0)*'OP1'!$C$28)</f>
        <v>0</v>
      </c>
      <c r="AG115" s="324">
        <f ca="1">IF(OR('OP1'!$D$53=1,$Q115=""),0,VLOOKUP('OP1'!$C$55,HL,$Q115+1,0)*'OP1'!$C$28)</f>
        <v>0</v>
      </c>
    </row>
    <row r="116" spans="2:33" ht="16.5" hidden="1">
      <c r="B116" s="72" t="str">
        <f ca="1">IF(OR(B115&gt;=OP!$C$57,B115=""),"",IF(C115+1&gt;81,81-C115,B115+1))</f>
        <v/>
      </c>
      <c r="C116" s="72" t="str">
        <f ca="1">IF(OR(MAX(B$21:$B115)&gt;=OP!$C$57),"",C115+(B116-B115))</f>
        <v/>
      </c>
      <c r="D116" s="324"/>
      <c r="E116" s="324"/>
      <c r="F116" s="324"/>
      <c r="G116" s="324"/>
      <c r="H116" s="324"/>
      <c r="I116" s="324"/>
      <c r="J116" s="324"/>
      <c r="K116" s="324"/>
      <c r="L116" s="324"/>
      <c r="M116" s="324">
        <f t="shared" si="12"/>
        <v>0</v>
      </c>
      <c r="Q116" s="300" t="str">
        <f t="shared" ca="1" si="10"/>
        <v/>
      </c>
      <c r="R116" s="300" t="str">
        <f t="shared" ca="1" si="11"/>
        <v/>
      </c>
      <c r="S116" s="324">
        <f ca="1">IF(OR(OP!$D$53=1,$Q116=""),0,VLOOKUP(OP!$C$55,DIE,$Q116+1,0)*OP!$C$28)</f>
        <v>0</v>
      </c>
      <c r="T116" s="324">
        <f ca="1">IF(OR(OP!$D$53=1,$Q116=""),0,VLOOKUP(OP!$C$55,CV,$Q116+1,0)*OP!$C$28)</f>
        <v>0</v>
      </c>
      <c r="U116" s="324">
        <f ca="1">IF(OR('OP1'!$D$53=1,$Q116=""),0,VLOOKUP('OP1'!$C$55,_DIE1,$Q116+1,0)*'OP1'!$C$28)</f>
        <v>0</v>
      </c>
      <c r="V116" s="324">
        <f ca="1">IF(OR('OP1'!$D$53=1,$Q116="",VLOOKUP(Q116,DINS,5,0)=0),0,'OP1'!$C$28*10000*0.5)</f>
        <v>0</v>
      </c>
      <c r="W116" s="324">
        <f ca="1">IF(OR('OP1'!$D$53=1,$Q116=""),0,VLOOKUP('OP1'!$C$55,CV_1,$Q116+1,0)*'OP1'!$C$28)</f>
        <v>0</v>
      </c>
      <c r="X116" s="324">
        <f t="shared" ca="1" si="8"/>
        <v>0</v>
      </c>
      <c r="Y116" s="324">
        <f ca="1">IF(OR(OP!$D$53=1,$Q116=""),0,VLOOKUP(OP!$C$55,DIE,$Q116+1,0)*OP!$C$28)</f>
        <v>0</v>
      </c>
      <c r="Z116" s="324">
        <f ca="1">IF(OR(OP!$D$53=1,$Q116=""),0,VLOOKUP(OP!$C$55,DIE,$Q116+1,0)*OP!$C$28*2)</f>
        <v>0</v>
      </c>
      <c r="AA116" s="324">
        <f ca="1">IF(OR(OP!$D$53=1,$Q116=""),0,VLOOKUP(OP!$C$55,DIE,$Q116+1,0)*OP!$C$28*2)</f>
        <v>0</v>
      </c>
      <c r="AB116" s="324">
        <f ca="1">IF(OR(OP!$D$53=1,$Q216=""),0,VLOOKUP(OP!$C$55,DIE,$Q116+1,0)*OP!$C$28*2)</f>
        <v>0</v>
      </c>
      <c r="AC116" s="324">
        <f ca="1">IF(OR(OP!$D$53=1,$Q116=""),0,VLOOKUP(OP!$C$55,DIE,$Q116+1,0)*OP!$C$28*2)</f>
        <v>0</v>
      </c>
      <c r="AD116" s="324">
        <f ca="1">IF(OR(ROP!$C$33=1,$Q116=""),0,VLOOKUP(ROP!$C$39,AORCV,$Q116+1,0)*ROP!$C$30)</f>
        <v>0</v>
      </c>
      <c r="AE116" s="324">
        <f t="shared" ca="1" si="9"/>
        <v>0</v>
      </c>
      <c r="AF116" s="324">
        <f ca="1">IF(OR('OP1'!$D$53=1,$Q116=""),0,VLOOKUP('OP1'!$C$55,HL_1,$Q116+1,0)*'OP1'!$C$28)</f>
        <v>0</v>
      </c>
      <c r="AG116" s="324">
        <f ca="1">IF(OR('OP1'!$D$53=1,$Q116=""),0,VLOOKUP('OP1'!$C$55,HL,$Q116+1,0)*'OP1'!$C$28)</f>
        <v>0</v>
      </c>
    </row>
    <row r="117" spans="2:33" ht="16.5" hidden="1">
      <c r="B117" s="72" t="str">
        <f ca="1">IF(OR(B116&gt;=OP!$C$57,B116=""),"",IF(C116+1&gt;81,81-C116,B116+1))</f>
        <v/>
      </c>
      <c r="C117" s="72" t="str">
        <f ca="1">IF(OR(MAX(B$21:$B116)&gt;=OP!$C$57),"",C116+(B117-B116))</f>
        <v/>
      </c>
      <c r="D117" s="324"/>
      <c r="E117" s="324"/>
      <c r="F117" s="324"/>
      <c r="G117" s="324"/>
      <c r="H117" s="324"/>
      <c r="I117" s="324"/>
      <c r="J117" s="324"/>
      <c r="K117" s="324"/>
      <c r="L117" s="324"/>
      <c r="M117" s="324">
        <f t="shared" si="12"/>
        <v>0</v>
      </c>
      <c r="Q117" s="300" t="str">
        <f t="shared" ca="1" si="10"/>
        <v/>
      </c>
      <c r="R117" s="300" t="str">
        <f t="shared" ca="1" si="11"/>
        <v/>
      </c>
      <c r="S117" s="324">
        <f ca="1">IF(OR(OP!$D$53=1,$Q117=""),0,VLOOKUP(OP!$C$55,DIE,$Q117+1,0)*OP!$C$28)</f>
        <v>0</v>
      </c>
      <c r="T117" s="324">
        <f ca="1">IF(OR(OP!$D$53=1,$Q117=""),0,VLOOKUP(OP!$C$55,CV,$Q117+1,0)*OP!$C$28)</f>
        <v>0</v>
      </c>
      <c r="U117" s="324">
        <f ca="1">IF(OR('OP1'!$D$53=1,$Q117=""),0,VLOOKUP('OP1'!$C$55,_DIE1,$Q117+1,0)*'OP1'!$C$28)</f>
        <v>0</v>
      </c>
      <c r="V117" s="324">
        <f ca="1">IF(OR('OP1'!$D$53=1,$Q117="",VLOOKUP(Q117,DINS,5,0)=0),0,'OP1'!$C$28*10000*0.5)</f>
        <v>0</v>
      </c>
      <c r="W117" s="324">
        <f ca="1">IF(OR('OP1'!$D$53=1,$Q117=""),0,VLOOKUP('OP1'!$C$55,CV_1,$Q117+1,0)*'OP1'!$C$28)</f>
        <v>0</v>
      </c>
      <c r="X117" s="324">
        <f t="shared" ca="1" si="8"/>
        <v>0</v>
      </c>
      <c r="Y117" s="324">
        <f ca="1">IF(OR(OP!$D$53=1,$Q117=""),0,VLOOKUP(OP!$C$55,DIE,$Q117+1,0)*OP!$C$28)</f>
        <v>0</v>
      </c>
      <c r="Z117" s="324">
        <f ca="1">IF(OR(OP!$D$53=1,$Q117=""),0,VLOOKUP(OP!$C$55,DIE,$Q117+1,0)*OP!$C$28*2)</f>
        <v>0</v>
      </c>
      <c r="AA117" s="324">
        <f ca="1">IF(OR(OP!$D$53=1,$Q117=""),0,VLOOKUP(OP!$C$55,DIE,$Q117+1,0)*OP!$C$28*2)</f>
        <v>0</v>
      </c>
      <c r="AB117" s="324">
        <f ca="1">IF(OR(OP!$D$53=1,$Q217=""),0,VLOOKUP(OP!$C$55,DIE,$Q117+1,0)*OP!$C$28*2)</f>
        <v>0</v>
      </c>
      <c r="AC117" s="324">
        <f ca="1">IF(OR(OP!$D$53=1,$Q117=""),0,VLOOKUP(OP!$C$55,DIE,$Q117+1,0)*OP!$C$28*2)</f>
        <v>0</v>
      </c>
      <c r="AD117" s="324">
        <f ca="1">IF(OR(ROP!$C$33=1,$Q117=""),0,VLOOKUP(ROP!$C$39,AORCV,$Q117+1,0)*ROP!$C$30)</f>
        <v>0</v>
      </c>
      <c r="AE117" s="324">
        <f t="shared" ca="1" si="9"/>
        <v>0</v>
      </c>
      <c r="AF117" s="324">
        <f ca="1">IF(OR('OP1'!$D$53=1,$Q117=""),0,VLOOKUP('OP1'!$C$55,HL_1,$Q117+1,0)*'OP1'!$C$28)</f>
        <v>0</v>
      </c>
      <c r="AG117" s="324">
        <f ca="1">IF(OR('OP1'!$D$53=1,$Q117=""),0,VLOOKUP('OP1'!$C$55,HL,$Q117+1,0)*'OP1'!$C$28)</f>
        <v>0</v>
      </c>
    </row>
    <row r="118" spans="2:33" ht="16.5" hidden="1">
      <c r="B118" s="72" t="str">
        <f ca="1">IF(OR(B117&gt;=OP!$C$57,B117=""),"",IF(C117+1&gt;81,81-C117,B117+1))</f>
        <v/>
      </c>
      <c r="C118" s="72" t="str">
        <f ca="1">IF(OR(MAX(B$21:$B117)&gt;=OP!$C$57),"",C117+(B118-B117))</f>
        <v/>
      </c>
      <c r="D118" s="324"/>
      <c r="E118" s="324"/>
      <c r="F118" s="324"/>
      <c r="G118" s="324"/>
      <c r="H118" s="324"/>
      <c r="I118" s="324"/>
      <c r="J118" s="324"/>
      <c r="K118" s="324"/>
      <c r="L118" s="324"/>
      <c r="M118" s="324">
        <f t="shared" si="12"/>
        <v>0</v>
      </c>
      <c r="Q118" s="300" t="str">
        <f t="shared" ca="1" si="10"/>
        <v/>
      </c>
      <c r="R118" s="300" t="str">
        <f t="shared" ca="1" si="11"/>
        <v/>
      </c>
      <c r="S118" s="324">
        <f ca="1">IF(OR(OP!$D$53=1,$Q118=""),0,VLOOKUP(OP!$C$55,DIE,$Q118+1,0)*OP!$C$28)</f>
        <v>0</v>
      </c>
      <c r="T118" s="324">
        <f ca="1">IF(OR(OP!$D$53=1,$Q118=""),0,VLOOKUP(OP!$C$55,CV,$Q118+1,0)*OP!$C$28)</f>
        <v>0</v>
      </c>
      <c r="U118" s="324">
        <f ca="1">IF(OR('OP1'!$D$53=1,$Q118=""),0,VLOOKUP('OP1'!$C$55,_DIE1,$Q118+1,0)*'OP1'!$C$28)</f>
        <v>0</v>
      </c>
      <c r="V118" s="324">
        <f ca="1">IF(OR('OP1'!$D$53=1,$Q118="",VLOOKUP(Q118,DINS,5,0)=0),0,'OP1'!$C$28*10000*0.5)</f>
        <v>0</v>
      </c>
      <c r="W118" s="324">
        <f ca="1">IF(OR('OP1'!$D$53=1,$Q118=""),0,VLOOKUP('OP1'!$C$55,CV_1,$Q118+1,0)*'OP1'!$C$28)</f>
        <v>0</v>
      </c>
      <c r="X118" s="324">
        <f t="shared" ca="1" si="8"/>
        <v>0</v>
      </c>
      <c r="Y118" s="324">
        <f ca="1">IF(OR(OP!$D$53=1,$Q118=""),0,VLOOKUP(OP!$C$55,DIE,$Q118+1,0)*OP!$C$28)</f>
        <v>0</v>
      </c>
      <c r="Z118" s="324">
        <f ca="1">IF(OR(OP!$D$53=1,$Q118=""),0,VLOOKUP(OP!$C$55,DIE,$Q118+1,0)*OP!$C$28*2)</f>
        <v>0</v>
      </c>
      <c r="AA118" s="324">
        <f ca="1">IF(OR(OP!$D$53=1,$Q118=""),0,VLOOKUP(OP!$C$55,DIE,$Q118+1,0)*OP!$C$28*2)</f>
        <v>0</v>
      </c>
      <c r="AB118" s="324">
        <f ca="1">IF(OR(OP!$D$53=1,$Q218=""),0,VLOOKUP(OP!$C$55,DIE,$Q118+1,0)*OP!$C$28*2)</f>
        <v>0</v>
      </c>
      <c r="AC118" s="324">
        <f ca="1">IF(OR(OP!$D$53=1,$Q118=""),0,VLOOKUP(OP!$C$55,DIE,$Q118+1,0)*OP!$C$28*2)</f>
        <v>0</v>
      </c>
      <c r="AD118" s="324">
        <f ca="1">IF(OR(ROP!$C$33=1,$Q118=""),0,VLOOKUP(ROP!$C$39,AORCV,$Q118+1,0)*ROP!$C$30)</f>
        <v>0</v>
      </c>
      <c r="AE118" s="324">
        <f t="shared" ca="1" si="9"/>
        <v>0</v>
      </c>
      <c r="AF118" s="324">
        <f ca="1">IF(OR('OP1'!$D$53=1,$Q118=""),0,VLOOKUP('OP1'!$C$55,HL_1,$Q118+1,0)*'OP1'!$C$28)</f>
        <v>0</v>
      </c>
      <c r="AG118" s="324">
        <f ca="1">IF(OR('OP1'!$D$53=1,$Q118=""),0,VLOOKUP('OP1'!$C$55,HL,$Q118+1,0)*'OP1'!$C$28)</f>
        <v>0</v>
      </c>
    </row>
    <row r="119" spans="2:33" ht="16.5" hidden="1">
      <c r="B119" s="72" t="str">
        <f ca="1">IF(OR(B118&gt;=OP!$C$57,B118=""),"",IF(C118+1&gt;81,81-C118,B118+1))</f>
        <v/>
      </c>
      <c r="C119" s="72" t="str">
        <f ca="1">IF(OR(MAX(B$21:$B118)&gt;=OP!$C$57),"",C118+(B119-B118))</f>
        <v/>
      </c>
      <c r="D119" s="324"/>
      <c r="E119" s="324"/>
      <c r="F119" s="324"/>
      <c r="G119" s="324"/>
      <c r="H119" s="324"/>
      <c r="I119" s="324"/>
      <c r="J119" s="324"/>
      <c r="K119" s="324"/>
      <c r="L119" s="324"/>
      <c r="M119" s="324">
        <f t="shared" si="12"/>
        <v>0</v>
      </c>
      <c r="Q119" s="300" t="str">
        <f t="shared" ca="1" si="10"/>
        <v/>
      </c>
      <c r="R119" s="300" t="str">
        <f t="shared" ca="1" si="11"/>
        <v/>
      </c>
      <c r="S119" s="324">
        <f ca="1">IF(OR(OP!$D$53=1,$Q119=""),0,VLOOKUP(OP!$C$55,DIE,$Q119+1,0)*OP!$C$28)</f>
        <v>0</v>
      </c>
      <c r="T119" s="324">
        <f ca="1">IF(OR(OP!$D$53=1,$Q119=""),0,VLOOKUP(OP!$C$55,CV,$Q119+1,0)*OP!$C$28)</f>
        <v>0</v>
      </c>
      <c r="U119" s="324">
        <f ca="1">IF(OR('OP1'!$D$53=1,$Q119=""),0,VLOOKUP('OP1'!$C$55,_DIE1,$Q119+1,0)*'OP1'!$C$28)</f>
        <v>0</v>
      </c>
      <c r="V119" s="324">
        <f ca="1">IF(OR('OP1'!$D$53=1,$Q119="",VLOOKUP(Q119,DINS,5,0)=0),0,'OP1'!$C$28*10000*0.5)</f>
        <v>0</v>
      </c>
      <c r="W119" s="324">
        <f ca="1">IF(OR('OP1'!$D$53=1,$Q119=""),0,VLOOKUP('OP1'!$C$55,CV_1,$Q119+1,0)*'OP1'!$C$28)</f>
        <v>0</v>
      </c>
      <c r="X119" s="324">
        <f t="shared" ca="1" si="8"/>
        <v>0</v>
      </c>
      <c r="Y119" s="324">
        <f ca="1">IF(OR(OP!$D$53=1,$Q119=""),0,VLOOKUP(OP!$C$55,DIE,$Q119+1,0)*OP!$C$28)</f>
        <v>0</v>
      </c>
      <c r="Z119" s="324">
        <f ca="1">IF(OR(OP!$D$53=1,$Q119=""),0,VLOOKUP(OP!$C$55,DIE,$Q119+1,0)*OP!$C$28*2)</f>
        <v>0</v>
      </c>
      <c r="AA119" s="324">
        <f ca="1">IF(OR(OP!$D$53=1,$Q119=""),0,VLOOKUP(OP!$C$55,DIE,$Q119+1,0)*OP!$C$28*2)</f>
        <v>0</v>
      </c>
      <c r="AB119" s="324">
        <f ca="1">IF(OR(OP!$D$53=1,$Q219=""),0,VLOOKUP(OP!$C$55,DIE,$Q119+1,0)*OP!$C$28*2)</f>
        <v>0</v>
      </c>
      <c r="AC119" s="324">
        <f ca="1">IF(OR(OP!$D$53=1,$Q119=""),0,VLOOKUP(OP!$C$55,DIE,$Q119+1,0)*OP!$C$28*2)</f>
        <v>0</v>
      </c>
      <c r="AD119" s="324">
        <f ca="1">IF(OR(ROP!$C$33=1,$Q119=""),0,VLOOKUP(ROP!$C$39,AORCV,$Q119+1,0)*ROP!$C$30)</f>
        <v>0</v>
      </c>
      <c r="AE119" s="324">
        <f t="shared" ca="1" si="9"/>
        <v>0</v>
      </c>
      <c r="AF119" s="324">
        <f ca="1">IF(OR('OP1'!$D$53=1,$Q119=""),0,VLOOKUP('OP1'!$C$55,HL_1,$Q119+1,0)*'OP1'!$C$28)</f>
        <v>0</v>
      </c>
      <c r="AG119" s="324">
        <f ca="1">IF(OR('OP1'!$D$53=1,$Q119=""),0,VLOOKUP('OP1'!$C$55,HL,$Q119+1,0)*'OP1'!$C$28)</f>
        <v>0</v>
      </c>
    </row>
    <row r="120" spans="2:33" ht="16.5" hidden="1">
      <c r="B120" s="72" t="str">
        <f ca="1">IF(OR(B119&gt;=OP!$C$57,B119=""),"",IF(C119+1&gt;81,81-C119,B119+1))</f>
        <v/>
      </c>
      <c r="C120" s="72" t="str">
        <f ca="1">IF(OR(MAX(B$21:$B119)&gt;=OP!$C$57),"",C119+(B120-B119))</f>
        <v/>
      </c>
      <c r="D120" s="324"/>
      <c r="E120" s="324"/>
      <c r="F120" s="324"/>
      <c r="G120" s="324"/>
      <c r="H120" s="324"/>
      <c r="I120" s="324"/>
      <c r="J120" s="324"/>
      <c r="K120" s="324"/>
      <c r="L120" s="324"/>
      <c r="M120" s="324">
        <f t="shared" si="12"/>
        <v>0</v>
      </c>
      <c r="Q120" s="300" t="str">
        <f t="shared" ca="1" si="10"/>
        <v/>
      </c>
      <c r="R120" s="300" t="str">
        <f t="shared" ca="1" si="11"/>
        <v/>
      </c>
      <c r="S120" s="324">
        <f ca="1">IF(OR(OP!$D$53=1,$Q120=""),0,VLOOKUP(OP!$C$55,DIE,$Q120+1,0)*OP!$C$28)</f>
        <v>0</v>
      </c>
      <c r="T120" s="324">
        <f ca="1">IF(OR(OP!$D$53=1,$Q120=""),0,VLOOKUP(OP!$C$55,CV,$Q120+1,0)*OP!$C$28)</f>
        <v>0</v>
      </c>
      <c r="U120" s="324">
        <f ca="1">IF(OR('OP1'!$D$53=1,$Q120=""),0,VLOOKUP('OP1'!$C$55,_DIE1,$Q120+1,0)*'OP1'!$C$28)</f>
        <v>0</v>
      </c>
      <c r="V120" s="324">
        <f ca="1">IF(OR('OP1'!$D$53=1,$Q120="",VLOOKUP(Q120,DINS,5,0)=0),0,'OP1'!$C$28*10000*0.5)</f>
        <v>0</v>
      </c>
      <c r="W120" s="324">
        <f ca="1">IF(OR('OP1'!$D$53=1,$Q120=""),0,VLOOKUP('OP1'!$C$55,CV_1,$Q120+1,0)*'OP1'!$C$28)</f>
        <v>0</v>
      </c>
      <c r="X120" s="324">
        <f t="shared" ca="1" si="8"/>
        <v>0</v>
      </c>
      <c r="Y120" s="324">
        <f ca="1">IF(OR(OP!$D$53=1,$Q120=""),0,VLOOKUP(OP!$C$55,DIE,$Q120+1,0)*OP!$C$28)</f>
        <v>0</v>
      </c>
      <c r="Z120" s="324">
        <f ca="1">IF(OR(OP!$D$53=1,$Q120=""),0,VLOOKUP(OP!$C$55,DIE,$Q120+1,0)*OP!$C$28*2)</f>
        <v>0</v>
      </c>
      <c r="AA120" s="324">
        <f ca="1">IF(OR(OP!$D$53=1,$Q120=""),0,VLOOKUP(OP!$C$55,DIE,$Q120+1,0)*OP!$C$28*2)</f>
        <v>0</v>
      </c>
      <c r="AB120" s="324">
        <f ca="1">IF(OR(OP!$D$53=1,$Q220=""),0,VLOOKUP(OP!$C$55,DIE,$Q120+1,0)*OP!$C$28*2)</f>
        <v>0</v>
      </c>
      <c r="AC120" s="324">
        <f ca="1">IF(OR(OP!$D$53=1,$Q120=""),0,VLOOKUP(OP!$C$55,DIE,$Q120+1,0)*OP!$C$28*2)</f>
        <v>0</v>
      </c>
      <c r="AD120" s="324">
        <f ca="1">IF(OR(ROP!$C$33=1,$Q120=""),0,VLOOKUP(ROP!$C$39,AORCV,$Q120+1,0)*ROP!$C$30)</f>
        <v>0</v>
      </c>
      <c r="AE120" s="324">
        <f t="shared" ca="1" si="9"/>
        <v>0</v>
      </c>
      <c r="AF120" s="324">
        <f ca="1">IF(OR('OP1'!$D$53=1,$Q120=""),0,VLOOKUP('OP1'!$C$55,HL_1,$Q120+1,0)*'OP1'!$C$28)</f>
        <v>0</v>
      </c>
      <c r="AG120" s="324">
        <f ca="1">IF(OR('OP1'!$D$53=1,$Q120=""),0,VLOOKUP('OP1'!$C$55,HL,$Q120+1,0)*'OP1'!$C$28)</f>
        <v>0</v>
      </c>
    </row>
    <row r="121" spans="2:33" ht="16.5" hidden="1">
      <c r="B121" s="72" t="str">
        <f ca="1">IF(OR(B120&gt;=OP!$C$57,B120=""),"",IF(C120+1&gt;81,81-C120,B120+1))</f>
        <v/>
      </c>
      <c r="C121" s="72" t="str">
        <f ca="1">IF(OR(MAX(B$21:$B120)&gt;=OP!$C$57),"",C120+(B121-B120))</f>
        <v/>
      </c>
      <c r="D121" s="324"/>
      <c r="E121" s="324"/>
      <c r="F121" s="324"/>
      <c r="G121" s="324"/>
      <c r="H121" s="324"/>
      <c r="I121" s="324"/>
      <c r="J121" s="324"/>
      <c r="K121" s="324"/>
      <c r="L121" s="324"/>
      <c r="M121" s="324">
        <f t="shared" si="12"/>
        <v>0</v>
      </c>
      <c r="Q121" s="300" t="str">
        <f t="shared" ca="1" si="10"/>
        <v/>
      </c>
      <c r="R121" s="300" t="str">
        <f t="shared" ca="1" si="11"/>
        <v/>
      </c>
      <c r="S121" s="324">
        <f ca="1">IF(OR(OP!$D$53=1,$Q121=""),0,VLOOKUP(OP!$C$55,DIE,$Q121+1,0)*OP!$C$28)</f>
        <v>0</v>
      </c>
      <c r="T121" s="324">
        <f ca="1">IF(OR(OP!$D$53=1,$Q121=""),0,VLOOKUP(OP!$C$55,CV,$Q121+1,0)*OP!$C$28)</f>
        <v>0</v>
      </c>
      <c r="U121" s="324">
        <f ca="1">IF(OR('OP1'!$D$53=1,$Q121=""),0,VLOOKUP('OP1'!$C$55,_DIE1,$Q121+1,0)*'OP1'!$C$28)</f>
        <v>0</v>
      </c>
      <c r="V121" s="324">
        <f ca="1">IF(OR('OP1'!$D$53=1,$Q121="",VLOOKUP(Q121,DINS,5,0)=0),0,'OP1'!$C$28*10000*0.5)</f>
        <v>0</v>
      </c>
      <c r="W121" s="324">
        <f ca="1">IF(OR('OP1'!$D$53=1,$Q121=""),0,VLOOKUP('OP1'!$C$55,CV_1,$Q121+1,0)*'OP1'!$C$28)</f>
        <v>0</v>
      </c>
      <c r="X121" s="324">
        <f t="shared" ca="1" si="8"/>
        <v>0</v>
      </c>
      <c r="Y121" s="324">
        <f ca="1">IF(OR(OP!$D$53=1,$Q121=""),0,VLOOKUP(OP!$C$55,DIE,$Q121+1,0)*OP!$C$28)</f>
        <v>0</v>
      </c>
      <c r="Z121" s="324">
        <f ca="1">IF(OR(OP!$D$53=1,$Q121=""),0,VLOOKUP(OP!$C$55,DIE,$Q121+1,0)*OP!$C$28*2)</f>
        <v>0</v>
      </c>
      <c r="AA121" s="324">
        <f ca="1">IF(OR(OP!$D$53=1,$Q121=""),0,VLOOKUP(OP!$C$55,DIE,$Q121+1,0)*OP!$C$28*2)</f>
        <v>0</v>
      </c>
      <c r="AB121" s="324">
        <f ca="1">IF(OR(OP!$D$53=1,$Q221=""),0,VLOOKUP(OP!$C$55,DIE,$Q121+1,0)*OP!$C$28*2)</f>
        <v>0</v>
      </c>
      <c r="AC121" s="324">
        <f ca="1">IF(OR(OP!$D$53=1,$Q121=""),0,VLOOKUP(OP!$C$55,DIE,$Q121+1,0)*OP!$C$28*2)</f>
        <v>0</v>
      </c>
      <c r="AD121" s="324">
        <f ca="1">IF(OR(ROP!$C$33=1,$Q121=""),0,VLOOKUP(ROP!$C$39,AORCV,$Q121+1,0)*ROP!$C$30)</f>
        <v>0</v>
      </c>
      <c r="AE121" s="324">
        <f t="shared" ca="1" si="9"/>
        <v>0</v>
      </c>
      <c r="AF121" s="324">
        <f ca="1">IF(OR('OP1'!$D$53=1,$Q121=""),0,VLOOKUP('OP1'!$C$55,HL_1,$Q121+1,0)*'OP1'!$C$28)</f>
        <v>0</v>
      </c>
      <c r="AG121" s="324">
        <f ca="1">IF(OR('OP1'!$D$53=1,$Q121=""),0,VLOOKUP('OP1'!$C$55,HL,$Q121+1,0)*'OP1'!$C$28)</f>
        <v>0</v>
      </c>
    </row>
    <row r="122" spans="2:33" ht="16.5" hidden="1">
      <c r="B122" s="301" t="s">
        <v>819</v>
      </c>
      <c r="C122" s="409"/>
      <c r="D122" s="410">
        <f ca="1">IF(OP!$D$53=1,"",SUM(D$21:D$121))</f>
        <v>364330</v>
      </c>
      <c r="E122" s="410">
        <f ca="1">IF('OP1'!$D$53=1,"",SUM(E$21:E$121))</f>
        <v>52470</v>
      </c>
      <c r="F122" s="410" t="str">
        <f ca="1">IF(ROP!$C$33=1,"",SUM(F$21:F$121))</f>
        <v/>
      </c>
      <c r="G122" s="410" t="str">
        <f ca="1">IF(ROP!$D$33=1,"",SUM(G$21:G$121))</f>
        <v/>
      </c>
      <c r="H122" s="410" t="str">
        <f ca="1">IF(ROP!$E$33=1,"",SUM(H$21:H$121))</f>
        <v/>
      </c>
      <c r="I122" s="410" t="str">
        <f ca="1">IF(ROP!$F$33=1,"",SUM(I$21:I$121))</f>
        <v/>
      </c>
      <c r="J122" s="410" t="str">
        <f ca="1">IF(ROP!$G$33=1,"",SUM(J$21:J$121))</f>
        <v/>
      </c>
      <c r="K122" s="301"/>
      <c r="L122" s="301"/>
      <c r="M122" s="410">
        <f ca="1">SUM(D122:J122)</f>
        <v>416800</v>
      </c>
      <c r="R122" s="408">
        <f t="shared" si="11"/>
        <v>0</v>
      </c>
      <c r="AF122" s="324">
        <f ca="1">IF(OR('OP1'!$D$53=1,$Q122=""),0,VLOOKUP('OP1'!$C$55,HL_1,$Q122+1,0)*'OP1'!$C$28)</f>
        <v>0</v>
      </c>
      <c r="AG122" s="324">
        <f ca="1">IF(OR('OP1'!$D$53=1,$Q122=""),0,VLOOKUP('OP1'!$C$55,HL,$Q122+1,0)*'OP1'!$C$28)</f>
        <v>0</v>
      </c>
    </row>
  </sheetData>
  <sheetProtection algorithmName="SHA-512" hashValue="V2Igb5J2pXoYi8YO57eTOn4H47pORZHt/z+M2f5nZ+/6SxC70CXZNkxQ95W9/Se3Q5oJX8oWZRsQMcxz/ns5lg==" saltValue="6oruvqCaC3Hj7AToosOPdA==" spinCount="100000" sheet="1" objects="1" scenarios="1"/>
  <mergeCells count="3">
    <mergeCell ref="AA12:AB12"/>
    <mergeCell ref="AA11:AB11"/>
    <mergeCell ref="Z17:AB1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AL176"/>
  <sheetViews>
    <sheetView topLeftCell="XFD1048576" workbookViewId="0"/>
  </sheetViews>
  <sheetFormatPr defaultColWidth="0" defaultRowHeight="16.5" zeroHeight="1"/>
  <cols>
    <col min="1" max="1" width="12.6640625" style="184" hidden="1"/>
    <col min="2" max="2" width="37.5" style="184" hidden="1"/>
    <col min="3" max="3" width="16.6640625" style="186" hidden="1"/>
    <col min="4" max="4" width="16.83203125" style="186" hidden="1"/>
    <col min="5" max="5" width="17.83203125" style="186" hidden="1"/>
    <col min="6" max="6" width="18.33203125" style="186" hidden="1"/>
    <col min="7" max="7" width="16.5" style="186" hidden="1"/>
    <col min="8" max="8" width="17" style="186" hidden="1"/>
    <col min="9" max="9" width="17.83203125" style="186" hidden="1"/>
    <col min="10" max="10" width="19.5" style="184" hidden="1"/>
    <col min="11" max="11" width="16" style="184" hidden="1"/>
    <col min="12" max="12" width="19.1640625" style="184" hidden="1"/>
    <col min="13" max="13" width="18.83203125" style="184" hidden="1"/>
    <col min="14" max="14" width="49.1640625" style="184" hidden="1"/>
    <col min="15" max="15" width="17.5" style="184" hidden="1"/>
    <col min="16" max="16" width="22" style="184" hidden="1"/>
    <col min="17" max="17" width="17.5" style="184" hidden="1"/>
    <col min="18" max="19" width="9.33203125" style="184" hidden="1"/>
    <col min="20" max="20" width="5.1640625" style="184" hidden="1"/>
    <col min="21" max="21" width="14" style="184" hidden="1"/>
    <col min="22" max="16384" width="9.33203125" style="184" hidden="1"/>
  </cols>
  <sheetData>
    <row r="1" spans="1:22" hidden="1">
      <c r="S1" s="315"/>
      <c r="T1" s="315" t="s">
        <v>714</v>
      </c>
    </row>
    <row r="2" spans="1:22" hidden="1">
      <c r="B2" s="173" t="s">
        <v>175</v>
      </c>
      <c r="C2" s="187">
        <f ca="1">OP!$D$5</f>
        <v>32</v>
      </c>
      <c r="K2" s="62" t="s">
        <v>31</v>
      </c>
      <c r="L2" s="62">
        <v>1</v>
      </c>
      <c r="M2" s="72">
        <v>1</v>
      </c>
      <c r="N2" s="72">
        <v>1</v>
      </c>
      <c r="R2" s="184" t="s">
        <v>1102</v>
      </c>
      <c r="S2" s="243">
        <f ca="1">IF(U2="","",MAX(S1:$S$1)+1)</f>
        <v>1</v>
      </c>
      <c r="T2" s="243"/>
      <c r="U2" s="184" t="str">
        <f ca="1">IF('OP1'!$D$53=1,"",V2)</f>
        <v>富邦人壽家有醫寶重大傷病定期健康保險(V1)(SWUC/SWUD)</v>
      </c>
      <c r="V2" s="349" t="s">
        <v>1116</v>
      </c>
    </row>
    <row r="3" spans="1:22" hidden="1">
      <c r="B3" s="173" t="s">
        <v>176</v>
      </c>
      <c r="C3" s="187">
        <f ca="1">OP!$D$6</f>
        <v>31</v>
      </c>
      <c r="K3" s="62" t="s">
        <v>33</v>
      </c>
      <c r="L3" s="62">
        <v>1</v>
      </c>
      <c r="M3" s="72">
        <v>1</v>
      </c>
      <c r="N3" s="72">
        <v>1</v>
      </c>
      <c r="R3" s="184" t="s">
        <v>1102</v>
      </c>
      <c r="S3" s="243">
        <f ca="1">IF(U3="","",MAX(S$1:$S2)+1)</f>
        <v>2</v>
      </c>
      <c r="T3" s="243"/>
      <c r="U3" s="184" t="str">
        <f ca="1">IF('OP1'!$D$53=1,"",V3)</f>
        <v>給付項目：重大傷病保險金、身故保險金或喪葬費用保險金、完全失能保險金、法定傳染病加護病房保險金、法定傳染病</v>
      </c>
      <c r="V3" s="349" t="s">
        <v>1117</v>
      </c>
    </row>
    <row r="4" spans="1:22" hidden="1">
      <c r="B4" s="173" t="s">
        <v>135</v>
      </c>
      <c r="C4" s="187">
        <f>OP!C18</f>
        <v>1</v>
      </c>
      <c r="K4" s="62" t="s">
        <v>34</v>
      </c>
      <c r="L4" s="62">
        <v>1</v>
      </c>
      <c r="M4" s="72">
        <v>1</v>
      </c>
      <c r="N4" s="72">
        <v>1</v>
      </c>
      <c r="R4" s="184" t="s">
        <v>1102</v>
      </c>
      <c r="S4" s="243">
        <f ca="1">IF(U4="","",MAX(S$1:$S3)+1)</f>
        <v>3</v>
      </c>
      <c r="T4" s="243"/>
      <c r="U4" s="184" t="str">
        <f ca="1">IF('OP1'!$D$53=1,"",V4)</f>
        <v xml:space="preserve">          身故保險金、無理賠回饋保險金</v>
      </c>
      <c r="V4" s="349" t="s">
        <v>1118</v>
      </c>
    </row>
    <row r="5" spans="1:22" hidden="1">
      <c r="B5" s="173" t="s">
        <v>136</v>
      </c>
      <c r="C5" s="187"/>
      <c r="K5" s="62" t="s">
        <v>37</v>
      </c>
      <c r="L5" s="62">
        <v>0.52</v>
      </c>
      <c r="M5" s="72">
        <v>0.5</v>
      </c>
      <c r="N5" s="72">
        <v>2</v>
      </c>
      <c r="R5" s="184" t="s">
        <v>1102</v>
      </c>
      <c r="S5" s="243">
        <f ca="1">IF(U5="","",MAX(S$1:$S4)+1)</f>
        <v>4</v>
      </c>
      <c r="T5" s="243">
        <v>1</v>
      </c>
      <c r="U5" s="184" t="str">
        <f ca="1">IF('OP1'!$D$53=1,"",V5)</f>
        <v>‧本保險為不分紅保險單，不參加紅利分配，並無紅利給付項目。</v>
      </c>
      <c r="V5" s="349" t="s">
        <v>771</v>
      </c>
    </row>
    <row r="6" spans="1:22" hidden="1">
      <c r="B6" s="173" t="s">
        <v>137</v>
      </c>
      <c r="C6" s="187">
        <f>輸入頁!$E$9</f>
        <v>1</v>
      </c>
      <c r="K6" s="62" t="s">
        <v>39</v>
      </c>
      <c r="L6" s="62">
        <v>0.26200000000000001</v>
      </c>
      <c r="M6" s="72">
        <v>0.25</v>
      </c>
      <c r="N6" s="72">
        <v>4</v>
      </c>
      <c r="R6" s="184" t="s">
        <v>1102</v>
      </c>
      <c r="S6" s="243">
        <f ca="1">IF(U6="","",MAX(S$1:$S5)+1)</f>
        <v>5</v>
      </c>
      <c r="T6" s="243">
        <v>1</v>
      </c>
      <c r="U6" s="184" t="str">
        <f ca="1">IF('OP1'!$D$53=1,"",V6)</f>
        <v>‧本保險健康險部分因費率計算已考慮脫退率，故健康險部分無解約金。</v>
      </c>
      <c r="V6" s="349" t="s">
        <v>751</v>
      </c>
    </row>
    <row r="7" spans="1:22" hidden="1">
      <c r="B7" s="173" t="s">
        <v>148</v>
      </c>
      <c r="C7" s="187" t="str">
        <f>OP!$C$22</f>
        <v>AIJ</v>
      </c>
      <c r="D7" s="187" t="str">
        <f>'OP1'!$C$22</f>
        <v>SWUC</v>
      </c>
      <c r="K7" s="62" t="s">
        <v>40</v>
      </c>
      <c r="L7" s="62">
        <v>8.7999999999999995E-2</v>
      </c>
      <c r="M7" s="72">
        <v>8.3333329999999997E-2</v>
      </c>
      <c r="N7" s="72">
        <v>12</v>
      </c>
      <c r="R7" s="184" t="s">
        <v>1102</v>
      </c>
      <c r="S7" s="243">
        <f ca="1">IF(U7="","",MAX(S$1:$S6)+1)</f>
        <v>6</v>
      </c>
      <c r="T7" s="243"/>
      <c r="U7" s="184" t="str">
        <f ca="1">IF('OP1'!$D$53=1,"",V7)</f>
        <v>‧被保險人經醫師首次診斷為重大傷病，並備齊本契約條款所約定申領「重大傷病保險金」之文件，才符合重大傷病保險金</v>
      </c>
      <c r="V7" s="349" t="s">
        <v>1038</v>
      </c>
    </row>
    <row r="8" spans="1:22" hidden="1">
      <c r="B8" s="173" t="s">
        <v>171</v>
      </c>
      <c r="C8" s="187">
        <f>OP!$C$24</f>
        <v>10</v>
      </c>
      <c r="D8" s="187">
        <f>'OP1'!$C$24</f>
        <v>10</v>
      </c>
      <c r="L8" s="184" t="s">
        <v>635</v>
      </c>
      <c r="M8" s="184" t="s">
        <v>1102</v>
      </c>
      <c r="R8" s="184" t="s">
        <v>1102</v>
      </c>
      <c r="S8" s="243">
        <f ca="1">IF(U8="","",MAX(S$1:$S7)+1)</f>
        <v>7</v>
      </c>
      <c r="T8" s="243"/>
      <c r="U8" s="184" t="str">
        <f ca="1">IF('OP1'!$D$53=1,"",V8)</f>
        <v xml:space="preserve">  申領資格。</v>
      </c>
      <c r="V8" s="349" t="s">
        <v>1039</v>
      </c>
    </row>
    <row r="9" spans="1:22" ht="17.25" hidden="1" thickBot="1">
      <c r="B9" s="173" t="s">
        <v>145</v>
      </c>
      <c r="C9" s="187">
        <f>OP!$C$28</f>
        <v>50</v>
      </c>
      <c r="D9" s="187">
        <f>'OP1'!$C$28</f>
        <v>50</v>
      </c>
      <c r="K9" s="102" t="s">
        <v>61</v>
      </c>
      <c r="L9" s="62" t="s">
        <v>62</v>
      </c>
      <c r="M9" s="62" t="s">
        <v>62</v>
      </c>
      <c r="R9" s="184" t="s">
        <v>1102</v>
      </c>
      <c r="S9" s="243">
        <f ca="1">IF(U9="","",MAX(S$1:$S8)+1)</f>
        <v>8</v>
      </c>
      <c r="T9" s="243"/>
      <c r="U9" s="184" t="str">
        <f ca="1">IF('OP1'!$D$53=1,"",V9)</f>
        <v>‧被保險人於投保前曾經取得或投保時正在申請全民健康保險保險人核定重大傷病證明者，或投保前曾經符合屬由診治醫師</v>
      </c>
      <c r="V9" s="349" t="s">
        <v>1040</v>
      </c>
    </row>
    <row r="10" spans="1:22" ht="17.25" hidden="1" thickTop="1">
      <c r="B10" s="173" t="s">
        <v>146</v>
      </c>
      <c r="C10" s="187">
        <v>1</v>
      </c>
      <c r="D10" s="189">
        <v>1</v>
      </c>
      <c r="K10" s="104" t="s">
        <v>64</v>
      </c>
      <c r="L10" s="105">
        <v>0</v>
      </c>
      <c r="M10" s="105">
        <v>0</v>
      </c>
      <c r="R10" s="184" t="s">
        <v>1102</v>
      </c>
      <c r="S10" s="243">
        <f ca="1">IF(U10="","",MAX(S$1:$S9)+1)</f>
        <v>9</v>
      </c>
      <c r="T10" s="243"/>
      <c r="U10" s="184" t="str">
        <f ca="1">IF('OP1'!$D$53=1,"",V10)</f>
        <v xml:space="preserve">  逕行認定，免向全民健康保險保險人申請重大傷病證明，而得免除全民健康保險部分負擔之資格者，或於投保前曾經「區</v>
      </c>
      <c r="V10" s="349" t="s">
        <v>1041</v>
      </c>
    </row>
    <row r="11" spans="1:22" hidden="1">
      <c r="B11" s="173" t="s">
        <v>147</v>
      </c>
      <c r="C11" s="187">
        <f>C9*C10</f>
        <v>50</v>
      </c>
      <c r="D11" s="187">
        <f>D9*D10</f>
        <v>50</v>
      </c>
      <c r="K11" s="106" t="s">
        <v>636</v>
      </c>
      <c r="L11" s="105">
        <v>0.01</v>
      </c>
      <c r="M11" s="105">
        <v>0.01</v>
      </c>
      <c r="R11" s="184" t="s">
        <v>1102</v>
      </c>
      <c r="S11" s="243">
        <f ca="1">IF(U11="","",MAX(S$1:$S10)+1)</f>
        <v>10</v>
      </c>
      <c r="T11" s="243"/>
      <c r="U11" s="184" t="str">
        <f ca="1">IF('OP1'!$D$53=1,"",V11)</f>
        <v xml:space="preserve">  域醫院」層級以上（含）之醫師診斷符合投保當時「全民健康保險重大傷病項目及其證明有效期限」所載之項目者，本公</v>
      </c>
      <c r="V11" s="349" t="s">
        <v>1042</v>
      </c>
    </row>
    <row r="12" spans="1:22" hidden="1">
      <c r="B12" s="173" t="s">
        <v>172</v>
      </c>
      <c r="C12" s="188">
        <f ca="1">MGP</f>
        <v>3550</v>
      </c>
      <c r="D12" s="188">
        <f ca="1">_MGP1</f>
        <v>5300</v>
      </c>
      <c r="K12" s="108" t="s">
        <v>68</v>
      </c>
      <c r="L12" s="105">
        <v>0.01</v>
      </c>
      <c r="M12" s="105">
        <v>0.01</v>
      </c>
      <c r="R12" s="184" t="s">
        <v>1102</v>
      </c>
      <c r="S12" s="243">
        <f ca="1">IF(U12="","",MAX(S$1:$S11)+1)</f>
        <v>11</v>
      </c>
      <c r="T12" s="243"/>
      <c r="U12" s="184" t="str">
        <f ca="1">IF('OP1'!$D$53=1,"",V12)</f>
        <v xml:space="preserve">  司不負給付「重大傷病保險金」的責任。</v>
      </c>
      <c r="V12" s="349" t="s">
        <v>1043</v>
      </c>
    </row>
    <row r="13" spans="1:22" hidden="1">
      <c r="B13" s="173" t="s">
        <v>173</v>
      </c>
      <c r="C13" s="188"/>
      <c r="D13" s="188"/>
      <c r="K13" s="142" t="s">
        <v>102</v>
      </c>
      <c r="L13" s="143">
        <v>0</v>
      </c>
      <c r="M13" s="143">
        <v>0</v>
      </c>
      <c r="R13" s="184" t="s">
        <v>1102</v>
      </c>
      <c r="S13" s="243">
        <f ca="1">IF(U13="","",MAX(S$1:$S12)+1)</f>
        <v>12</v>
      </c>
      <c r="T13" s="243">
        <v>1</v>
      </c>
      <c r="U13" s="184" t="str">
        <f ca="1">IF('OP1'!$D$53=1,"",V13)</f>
        <v>‧等待期間：係指被保險人自本契約生效日起持續有效三十日之期間。但屬條款附表所載「一、需積極或長期治療之癌症」</v>
      </c>
      <c r="V13" s="349" t="s">
        <v>1044</v>
      </c>
    </row>
    <row r="14" spans="1:22" hidden="1">
      <c r="K14" s="118" t="s">
        <v>104</v>
      </c>
      <c r="L14" s="78">
        <v>0</v>
      </c>
      <c r="M14" s="78">
        <v>0</v>
      </c>
      <c r="R14" s="184" t="s">
        <v>1102</v>
      </c>
      <c r="S14" s="243">
        <f ca="1">IF(U14="","",MAX(S$1:$S13)+1)</f>
        <v>13</v>
      </c>
      <c r="T14" s="243">
        <v>1</v>
      </c>
      <c r="U14" s="184" t="str">
        <f ca="1">IF('OP1'!$D$53=1,"",V14)</f>
        <v xml:space="preserve">  之範圍者，則係指被保險人自本契約生效日起持續有效九十日之期間。如為法定傳染病，則係指本契約生效日起持續有效</v>
      </c>
      <c r="V14" s="349" t="s">
        <v>1045</v>
      </c>
    </row>
    <row r="15" spans="1:22" hidden="1">
      <c r="A15" s="173"/>
      <c r="B15" s="173" t="s">
        <v>184</v>
      </c>
      <c r="C15" s="189" t="s">
        <v>188</v>
      </c>
      <c r="D15" s="189" t="s">
        <v>185</v>
      </c>
      <c r="E15" s="189" t="s">
        <v>186</v>
      </c>
      <c r="F15" s="189" t="s">
        <v>187</v>
      </c>
      <c r="G15" s="189" t="s">
        <v>626</v>
      </c>
      <c r="H15" s="189" t="s">
        <v>665</v>
      </c>
      <c r="K15" s="144" t="s">
        <v>72</v>
      </c>
      <c r="L15" s="105">
        <v>0.01</v>
      </c>
      <c r="M15" s="145">
        <v>0.01</v>
      </c>
      <c r="R15" s="184" t="s">
        <v>1102</v>
      </c>
      <c r="S15" s="243">
        <f ca="1">IF(U15="","",MAX(S$1:$S14)+1)</f>
        <v>14</v>
      </c>
      <c r="T15" s="243">
        <v>1</v>
      </c>
      <c r="U15" s="184" t="str">
        <f ca="1">IF('OP1'!$D$53=1,"",V15)</f>
        <v xml:space="preserve">  十四天之期間。</v>
      </c>
      <c r="V15" s="349" t="s">
        <v>1046</v>
      </c>
    </row>
    <row r="16" spans="1:22" ht="17.25" hidden="1" thickBot="1">
      <c r="A16" s="173" t="str">
        <f ca="1">IF(C33=1,"",MAX($A$15:A15)+1)</f>
        <v/>
      </c>
      <c r="B16" s="173" t="str">
        <f>輸入頁!D45</f>
        <v>富邦人壽添守護失能傷害保險附約</v>
      </c>
      <c r="C16" s="189" t="str">
        <f>D35&amp;"年"</f>
        <v>10年</v>
      </c>
      <c r="D16" s="189" t="str">
        <f>C23</f>
        <v>AOR</v>
      </c>
      <c r="E16" s="189" t="str">
        <f>C30&amp;"萬"</f>
        <v>萬</v>
      </c>
      <c r="F16" s="192" t="str">
        <f ca="1">IF(C44=0,"",C44)</f>
        <v/>
      </c>
      <c r="G16" s="189" t="str">
        <f ca="1">C42</f>
        <v/>
      </c>
      <c r="H16" s="189" t="str">
        <f>C22</f>
        <v/>
      </c>
      <c r="K16" s="112" t="s">
        <v>75</v>
      </c>
      <c r="L16" s="105">
        <v>0</v>
      </c>
      <c r="M16" s="105">
        <v>0</v>
      </c>
      <c r="R16" s="184" t="s">
        <v>1102</v>
      </c>
      <c r="S16" s="243">
        <f ca="1">IF(U16="","",MAX(S$1:$S15)+1)</f>
        <v>15</v>
      </c>
      <c r="T16" s="243">
        <v>1</v>
      </c>
      <c r="U16" s="184" t="str">
        <f ca="1">IF('OP1'!$D$53=1,"",V16)</f>
        <v>‧本保險所稱之『住院』，係指被保險人經醫師診斷其法定傳染病必須入住醫院，且正式辦理住院手續並確實在醫院接受診</v>
      </c>
      <c r="V16" s="349" t="s">
        <v>1122</v>
      </c>
    </row>
    <row r="17" spans="1:22" ht="17.25" hidden="1" thickTop="1">
      <c r="A17" s="173" t="str">
        <f ca="1">IF(D33=1,"",MAX($A$15:A16)+1)</f>
        <v/>
      </c>
      <c r="B17" s="173" t="str">
        <f>輸入頁!D55</f>
        <v>富邦人壽十足元氣定期健康保險附約</v>
      </c>
      <c r="C17" s="189" t="str">
        <f>D36&amp;"年"</f>
        <v>10年</v>
      </c>
      <c r="D17" s="189" t="str">
        <f>D23</f>
        <v/>
      </c>
      <c r="E17" s="189" t="s">
        <v>742</v>
      </c>
      <c r="F17" s="192" t="str">
        <f ca="1">IF(D44=0,"",D44)</f>
        <v/>
      </c>
      <c r="G17" s="189" t="str">
        <f ca="1">D42</f>
        <v/>
      </c>
      <c r="H17" s="189" t="str">
        <f>D22</f>
        <v/>
      </c>
      <c r="R17" s="184" t="s">
        <v>1102</v>
      </c>
      <c r="S17" s="243">
        <f ca="1">IF(U17="","",MAX(S$1:$S16)+1)</f>
        <v>16</v>
      </c>
      <c r="T17" s="243">
        <v>1</v>
      </c>
      <c r="U17" s="184" t="str">
        <f ca="1">IF('OP1'!$D$53=1,"",V17)</f>
        <v xml:space="preserve">  療者。保險公司辦理理賠作業於需要時會參據醫學專業意見審核被保險人住院之必要性。</v>
      </c>
      <c r="V17" s="349" t="s">
        <v>1123</v>
      </c>
    </row>
    <row r="18" spans="1:22" hidden="1">
      <c r="A18" s="173" t="str">
        <f ca="1">IF(E33=1,"",MAX($A$15:A17)+1)</f>
        <v/>
      </c>
      <c r="B18" s="173" t="str">
        <f>輸入頁!D65</f>
        <v>富邦人壽日日元氣住院醫療定額健康保險附約</v>
      </c>
      <c r="C18" s="189" t="str">
        <f>E36&amp;"年"</f>
        <v>10年</v>
      </c>
      <c r="D18" s="189" t="str">
        <f>E23</f>
        <v>HNR</v>
      </c>
      <c r="E18" s="189" t="str">
        <f>TEXT(E30,"#,##0")&amp;"元"</f>
        <v>元</v>
      </c>
      <c r="F18" s="192" t="str">
        <f ca="1">IF(E44=0,"",E44)</f>
        <v/>
      </c>
      <c r="G18" s="189" t="str">
        <f ca="1">E42</f>
        <v/>
      </c>
      <c r="H18" s="189" t="str">
        <f>E22</f>
        <v/>
      </c>
      <c r="K18" s="173" t="s">
        <v>627</v>
      </c>
      <c r="L18" s="187">
        <v>1</v>
      </c>
      <c r="R18" s="184" t="s">
        <v>1102</v>
      </c>
      <c r="S18" s="243">
        <f ca="1">IF(U18="","",MAX(S$1:$S17)+1)</f>
        <v>17</v>
      </c>
      <c r="T18" s="243">
        <v>1</v>
      </c>
      <c r="U18" s="184" t="str">
        <f ca="1">IF('OP1'!$D$53=1,"",V18)</f>
        <v>‧本保險重大傷病範圍為「全民健康保險重大傷病項目及其證明有效期限」所載之項目，但不包含以下項目：</v>
      </c>
      <c r="V18" s="349" t="s">
        <v>1047</v>
      </c>
    </row>
    <row r="19" spans="1:22" hidden="1">
      <c r="A19" s="173" t="str">
        <f ca="1">IF(F33=1,"",MAX($A$15:A18)+1)</f>
        <v/>
      </c>
      <c r="B19" s="308" t="str">
        <f>輸入頁!D75</f>
        <v>富邦人壽日日好漾住院醫療定額健康保險附約</v>
      </c>
      <c r="C19" s="189" t="str">
        <f>F36&amp;"年"</f>
        <v>10年</v>
      </c>
      <c r="D19" s="189" t="str">
        <f>F23</f>
        <v>HOR</v>
      </c>
      <c r="E19" s="189" t="str">
        <f>TEXT(F30,"#,##0")&amp;"元"</f>
        <v>元</v>
      </c>
      <c r="F19" s="192" t="str">
        <f ca="1">IF(F44=0,"",F44)</f>
        <v/>
      </c>
      <c r="G19" s="189" t="str">
        <f ca="1">F42</f>
        <v/>
      </c>
      <c r="H19" s="189" t="str">
        <f>F22</f>
        <v/>
      </c>
      <c r="K19" s="173" t="s">
        <v>628</v>
      </c>
      <c r="L19" s="189">
        <f>IF($C$6&gt;5,"",2)</f>
        <v>2</v>
      </c>
      <c r="R19" s="184" t="s">
        <v>1102</v>
      </c>
      <c r="S19" s="243">
        <f ca="1">IF(U19="","",MAX(S$1:$S18)+1)</f>
        <v>18</v>
      </c>
      <c r="T19" s="243">
        <v>1</v>
      </c>
      <c r="U19" s="184" t="str">
        <f ca="1">IF('OP1'!$D$53=1,"",V19)</f>
        <v xml:space="preserve">  (一)遺傳性凝血因子缺乏。(二)先天性新陳代謝異常疾病。(三)心、肺、胃腸、腎臟、神經、骨骼系統等之先天性畸形及</v>
      </c>
      <c r="V19" s="349" t="s">
        <v>1048</v>
      </c>
    </row>
    <row r="20" spans="1:22" hidden="1">
      <c r="A20" s="173" t="str">
        <f ca="1">IF(G33=1,"",MAX($A$15:A19)+1)</f>
        <v/>
      </c>
      <c r="B20" s="173" t="str">
        <f>輸入頁!D85</f>
        <v>富邦人壽愛守護防癌定期健康保險附約</v>
      </c>
      <c r="C20" s="189" t="str">
        <f>G36&amp;"年"</f>
        <v>10年</v>
      </c>
      <c r="D20" s="189" t="str">
        <f>G23</f>
        <v>CLR</v>
      </c>
      <c r="E20" s="189" t="str">
        <f>TEXT(G30,"#,##0")&amp;"元"</f>
        <v>元</v>
      </c>
      <c r="F20" s="192" t="str">
        <f ca="1">IF(G44=0,"",G44)</f>
        <v/>
      </c>
      <c r="G20" s="189" t="str">
        <f ca="1">G42</f>
        <v/>
      </c>
      <c r="H20" s="189" t="str">
        <f>G22</f>
        <v/>
      </c>
      <c r="K20" s="173" t="s">
        <v>629</v>
      </c>
      <c r="L20" s="189">
        <f>IF($C$6&gt;4,"",3)</f>
        <v>3</v>
      </c>
      <c r="R20" s="184" t="s">
        <v>1102</v>
      </c>
      <c r="S20" s="243">
        <f ca="1">IF(U20="","",MAX(S$1:$S19)+1)</f>
        <v>19</v>
      </c>
      <c r="T20" s="243">
        <v>1</v>
      </c>
      <c r="U20" s="184" t="str">
        <f ca="1">IF('OP1'!$D$53=1,"",V20)</f>
        <v xml:space="preserve">  染色體異常。 (四)先天性免疫不全症。 (五)職業病。 (六)先天性肌肉萎縮症。 (七)外皮之先天畸形。</v>
      </c>
      <c r="V20" s="349" t="s">
        <v>1049</v>
      </c>
    </row>
    <row r="21" spans="1:22" hidden="1">
      <c r="A21" s="241" t="str">
        <f ca="1">IF(MAX(A16:A20)&gt;=1,1,"")</f>
        <v/>
      </c>
      <c r="K21" s="173" t="s">
        <v>631</v>
      </c>
      <c r="L21" s="189">
        <f>IF($C$6&gt;3,"",4)</f>
        <v>4</v>
      </c>
      <c r="R21" s="184" t="s">
        <v>1102</v>
      </c>
      <c r="S21" s="243">
        <f ca="1">IF(U21="","",MAX(S$1:$S20)+1)</f>
        <v>20</v>
      </c>
      <c r="T21" s="243">
        <v>1</v>
      </c>
      <c r="U21" s="184" t="str">
        <f ca="1">IF('OP1'!$D$53=1,"",V21)</f>
        <v xml:space="preserve">  (八)早產兒所引起之神經、肌肉、骨骼、心臟、肺臟等之併發症。</v>
      </c>
      <c r="V21" s="349" t="s">
        <v>1050</v>
      </c>
    </row>
    <row r="22" spans="1:22" hidden="1">
      <c r="B22" s="173" t="s">
        <v>634</v>
      </c>
      <c r="C22" s="189" t="str">
        <f>IF(輸入頁!$E$43="AIJ",IF(OP!$D$53=1,"","AIJ"),IF(輸入頁!$E$43="SWUC",IF('OP1'!$D$53=1,"","SWUC"),""))</f>
        <v/>
      </c>
      <c r="D22" s="189" t="str">
        <f>IF(輸入頁!$E$53="AIJ",IF(OP!$D$53=1,"","AIJ"),IF(輸入頁!$E$53="SWUC",IF('OP1'!$D$53=1,"","SWUC"),""))</f>
        <v/>
      </c>
      <c r="E22" s="189" t="str">
        <f>IF(輸入頁!$E$63="AIJ",IF(OP!$D$53=1,"","AIJ"),IF(輸入頁!$E$63="SWUC",IF('OP1'!$D$53=1,"","SWUC"),""))</f>
        <v/>
      </c>
      <c r="F22" s="189" t="str">
        <f>IF(輸入頁!$E$73="AIJ",IF(OP!$D$53=1,"","AIJ"),IF(輸入頁!$E$73="SWUC",IF('OP1'!$D$53=1,"","SWUC"),""))</f>
        <v/>
      </c>
      <c r="G22" s="189" t="str">
        <f>IF(輸入頁!$E$83="AIJ",IF(OP!$D$53=1,"","AIJ"),IF(輸入頁!$E$83="SWUC",IF('OP1'!$D$53=1,"","SWUC"),""))</f>
        <v/>
      </c>
      <c r="H22" s="189"/>
      <c r="I22" s="189"/>
      <c r="K22" s="173" t="s">
        <v>632</v>
      </c>
      <c r="L22" s="189">
        <f>IF($C$6&gt;3,"",4)</f>
        <v>4</v>
      </c>
      <c r="R22" s="184" t="s">
        <v>1102</v>
      </c>
      <c r="S22" s="243">
        <f ca="1">IF(U22="","",MAX(S$1:$S21)+1)</f>
        <v>21</v>
      </c>
      <c r="T22" s="243"/>
      <c r="U22" s="184" t="str">
        <f ca="1">IF('OP1'!$D$53=1,"",V22)</f>
        <v>‧法定傳染病：係指被保險人發生符合中央衛生主管機關依傳染病防治法第三條規定所稱之傳染病。</v>
      </c>
      <c r="V22" s="349" t="s">
        <v>1054</v>
      </c>
    </row>
    <row r="23" spans="1:22" hidden="1">
      <c r="B23" s="173" t="s">
        <v>138</v>
      </c>
      <c r="C23" s="189" t="s">
        <v>633</v>
      </c>
      <c r="D23" s="189" t="str">
        <f>D30</f>
        <v/>
      </c>
      <c r="E23" s="189" t="s">
        <v>643</v>
      </c>
      <c r="F23" s="189" t="s">
        <v>1021</v>
      </c>
      <c r="G23" s="189" t="s">
        <v>661</v>
      </c>
      <c r="H23" s="189"/>
      <c r="I23" s="194" t="s">
        <v>174</v>
      </c>
      <c r="K23" s="199"/>
      <c r="L23" s="199"/>
      <c r="M23" s="199"/>
      <c r="R23" s="184" t="s">
        <v>1102</v>
      </c>
      <c r="S23" s="243">
        <f ca="1">IF(U23="","",MAX(S$1:$S22)+1)</f>
        <v>22</v>
      </c>
      <c r="T23" s="243"/>
      <c r="U23" s="184" t="str">
        <f ca="1">IF('OP1'!$D$53=1,"",V23)</f>
        <v>‧保險給付的限制：本公司依條款約定給付「身故保險金或喪葬費用保險金」者，除同時符合條款約定而應另給付「法</v>
      </c>
      <c r="V23" s="349" t="s">
        <v>1051</v>
      </c>
    </row>
    <row r="24" spans="1:22" hidden="1">
      <c r="B24" s="173" t="s">
        <v>672</v>
      </c>
      <c r="C24" s="318">
        <f t="shared" ref="C24:H24" si="0">IF(OR(C22="不附加",C22=""),1,IF(AND(C22="AIJ",$C$9=0),1,IF(AND(C22="SWUC",$D$9=0),1,"")))</f>
        <v>1</v>
      </c>
      <c r="D24" s="318">
        <f t="shared" si="0"/>
        <v>1</v>
      </c>
      <c r="E24" s="318">
        <f t="shared" si="0"/>
        <v>1</v>
      </c>
      <c r="F24" s="318">
        <f t="shared" si="0"/>
        <v>1</v>
      </c>
      <c r="G24" s="318">
        <f t="shared" si="0"/>
        <v>1</v>
      </c>
      <c r="H24" s="318">
        <f t="shared" si="0"/>
        <v>1</v>
      </c>
      <c r="I24" s="194"/>
      <c r="K24" s="199"/>
      <c r="L24" s="199"/>
      <c r="M24" s="199"/>
      <c r="R24" s="184" t="s">
        <v>1102</v>
      </c>
      <c r="S24" s="243">
        <f ca="1">IF(U24="","",MAX(S$1:$S23)+1)</f>
        <v>23</v>
      </c>
      <c r="T24" s="243"/>
      <c r="U24" s="184" t="str">
        <f ca="1">IF('OP1'!$D$53=1,"",V24)</f>
        <v xml:space="preserve">  定傳染病身故保險金」外，不再負本契約其他各項保險金給付之責。</v>
      </c>
      <c r="V24" s="349" t="s">
        <v>1052</v>
      </c>
    </row>
    <row r="25" spans="1:22" hidden="1">
      <c r="B25" s="173" t="s">
        <v>139</v>
      </c>
      <c r="C25" s="189">
        <v>15</v>
      </c>
      <c r="D25" s="189">
        <v>15</v>
      </c>
      <c r="E25" s="189">
        <v>15</v>
      </c>
      <c r="F25" s="189">
        <v>15</v>
      </c>
      <c r="G25" s="189">
        <v>15</v>
      </c>
      <c r="H25" s="189"/>
      <c r="I25" s="194"/>
      <c r="K25" s="199"/>
      <c r="L25" s="199"/>
      <c r="M25" s="199"/>
      <c r="R25" s="184" t="s">
        <v>1102</v>
      </c>
      <c r="S25" s="243">
        <f ca="1">IF(U25="","",MAX(S$1:$S24)+1)</f>
        <v>24</v>
      </c>
      <c r="T25" s="243"/>
      <c r="U25" s="184" t="str">
        <f ca="1">IF('OP1'!$D$53=1,"",V25)</f>
        <v xml:space="preserve">  本公司依條款約定給付「重大傷病保險金 」或「完全失能保險金」者，不再負本契約其他各項保險金給付之責。</v>
      </c>
      <c r="V25" s="349" t="s">
        <v>1053</v>
      </c>
    </row>
    <row r="26" spans="1:22" hidden="1">
      <c r="B26" s="173" t="s">
        <v>140</v>
      </c>
      <c r="C26" s="189">
        <v>61</v>
      </c>
      <c r="D26" s="189">
        <v>61</v>
      </c>
      <c r="E26" s="189">
        <v>61</v>
      </c>
      <c r="F26" s="189">
        <v>61</v>
      </c>
      <c r="G26" s="189">
        <v>61</v>
      </c>
      <c r="H26" s="189"/>
      <c r="I26" s="194"/>
      <c r="K26" s="199"/>
      <c r="L26" s="199"/>
      <c r="M26" s="199"/>
      <c r="R26" s="184" t="s">
        <v>1102</v>
      </c>
      <c r="S26" s="243">
        <f ca="1">IF(U26="","",MAX(S$1:$S25)+1)</f>
        <v>25</v>
      </c>
      <c r="T26" s="243">
        <v>1</v>
      </c>
      <c r="U26" s="184" t="str">
        <f ca="1">IF('OP1'!$D$53=1,"",V26)</f>
        <v>‧本商品係提供法定傳染病加護病房保險金，並未提供法定傳染病保險金。</v>
      </c>
      <c r="V26" s="349" t="s">
        <v>1124</v>
      </c>
    </row>
    <row r="27" spans="1:22" hidden="1">
      <c r="B27" s="173" t="s">
        <v>141</v>
      </c>
      <c r="C27" s="190" t="str">
        <f ca="1">IF(OR($C$3&lt;C$25,$C$2&gt;C$26),1,"")</f>
        <v/>
      </c>
      <c r="D27" s="190" t="str">
        <f ca="1">IF(OR($C$3&lt;D$25,$C$2&gt;D$26),1,"")</f>
        <v/>
      </c>
      <c r="E27" s="190" t="str">
        <f ca="1">IF(OR($C$3&lt;E$25,$C$2&gt;E$26),1,"")</f>
        <v/>
      </c>
      <c r="F27" s="190" t="str">
        <f ca="1">IF(OR($C$3&lt;F$25,$C$2&gt;F$26),1,"")</f>
        <v/>
      </c>
      <c r="G27" s="190" t="str">
        <f ca="1">IF(OR($C$3&lt;G$25,$C$2&gt;G$26),1,"")</f>
        <v/>
      </c>
      <c r="H27" s="190"/>
      <c r="I27" s="194"/>
      <c r="R27" s="184" t="s">
        <v>1102</v>
      </c>
      <c r="S27" s="243">
        <f ca="1">IF(U27="","",MAX(S$1:$S26)+1)</f>
        <v>26</v>
      </c>
      <c r="T27" s="243">
        <v>2</v>
      </c>
      <c r="U27" s="184" t="str">
        <f ca="1">IF('OP1'!$D$53=1,"",V27)</f>
        <v>‧消費者於購買前，應詳閱各種銷售文件內容，本商品之預定附加費用率，壽險部分最高66.04%，最低19.80%、健康險</v>
      </c>
      <c r="V27" s="349" t="s">
        <v>1119</v>
      </c>
    </row>
    <row r="28" spans="1:22" hidden="1">
      <c r="B28" s="173" t="s">
        <v>142</v>
      </c>
      <c r="C28" s="189">
        <v>300</v>
      </c>
      <c r="D28" s="189">
        <f>IF(AND($C$6&gt;=1,$C$6&lt;=3),4,IF(AND($C$6&gt;=4,$C$6&lt;=4),3,IF(AND($C$6&gt;=5,$C$6&lt;=5),2,IF(AND($C$6&gt;=6,$C$6&lt;=6),1,""))))</f>
        <v>4</v>
      </c>
      <c r="E28" s="189">
        <f>IF($C$6=6,1500,IF($C$6=5,2000,IF($C$6=4,2500,3000)))</f>
        <v>3000</v>
      </c>
      <c r="F28" s="189">
        <f>IF($C$6=6,500,IF($C$6=5,1000,IF($C$6=4,1500,2000)))</f>
        <v>2000</v>
      </c>
      <c r="G28" s="189">
        <v>3000</v>
      </c>
      <c r="H28" s="189"/>
      <c r="I28" s="194"/>
      <c r="K28" s="315"/>
      <c r="L28" s="315"/>
      <c r="R28" s="184" t="s">
        <v>1102</v>
      </c>
      <c r="S28" s="243">
        <f ca="1">IF(U28="","",MAX(S$1:$S27)+1)</f>
        <v>27</v>
      </c>
      <c r="T28" s="243">
        <v>2</v>
      </c>
      <c r="U28" s="184" t="str">
        <f ca="1">IF('OP1'!$D$53=1,"",V28)</f>
        <v xml:space="preserve">  部分最高36.00%，最低19.80%；如要詳細了解其他相關資訊，請洽本公司業務員、服務據點(免費服務及申訴電話：</v>
      </c>
      <c r="V28" s="349" t="s">
        <v>1120</v>
      </c>
    </row>
    <row r="29" spans="1:22" hidden="1">
      <c r="B29" s="173" t="s">
        <v>143</v>
      </c>
      <c r="C29" s="189">
        <v>100</v>
      </c>
      <c r="D29" s="189">
        <v>1</v>
      </c>
      <c r="E29" s="189">
        <v>500</v>
      </c>
      <c r="F29" s="189">
        <v>500</v>
      </c>
      <c r="G29" s="189">
        <v>1000</v>
      </c>
      <c r="H29" s="189"/>
      <c r="I29" s="194"/>
      <c r="K29" s="315"/>
      <c r="L29" s="315"/>
      <c r="R29" s="184" t="s">
        <v>1102</v>
      </c>
      <c r="S29" s="243">
        <f ca="1">IF(U29="","",MAX(S$1:$S28)+1)</f>
        <v>28</v>
      </c>
      <c r="T29" s="243">
        <v>2</v>
      </c>
      <c r="U29" s="184" t="str">
        <f ca="1">IF('OP1'!$D$53=1,"",V29)</f>
        <v xml:space="preserve">  0809-000-550)或網站 (www.fubon.com/life/)，以保障您的權益。</v>
      </c>
      <c r="V29" s="184" t="s">
        <v>1016</v>
      </c>
    </row>
    <row r="30" spans="1:22" hidden="1">
      <c r="B30" s="173" t="s">
        <v>170</v>
      </c>
      <c r="C30" s="189" t="str">
        <f>IF(OR($C$6&lt;1,$C$6&gt;4,C24=1),"",輸入頁!$J$47)</f>
        <v/>
      </c>
      <c r="D30" s="189" t="str">
        <f>IF(OR($C$6&lt;1,$C$6&gt;6,,D24=1,VLOOKUP(輸入頁!$D$57,K18:L22,2,0)=""),"",輸入頁!$D$57)</f>
        <v/>
      </c>
      <c r="E30" s="189" t="str">
        <f>IF(OR($C$6&lt;1,$C$6&gt;6,,E24=1),"",輸入頁!$J$67)</f>
        <v/>
      </c>
      <c r="F30" s="189" t="str">
        <f>IF(OR($C$6&lt;1,$C$6&gt;6,,F24=1),"",輸入頁!$J$77)</f>
        <v/>
      </c>
      <c r="G30" s="189" t="str">
        <f>IF(OR($C$6&lt;1,$C$6&gt;6,G24=1),"",輸入頁!$J$87)</f>
        <v/>
      </c>
      <c r="H30" s="189"/>
      <c r="I30" s="194"/>
      <c r="R30" s="184" t="s">
        <v>788</v>
      </c>
      <c r="S30" s="243">
        <f ca="1">IF(U30="","",MAX(S$1:$S29)+1)</f>
        <v>29</v>
      </c>
      <c r="T30" s="243"/>
      <c r="U30" s="184" t="str">
        <f ca="1">IF('OP1'!$D$53=1,"",V30)</f>
        <v>富邦人壽安心好漾定期保險(AIJ)</v>
      </c>
      <c r="V30" s="349" t="s">
        <v>708</v>
      </c>
    </row>
    <row r="31" spans="1:22" hidden="1">
      <c r="B31" s="173" t="s">
        <v>144</v>
      </c>
      <c r="C31" s="190">
        <f>IF(C30="",1,IF(OR(C30&lt;$C$29,C30&gt;$C$28,$N55),1,""))</f>
        <v>1</v>
      </c>
      <c r="D31" s="515">
        <f ca="1">IF(Total!AA9&gt;0,1,IF(D30="",1,IF(OR(VLOOKUP($D$30,$K$18:$L$22,2,0)&lt;$D$29,VLOOKUP($D$30,$K$18:$L$22,2,0)&gt;$D$28),1,"")))</f>
        <v>1</v>
      </c>
      <c r="E31" s="515">
        <f ca="1">IF(Total!AA9&gt;0,1,IF(E30="",1,IF(OR(E30&lt;$E$29,E30&gt;$E$28,$N57),1,"")))</f>
        <v>1</v>
      </c>
      <c r="F31" s="190">
        <f>IF(F30="",1,IF(OR(F30&lt;$F$29,F30&gt;$F$28,$N58),1,""))</f>
        <v>1</v>
      </c>
      <c r="G31" s="190">
        <f>IF(G30="",1,IF(OR(G30&lt;$G$29,G30&gt;$G$28,$N59),1,""))</f>
        <v>1</v>
      </c>
      <c r="H31" s="190"/>
      <c r="I31" s="194"/>
      <c r="K31" s="68"/>
      <c r="L31" s="68"/>
      <c r="M31" s="68"/>
      <c r="N31" s="71" t="s">
        <v>123</v>
      </c>
      <c r="O31" s="71" t="s">
        <v>124</v>
      </c>
      <c r="P31" s="68">
        <f>COUNTA(O35:O36)</f>
        <v>0</v>
      </c>
      <c r="Q31" s="1"/>
      <c r="R31" s="184" t="s">
        <v>246</v>
      </c>
      <c r="S31" s="243"/>
      <c r="T31" s="243"/>
      <c r="U31" s="184" t="str">
        <f ca="1">IF('OP1'!$D$53=1,"",V31)</f>
        <v>商品文號：106.10.31富壽商精字第1060003896號函備查、109.09.01依109.07.08金管保壽字第1090423012號函修正</v>
      </c>
      <c r="V31" s="350" t="s">
        <v>1010</v>
      </c>
    </row>
    <row r="32" spans="1:22" hidden="1">
      <c r="B32" s="173" t="s">
        <v>656</v>
      </c>
      <c r="C32" s="190" t="str">
        <f>IF($C$6&lt;=4,"",1)</f>
        <v/>
      </c>
      <c r="D32" s="190"/>
      <c r="E32" s="190"/>
      <c r="F32" s="190"/>
      <c r="G32" s="190"/>
      <c r="H32" s="190"/>
      <c r="I32" s="194"/>
      <c r="K32" s="68"/>
      <c r="L32" s="68"/>
      <c r="M32" s="68"/>
      <c r="N32" s="71"/>
      <c r="O32" s="71"/>
      <c r="P32" s="68"/>
      <c r="Q32" s="1"/>
      <c r="R32" s="184" t="s">
        <v>788</v>
      </c>
      <c r="S32" s="243">
        <f ca="1">IF(U32="","",MAX(S$1:$S31)+1)</f>
        <v>30</v>
      </c>
      <c r="T32" s="243"/>
      <c r="U32" s="184" t="str">
        <f ca="1">IF('OP1'!$D$53=1,"",V32)</f>
        <v>給付項目：身故保險金或喪葬費用保險金、意外傷害身故保險金或喪葬費用保險金、完全失能保險金、意外傷害一級失能</v>
      </c>
      <c r="V32" s="349" t="s">
        <v>960</v>
      </c>
    </row>
    <row r="33" spans="2:22" hidden="1">
      <c r="B33" s="173" t="s">
        <v>160</v>
      </c>
      <c r="C33" s="191">
        <f t="shared" ref="C33:H33" ca="1" si="1">IF(OR(C24=1,C27=1,C31=1,C32=1),1,"")</f>
        <v>1</v>
      </c>
      <c r="D33" s="191">
        <f ca="1">IF(OR(D24=1,D27=1,D31=1,D32=1,L38=1),1,"")</f>
        <v>1</v>
      </c>
      <c r="E33" s="191">
        <f ca="1">IF(OR(E24=1,E27=1,E31=1,E32=1,L38=1),1,"")</f>
        <v>1</v>
      </c>
      <c r="F33" s="191">
        <f ca="1">IF(OR(F24=1,F27=1,F31=1,F32=1,OP!$C$3&gt;=DATE(2022,4,30)),1,"")</f>
        <v>1</v>
      </c>
      <c r="G33" s="191">
        <f t="shared" ca="1" si="1"/>
        <v>1</v>
      </c>
      <c r="H33" s="191">
        <f t="shared" si="1"/>
        <v>1</v>
      </c>
      <c r="I33" s="194"/>
      <c r="K33" s="118" t="s">
        <v>675</v>
      </c>
      <c r="L33" s="118" t="s">
        <v>18</v>
      </c>
      <c r="M33" s="118" t="s">
        <v>19</v>
      </c>
      <c r="N33" s="72" t="str">
        <f ca="1">N34&amp;P34</f>
        <v>。</v>
      </c>
      <c r="O33" s="72" t="str">
        <f>"保費折扣"</f>
        <v>保費折扣</v>
      </c>
      <c r="P33" s="68" t="str">
        <f ca="1">O34&amp;P34&amp;O35&amp;P35&amp;O36&amp;P36&amp;O37&amp;"折扣"</f>
        <v>。折扣</v>
      </c>
      <c r="Q33" s="68"/>
      <c r="R33" s="184" t="s">
        <v>788</v>
      </c>
      <c r="S33" s="243">
        <f ca="1">IF(U33="","",MAX(S$1:$S32)+1)</f>
        <v>31</v>
      </c>
      <c r="T33" s="243"/>
      <c r="U33" s="184" t="str">
        <f ca="1">IF(OP!$D$53=1,"",V33)</f>
        <v xml:space="preserve">          保險金、意外傷害住院醫療保險金、無理賠回饋保險金</v>
      </c>
      <c r="V33" s="349" t="s">
        <v>749</v>
      </c>
    </row>
    <row r="34" spans="2:22" hidden="1">
      <c r="B34" s="173" t="s">
        <v>161</v>
      </c>
      <c r="C34" s="189">
        <v>10</v>
      </c>
      <c r="D34" s="189">
        <v>10</v>
      </c>
      <c r="E34" s="189">
        <v>10</v>
      </c>
      <c r="F34" s="189">
        <v>10</v>
      </c>
      <c r="G34" s="189">
        <v>10</v>
      </c>
      <c r="H34" s="189"/>
      <c r="I34" s="194"/>
      <c r="J34" s="319" t="s">
        <v>674</v>
      </c>
      <c r="K34" s="173" t="s">
        <v>673</v>
      </c>
      <c r="L34" s="174">
        <f ca="1">IF(OR(AND(ROP!$C$22="AIJ",ROP!$C$47&gt;0),AND(ROP!$D$22="AIJ",ROP!$D$47&gt;0),AND(ROP!$E$22="AIJ",ROP!$E$47&gt;0),AND(ROP!$F$22="AIJ",ROP!$F$47&gt;0),AND(ROP!$G$22="AIJ",ROP!$G$47&gt;0)),1%,0%)</f>
        <v>0</v>
      </c>
      <c r="M34" s="174">
        <f ca="1">IF(OR(AND(ROP!$C$22="AIJ",ROP!$C$48&gt;0),AND(ROP!$D$22="AIJ",ROP!$D$48&gt;0),AND(ROP!$E$22="AIJ",ROP!$E$48&gt;0),AND(ROP!$F$22="AIJ",ROP!$F$48&gt;0),AND(ROP!$G$22="AIJ",ROP!$G$48&gt;0)),1%,0%)</f>
        <v>0</v>
      </c>
      <c r="N34" s="72" t="str">
        <f ca="1">IF(AND(L34&gt;0,M34&gt;0),"首、續期"&amp;K34&amp;TEXT(L34," 0%")&amp;"折扣",IF(AND(L34&gt;0,M34=0),"首期"&amp;K34&amp;TEXT(L34," 0%")&amp;"折扣",IF(AND(L34=0,M34&gt;0),"續期"&amp;K34&amp;TEXT(M34," 0%")&amp;"折扣","")))</f>
        <v/>
      </c>
      <c r="O34" s="72" t="str">
        <f ca="1">IF(SUM(L34:M34)&gt;0,K34,"")</f>
        <v/>
      </c>
      <c r="P34" s="72" t="s">
        <v>676</v>
      </c>
      <c r="Q34" s="68"/>
      <c r="R34" s="184" t="s">
        <v>788</v>
      </c>
      <c r="S34" s="243">
        <f ca="1">IF(U34="","",MAX(S$1:$S33)+1)</f>
        <v>32</v>
      </c>
      <c r="T34" s="243">
        <v>1</v>
      </c>
      <c r="U34" s="184" t="str">
        <f ca="1">IF(OP!$D$53=1,"",V34)</f>
        <v>‧本保險為不分紅保險單，不參加紅利分配，並無紅利給付項目。</v>
      </c>
      <c r="V34" s="349" t="s">
        <v>771</v>
      </c>
    </row>
    <row r="35" spans="2:22" hidden="1">
      <c r="B35" s="173" t="s">
        <v>162</v>
      </c>
      <c r="C35" s="189">
        <v>10</v>
      </c>
      <c r="D35" s="189">
        <v>10</v>
      </c>
      <c r="E35" s="189">
        <v>10</v>
      </c>
      <c r="F35" s="189">
        <v>10</v>
      </c>
      <c r="G35" s="189">
        <v>10</v>
      </c>
      <c r="H35" s="189"/>
      <c r="I35" s="194"/>
      <c r="J35" s="319" t="s">
        <v>1102</v>
      </c>
      <c r="K35" s="173" t="s">
        <v>673</v>
      </c>
      <c r="L35" s="174">
        <f ca="1">IF(OR(AND(ROP!$C$22="SWUC",ROP!$C$47&gt;0),AND(ROP!$D$22="SWUC",ROP!$D$47&gt;0),AND(ROP!$E$22="SWUC",ROP!$E$47&gt;0),AND(ROP!$F$22="SWUC",ROP!$F$47&gt;0),AND(ROP!$G$22="SWUC",ROP!$G$47&gt;0)),1%,0%)</f>
        <v>0</v>
      </c>
      <c r="M35" s="174">
        <f ca="1">IF(OR(AND(ROP!$C$22="SWUC",ROP!$C$48&gt;0),AND(ROP!$D$22="SWUC",ROP!$D$48&gt;0),AND(ROP!$E$22="SWUC",ROP!$E$48&gt;0),AND(ROP!$F$22="SWUC",ROP!$F$48&gt;0),AND(ROP!$G$22="SWUC",ROP!$G$48&gt;0)),1%,0%)</f>
        <v>0</v>
      </c>
      <c r="N35" s="72" t="str">
        <f ca="1">IF(AND(L35&gt;0,M35&gt;0),"首、續期"&amp;K35&amp;TEXT(L35," 0%")&amp;"折扣。",IF(AND(L35&gt;0,M35=0),"首期"&amp;K35&amp;TEXT(L35," 0%")&amp;"折扣。",IF(AND(L35=0,M35&gt;0),"續期"&amp;K35&amp;TEXT(M35," 0%")&amp;"折扣。","")))</f>
        <v/>
      </c>
      <c r="R35" s="184" t="s">
        <v>788</v>
      </c>
      <c r="S35" s="243">
        <f ca="1">IF(U35="","",MAX(S$1:$S34)+1)</f>
        <v>33</v>
      </c>
      <c r="T35" s="243">
        <v>1</v>
      </c>
      <c r="U35" s="184" t="str">
        <f ca="1">IF(OP!$D$53=1,"",V35)</f>
        <v>‧本保險因費率計算已考慮死亡脫退因素，故依本契約約定給付身故、完全失能保險金時，其他未給付部分無解約金。</v>
      </c>
      <c r="V35" s="349" t="s">
        <v>961</v>
      </c>
    </row>
    <row r="36" spans="2:22" hidden="1">
      <c r="B36" s="173" t="s">
        <v>169</v>
      </c>
      <c r="C36" s="189">
        <v>10</v>
      </c>
      <c r="D36" s="189">
        <v>10</v>
      </c>
      <c r="E36" s="201">
        <v>10</v>
      </c>
      <c r="F36" s="189">
        <v>10</v>
      </c>
      <c r="G36" s="189">
        <v>10</v>
      </c>
      <c r="H36" s="189"/>
      <c r="I36" s="194"/>
      <c r="R36" s="184" t="s">
        <v>788</v>
      </c>
      <c r="S36" s="243">
        <f ca="1">IF(U36="","",MAX(S$1:$S35)+1)</f>
        <v>34</v>
      </c>
      <c r="T36" s="243"/>
      <c r="U36" s="184" t="str">
        <f ca="1">IF(OP!$D$53=1,"",V36)</f>
        <v>‧保險給付的限制：本公司依保單條款約定給付身故保險金或喪葬費用保險金者，除同時符合保單條款約定而應另給</v>
      </c>
      <c r="V36" s="349" t="s">
        <v>764</v>
      </c>
    </row>
    <row r="37" spans="2:22" hidden="1">
      <c r="B37" s="173" t="s">
        <v>817</v>
      </c>
      <c r="C37" s="189">
        <f ca="1">MAX($B$127:$B$132)+10-1</f>
        <v>40</v>
      </c>
      <c r="D37" s="189">
        <f ca="1">MAX($B$138:$B$143)+10-1</f>
        <v>40</v>
      </c>
      <c r="E37" s="189">
        <f ca="1">MAX($B$149:$B$154)+10-1</f>
        <v>40</v>
      </c>
      <c r="F37" s="189">
        <f ca="1">MAX($B$160:$B$165)+10-1</f>
        <v>40</v>
      </c>
      <c r="G37" s="189">
        <f ca="1">MAX($B$171:$B$176)+10-1</f>
        <v>40</v>
      </c>
      <c r="H37" s="189"/>
      <c r="I37" s="194"/>
      <c r="R37" s="184" t="s">
        <v>788</v>
      </c>
      <c r="S37" s="243">
        <f ca="1">IF(U37="","",MAX(S$1:$S36)+1)</f>
        <v>35</v>
      </c>
      <c r="T37" s="243"/>
      <c r="U37" s="184" t="str">
        <f ca="1">IF(OP!$D$53=1,"",V37)</f>
        <v xml:space="preserve">  付意外傷害身故保險金或喪葬費用保險金外，不再負完全失能保險金及意外傷害一級失能保險金給付之責。</v>
      </c>
      <c r="V37" s="349" t="s">
        <v>962</v>
      </c>
    </row>
    <row r="38" spans="2:22" hidden="1">
      <c r="I38" s="196"/>
      <c r="K38" s="173" t="s">
        <v>798</v>
      </c>
      <c r="L38" s="173">
        <f ca="1">Total!$AA$9</f>
        <v>0</v>
      </c>
      <c r="R38" s="184" t="s">
        <v>788</v>
      </c>
      <c r="S38" s="243">
        <f ca="1">IF(U38="","",MAX(S$1:$S37)+1)</f>
        <v>36</v>
      </c>
      <c r="T38" s="243"/>
      <c r="U38" s="184" t="str">
        <f ca="1">IF(OP!$D$53=1,"",V38)</f>
        <v xml:space="preserve">  本公司依保單條款約定給付完全失能保險金者，除同時符合保單條款約定而應另給付意外傷害一級失能保險金外，</v>
      </c>
      <c r="V38" s="349" t="s">
        <v>963</v>
      </c>
    </row>
    <row r="39" spans="2:22" hidden="1">
      <c r="B39" s="173" t="s">
        <v>165</v>
      </c>
      <c r="C39" s="189" t="str">
        <f ca="1">$C$23&amp;$C$36&amp;TEXT($C$4,"00")&amp;TEXT($C$2,"00")</f>
        <v>AOR100132</v>
      </c>
      <c r="D39" s="189" t="str">
        <f ca="1">$D$23&amp;TEXT($C$4,"00")&amp;TEXT($C$2,"00")</f>
        <v>0132</v>
      </c>
      <c r="E39" s="189" t="str">
        <f ca="1">$E$23&amp;$E$36&amp;TEXT($C$4,"00")&amp;TEXT($C$2,"00")</f>
        <v>HNR100132</v>
      </c>
      <c r="F39" s="189" t="str">
        <f ca="1">$F$23&amp;$F$36&amp;TEXT($C$4,"00")&amp;TEXT($C$2,"00")</f>
        <v>HOR100132</v>
      </c>
      <c r="G39" s="189" t="str">
        <f ca="1">$G$23&amp;$G$36&amp;TEXT($C$4,"00")&amp;TEXT($C$2,"00")</f>
        <v>CLR100132</v>
      </c>
      <c r="H39" s="189"/>
      <c r="I39" s="194"/>
      <c r="R39" s="184" t="s">
        <v>788</v>
      </c>
      <c r="S39" s="243">
        <f ca="1">IF(U39="","",MAX(S$1:$S38)+1)</f>
        <v>37</v>
      </c>
      <c r="T39" s="243"/>
      <c r="U39" s="184" t="str">
        <f ca="1">IF(OP!$D$53=1,"",V39)</f>
        <v xml:space="preserve">  不再負身故保險金或喪葬費用保險金及意外傷害身故保險金或喪葬費用保險金給付之責。</v>
      </c>
      <c r="V39" s="349" t="s">
        <v>765</v>
      </c>
    </row>
    <row r="40" spans="2:22" hidden="1">
      <c r="B40" s="173" t="s">
        <v>149</v>
      </c>
      <c r="C40" s="192">
        <f ca="1">IF(OR(C33=1,ISERROR(VLOOKUP($C$39,AORGP,2,0))),,VLOOKUP($C$39,AORGP,2,0)*$C$41)</f>
        <v>0</v>
      </c>
      <c r="D40" s="192">
        <f ca="1">IF(OR(D33=1,ISERROR(VLOOKUP($D$39,HSGGP,2,0))),,VLOOKUP($D$39,HSGGP,2,0)*$D$41)</f>
        <v>0</v>
      </c>
      <c r="E40" s="192">
        <f ca="1">IF(OR(E33=1,ISERROR(VLOOKUP($E$39,HNRGP,2,0))),,VLOOKUP($E$39,HNRGP,2,0)*$E$41/100)</f>
        <v>0</v>
      </c>
      <c r="F40" s="192">
        <f ca="1">IF(OR(F33=1,ISERROR(VLOOKUP($F$39,HORGP,2,0))),,VLOOKUP($F$39,HORGP,2,0)*$F$41/100)</f>
        <v>0</v>
      </c>
      <c r="G40" s="192">
        <f ca="1">IF(OR(G33=1,ISERROR(VLOOKUP($G$39,CLRGP,2,0))),,VLOOKUP($G$39,CLRGP,2,0)*$G$41/100)</f>
        <v>0</v>
      </c>
      <c r="H40" s="192"/>
      <c r="I40" s="195">
        <f ca="1">SUM(C40:H40)</f>
        <v>0</v>
      </c>
      <c r="R40" s="184" t="s">
        <v>788</v>
      </c>
      <c r="S40" s="243">
        <f ca="1">IF(U40="","",MAX(S$1:$S39)+1)</f>
        <v>38</v>
      </c>
      <c r="T40" s="243">
        <v>2</v>
      </c>
      <c r="U40" s="184" t="str">
        <f ca="1">IF(OP!$D$53=1,"",V40)</f>
        <v>‧消費者於購買前，應詳閱各種銷售文件內容，本商品之預定附加費用率，最高60.51%，最低33.38%；如要詳細了解其</v>
      </c>
      <c r="V40" s="349" t="s">
        <v>746</v>
      </c>
    </row>
    <row r="41" spans="2:22" hidden="1">
      <c r="B41" s="173" t="s">
        <v>150</v>
      </c>
      <c r="C41" s="189" t="str">
        <f>C30</f>
        <v/>
      </c>
      <c r="D41" s="189">
        <v>1</v>
      </c>
      <c r="E41" s="189" t="str">
        <f>E30</f>
        <v/>
      </c>
      <c r="F41" s="189" t="str">
        <f>F30</f>
        <v/>
      </c>
      <c r="G41" s="189" t="str">
        <f>G30</f>
        <v/>
      </c>
      <c r="H41" s="189"/>
      <c r="I41" s="194"/>
      <c r="R41" s="184" t="s">
        <v>788</v>
      </c>
      <c r="S41" s="243">
        <f ca="1">IF(U41="","",MAX(S$1:$S40)+1)</f>
        <v>39</v>
      </c>
      <c r="T41" s="243">
        <v>2</v>
      </c>
      <c r="U41" s="184" t="str">
        <f ca="1">IF(OP!$D$53=1,"",V41)</f>
        <v xml:space="preserve">  他相關資訊，請洽本公司業務員、服務據點(免費服務及申訴電話：0809-000-550)或網站 (www.fubon.com/life/)</v>
      </c>
      <c r="V41" s="349" t="s">
        <v>1017</v>
      </c>
    </row>
    <row r="42" spans="2:22" hidden="1">
      <c r="B42" s="173" t="s">
        <v>158</v>
      </c>
      <c r="C42" s="189" t="str">
        <f ca="1">IF(C33=1,"",IF(C22="AIJ",OP!$C$32,'OP1'!$C$32))</f>
        <v/>
      </c>
      <c r="D42" s="189" t="str">
        <f ca="1">IF(D33=1,"",IF(D22="AIJ",OP!$C$32,'OP1'!$C$32))</f>
        <v/>
      </c>
      <c r="E42" s="189" t="str">
        <f ca="1">IF(E33=1,"",IF(E22="AIJ",OP!$C$32,'OP1'!$C$32))</f>
        <v/>
      </c>
      <c r="F42" s="189" t="str">
        <f ca="1">IF(F33=1,"",IF(F22="AIJ",OP!$C$32,'OP1'!$C$32))</f>
        <v/>
      </c>
      <c r="G42" s="189" t="str">
        <f ca="1">IF(G33=1,"",IF(G22="AIJ",OP!$C$32,'OP1'!$C$32))</f>
        <v/>
      </c>
      <c r="H42" s="189"/>
      <c r="I42" s="201"/>
      <c r="R42" s="184" t="s">
        <v>246</v>
      </c>
      <c r="S42" s="243">
        <f ca="1">IF(U42="","",MAX(S$1:$S41)+1)</f>
        <v>40</v>
      </c>
      <c r="T42" s="243">
        <v>2</v>
      </c>
      <c r="U42" s="184" t="str">
        <f ca="1">IF(OP!$D$53=1,"",V42)</f>
        <v xml:space="preserve">  ，以保障您的權益。</v>
      </c>
      <c r="V42" s="184" t="s">
        <v>1018</v>
      </c>
    </row>
    <row r="43" spans="2:22" hidden="1">
      <c r="B43" s="173" t="s">
        <v>159</v>
      </c>
      <c r="C43" s="189" t="str">
        <f ca="1">IF(C33=1,"",IF(C22="AIJ",OP!$C$34,'OP1'!$C$34))</f>
        <v/>
      </c>
      <c r="D43" s="189" t="str">
        <f ca="1">IF(D33=1,"",IF(D22="AIJ",OP!$C$34,'OP1'!$C$34))</f>
        <v/>
      </c>
      <c r="E43" s="189" t="str">
        <f ca="1">IF(E33=1,"",IF(E22="AIJ",OP!$C$34,'OP1'!$C$34))</f>
        <v/>
      </c>
      <c r="F43" s="189" t="str">
        <f ca="1">IF(F33=1,"",IF(F22="AIJ",OP!$C$34,'OP1'!$C$34))</f>
        <v/>
      </c>
      <c r="G43" s="189" t="str">
        <f ca="1">IF(G33=1,"",IF(G22="AIJ",OP!$C$34,'OP1'!$C$34))</f>
        <v/>
      </c>
      <c r="H43" s="189"/>
      <c r="I43" s="201"/>
      <c r="S43" s="243"/>
      <c r="T43" s="243"/>
      <c r="U43" s="184" t="str">
        <f ca="1">IF(OP!$D$53=1,"",V43)</f>
        <v xml:space="preserve"> </v>
      </c>
      <c r="V43" s="184" t="s">
        <v>738</v>
      </c>
    </row>
    <row r="44" spans="2:22" hidden="1">
      <c r="B44" s="173" t="s">
        <v>151</v>
      </c>
      <c r="C44" s="188">
        <f t="shared" ref="C44:H44" ca="1" si="2">IF(C33=1,0,ROUND(C40*C43,0))</f>
        <v>0</v>
      </c>
      <c r="D44" s="188">
        <f t="shared" ca="1" si="2"/>
        <v>0</v>
      </c>
      <c r="E44" s="188">
        <f t="shared" ca="1" si="2"/>
        <v>0</v>
      </c>
      <c r="F44" s="188">
        <f t="shared" ca="1" si="2"/>
        <v>0</v>
      </c>
      <c r="G44" s="188">
        <f t="shared" ca="1" si="2"/>
        <v>0</v>
      </c>
      <c r="H44" s="188">
        <f t="shared" si="2"/>
        <v>0</v>
      </c>
      <c r="I44" s="195">
        <f ca="1">SUM(C44:H44)</f>
        <v>0</v>
      </c>
      <c r="S44" s="243"/>
      <c r="T44" s="243"/>
      <c r="U44" s="184" t="str">
        <f ca="1">IF(OP!$D$53=1,"",V44)</f>
        <v xml:space="preserve"> </v>
      </c>
      <c r="V44" s="184" t="s">
        <v>738</v>
      </c>
    </row>
    <row r="45" spans="2:22" hidden="1">
      <c r="B45" s="173" t="s">
        <v>166</v>
      </c>
      <c r="C45" s="189" t="str">
        <f ca="1">IF(C33=1,"",IF(C22="AIJ",OP!$C$41,'OP1'!$C$41))</f>
        <v/>
      </c>
      <c r="D45" s="189" t="str">
        <f ca="1">IF(D33=1,"",IF(D22="AIJ",OP!$C$41,'OP1'!$C$41))</f>
        <v/>
      </c>
      <c r="E45" s="189" t="str">
        <f ca="1">IF(E33=1,"",IF(E22="AIJ",OP!$C$41,'OP1'!$C$41))</f>
        <v/>
      </c>
      <c r="F45" s="189" t="str">
        <f ca="1">IF(F33=1,"",IF(F22="AIJ",OP!$C$41,'OP1'!$C$41))</f>
        <v/>
      </c>
      <c r="G45" s="189" t="str">
        <f ca="1">IF(G33=1,"",IF(G22="AIJ",OP!$C$41,'OP1'!$C$41))</f>
        <v/>
      </c>
      <c r="H45" s="189"/>
      <c r="I45" s="201"/>
      <c r="S45" s="243"/>
      <c r="T45" s="243"/>
      <c r="U45" s="184" t="str">
        <f ca="1">IF(OP!$D$53=1,"",V45)</f>
        <v xml:space="preserve"> </v>
      </c>
      <c r="V45" s="184" t="s">
        <v>738</v>
      </c>
    </row>
    <row r="46" spans="2:22" hidden="1">
      <c r="B46" s="173" t="s">
        <v>167</v>
      </c>
      <c r="C46" s="189" t="str">
        <f ca="1">IF(C33=1,"",IF(C22="AIJ",OP!$C$43,'OP1'!$C$43))</f>
        <v/>
      </c>
      <c r="D46" s="189" t="str">
        <f ca="1">IF(D33=1,"",IF(D22="AIJ",OP!$C$43,'OP1'!$C$43))</f>
        <v/>
      </c>
      <c r="E46" s="189" t="str">
        <f ca="1">IF(E33=1,"",IF(E22="AIJ",OP!$C$43,'OP1'!$C$43))</f>
        <v/>
      </c>
      <c r="F46" s="189" t="str">
        <f ca="1">IF(F33=1,"",IF(F22="AIJ",OP!$C$43,'OP1'!$C$43))</f>
        <v/>
      </c>
      <c r="G46" s="189" t="str">
        <f ca="1">IF(G33=1,"",IF(G22="AIJ",OP!$C$43,'OP1'!$C$43))</f>
        <v/>
      </c>
      <c r="H46" s="189"/>
      <c r="I46" s="201"/>
      <c r="R46" s="184" t="s">
        <v>624</v>
      </c>
      <c r="S46" s="243" t="str">
        <f ca="1">IF(U46="","",MAX(S$1:$S45)+1)</f>
        <v/>
      </c>
      <c r="T46" s="243"/>
      <c r="U46" s="184" t="str">
        <f ca="1">IF($C$33=1,"",V46)</f>
        <v/>
      </c>
      <c r="V46" s="184" t="str">
        <f>"富邦人壽添守護失能傷害保險附約("&amp;$C$23&amp;")"</f>
        <v>富邦人壽添守護失能傷害保險附約(AOR)</v>
      </c>
    </row>
    <row r="47" spans="2:22" hidden="1">
      <c r="B47" s="173" t="s">
        <v>152</v>
      </c>
      <c r="C47" s="193">
        <f ca="1">IF(C33=1,0,IF(C22="AIJ",VLOOKUP(C45,$K$10:$M$16,2,0),VLOOKUP(C45,$K$10:$M$16,3,0)))</f>
        <v>0</v>
      </c>
      <c r="D47" s="193">
        <f ca="1">IF(D33=1,0,IF(D22="AIJ",VLOOKUP(D45,$K$10:$M$16,2,0),VLOOKUP(D45,$K$10:$M$16,3,0)))</f>
        <v>0</v>
      </c>
      <c r="E47" s="193">
        <f ca="1">IF(E33=1,0,IF(E22="AIJ",VLOOKUP(E45,$K$10:$M$16,2,0),VLOOKUP(E45,$K$10:$M$16,3,0)))</f>
        <v>0</v>
      </c>
      <c r="F47" s="193">
        <f ca="1">IF(F33=1,0,IF(F22="AIJ",VLOOKUP(F45,$K$10:$M$16,2,0),VLOOKUP(F45,$K$10:$M$16,3,0)))</f>
        <v>0</v>
      </c>
      <c r="G47" s="193">
        <f ca="1">IF(G33=1,0,IF(G22="AIJ",VLOOKUP(G45,$K$10:$M$16,2,0),VLOOKUP(G45,$K$10:$M$16,3,0)))</f>
        <v>0</v>
      </c>
      <c r="H47" s="189"/>
      <c r="I47" s="201"/>
      <c r="R47" s="184" t="s">
        <v>624</v>
      </c>
      <c r="S47" s="243"/>
      <c r="T47" s="243"/>
      <c r="U47" s="184" t="str">
        <f t="shared" ref="U47:U53" ca="1" si="3">IF($C$33=1,"",V47)</f>
        <v/>
      </c>
      <c r="V47" s="350" t="s">
        <v>971</v>
      </c>
    </row>
    <row r="48" spans="2:22" hidden="1">
      <c r="B48" s="173" t="s">
        <v>153</v>
      </c>
      <c r="C48" s="193">
        <f ca="1">IF(C33=1,0,IF(C22="AIJ",VLOOKUP(C46,$K$10:$M$16,2,0),VLOOKUP(C46,$K$10:$M$16,3,0)))</f>
        <v>0</v>
      </c>
      <c r="D48" s="193">
        <f ca="1">IF(D33=1,0,IF(D22="AIJ",VLOOKUP(D46,$K$10:$M$16,2,0),VLOOKUP(D46,$K$10:$M$16,3,0)))</f>
        <v>0</v>
      </c>
      <c r="E48" s="193">
        <f ca="1">IF(E33=1,0,IF(E22="AIJ",VLOOKUP(E46,$K$10:$M$16,2,0),VLOOKUP(E46,$K$10:$M$16,3,0)))</f>
        <v>0</v>
      </c>
      <c r="F48" s="193">
        <f ca="1">IF(F33=1,0,IF(F22="AIJ",VLOOKUP(F46,$K$10:$M$16,2,0),VLOOKUP(F46,$K$10:$M$16,3,0)))</f>
        <v>0</v>
      </c>
      <c r="G48" s="193">
        <f ca="1">IF(G33=1,0,IF(G22="AIJ",VLOOKUP(G46,$K$10:$M$16,2,0),VLOOKUP(G46,$K$10:$M$16,3,0)))</f>
        <v>0</v>
      </c>
      <c r="H48" s="189"/>
      <c r="I48" s="201"/>
      <c r="R48" s="184" t="s">
        <v>624</v>
      </c>
      <c r="S48" s="243"/>
      <c r="T48" s="243"/>
      <c r="U48" s="184" t="str">
        <f t="shared" ca="1" si="3"/>
        <v/>
      </c>
      <c r="V48" s="349" t="s">
        <v>972</v>
      </c>
    </row>
    <row r="49" spans="1:38" hidden="1">
      <c r="B49" s="173" t="s">
        <v>154</v>
      </c>
      <c r="C49" s="188">
        <f ca="1">ROUND(C44*(1-C47),0)</f>
        <v>0</v>
      </c>
      <c r="D49" s="188">
        <f ca="1">ROUND(D44*(1-D47),0)</f>
        <v>0</v>
      </c>
      <c r="E49" s="188">
        <f ca="1">ROUND(E44*(1-E47),0)</f>
        <v>0</v>
      </c>
      <c r="F49" s="188">
        <f ca="1">ROUND(F44*(1-F47),0)</f>
        <v>0</v>
      </c>
      <c r="G49" s="188">
        <f ca="1">ROUND(G44*(1-G47),0)</f>
        <v>0</v>
      </c>
      <c r="H49" s="188"/>
      <c r="I49" s="195">
        <f ca="1">SUM(C49:H49)</f>
        <v>0</v>
      </c>
      <c r="R49" s="184" t="s">
        <v>624</v>
      </c>
      <c r="S49" s="243" t="str">
        <f ca="1">IF(U49="","",MAX(S$1:$S48)+1)</f>
        <v/>
      </c>
      <c r="T49" s="243"/>
      <c r="U49" s="184" t="str">
        <f t="shared" ca="1" si="3"/>
        <v/>
      </c>
      <c r="V49" s="349" t="s">
        <v>964</v>
      </c>
    </row>
    <row r="50" spans="1:38" hidden="1">
      <c r="B50" s="173" t="s">
        <v>155</v>
      </c>
      <c r="C50" s="188">
        <f ca="1">ROUND(C44*(1-C48),0)</f>
        <v>0</v>
      </c>
      <c r="D50" s="188">
        <f ca="1">ROUND(D44*(1-D48),0)</f>
        <v>0</v>
      </c>
      <c r="E50" s="188">
        <f ca="1">ROUND(E44*(1-E48),0)</f>
        <v>0</v>
      </c>
      <c r="F50" s="188">
        <f ca="1">ROUND(F44*(1-F48),0)</f>
        <v>0</v>
      </c>
      <c r="G50" s="188">
        <f ca="1">ROUND(G44*(1-G48),0)</f>
        <v>0</v>
      </c>
      <c r="H50" s="188"/>
      <c r="I50" s="195">
        <f ca="1">SUM(C50:H50)</f>
        <v>0</v>
      </c>
      <c r="R50" s="184" t="s">
        <v>624</v>
      </c>
      <c r="S50" s="243" t="str">
        <f ca="1">IF(U50="","",MAX(S$1:$S49)+1)</f>
        <v/>
      </c>
      <c r="T50" s="243">
        <v>1</v>
      </c>
      <c r="U50" s="184" t="str">
        <f t="shared" ca="1" si="3"/>
        <v/>
      </c>
      <c r="V50" s="349" t="s">
        <v>782</v>
      </c>
    </row>
    <row r="51" spans="1:38" hidden="1">
      <c r="B51" s="173" t="s">
        <v>168</v>
      </c>
      <c r="C51" s="189" t="str">
        <f ca="1">IF(C33=1,"",IF(C22="AIJ",OP!$C$50,'OP1'!$C$50))</f>
        <v/>
      </c>
      <c r="D51" s="189" t="str">
        <f ca="1">IF(D33=1,"",IF(D22="AIJ",OP!$C$50,'OP1'!$C$50))</f>
        <v/>
      </c>
      <c r="E51" s="189" t="str">
        <f ca="1">IF(E33=1,"",IF(E22="AIJ",OP!$C$50,'OP1'!$C$50))</f>
        <v/>
      </c>
      <c r="F51" s="189" t="str">
        <f ca="1">IF(F33=1,"",IF(F22="AIJ",OP!$C$50,'OP1'!$C$50))</f>
        <v/>
      </c>
      <c r="G51" s="189" t="str">
        <f ca="1">IF(G33=1,"",IF(G22="AIJ",OP!$C$50,'OP1'!$C$50))</f>
        <v/>
      </c>
      <c r="H51" s="189"/>
      <c r="I51" s="201"/>
      <c r="R51" s="184" t="s">
        <v>710</v>
      </c>
      <c r="S51" s="243" t="str">
        <f ca="1">IF(U51="","",MAX(S$1:$S50)+1)</f>
        <v/>
      </c>
      <c r="T51" s="243">
        <v>2</v>
      </c>
      <c r="U51" s="184" t="str">
        <f t="shared" ca="1" si="3"/>
        <v/>
      </c>
      <c r="V51" s="349" t="s">
        <v>748</v>
      </c>
    </row>
    <row r="52" spans="1:38" hidden="1">
      <c r="B52" s="173" t="s">
        <v>156</v>
      </c>
      <c r="C52" s="188" t="str">
        <f t="shared" ref="C52:H52" ca="1" si="4">IF(C33=1,"",IF(C51=12,C49*2+C50*10,C49*1+C50*(C51-1)))</f>
        <v/>
      </c>
      <c r="D52" s="188" t="str">
        <f t="shared" ca="1" si="4"/>
        <v/>
      </c>
      <c r="E52" s="188" t="str">
        <f t="shared" ca="1" si="4"/>
        <v/>
      </c>
      <c r="F52" s="188" t="str">
        <f t="shared" ca="1" si="4"/>
        <v/>
      </c>
      <c r="G52" s="188" t="str">
        <f t="shared" ca="1" si="4"/>
        <v/>
      </c>
      <c r="H52" s="188" t="str">
        <f t="shared" si="4"/>
        <v/>
      </c>
      <c r="I52" s="195">
        <f ca="1">SUM(C52:H52)</f>
        <v>0</v>
      </c>
      <c r="R52" s="184" t="s">
        <v>624</v>
      </c>
      <c r="S52" s="243" t="str">
        <f ca="1">IF(U52="","",MAX(S$1:$S51)+1)</f>
        <v/>
      </c>
      <c r="T52" s="243">
        <v>2</v>
      </c>
      <c r="U52" s="184" t="str">
        <f t="shared" ca="1" si="3"/>
        <v/>
      </c>
      <c r="V52" s="349" t="s">
        <v>1019</v>
      </c>
      <c r="AL52" s="244" t="s">
        <v>190</v>
      </c>
    </row>
    <row r="53" spans="1:38" hidden="1">
      <c r="B53" s="173" t="s">
        <v>157</v>
      </c>
      <c r="C53" s="188" t="str">
        <f t="shared" ref="C53:H53" ca="1" si="5">IF(C33=1,"",C51*C50)</f>
        <v/>
      </c>
      <c r="D53" s="188" t="str">
        <f t="shared" ca="1" si="5"/>
        <v/>
      </c>
      <c r="E53" s="188" t="str">
        <f t="shared" ca="1" si="5"/>
        <v/>
      </c>
      <c r="F53" s="188" t="str">
        <f t="shared" ca="1" si="5"/>
        <v/>
      </c>
      <c r="G53" s="188" t="str">
        <f t="shared" ca="1" si="5"/>
        <v/>
      </c>
      <c r="H53" s="188" t="str">
        <f t="shared" si="5"/>
        <v/>
      </c>
      <c r="I53" s="195">
        <f ca="1">SUM(C53:H53)</f>
        <v>0</v>
      </c>
      <c r="R53" s="184" t="s">
        <v>624</v>
      </c>
      <c r="S53" s="243" t="str">
        <f ca="1">IF(U53="","",MAX(S$1:$S52)+1)</f>
        <v/>
      </c>
      <c r="T53" s="243">
        <v>2</v>
      </c>
      <c r="U53" s="184" t="str">
        <f t="shared" ca="1" si="3"/>
        <v/>
      </c>
      <c r="V53" s="184" t="s">
        <v>1018</v>
      </c>
      <c r="AL53" s="244" t="s">
        <v>191</v>
      </c>
    </row>
    <row r="54" spans="1:38" hidden="1">
      <c r="R54" s="184" t="s">
        <v>624</v>
      </c>
      <c r="S54" s="243" t="str">
        <f>IF(U54="","",MAX(S$1:$S53)+1)</f>
        <v/>
      </c>
      <c r="T54" s="243"/>
      <c r="AL54" s="244" t="s">
        <v>192</v>
      </c>
    </row>
    <row r="55" spans="1:38" hidden="1">
      <c r="B55" s="184" t="s">
        <v>637</v>
      </c>
      <c r="C55" s="185" t="s">
        <v>177</v>
      </c>
      <c r="D55" s="186" t="s">
        <v>638</v>
      </c>
      <c r="E55" s="186" t="s">
        <v>639</v>
      </c>
      <c r="F55" s="186" t="s">
        <v>640</v>
      </c>
      <c r="G55" s="186" t="s">
        <v>641</v>
      </c>
      <c r="H55" s="186" t="s">
        <v>642</v>
      </c>
      <c r="J55" s="186"/>
      <c r="K55" s="184" t="s">
        <v>633</v>
      </c>
      <c r="L55" s="263" t="s">
        <v>250</v>
      </c>
      <c r="M55" s="264">
        <f>輸入頁!$J47</f>
        <v>0</v>
      </c>
      <c r="N55" s="265" t="str">
        <f>IF(OR($C$22="不附加",$C$22="",輸入頁!$J$47=""),"",IF(ROUND(M55,0)&lt;&gt;M55,1,""))</f>
        <v/>
      </c>
      <c r="O55" s="265" t="str">
        <f>IF(N55=1,"保額輸入"&amp;M55&amp;"不符投保規則，請重新輸入","")</f>
        <v/>
      </c>
      <c r="R55" s="184" t="s">
        <v>624</v>
      </c>
      <c r="S55" s="243" t="str">
        <f>IF(U55="","",MAX(S$1:$S54)+1)</f>
        <v/>
      </c>
      <c r="T55" s="243"/>
      <c r="V55" s="184" t="s">
        <v>750</v>
      </c>
      <c r="AL55" s="244" t="s">
        <v>193</v>
      </c>
    </row>
    <row r="56" spans="1:38" hidden="1">
      <c r="A56" s="357" t="s">
        <v>724</v>
      </c>
      <c r="B56" s="184" t="s">
        <v>727</v>
      </c>
      <c r="C56" s="562" t="str">
        <f t="shared" ref="C56:C66" si="6">IF(OR($D$22="",$D$30="",ISERROR(HLOOKUP($D$30,$D$55:$H$66,$I56,0))),"",HLOOKUP($D$30,$D$55:$H$66,$I56,0))</f>
        <v/>
      </c>
      <c r="D56" s="202">
        <v>1000</v>
      </c>
      <c r="E56" s="203">
        <v>1500</v>
      </c>
      <c r="F56" s="203">
        <v>2000</v>
      </c>
      <c r="G56" s="203">
        <v>2500</v>
      </c>
      <c r="H56" s="203">
        <v>3500</v>
      </c>
      <c r="I56" s="186">
        <v>2</v>
      </c>
      <c r="J56" s="186"/>
      <c r="K56" s="184" t="s">
        <v>637</v>
      </c>
      <c r="L56" s="263" t="s">
        <v>250</v>
      </c>
      <c r="M56" s="264"/>
      <c r="N56" s="265"/>
      <c r="O56" s="265"/>
      <c r="S56" s="243" t="str">
        <f>IF(U56="","",MAX(S$1:$S55)+1)</f>
        <v/>
      </c>
      <c r="T56" s="243"/>
      <c r="AL56" s="244" t="s">
        <v>194</v>
      </c>
    </row>
    <row r="57" spans="1:38" hidden="1">
      <c r="A57" s="357" t="s">
        <v>724</v>
      </c>
      <c r="B57" s="184" t="s">
        <v>780</v>
      </c>
      <c r="C57" s="562" t="str">
        <f t="shared" si="6"/>
        <v/>
      </c>
      <c r="D57" s="202">
        <f>D$56*1.5</f>
        <v>1500</v>
      </c>
      <c r="E57" s="202">
        <f>E$56*1.5</f>
        <v>2250</v>
      </c>
      <c r="F57" s="202">
        <f>F$56*1.5</f>
        <v>3000</v>
      </c>
      <c r="G57" s="202">
        <f>G$56*1.5</f>
        <v>3750</v>
      </c>
      <c r="H57" s="202">
        <f>H$56*1.5</f>
        <v>5250</v>
      </c>
      <c r="I57" s="186">
        <v>3</v>
      </c>
      <c r="J57" s="186"/>
      <c r="K57" s="184" t="s">
        <v>648</v>
      </c>
      <c r="L57" s="263" t="s">
        <v>250</v>
      </c>
      <c r="M57" s="264">
        <f>輸入頁!$J67</f>
        <v>0</v>
      </c>
      <c r="N57" s="265" t="str">
        <f>IF(OR($E$22="不附加",$E$22="",輸入頁!$J$67=""),"",IF(RIGHT(M57,2)&lt;&gt;"00",1,""))</f>
        <v/>
      </c>
      <c r="O57" s="265" t="str">
        <f>IF(N57=1,"保額以百元為單位，"&amp;M57&amp;"不符投保規則，請重新輸入","")</f>
        <v/>
      </c>
      <c r="S57" s="243" t="str">
        <f>IF(U57="","",MAX(S$1:$S56)+1)</f>
        <v/>
      </c>
      <c r="T57" s="243"/>
      <c r="AL57" s="244" t="s">
        <v>195</v>
      </c>
    </row>
    <row r="58" spans="1:38" hidden="1">
      <c r="A58" s="357" t="s">
        <v>724</v>
      </c>
      <c r="B58" s="184" t="s">
        <v>768</v>
      </c>
      <c r="C58" s="562" t="str">
        <f t="shared" si="6"/>
        <v/>
      </c>
      <c r="D58" s="202">
        <v>30000</v>
      </c>
      <c r="E58" s="202">
        <v>50000</v>
      </c>
      <c r="F58" s="202">
        <v>60000</v>
      </c>
      <c r="G58" s="202">
        <v>80000</v>
      </c>
      <c r="H58" s="203">
        <v>100000</v>
      </c>
      <c r="I58" s="186">
        <v>4</v>
      </c>
      <c r="J58" s="186"/>
      <c r="K58" s="184" t="s">
        <v>1021</v>
      </c>
      <c r="L58" s="263" t="s">
        <v>250</v>
      </c>
      <c r="M58" s="264">
        <f>輸入頁!$J77</f>
        <v>0</v>
      </c>
      <c r="N58" s="265" t="str">
        <f>IF(OR($F$22="不附加",$F$22="",輸入頁!$J$77=""),"",IF(RIGHT(M58,2)&lt;&gt;"00",1,""))</f>
        <v/>
      </c>
      <c r="O58" s="265" t="str">
        <f>IF(N58=1,"保額以百元為單位，"&amp;M58&amp;"不符投保規則，請重新輸入","")</f>
        <v/>
      </c>
      <c r="S58" s="243" t="str">
        <f>IF(U58="","",MAX(S$1:$S57)+1)</f>
        <v/>
      </c>
      <c r="T58" s="243"/>
      <c r="AL58" s="244" t="s">
        <v>196</v>
      </c>
    </row>
    <row r="59" spans="1:38" hidden="1">
      <c r="A59" s="357" t="s">
        <v>724</v>
      </c>
      <c r="B59" s="184" t="s">
        <v>728</v>
      </c>
      <c r="C59" s="562" t="str">
        <f t="shared" si="6"/>
        <v/>
      </c>
      <c r="D59" s="202">
        <v>90000</v>
      </c>
      <c r="E59" s="203">
        <v>150000</v>
      </c>
      <c r="F59" s="203">
        <v>180000</v>
      </c>
      <c r="G59" s="203">
        <v>240000</v>
      </c>
      <c r="H59" s="203">
        <v>300000</v>
      </c>
      <c r="I59" s="186">
        <v>5</v>
      </c>
      <c r="J59" s="186"/>
      <c r="K59" s="184" t="s">
        <v>661</v>
      </c>
      <c r="L59" s="263" t="s">
        <v>250</v>
      </c>
      <c r="M59" s="264">
        <f>輸入頁!$J87</f>
        <v>0</v>
      </c>
      <c r="N59" s="265" t="str">
        <f>IF(OR($G$22="不附加",$G$22="",輸入頁!$J$87=""),"",IF(RIGHT(M59,2)&lt;&gt;"00",1,""))</f>
        <v/>
      </c>
      <c r="O59" s="265" t="str">
        <f>IF(N59=1,"保額以百元為單位，"&amp;M59&amp;"不符投保規則，請重新輸入","")</f>
        <v/>
      </c>
      <c r="R59" s="184" t="s">
        <v>637</v>
      </c>
      <c r="S59" s="243" t="str">
        <f ca="1">IF(U59="","",MAX(S$1:$S58)+1)</f>
        <v/>
      </c>
      <c r="T59" s="243"/>
      <c r="U59" s="184" t="str">
        <f ca="1">IF($D$33=1,"",V59)</f>
        <v/>
      </c>
      <c r="V59" s="184" t="str">
        <f>"富邦人壽十足元氣定期健康保險附約("&amp;$D$23&amp;")"</f>
        <v>富邦人壽十足元氣定期健康保險附約()</v>
      </c>
      <c r="AL59" s="244" t="s">
        <v>197</v>
      </c>
    </row>
    <row r="60" spans="1:38" hidden="1">
      <c r="A60" s="357" t="s">
        <v>724</v>
      </c>
      <c r="B60" s="184" t="s">
        <v>729</v>
      </c>
      <c r="C60" s="562" t="str">
        <f t="shared" si="6"/>
        <v/>
      </c>
      <c r="D60" s="203">
        <v>150000</v>
      </c>
      <c r="E60" s="203">
        <v>225000</v>
      </c>
      <c r="F60" s="203">
        <v>300000</v>
      </c>
      <c r="G60" s="203">
        <v>375000</v>
      </c>
      <c r="H60" s="203">
        <v>525000</v>
      </c>
      <c r="I60" s="186">
        <v>6</v>
      </c>
      <c r="J60" s="186"/>
      <c r="R60" s="184" t="s">
        <v>711</v>
      </c>
      <c r="S60" s="243"/>
      <c r="T60" s="243"/>
      <c r="U60" s="184" t="str">
        <f t="shared" ref="U60:U74" ca="1" si="7">IF($D$33=1,"",V60)</f>
        <v/>
      </c>
      <c r="V60" s="350" t="s">
        <v>975</v>
      </c>
      <c r="AL60" s="244" t="s">
        <v>193</v>
      </c>
    </row>
    <row r="61" spans="1:38" ht="33" hidden="1">
      <c r="A61" s="357" t="s">
        <v>783</v>
      </c>
      <c r="B61" s="378" t="s">
        <v>784</v>
      </c>
      <c r="C61" s="562" t="str">
        <f t="shared" si="6"/>
        <v/>
      </c>
      <c r="D61" s="202">
        <v>30000</v>
      </c>
      <c r="E61" s="202">
        <v>50000</v>
      </c>
      <c r="F61" s="202">
        <v>60000</v>
      </c>
      <c r="G61" s="202">
        <v>80000</v>
      </c>
      <c r="H61" s="203">
        <v>100000</v>
      </c>
      <c r="I61" s="186">
        <v>7</v>
      </c>
      <c r="J61" s="186"/>
      <c r="R61" s="184" t="s">
        <v>711</v>
      </c>
      <c r="S61" s="243"/>
      <c r="T61" s="243"/>
      <c r="U61" s="184" t="str">
        <f t="shared" ca="1" si="7"/>
        <v/>
      </c>
      <c r="V61" s="349" t="s">
        <v>970</v>
      </c>
      <c r="AL61" s="244" t="s">
        <v>194</v>
      </c>
    </row>
    <row r="62" spans="1:38" hidden="1">
      <c r="A62" s="184" t="s">
        <v>725</v>
      </c>
      <c r="B62" s="184" t="s">
        <v>723</v>
      </c>
      <c r="C62" s="562" t="str">
        <f t="shared" si="6"/>
        <v/>
      </c>
      <c r="D62" s="202">
        <v>1000</v>
      </c>
      <c r="E62" s="202">
        <v>1500</v>
      </c>
      <c r="F62" s="202">
        <v>2000</v>
      </c>
      <c r="G62" s="202">
        <v>2500</v>
      </c>
      <c r="H62" s="203">
        <v>3500</v>
      </c>
      <c r="I62" s="186">
        <v>8</v>
      </c>
      <c r="J62" s="186"/>
      <c r="R62" s="184" t="s">
        <v>637</v>
      </c>
      <c r="S62" s="243" t="str">
        <f ca="1">IF(U62="","",MAX(S$1:$S61)+1)</f>
        <v/>
      </c>
      <c r="T62" s="243"/>
      <c r="U62" s="184" t="str">
        <f t="shared" ca="1" si="7"/>
        <v/>
      </c>
      <c r="V62" s="349" t="s">
        <v>712</v>
      </c>
      <c r="AL62" s="244" t="s">
        <v>195</v>
      </c>
    </row>
    <row r="63" spans="1:38" hidden="1">
      <c r="A63" s="184" t="s">
        <v>725</v>
      </c>
      <c r="B63" s="184" t="s">
        <v>781</v>
      </c>
      <c r="C63" s="562" t="str">
        <f t="shared" si="6"/>
        <v/>
      </c>
      <c r="D63" s="202">
        <f>D$62*1.5</f>
        <v>1500</v>
      </c>
      <c r="E63" s="202">
        <f>E$62*1.5</f>
        <v>2250</v>
      </c>
      <c r="F63" s="202">
        <f>F$62*1.5</f>
        <v>3000</v>
      </c>
      <c r="G63" s="202">
        <f>G$62*1.5</f>
        <v>3750</v>
      </c>
      <c r="H63" s="202">
        <f>H$62*1.5</f>
        <v>5250</v>
      </c>
      <c r="I63" s="186">
        <v>9</v>
      </c>
      <c r="J63" s="186"/>
      <c r="R63" s="184" t="s">
        <v>637</v>
      </c>
      <c r="S63" s="243" t="str">
        <f ca="1">IF(U63="","",MAX(S$1:$S62)+1)</f>
        <v/>
      </c>
      <c r="T63" s="243"/>
      <c r="U63" s="184" t="str">
        <f t="shared" ca="1" si="7"/>
        <v/>
      </c>
      <c r="V63" s="349" t="s">
        <v>713</v>
      </c>
      <c r="AL63" s="244" t="s">
        <v>198</v>
      </c>
    </row>
    <row r="64" spans="1:38" hidden="1">
      <c r="B64" s="184" t="s">
        <v>726</v>
      </c>
      <c r="C64" s="562" t="str">
        <f t="shared" si="6"/>
        <v/>
      </c>
      <c r="D64" s="202"/>
      <c r="E64" s="203"/>
      <c r="F64" s="203"/>
      <c r="G64" s="203"/>
      <c r="H64" s="203"/>
      <c r="I64" s="186">
        <v>10</v>
      </c>
      <c r="J64" s="186"/>
      <c r="R64" s="184" t="s">
        <v>637</v>
      </c>
      <c r="S64" s="243" t="str">
        <f ca="1">IF(U64="","",MAX(S$1:$S63)+1)</f>
        <v/>
      </c>
      <c r="T64" s="243"/>
      <c r="U64" s="184" t="str">
        <f t="shared" ca="1" si="7"/>
        <v/>
      </c>
      <c r="V64" s="349" t="s">
        <v>752</v>
      </c>
      <c r="AL64" s="244" t="s">
        <v>199</v>
      </c>
    </row>
    <row r="65" spans="2:38" hidden="1">
      <c r="B65" s="184" t="s">
        <v>178</v>
      </c>
      <c r="C65" s="562" t="str">
        <f t="shared" si="6"/>
        <v/>
      </c>
      <c r="D65" s="202">
        <f>D58*10</f>
        <v>300000</v>
      </c>
      <c r="E65" s="202">
        <f>E58*10</f>
        <v>500000</v>
      </c>
      <c r="F65" s="202">
        <f>F58*10</f>
        <v>600000</v>
      </c>
      <c r="G65" s="202">
        <f>G58*10</f>
        <v>800000</v>
      </c>
      <c r="H65" s="202">
        <f>H58*10</f>
        <v>1000000</v>
      </c>
      <c r="I65" s="186">
        <v>11</v>
      </c>
      <c r="J65" s="200"/>
      <c r="K65" s="199"/>
      <c r="L65" s="199"/>
      <c r="M65" s="199"/>
      <c r="N65" s="199"/>
      <c r="O65" s="199"/>
      <c r="P65" s="199"/>
      <c r="Q65" s="199"/>
      <c r="R65" s="184" t="s">
        <v>637</v>
      </c>
      <c r="S65" s="243" t="str">
        <f ca="1">IF(U65="","",MAX(S$1:$S64)+1)</f>
        <v/>
      </c>
      <c r="T65" s="243">
        <v>1</v>
      </c>
      <c r="U65" s="184" t="str">
        <f t="shared" ca="1" si="7"/>
        <v/>
      </c>
      <c r="V65" s="245" t="s">
        <v>753</v>
      </c>
      <c r="AL65" s="244" t="s">
        <v>200</v>
      </c>
    </row>
    <row r="66" spans="2:38" hidden="1">
      <c r="B66" s="184" t="s">
        <v>787</v>
      </c>
      <c r="C66" s="562" t="str">
        <f t="shared" si="6"/>
        <v/>
      </c>
      <c r="D66" s="202">
        <f>D58*5</f>
        <v>150000</v>
      </c>
      <c r="E66" s="202">
        <f>E58*5</f>
        <v>250000</v>
      </c>
      <c r="F66" s="202">
        <f>F58*5</f>
        <v>300000</v>
      </c>
      <c r="G66" s="202">
        <f>G58*5</f>
        <v>400000</v>
      </c>
      <c r="H66" s="202">
        <f>H58*5</f>
        <v>500000</v>
      </c>
      <c r="I66" s="186">
        <v>12</v>
      </c>
      <c r="J66" s="200"/>
      <c r="K66" s="199"/>
      <c r="L66" s="199"/>
      <c r="M66" s="323"/>
      <c r="N66" s="199"/>
      <c r="O66" s="323"/>
      <c r="P66" s="199"/>
      <c r="Q66" s="323"/>
      <c r="R66" s="184" t="s">
        <v>637</v>
      </c>
      <c r="S66" s="243" t="str">
        <f ca="1">IF(U66="","",MAX(S$1:$S65)+1)</f>
        <v/>
      </c>
      <c r="T66" s="243">
        <v>1</v>
      </c>
      <c r="U66" s="184" t="str">
        <f t="shared" ca="1" si="7"/>
        <v/>
      </c>
      <c r="V66" s="245" t="s">
        <v>766</v>
      </c>
      <c r="AL66" s="245" t="s">
        <v>200</v>
      </c>
    </row>
    <row r="67" spans="2:38" hidden="1">
      <c r="C67" s="309"/>
      <c r="D67" s="202"/>
      <c r="E67" s="202"/>
      <c r="F67" s="202"/>
      <c r="G67" s="202"/>
      <c r="H67" s="202"/>
      <c r="J67" s="200"/>
      <c r="K67" s="199"/>
      <c r="L67" s="199"/>
      <c r="M67" s="323"/>
      <c r="N67" s="199"/>
      <c r="O67" s="323"/>
      <c r="P67" s="199"/>
      <c r="Q67" s="323"/>
      <c r="R67" s="184" t="s">
        <v>637</v>
      </c>
      <c r="S67" s="243" t="str">
        <f ca="1">IF(U67="","",MAX(S$1:$S66)+1)</f>
        <v/>
      </c>
      <c r="T67" s="243">
        <v>1</v>
      </c>
      <c r="U67" s="184" t="str">
        <f t="shared" ca="1" si="7"/>
        <v/>
      </c>
      <c r="V67" s="245" t="s">
        <v>767</v>
      </c>
      <c r="AL67" s="245" t="s">
        <v>202</v>
      </c>
    </row>
    <row r="68" spans="2:38" hidden="1">
      <c r="B68" s="184" t="s">
        <v>649</v>
      </c>
      <c r="C68" s="185" t="s">
        <v>177</v>
      </c>
      <c r="D68" s="310" t="s">
        <v>655</v>
      </c>
      <c r="E68" s="202"/>
      <c r="F68" s="202"/>
      <c r="G68" s="202"/>
      <c r="H68" s="202"/>
      <c r="J68" s="186"/>
      <c r="R68" s="184" t="s">
        <v>637</v>
      </c>
      <c r="S68" s="243" t="str">
        <f ca="1">IF(U68="","",MAX(S$1:$S67)+1)</f>
        <v/>
      </c>
      <c r="T68" s="243">
        <v>1</v>
      </c>
      <c r="U68" s="184" t="str">
        <f t="shared" ca="1" si="7"/>
        <v/>
      </c>
      <c r="V68" s="349" t="s">
        <v>978</v>
      </c>
      <c r="AL68" s="245" t="s">
        <v>203</v>
      </c>
    </row>
    <row r="69" spans="2:38" hidden="1">
      <c r="B69" s="184" t="s">
        <v>650</v>
      </c>
      <c r="C69" s="204" t="str">
        <f ca="1">IF($D$69="","",$D$69)</f>
        <v/>
      </c>
      <c r="D69" s="202" t="str">
        <f ca="1">IF($E$33=1,"",$E$30)</f>
        <v/>
      </c>
      <c r="E69" s="202"/>
      <c r="F69" s="202"/>
      <c r="G69" s="202"/>
      <c r="H69" s="202"/>
      <c r="J69" s="186"/>
      <c r="R69" s="184" t="s">
        <v>637</v>
      </c>
      <c r="S69" s="243" t="str">
        <f ca="1">IF(U69="","",MAX(S$1:$S68)+1)</f>
        <v/>
      </c>
      <c r="T69" s="243">
        <v>1</v>
      </c>
      <c r="U69" s="184" t="str">
        <f t="shared" ca="1" si="7"/>
        <v/>
      </c>
      <c r="V69" s="349" t="s">
        <v>1095</v>
      </c>
      <c r="AL69" s="245" t="s">
        <v>204</v>
      </c>
    </row>
    <row r="70" spans="2:38" hidden="1">
      <c r="B70" s="184" t="s">
        <v>651</v>
      </c>
      <c r="C70" s="204" t="str">
        <f ca="1">IF($D$69="","",$D$69)</f>
        <v/>
      </c>
      <c r="D70" s="202"/>
      <c r="E70" s="202"/>
      <c r="F70" s="202"/>
      <c r="G70" s="202"/>
      <c r="H70" s="202"/>
      <c r="J70" s="186"/>
      <c r="R70" s="184" t="s">
        <v>637</v>
      </c>
      <c r="S70" s="243" t="str">
        <f ca="1">IF(U70="","",MAX(S$1:$S69)+1)</f>
        <v/>
      </c>
      <c r="T70" s="243">
        <v>1</v>
      </c>
      <c r="U70" s="184" t="str">
        <f t="shared" ca="1" si="7"/>
        <v/>
      </c>
      <c r="V70" s="349" t="s">
        <v>980</v>
      </c>
      <c r="AL70" s="244" t="s">
        <v>207</v>
      </c>
    </row>
    <row r="71" spans="2:38" hidden="1">
      <c r="B71" s="184" t="s">
        <v>652</v>
      </c>
      <c r="C71" s="204" t="str">
        <f ca="1">IF($D$69="","",N($D$69)*0.5)</f>
        <v/>
      </c>
      <c r="D71" s="202"/>
      <c r="E71" s="202"/>
      <c r="F71" s="202"/>
      <c r="G71" s="202"/>
      <c r="H71" s="202"/>
      <c r="J71" s="186"/>
      <c r="R71" s="184" t="s">
        <v>637</v>
      </c>
      <c r="S71" s="243" t="str">
        <f ca="1">IF(U71="","",MAX(S$1:$S70)+1)</f>
        <v/>
      </c>
      <c r="T71" s="243"/>
      <c r="U71" s="184" t="str">
        <f t="shared" ca="1" si="7"/>
        <v/>
      </c>
      <c r="V71" s="349" t="s">
        <v>755</v>
      </c>
      <c r="AL71" s="244"/>
    </row>
    <row r="72" spans="2:38" hidden="1">
      <c r="B72" s="184" t="s">
        <v>653</v>
      </c>
      <c r="C72" s="204" t="str">
        <f ca="1">IF($D$69="","",N($D$69)*2)</f>
        <v/>
      </c>
      <c r="D72" s="202"/>
      <c r="E72" s="202"/>
      <c r="F72" s="202"/>
      <c r="G72" s="202"/>
      <c r="H72" s="202"/>
      <c r="J72" s="186"/>
      <c r="R72" s="184" t="s">
        <v>637</v>
      </c>
      <c r="S72" s="243" t="str">
        <f ca="1">IF(U72="","",MAX(S$1:$S71)+1)</f>
        <v/>
      </c>
      <c r="T72" s="243">
        <v>2</v>
      </c>
      <c r="U72" s="184" t="str">
        <f t="shared" ca="1" si="7"/>
        <v/>
      </c>
      <c r="V72" s="349" t="s">
        <v>747</v>
      </c>
      <c r="AL72" s="244"/>
    </row>
    <row r="73" spans="2:38" hidden="1">
      <c r="B73" s="184" t="s">
        <v>654</v>
      </c>
      <c r="C73" s="204" t="str">
        <f ca="1">IF($D$69="","",N($D$69)*2)</f>
        <v/>
      </c>
      <c r="D73" s="202"/>
      <c r="E73" s="202"/>
      <c r="F73" s="202"/>
      <c r="G73" s="202"/>
      <c r="H73" s="202"/>
      <c r="J73" s="186"/>
      <c r="R73" s="184" t="s">
        <v>637</v>
      </c>
      <c r="S73" s="243" t="str">
        <f ca="1">IF(U73="","",MAX(S$1:$S72)+1)</f>
        <v/>
      </c>
      <c r="T73" s="243">
        <v>2</v>
      </c>
      <c r="U73" s="184" t="str">
        <f t="shared" ca="1" si="7"/>
        <v/>
      </c>
      <c r="V73" s="349" t="s">
        <v>1019</v>
      </c>
      <c r="AL73" s="244"/>
    </row>
    <row r="74" spans="2:38" hidden="1">
      <c r="C74" s="309"/>
      <c r="D74" s="202"/>
      <c r="E74" s="202"/>
      <c r="F74" s="202"/>
      <c r="G74" s="202"/>
      <c r="H74" s="202"/>
      <c r="J74" s="186"/>
      <c r="R74" s="184" t="s">
        <v>637</v>
      </c>
      <c r="S74" s="243" t="str">
        <f ca="1">IF(U74="","",MAX(S$1:$S73)+1)</f>
        <v/>
      </c>
      <c r="T74" s="243">
        <v>2</v>
      </c>
      <c r="U74" s="184" t="str">
        <f t="shared" ca="1" si="7"/>
        <v/>
      </c>
      <c r="V74" s="184" t="s">
        <v>1018</v>
      </c>
      <c r="AL74" s="244"/>
    </row>
    <row r="75" spans="2:38" hidden="1">
      <c r="C75" s="309"/>
      <c r="D75" s="202"/>
      <c r="E75" s="202"/>
      <c r="F75" s="202"/>
      <c r="G75" s="202"/>
      <c r="H75" s="202"/>
      <c r="J75" s="186"/>
      <c r="R75" s="184" t="s">
        <v>715</v>
      </c>
      <c r="S75" s="243" t="str">
        <f ca="1">IF(U75="","",MAX(S$1:$S74)+1)</f>
        <v/>
      </c>
      <c r="T75" s="243"/>
      <c r="U75" s="184" t="str">
        <f ca="1">IF($E$33=1,"",V75)</f>
        <v/>
      </c>
      <c r="V75" s="184" t="str">
        <f>"富邦人壽日日元氣住院醫療定額健康保險附約("&amp;$E$23&amp;")"</f>
        <v>富邦人壽日日元氣住院醫療定額健康保險附約(HNR)</v>
      </c>
      <c r="AL75" s="244"/>
    </row>
    <row r="76" spans="2:38" hidden="1">
      <c r="C76" s="309"/>
      <c r="D76" s="202"/>
      <c r="E76" s="202"/>
      <c r="F76" s="202"/>
      <c r="G76" s="202"/>
      <c r="H76" s="202"/>
      <c r="J76" s="186"/>
      <c r="R76" s="184" t="s">
        <v>715</v>
      </c>
      <c r="S76" s="243"/>
      <c r="T76" s="243"/>
      <c r="U76" s="184" t="str">
        <f t="shared" ref="U76:U95" ca="1" si="8">IF($E$33=1,"",V76)</f>
        <v/>
      </c>
      <c r="V76" s="350" t="s">
        <v>974</v>
      </c>
      <c r="AL76" s="244"/>
    </row>
    <row r="77" spans="2:38" hidden="1">
      <c r="C77" s="309"/>
      <c r="D77" s="202"/>
      <c r="E77" s="202"/>
      <c r="F77" s="202"/>
      <c r="G77" s="202"/>
      <c r="H77" s="202"/>
      <c r="J77" s="186"/>
      <c r="R77" s="184" t="s">
        <v>715</v>
      </c>
      <c r="S77" s="243"/>
      <c r="T77" s="243"/>
      <c r="U77" s="184" t="str">
        <f t="shared" ca="1" si="8"/>
        <v/>
      </c>
      <c r="V77" s="349" t="s">
        <v>970</v>
      </c>
    </row>
    <row r="78" spans="2:38" hidden="1">
      <c r="B78" s="184" t="s">
        <v>1021</v>
      </c>
      <c r="C78" s="185" t="s">
        <v>177</v>
      </c>
      <c r="D78" s="310" t="s">
        <v>12</v>
      </c>
      <c r="E78" s="202"/>
      <c r="F78" s="202"/>
      <c r="G78" s="202"/>
      <c r="H78" s="202"/>
      <c r="J78" s="186"/>
      <c r="R78" s="184" t="s">
        <v>715</v>
      </c>
      <c r="S78" s="243" t="str">
        <f ca="1">IF(U78="","",MAX(S$1:$S77)+1)</f>
        <v/>
      </c>
      <c r="T78" s="243"/>
      <c r="U78" s="184" t="str">
        <f t="shared" ca="1" si="8"/>
        <v/>
      </c>
      <c r="V78" s="349" t="s">
        <v>770</v>
      </c>
    </row>
    <row r="79" spans="2:38" ht="33" hidden="1">
      <c r="B79" s="378" t="s">
        <v>1090</v>
      </c>
      <c r="C79" s="204" t="str">
        <f ca="1">IF($D$79="","",$D$79)</f>
        <v/>
      </c>
      <c r="D79" s="202" t="str">
        <f ca="1">IF($F$33=1,"",$F$30)</f>
        <v/>
      </c>
      <c r="E79" s="202"/>
      <c r="F79" s="202"/>
      <c r="G79" s="202"/>
      <c r="H79" s="202"/>
      <c r="J79" s="186"/>
      <c r="R79" s="184" t="s">
        <v>643</v>
      </c>
      <c r="S79" s="243" t="str">
        <f ca="1">IF(U79="","",MAX(S$1:$S78)+1)</f>
        <v/>
      </c>
      <c r="T79" s="243"/>
      <c r="U79" s="184" t="str">
        <f t="shared" ca="1" si="8"/>
        <v/>
      </c>
      <c r="V79" s="349" t="s">
        <v>769</v>
      </c>
    </row>
    <row r="80" spans="2:38" ht="33" hidden="1">
      <c r="B80" s="378" t="s">
        <v>1091</v>
      </c>
      <c r="C80" s="204" t="str">
        <f ca="1">IF($D$79="","",$D$79*2)</f>
        <v/>
      </c>
      <c r="D80" s="202"/>
      <c r="E80" s="202"/>
      <c r="F80" s="202"/>
      <c r="G80" s="202"/>
      <c r="H80" s="202"/>
      <c r="J80" s="186"/>
      <c r="R80" s="184" t="s">
        <v>643</v>
      </c>
      <c r="S80" s="243" t="str">
        <f ca="1">IF(U80="","",MAX(S$1:$S79)+1)</f>
        <v/>
      </c>
      <c r="T80" s="243">
        <v>1</v>
      </c>
      <c r="U80" s="184" t="str">
        <f t="shared" ca="1" si="8"/>
        <v/>
      </c>
      <c r="V80" s="245" t="s">
        <v>753</v>
      </c>
    </row>
    <row r="81" spans="2:22" hidden="1">
      <c r="B81" s="184" t="s">
        <v>652</v>
      </c>
      <c r="C81" s="204" t="str">
        <f ca="1">IF($D$79="","",$D$79*0.5)</f>
        <v/>
      </c>
      <c r="D81" s="202"/>
      <c r="E81" s="202"/>
      <c r="F81" s="202"/>
      <c r="G81" s="202"/>
      <c r="H81" s="202"/>
      <c r="J81" s="186"/>
      <c r="R81" s="184" t="s">
        <v>643</v>
      </c>
      <c r="S81" s="243" t="str">
        <f ca="1">IF(U81="","",MAX(S$1:$S80)+1)</f>
        <v/>
      </c>
      <c r="T81" s="243">
        <v>1</v>
      </c>
      <c r="U81" s="184" t="str">
        <f t="shared" ca="1" si="8"/>
        <v/>
      </c>
      <c r="V81" s="245" t="s">
        <v>766</v>
      </c>
    </row>
    <row r="82" spans="2:22" hidden="1">
      <c r="B82" s="184" t="s">
        <v>653</v>
      </c>
      <c r="C82" s="204" t="str">
        <f ca="1">IF($D$79="","",$D$79*2)</f>
        <v/>
      </c>
      <c r="D82" s="202"/>
      <c r="E82" s="202"/>
      <c r="F82" s="202"/>
      <c r="G82" s="202"/>
      <c r="H82" s="202"/>
      <c r="J82" s="186"/>
      <c r="R82" s="184" t="s">
        <v>643</v>
      </c>
      <c r="S82" s="243" t="str">
        <f ca="1">IF(U82="","",MAX(S$1:$S81)+1)</f>
        <v/>
      </c>
      <c r="T82" s="243">
        <v>1</v>
      </c>
      <c r="U82" s="184" t="str">
        <f t="shared" ca="1" si="8"/>
        <v/>
      </c>
      <c r="V82" s="245" t="s">
        <v>767</v>
      </c>
    </row>
    <row r="83" spans="2:22" hidden="1">
      <c r="B83" s="184" t="s">
        <v>654</v>
      </c>
      <c r="C83" s="204" t="str">
        <f ca="1">IF($D$79="","",$D$79*3)</f>
        <v/>
      </c>
      <c r="D83" s="202"/>
      <c r="E83" s="202"/>
      <c r="F83" s="202"/>
      <c r="G83" s="202"/>
      <c r="H83" s="202"/>
      <c r="J83" s="186"/>
      <c r="R83" s="184" t="s">
        <v>643</v>
      </c>
      <c r="S83" s="243" t="str">
        <f ca="1">IF(U83="","",MAX(S$1:$S82)+1)</f>
        <v/>
      </c>
      <c r="T83" s="243"/>
      <c r="U83" s="184" t="str">
        <f t="shared" ca="1" si="8"/>
        <v/>
      </c>
      <c r="V83" s="245" t="s">
        <v>790</v>
      </c>
    </row>
    <row r="84" spans="2:22" hidden="1">
      <c r="B84" s="184" t="s">
        <v>1022</v>
      </c>
      <c r="C84" s="204" t="str">
        <f ca="1">IF($D$79="","",$D$79*15)</f>
        <v/>
      </c>
      <c r="D84" s="202"/>
      <c r="E84" s="202"/>
      <c r="F84" s="202"/>
      <c r="G84" s="202"/>
      <c r="H84" s="202"/>
      <c r="J84" s="186"/>
      <c r="R84" s="184" t="s">
        <v>643</v>
      </c>
      <c r="S84" s="243" t="str">
        <f ca="1">IF(U84="","",MAX(S$1:$S83)+1)</f>
        <v/>
      </c>
      <c r="T84" s="243"/>
      <c r="U84" s="184" t="str">
        <f t="shared" ca="1" si="8"/>
        <v/>
      </c>
      <c r="V84" s="245" t="s">
        <v>791</v>
      </c>
    </row>
    <row r="85" spans="2:22" hidden="1">
      <c r="B85" s="184" t="s">
        <v>1023</v>
      </c>
      <c r="C85" s="204" t="str">
        <f ca="1">IF($D$79="","",$D$79*5)</f>
        <v/>
      </c>
      <c r="D85" s="202"/>
      <c r="E85" s="202"/>
      <c r="F85" s="202"/>
      <c r="G85" s="202"/>
      <c r="H85" s="202"/>
      <c r="J85" s="186"/>
      <c r="R85" s="184" t="s">
        <v>643</v>
      </c>
      <c r="S85" s="243" t="str">
        <f ca="1">IF(U85="","",MAX(S$1:$S84)+1)</f>
        <v/>
      </c>
      <c r="T85" s="243"/>
      <c r="U85" s="184" t="str">
        <f t="shared" ca="1" si="8"/>
        <v/>
      </c>
      <c r="V85" s="245" t="s">
        <v>792</v>
      </c>
    </row>
    <row r="86" spans="2:22" hidden="1">
      <c r="B86" s="184" t="s">
        <v>1024</v>
      </c>
      <c r="C86" s="204" t="str">
        <f ca="1">IF($D$79="","",$D$79*0.25)</f>
        <v/>
      </c>
      <c r="D86" s="202"/>
      <c r="E86" s="202"/>
      <c r="F86" s="202"/>
      <c r="G86" s="202"/>
      <c r="H86" s="202"/>
      <c r="J86" s="186"/>
      <c r="R86" s="184" t="s">
        <v>643</v>
      </c>
      <c r="S86" s="243" t="str">
        <f ca="1">IF(U86="","",MAX(S$1:$S85)+1)</f>
        <v/>
      </c>
      <c r="T86" s="243"/>
      <c r="U86" s="184" t="str">
        <f t="shared" ca="1" si="8"/>
        <v/>
      </c>
      <c r="V86" s="349" t="s">
        <v>976</v>
      </c>
    </row>
    <row r="87" spans="2:22" hidden="1">
      <c r="B87" s="184" t="s">
        <v>1025</v>
      </c>
      <c r="C87" s="204" t="str">
        <f ca="1">IF($D$79="","",$D$79)</f>
        <v/>
      </c>
      <c r="D87" s="202"/>
      <c r="E87" s="202"/>
      <c r="F87" s="202"/>
      <c r="G87" s="202"/>
      <c r="H87" s="202"/>
      <c r="J87" s="186"/>
      <c r="R87" s="184" t="s">
        <v>643</v>
      </c>
      <c r="S87" s="243" t="str">
        <f ca="1">IF(U87="","",MAX(S$1:$S86)+1)</f>
        <v/>
      </c>
      <c r="T87" s="243"/>
      <c r="U87" s="184" t="str">
        <f t="shared" ca="1" si="8"/>
        <v/>
      </c>
      <c r="V87" s="349" t="s">
        <v>977</v>
      </c>
    </row>
    <row r="88" spans="2:22" hidden="1">
      <c r="B88" s="184" t="s">
        <v>1026</v>
      </c>
      <c r="C88" s="204" t="str">
        <f ca="1">IF($D$79="","",$D$79*100)</f>
        <v/>
      </c>
      <c r="D88" s="202"/>
      <c r="E88" s="202"/>
      <c r="F88" s="202"/>
      <c r="G88" s="202"/>
      <c r="H88" s="202"/>
      <c r="J88" s="186"/>
      <c r="R88" s="184" t="s">
        <v>643</v>
      </c>
      <c r="S88" s="243" t="str">
        <f ca="1">IF(U88="","",MAX(S$1:$S87)+1)</f>
        <v/>
      </c>
      <c r="T88" s="243">
        <v>1</v>
      </c>
      <c r="U88" s="184" t="str">
        <f t="shared" ca="1" si="8"/>
        <v/>
      </c>
      <c r="V88" s="349" t="s">
        <v>978</v>
      </c>
    </row>
    <row r="89" spans="2:22" hidden="1">
      <c r="B89" s="184" t="s">
        <v>1027</v>
      </c>
      <c r="C89" s="204" t="str">
        <f ca="1">IF($D$79="","",$D$79*5)</f>
        <v/>
      </c>
      <c r="D89" s="202"/>
      <c r="E89" s="202"/>
      <c r="F89" s="202"/>
      <c r="G89" s="202"/>
      <c r="H89" s="202"/>
      <c r="J89" s="186"/>
      <c r="R89" s="184" t="s">
        <v>643</v>
      </c>
      <c r="S89" s="243" t="str">
        <f ca="1">IF(U89="","",MAX(S$1:$S88)+1)</f>
        <v/>
      </c>
      <c r="T89" s="243">
        <v>1</v>
      </c>
      <c r="U89" s="184" t="str">
        <f t="shared" ca="1" si="8"/>
        <v/>
      </c>
      <c r="V89" s="349" t="s">
        <v>979</v>
      </c>
    </row>
    <row r="90" spans="2:22" hidden="1">
      <c r="B90" s="184" t="s">
        <v>1028</v>
      </c>
      <c r="C90" s="204" t="str">
        <f ca="1">IF($D$79="","",$D$79*2)</f>
        <v/>
      </c>
      <c r="D90" s="202"/>
      <c r="E90" s="202"/>
      <c r="F90" s="202"/>
      <c r="G90" s="202"/>
      <c r="H90" s="202"/>
      <c r="J90" s="186"/>
      <c r="R90" s="184" t="s">
        <v>643</v>
      </c>
      <c r="S90" s="243" t="str">
        <f ca="1">IF(U90="","",MAX(S$1:$S89)+1)</f>
        <v/>
      </c>
      <c r="T90" s="243">
        <v>1</v>
      </c>
      <c r="U90" s="184" t="str">
        <f t="shared" ca="1" si="8"/>
        <v/>
      </c>
      <c r="V90" s="349" t="s">
        <v>980</v>
      </c>
    </row>
    <row r="91" spans="2:22" hidden="1">
      <c r="B91" s="184" t="s">
        <v>1037</v>
      </c>
      <c r="C91" s="204" t="str">
        <f ca="1">IF($D$79="","",$D$79*3000)</f>
        <v/>
      </c>
      <c r="D91" s="202"/>
      <c r="E91" s="202"/>
      <c r="F91" s="202"/>
      <c r="G91" s="202"/>
      <c r="H91" s="202"/>
      <c r="J91" s="186"/>
      <c r="R91" s="184" t="s">
        <v>643</v>
      </c>
      <c r="S91" s="243" t="str">
        <f ca="1">IF(U91="","",MAX(S$1:$S90)+1)</f>
        <v/>
      </c>
      <c r="T91" s="243"/>
      <c r="U91" s="184" t="str">
        <f t="shared" ca="1" si="8"/>
        <v/>
      </c>
      <c r="V91" s="349" t="s">
        <v>773</v>
      </c>
    </row>
    <row r="92" spans="2:22" s="608" customFormat="1" hidden="1">
      <c r="B92" s="608" t="s">
        <v>659</v>
      </c>
      <c r="C92" s="609" t="s">
        <v>177</v>
      </c>
      <c r="D92" s="610" t="s">
        <v>12</v>
      </c>
      <c r="E92" s="611"/>
      <c r="F92" s="611"/>
      <c r="G92" s="611"/>
      <c r="H92" s="611"/>
      <c r="I92" s="196"/>
      <c r="J92" s="196"/>
      <c r="R92" s="608" t="s">
        <v>643</v>
      </c>
      <c r="S92" s="612" t="str">
        <f ca="1">IF(U92="","",MAX(S$1:$S91)+1)</f>
        <v/>
      </c>
      <c r="T92" s="612"/>
      <c r="U92" s="608" t="str">
        <f t="shared" ca="1" si="8"/>
        <v/>
      </c>
      <c r="V92" s="608" t="s">
        <v>772</v>
      </c>
    </row>
    <row r="93" spans="2:22" hidden="1">
      <c r="B93" s="184" t="s">
        <v>965</v>
      </c>
      <c r="C93" s="204" t="str">
        <f ca="1">IF($D$93="","",N($D$93)*2)</f>
        <v/>
      </c>
      <c r="D93" s="202" t="str">
        <f ca="1">IF($C$33=1,"",$C$30*10000)</f>
        <v/>
      </c>
      <c r="E93" s="202"/>
      <c r="F93" s="202"/>
      <c r="G93" s="202"/>
      <c r="H93" s="202"/>
      <c r="J93" s="186"/>
      <c r="R93" s="184" t="s">
        <v>643</v>
      </c>
      <c r="S93" s="243" t="str">
        <f ca="1">IF(U93="","",MAX(S$1:$S92)+1)</f>
        <v/>
      </c>
      <c r="T93" s="243">
        <v>2</v>
      </c>
      <c r="U93" s="184" t="str">
        <f t="shared" ca="1" si="8"/>
        <v/>
      </c>
      <c r="V93" s="349" t="s">
        <v>745</v>
      </c>
    </row>
    <row r="94" spans="2:22" hidden="1">
      <c r="B94" s="184" t="s">
        <v>966</v>
      </c>
      <c r="C94" s="204" t="str">
        <f ca="1">IF($D$93="","",N($D$93)*2)</f>
        <v/>
      </c>
      <c r="D94" s="202"/>
      <c r="E94" s="202"/>
      <c r="F94" s="202"/>
      <c r="G94" s="202"/>
      <c r="H94" s="202"/>
      <c r="J94" s="186"/>
      <c r="R94" s="184" t="s">
        <v>643</v>
      </c>
      <c r="S94" s="243" t="str">
        <f ca="1">IF(U94="","",MAX(S$1:$S93)+1)</f>
        <v/>
      </c>
      <c r="T94" s="243">
        <v>2</v>
      </c>
      <c r="U94" s="184" t="str">
        <f t="shared" ca="1" si="8"/>
        <v/>
      </c>
      <c r="V94" s="349" t="s">
        <v>1019</v>
      </c>
    </row>
    <row r="95" spans="2:22" hidden="1">
      <c r="B95" s="184" t="s">
        <v>967</v>
      </c>
      <c r="C95" s="204" t="str">
        <f ca="1">IF($D$93="","",N($D$93)*2)</f>
        <v/>
      </c>
      <c r="D95" s="202"/>
      <c r="E95" s="202"/>
      <c r="F95" s="202"/>
      <c r="G95" s="202"/>
      <c r="H95" s="202"/>
      <c r="J95" s="186"/>
      <c r="R95" s="184" t="s">
        <v>643</v>
      </c>
      <c r="S95" s="243" t="str">
        <f ca="1">IF(U95="","",MAX(S$1:$S94)+1)</f>
        <v/>
      </c>
      <c r="T95" s="243">
        <v>2</v>
      </c>
      <c r="U95" s="184" t="str">
        <f t="shared" ca="1" si="8"/>
        <v/>
      </c>
      <c r="V95" s="349" t="s">
        <v>1018</v>
      </c>
    </row>
    <row r="96" spans="2:22" hidden="1">
      <c r="C96" s="184"/>
      <c r="D96" s="184"/>
      <c r="E96" s="184"/>
      <c r="F96" s="184"/>
      <c r="G96" s="184"/>
      <c r="J96" s="186"/>
      <c r="S96" s="243" t="str">
        <f>IF(U96="","",MAX(S$1:$S95)+1)</f>
        <v/>
      </c>
      <c r="T96" s="243"/>
    </row>
    <row r="97" spans="1:22" hidden="1">
      <c r="C97" s="184"/>
      <c r="D97" s="184"/>
      <c r="E97" s="184"/>
      <c r="F97" s="184"/>
      <c r="G97" s="184"/>
      <c r="J97" s="186"/>
      <c r="R97" s="184" t="s">
        <v>1021</v>
      </c>
      <c r="S97" s="243" t="str">
        <f ca="1">IF(U97="","",MAX(S$1:$S96)+1)</f>
        <v/>
      </c>
      <c r="T97" s="243"/>
      <c r="U97" s="184" t="str">
        <f t="shared" ref="U97:U120" ca="1" si="9">IF($F$33=1,"",V97)</f>
        <v/>
      </c>
      <c r="V97" s="184" t="str">
        <f>"富邦人壽日日好漾住院醫療定額健康保險附約("&amp;$F$23&amp;")"</f>
        <v>富邦人壽日日好漾住院醫療定額健康保險附約(HOR)</v>
      </c>
    </row>
    <row r="98" spans="1:22" hidden="1">
      <c r="C98" s="311"/>
      <c r="D98" s="93"/>
      <c r="E98" s="93"/>
      <c r="F98" s="93"/>
      <c r="G98" s="93"/>
      <c r="J98" s="186"/>
      <c r="R98" s="184" t="s">
        <v>1021</v>
      </c>
      <c r="S98" s="243"/>
      <c r="T98" s="243"/>
      <c r="U98" s="184" t="str">
        <f t="shared" ca="1" si="9"/>
        <v/>
      </c>
      <c r="V98" s="350" t="s">
        <v>1089</v>
      </c>
    </row>
    <row r="99" spans="1:22" hidden="1">
      <c r="B99" s="184" t="s">
        <v>666</v>
      </c>
      <c r="C99" s="185" t="s">
        <v>177</v>
      </c>
      <c r="D99" s="310" t="s">
        <v>12</v>
      </c>
      <c r="E99" s="93"/>
      <c r="F99" s="93"/>
      <c r="G99" s="93"/>
      <c r="J99" s="186"/>
      <c r="R99" s="184" t="s">
        <v>1021</v>
      </c>
      <c r="S99" s="243" t="str">
        <f>IF(U99="","",MAX(S$1:$S98)+1)</f>
        <v/>
      </c>
      <c r="T99" s="243"/>
      <c r="V99" s="349"/>
    </row>
    <row r="100" spans="1:22" hidden="1">
      <c r="B100" s="197" t="s">
        <v>669</v>
      </c>
      <c r="C100" s="205" t="str">
        <f ca="1">IF($D$100="","",N($D$100))</f>
        <v/>
      </c>
      <c r="D100" s="202" t="str">
        <f ca="1">IF($G$33=1,"",$G$30)</f>
        <v/>
      </c>
      <c r="E100" s="93"/>
      <c r="F100" s="93"/>
      <c r="G100" s="93"/>
      <c r="J100" s="186"/>
      <c r="R100" s="184" t="s">
        <v>1021</v>
      </c>
      <c r="S100" s="243" t="str">
        <f ca="1">IF(U100="","",MAX(S$1:$S99)+1)</f>
        <v/>
      </c>
      <c r="T100" s="243"/>
      <c r="U100" s="184" t="str">
        <f t="shared" ca="1" si="9"/>
        <v/>
      </c>
      <c r="V100" s="349" t="s">
        <v>1080</v>
      </c>
    </row>
    <row r="101" spans="1:22" hidden="1">
      <c r="B101" s="184" t="s">
        <v>667</v>
      </c>
      <c r="C101" s="205" t="str">
        <f ca="1">IF($D$100="","",N($D$100)*0.5)</f>
        <v/>
      </c>
      <c r="D101" s="202"/>
      <c r="E101" s="93"/>
      <c r="F101" s="93"/>
      <c r="G101" s="93"/>
      <c r="J101" s="186"/>
      <c r="R101" s="184" t="s">
        <v>1021</v>
      </c>
      <c r="S101" s="243" t="str">
        <f ca="1">IF(U101="","",MAX(S$1:$S100)+1)</f>
        <v/>
      </c>
      <c r="T101" s="243"/>
      <c r="U101" s="184" t="str">
        <f t="shared" ca="1" si="9"/>
        <v/>
      </c>
      <c r="V101" s="349" t="s">
        <v>1081</v>
      </c>
    </row>
    <row r="102" spans="1:22" hidden="1">
      <c r="B102" s="197" t="s">
        <v>668</v>
      </c>
      <c r="C102" s="205" t="str">
        <f ca="1">IF($D$100="","",N($D$100)*15)</f>
        <v/>
      </c>
      <c r="D102" s="202"/>
      <c r="E102" s="93"/>
      <c r="F102" s="93"/>
      <c r="G102" s="93"/>
      <c r="J102" s="186"/>
      <c r="R102" s="184" t="s">
        <v>1021</v>
      </c>
      <c r="S102" s="243" t="str">
        <f ca="1">IF(U102="","",MAX(S$1:$S101)+1)</f>
        <v/>
      </c>
      <c r="T102" s="243"/>
      <c r="U102" s="184" t="str">
        <f t="shared" ca="1" si="9"/>
        <v/>
      </c>
      <c r="V102" s="349" t="s">
        <v>1092</v>
      </c>
    </row>
    <row r="103" spans="1:22" hidden="1">
      <c r="B103" s="184" t="s">
        <v>670</v>
      </c>
      <c r="C103" s="205" t="str">
        <f ca="1">IF($D$100="","",N($D$100))</f>
        <v/>
      </c>
      <c r="D103" s="202"/>
      <c r="E103" s="93"/>
      <c r="F103" s="93"/>
      <c r="G103" s="93"/>
      <c r="J103" s="186"/>
      <c r="R103" s="184" t="s">
        <v>1021</v>
      </c>
      <c r="S103" s="243" t="str">
        <f ca="1">IF(U103="","",MAX(S$1:$S102)+1)</f>
        <v/>
      </c>
      <c r="T103" s="243">
        <v>1</v>
      </c>
      <c r="U103" s="184" t="str">
        <f t="shared" ca="1" si="9"/>
        <v/>
      </c>
      <c r="V103" s="245" t="s">
        <v>753</v>
      </c>
    </row>
    <row r="104" spans="1:22" hidden="1">
      <c r="B104" s="198" t="s">
        <v>671</v>
      </c>
      <c r="C104" s="205" t="str">
        <f ca="1">IF($D$100="","",N($D$100))</f>
        <v/>
      </c>
      <c r="D104" s="202"/>
      <c r="E104" s="93"/>
      <c r="F104" s="93"/>
      <c r="G104" s="93"/>
      <c r="J104" s="186"/>
      <c r="R104" s="184" t="s">
        <v>1021</v>
      </c>
      <c r="S104" s="243" t="str">
        <f ca="1">IF(U104="","",MAX(S$1:$S103)+1)</f>
        <v/>
      </c>
      <c r="T104" s="243">
        <v>1</v>
      </c>
      <c r="U104" s="184" t="str">
        <f t="shared" ca="1" si="9"/>
        <v/>
      </c>
      <c r="V104" s="375" t="s">
        <v>766</v>
      </c>
    </row>
    <row r="105" spans="1:22" hidden="1">
      <c r="B105" s="198" t="s">
        <v>737</v>
      </c>
      <c r="C105" s="205" t="str">
        <f ca="1">IF($D$100="","",N($D$100)*1500)</f>
        <v/>
      </c>
      <c r="D105" s="202"/>
      <c r="E105" s="93"/>
      <c r="F105" s="93"/>
      <c r="G105" s="93"/>
      <c r="J105" s="186"/>
      <c r="R105" s="184" t="s">
        <v>1021</v>
      </c>
      <c r="S105" s="243" t="str">
        <f ca="1">IF(U105="","",MAX(S$1:$S104)+1)</f>
        <v/>
      </c>
      <c r="T105" s="243">
        <v>1</v>
      </c>
      <c r="U105" s="184" t="str">
        <f t="shared" ca="1" si="9"/>
        <v/>
      </c>
      <c r="V105" s="245" t="s">
        <v>767</v>
      </c>
    </row>
    <row r="106" spans="1:22" hidden="1">
      <c r="C106" s="314"/>
      <c r="D106" s="309"/>
      <c r="E106" s="319"/>
      <c r="F106" s="93"/>
      <c r="G106" s="93"/>
      <c r="J106" s="186"/>
      <c r="R106" s="184" t="s">
        <v>1021</v>
      </c>
      <c r="S106" s="243" t="str">
        <f ca="1">IF(U106="","",MAX(S$1:$S105)+1)</f>
        <v/>
      </c>
      <c r="T106" s="243">
        <v>1</v>
      </c>
      <c r="U106" s="184" t="str">
        <f t="shared" ca="1" si="9"/>
        <v/>
      </c>
      <c r="V106" s="349" t="s">
        <v>978</v>
      </c>
    </row>
    <row r="107" spans="1:22" hidden="1">
      <c r="C107" s="314"/>
      <c r="D107" s="309"/>
      <c r="E107" s="93"/>
      <c r="F107" s="93"/>
      <c r="G107" s="93"/>
      <c r="J107" s="186"/>
      <c r="R107" s="184" t="s">
        <v>1021</v>
      </c>
      <c r="S107" s="243" t="str">
        <f ca="1">IF(U107="","",MAX(S$1:$S106)+1)</f>
        <v/>
      </c>
      <c r="T107" s="243">
        <v>1</v>
      </c>
      <c r="U107" s="184" t="str">
        <f t="shared" ca="1" si="9"/>
        <v/>
      </c>
      <c r="V107" s="349" t="s">
        <v>1095</v>
      </c>
    </row>
    <row r="108" spans="1:22" hidden="1">
      <c r="C108" s="314"/>
      <c r="D108" s="309"/>
      <c r="E108" s="93"/>
      <c r="F108" s="93"/>
      <c r="G108" s="93"/>
      <c r="J108" s="186"/>
      <c r="R108" s="184" t="s">
        <v>1021</v>
      </c>
      <c r="S108" s="243" t="str">
        <f ca="1">IF(U108="","",MAX(S$1:$S107)+1)</f>
        <v/>
      </c>
      <c r="T108" s="243">
        <v>1</v>
      </c>
      <c r="U108" s="184" t="str">
        <f t="shared" ca="1" si="9"/>
        <v/>
      </c>
      <c r="V108" s="349" t="s">
        <v>980</v>
      </c>
    </row>
    <row r="109" spans="1:22" hidden="1">
      <c r="G109" s="93"/>
      <c r="J109" s="186"/>
      <c r="R109" s="184" t="s">
        <v>1021</v>
      </c>
      <c r="S109" s="243" t="str">
        <f ca="1">IF(U109="","",MAX(S$1:$S108)+1)</f>
        <v/>
      </c>
      <c r="T109" s="243"/>
      <c r="U109" s="184" t="str">
        <f t="shared" ca="1" si="9"/>
        <v/>
      </c>
      <c r="V109" s="349" t="s">
        <v>1082</v>
      </c>
    </row>
    <row r="110" spans="1:22" ht="15" hidden="1" customHeight="1">
      <c r="A110" s="184" t="s">
        <v>828</v>
      </c>
      <c r="B110" s="173" t="str">
        <f ca="1">IF(AND($C$110=1,$D$110=1,$E$110=1,$F$110=1),1,"")</f>
        <v/>
      </c>
      <c r="C110" s="417">
        <f ca="1">IF(AND($D$33=1,$E$33=1,$F$33=1),1,"")</f>
        <v>1</v>
      </c>
      <c r="D110" s="417" t="str">
        <f ca="1">IF(AND($C$110=1,OP!$D$53=1),1,"")</f>
        <v/>
      </c>
      <c r="E110" s="417">
        <f ca="1">IF($C$110=1,1,"")</f>
        <v>1</v>
      </c>
      <c r="F110" s="417">
        <f ca="1">IF(AND($C$110=1,$G$33=1),1,"")</f>
        <v>1</v>
      </c>
      <c r="G110" s="93"/>
      <c r="J110" s="186"/>
      <c r="R110" s="184" t="s">
        <v>1021</v>
      </c>
      <c r="S110" s="243" t="str">
        <f ca="1">IF(U110="","",MAX(S$1:$S109)+1)</f>
        <v/>
      </c>
      <c r="T110" s="243"/>
      <c r="U110" s="184" t="str">
        <f t="shared" ca="1" si="9"/>
        <v/>
      </c>
      <c r="V110" s="349" t="s">
        <v>1083</v>
      </c>
    </row>
    <row r="111" spans="1:22" hidden="1">
      <c r="B111" s="425" t="s">
        <v>830</v>
      </c>
      <c r="C111" s="421" t="s">
        <v>829</v>
      </c>
      <c r="D111" s="421" t="s">
        <v>831</v>
      </c>
      <c r="E111" s="421" t="s">
        <v>832</v>
      </c>
      <c r="F111" s="421" t="s">
        <v>833</v>
      </c>
      <c r="G111" s="257"/>
      <c r="H111" s="257"/>
      <c r="I111" s="200"/>
      <c r="J111" s="257"/>
      <c r="K111" s="257"/>
      <c r="L111" s="257"/>
      <c r="M111" s="257"/>
      <c r="N111" s="199"/>
      <c r="R111" s="184" t="s">
        <v>1021</v>
      </c>
      <c r="S111" s="243" t="str">
        <f ca="1">IF(U111="","",MAX(S$1:$S110)+1)</f>
        <v/>
      </c>
      <c r="T111" s="243"/>
      <c r="U111" s="184" t="str">
        <f t="shared" ca="1" si="9"/>
        <v/>
      </c>
      <c r="V111" s="245" t="s">
        <v>1084</v>
      </c>
    </row>
    <row r="112" spans="1:22" hidden="1">
      <c r="B112" s="419" t="s">
        <v>825</v>
      </c>
      <c r="C112" s="420" t="s">
        <v>823</v>
      </c>
      <c r="D112" s="420" t="s">
        <v>827</v>
      </c>
      <c r="E112" s="420" t="s">
        <v>827</v>
      </c>
      <c r="F112" s="416" t="str">
        <f ca="1">C101</f>
        <v/>
      </c>
      <c r="G112" s="257"/>
      <c r="H112" s="257"/>
      <c r="I112" s="200"/>
      <c r="J112" s="406"/>
      <c r="K112" s="406"/>
      <c r="L112" s="406"/>
      <c r="M112" s="257"/>
      <c r="N112" s="199"/>
      <c r="R112" s="184" t="s">
        <v>1021</v>
      </c>
      <c r="S112" s="243" t="str">
        <f ca="1">IF(U112="","",MAX(S$1:$S111)+1)</f>
        <v/>
      </c>
      <c r="T112" s="243"/>
      <c r="U112" s="184" t="str">
        <f t="shared" ca="1" si="9"/>
        <v/>
      </c>
      <c r="V112" s="349" t="s">
        <v>1085</v>
      </c>
    </row>
    <row r="113" spans="2:22" hidden="1">
      <c r="B113" s="419" t="s">
        <v>826</v>
      </c>
      <c r="C113" s="416">
        <f ca="1">N(C62)+N(C69)+N(C71)+N(C79)+N(C81)</f>
        <v>0</v>
      </c>
      <c r="D113" s="416">
        <f ca="1">C113+N(D114)</f>
        <v>500</v>
      </c>
      <c r="E113" s="416">
        <f ca="1">C113+N(C70)</f>
        <v>0</v>
      </c>
      <c r="F113" s="416">
        <f ca="1">C113+N(C100)</f>
        <v>0</v>
      </c>
      <c r="G113" s="406"/>
      <c r="H113" s="406"/>
      <c r="I113" s="200"/>
      <c r="J113" s="406"/>
      <c r="K113" s="406"/>
      <c r="L113" s="406"/>
      <c r="M113" s="406"/>
      <c r="N113" s="199"/>
      <c r="R113" s="184" t="s">
        <v>1021</v>
      </c>
      <c r="S113" s="243" t="str">
        <f ca="1">IF(U113="","",MAX(S$1:$S112)+1)</f>
        <v/>
      </c>
      <c r="T113" s="243"/>
      <c r="U113" s="184" t="str">
        <f t="shared" ca="1" si="9"/>
        <v/>
      </c>
      <c r="V113" s="184" t="s">
        <v>1086</v>
      </c>
    </row>
    <row r="114" spans="2:22" hidden="1">
      <c r="B114" s="173" t="s">
        <v>824</v>
      </c>
      <c r="C114" s="417" t="s">
        <v>823</v>
      </c>
      <c r="D114" s="416">
        <f ca="1">IF(OP!$D$53=1,"",OP!$C$28*10000*0.1%)</f>
        <v>500</v>
      </c>
      <c r="E114" s="418" t="s">
        <v>823</v>
      </c>
      <c r="F114" s="418" t="s">
        <v>823</v>
      </c>
      <c r="J114" s="186"/>
      <c r="R114" s="184" t="s">
        <v>1021</v>
      </c>
      <c r="S114" s="243" t="str">
        <f ca="1">IF(U114="","",MAX(S$1:$S113)+1)</f>
        <v/>
      </c>
      <c r="T114" s="243"/>
      <c r="U114" s="184" t="str">
        <f t="shared" ca="1" si="9"/>
        <v/>
      </c>
      <c r="V114" s="184" t="s">
        <v>1087</v>
      </c>
    </row>
    <row r="115" spans="2:22" s="608" customFormat="1" hidden="1">
      <c r="B115" s="315"/>
      <c r="C115" s="315"/>
      <c r="D115" s="316"/>
      <c r="E115" s="316"/>
      <c r="F115" s="196"/>
      <c r="G115" s="196"/>
      <c r="H115" s="196"/>
      <c r="I115" s="196"/>
      <c r="J115" s="196"/>
      <c r="R115" s="608" t="s">
        <v>1021</v>
      </c>
      <c r="S115" s="243" t="str">
        <f ca="1">IF(U115="","",MAX(S$1:$S114)+1)</f>
        <v/>
      </c>
      <c r="T115" s="243"/>
      <c r="U115" s="608" t="str">
        <f t="shared" ca="1" si="9"/>
        <v/>
      </c>
      <c r="V115" s="629" t="s">
        <v>1096</v>
      </c>
    </row>
    <row r="116" spans="2:22" s="608" customFormat="1" hidden="1">
      <c r="B116" s="315"/>
      <c r="C116" s="315"/>
      <c r="D116" s="316"/>
      <c r="E116" s="316"/>
      <c r="F116" s="196"/>
      <c r="G116" s="196"/>
      <c r="H116" s="196"/>
      <c r="I116" s="196"/>
      <c r="J116" s="196"/>
      <c r="R116" s="608" t="s">
        <v>1021</v>
      </c>
      <c r="S116" s="243" t="str">
        <f ca="1">IF(U116="","",MAX(S$1:$S115)+1)</f>
        <v/>
      </c>
      <c r="T116" s="243"/>
      <c r="U116" s="608" t="str">
        <f t="shared" ca="1" si="9"/>
        <v/>
      </c>
      <c r="V116" s="629" t="s">
        <v>1097</v>
      </c>
    </row>
    <row r="117" spans="2:22" s="608" customFormat="1" hidden="1">
      <c r="B117" s="315"/>
      <c r="C117" s="315"/>
      <c r="D117" s="316"/>
      <c r="E117" s="316"/>
      <c r="F117" s="196"/>
      <c r="G117" s="196"/>
      <c r="H117" s="196"/>
      <c r="I117" s="196"/>
      <c r="J117" s="196"/>
      <c r="R117" s="608" t="s">
        <v>1021</v>
      </c>
      <c r="S117" s="243" t="str">
        <f ca="1">IF(U117="","",MAX(S$1:$S116)+1)</f>
        <v/>
      </c>
      <c r="T117" s="243"/>
      <c r="U117" s="608" t="str">
        <f t="shared" ca="1" si="9"/>
        <v/>
      </c>
      <c r="V117" s="629" t="s">
        <v>1098</v>
      </c>
    </row>
    <row r="118" spans="2:22" s="608" customFormat="1" hidden="1">
      <c r="B118" s="315"/>
      <c r="C118" s="315"/>
      <c r="D118" s="316"/>
      <c r="E118" s="316"/>
      <c r="F118" s="196"/>
      <c r="G118" s="196"/>
      <c r="H118" s="196"/>
      <c r="I118" s="196"/>
      <c r="J118" s="196"/>
      <c r="R118" s="608" t="s">
        <v>1021</v>
      </c>
      <c r="S118" s="243" t="str">
        <f ca="1">IF(U118="","",MAX(S$1:$S117)+1)</f>
        <v/>
      </c>
      <c r="T118" s="243">
        <v>2</v>
      </c>
      <c r="U118" s="608" t="str">
        <f t="shared" ca="1" si="9"/>
        <v/>
      </c>
      <c r="V118" s="629" t="s">
        <v>1088</v>
      </c>
    </row>
    <row r="119" spans="2:22" s="608" customFormat="1" hidden="1">
      <c r="B119" s="315"/>
      <c r="C119" s="315"/>
      <c r="D119" s="316"/>
      <c r="E119" s="316"/>
      <c r="F119" s="196"/>
      <c r="G119" s="196"/>
      <c r="H119" s="196"/>
      <c r="I119" s="196"/>
      <c r="J119" s="196"/>
      <c r="R119" s="608" t="s">
        <v>1021</v>
      </c>
      <c r="S119" s="243" t="str">
        <f ca="1">IF(U119="","",MAX(S$1:$S118)+1)</f>
        <v/>
      </c>
      <c r="T119" s="243">
        <v>2</v>
      </c>
      <c r="U119" s="608" t="str">
        <f t="shared" ca="1" si="9"/>
        <v/>
      </c>
      <c r="V119" s="629" t="s">
        <v>1017</v>
      </c>
    </row>
    <row r="120" spans="2:22" s="608" customFormat="1" hidden="1">
      <c r="B120" s="315"/>
      <c r="C120" s="315"/>
      <c r="D120" s="316"/>
      <c r="E120" s="316"/>
      <c r="F120" s="196"/>
      <c r="G120" s="196"/>
      <c r="H120" s="196"/>
      <c r="I120" s="196"/>
      <c r="J120" s="196"/>
      <c r="R120" s="608" t="s">
        <v>1021</v>
      </c>
      <c r="S120" s="243" t="str">
        <f ca="1">IF(U120="","",MAX(S$1:$S119)+1)</f>
        <v/>
      </c>
      <c r="T120" s="243">
        <v>2</v>
      </c>
      <c r="U120" s="608" t="str">
        <f t="shared" ca="1" si="9"/>
        <v/>
      </c>
      <c r="V120" s="608" t="s">
        <v>1018</v>
      </c>
    </row>
    <row r="121" spans="2:22" s="608" customFormat="1" hidden="1">
      <c r="B121" s="315"/>
      <c r="C121" s="315"/>
      <c r="D121" s="316"/>
      <c r="E121" s="316"/>
      <c r="F121" s="196"/>
      <c r="G121" s="196"/>
      <c r="H121" s="196"/>
      <c r="I121" s="196"/>
      <c r="J121" s="196"/>
      <c r="R121" s="608" t="s">
        <v>1021</v>
      </c>
      <c r="S121" s="612" t="str">
        <f>IF(U121="","",MAX(S$1:$S120)+1)</f>
        <v/>
      </c>
      <c r="T121" s="612"/>
    </row>
    <row r="122" spans="2:22" s="608" customFormat="1" hidden="1">
      <c r="B122" s="315"/>
      <c r="C122" s="315"/>
      <c r="D122" s="316"/>
      <c r="E122" s="316"/>
      <c r="F122" s="196"/>
      <c r="G122" s="196"/>
      <c r="H122" s="196"/>
      <c r="I122" s="196"/>
      <c r="J122" s="196"/>
      <c r="S122" s="612" t="str">
        <f>IF(U122="","",MAX(S$1:$S121)+1)</f>
        <v/>
      </c>
      <c r="T122" s="612"/>
    </row>
    <row r="123" spans="2:22" hidden="1">
      <c r="B123" s="315"/>
      <c r="C123" s="314"/>
      <c r="D123" s="317"/>
      <c r="E123" s="316"/>
      <c r="J123" s="186"/>
      <c r="S123" s="612" t="str">
        <f>IF(U123="","",MAX(S$1:$S122)+1)</f>
        <v/>
      </c>
      <c r="T123" s="612"/>
      <c r="V123" s="349"/>
    </row>
    <row r="124" spans="2:22" hidden="1">
      <c r="B124" s="315"/>
      <c r="C124" s="314"/>
      <c r="D124" s="317"/>
      <c r="E124" s="316"/>
      <c r="J124" s="186"/>
      <c r="S124" s="612" t="str">
        <f>IF(U124="","",MAX(S$1:$S123)+1)</f>
        <v/>
      </c>
      <c r="T124" s="612"/>
    </row>
    <row r="125" spans="2:22" hidden="1">
      <c r="B125" s="315" t="s">
        <v>813</v>
      </c>
      <c r="C125" s="314"/>
      <c r="D125" s="317"/>
      <c r="E125" s="316">
        <v>40</v>
      </c>
      <c r="F125" s="186">
        <v>44</v>
      </c>
      <c r="G125" s="186">
        <v>50</v>
      </c>
      <c r="H125" s="186">
        <v>53</v>
      </c>
      <c r="I125" s="200"/>
      <c r="R125" s="184" t="s">
        <v>660</v>
      </c>
      <c r="S125" s="243" t="str">
        <f ca="1">IF(U125="","",MAX(S$1:$S124)+1)</f>
        <v/>
      </c>
      <c r="T125" s="243"/>
      <c r="U125" s="184" t="str">
        <f t="shared" ref="U125:U137" ca="1" si="10">IF($G$33=1,"",V125)</f>
        <v/>
      </c>
      <c r="V125" s="184" t="str">
        <f>"富邦人壽愛守護防癌定期健康保險附約("&amp;$G$23&amp;")"</f>
        <v>富邦人壽愛守護防癌定期健康保險附約(CLR)</v>
      </c>
    </row>
    <row r="126" spans="2:22" hidden="1">
      <c r="B126" s="62" t="s">
        <v>811</v>
      </c>
      <c r="C126" s="62" t="s">
        <v>812</v>
      </c>
      <c r="D126" s="62"/>
      <c r="E126" s="62" t="s">
        <v>815</v>
      </c>
      <c r="F126" s="62" t="s">
        <v>71</v>
      </c>
      <c r="G126" s="62" t="s">
        <v>88</v>
      </c>
      <c r="H126" s="62" t="s">
        <v>94</v>
      </c>
      <c r="I126" s="110"/>
      <c r="R126" s="184" t="s">
        <v>660</v>
      </c>
      <c r="S126" s="243"/>
      <c r="T126" s="243"/>
      <c r="U126" s="184" t="str">
        <f t="shared" ca="1" si="10"/>
        <v/>
      </c>
      <c r="V126" s="350" t="s">
        <v>973</v>
      </c>
    </row>
    <row r="127" spans="2:22" hidden="1">
      <c r="B127" s="72">
        <f ca="1">IF($C127&lt;=71,11,"")</f>
        <v>11</v>
      </c>
      <c r="C127" s="72">
        <f ca="1">$C$2+10</f>
        <v>42</v>
      </c>
      <c r="D127" s="72" t="str">
        <f t="shared" ref="D127:D132" ca="1" si="11">$C$23&amp;$C$36&amp;TEXT($C$4,"00")&amp;TEXT($C127,"00")</f>
        <v>AOR100142</v>
      </c>
      <c r="E127" s="77">
        <f t="shared" ref="E127:E132" ca="1" si="12">IF(OR($C$33=1,ISERROR(VLOOKUP($D127,AORGP,2,0))),,VLOOKUP($D127,AORGP,2,0)*$C$41)</f>
        <v>0</v>
      </c>
      <c r="F127" s="77">
        <f t="shared" ref="F127:F132" ca="1" si="13">IF($C$33=1,0,ROUND($E127*$C$43,0))</f>
        <v>0</v>
      </c>
      <c r="G127" s="77">
        <f t="shared" ref="G127:G132" ca="1" si="14">ROUND($F127*(1-$C$48),0)</f>
        <v>0</v>
      </c>
      <c r="H127" s="77" t="str">
        <f t="shared" ref="H127:H132" ca="1" si="15">IF($C$33=1,"",$C$51*$G127)</f>
        <v/>
      </c>
      <c r="I127" s="407"/>
      <c r="R127" s="184" t="s">
        <v>660</v>
      </c>
      <c r="S127" s="243"/>
      <c r="T127" s="243"/>
      <c r="U127" s="184" t="str">
        <f t="shared" ca="1" si="10"/>
        <v/>
      </c>
      <c r="V127" s="349" t="s">
        <v>970</v>
      </c>
    </row>
    <row r="128" spans="2:22" hidden="1">
      <c r="B128" s="72">
        <f ca="1">IF($C128&lt;=71,21,"")</f>
        <v>21</v>
      </c>
      <c r="C128" s="72">
        <f ca="1">$C$2+20</f>
        <v>52</v>
      </c>
      <c r="D128" s="72" t="str">
        <f t="shared" ca="1" si="11"/>
        <v>AOR100152</v>
      </c>
      <c r="E128" s="77">
        <f t="shared" ca="1" si="12"/>
        <v>0</v>
      </c>
      <c r="F128" s="77">
        <f t="shared" ca="1" si="13"/>
        <v>0</v>
      </c>
      <c r="G128" s="77">
        <f t="shared" ca="1" si="14"/>
        <v>0</v>
      </c>
      <c r="H128" s="77" t="str">
        <f t="shared" ca="1" si="15"/>
        <v/>
      </c>
      <c r="I128" s="407"/>
      <c r="R128" s="184" t="s">
        <v>660</v>
      </c>
      <c r="S128" s="243" t="str">
        <f ca="1">IF(U128="","",MAX(S$1:$S127)+1)</f>
        <v/>
      </c>
      <c r="T128" s="243"/>
      <c r="U128" s="184" t="str">
        <f t="shared" ca="1" si="10"/>
        <v/>
      </c>
      <c r="V128" s="349" t="s">
        <v>716</v>
      </c>
    </row>
    <row r="129" spans="2:22" hidden="1">
      <c r="B129" s="72">
        <f ca="1">IF($C129&lt;=71,31,"")</f>
        <v>31</v>
      </c>
      <c r="C129" s="72">
        <f ca="1">$C$2+30</f>
        <v>62</v>
      </c>
      <c r="D129" s="72" t="str">
        <f t="shared" ca="1" si="11"/>
        <v>AOR100162</v>
      </c>
      <c r="E129" s="77">
        <f t="shared" ca="1" si="12"/>
        <v>0</v>
      </c>
      <c r="F129" s="77">
        <f t="shared" ca="1" si="13"/>
        <v>0</v>
      </c>
      <c r="G129" s="77">
        <f t="shared" ca="1" si="14"/>
        <v>0</v>
      </c>
      <c r="H129" s="77" t="str">
        <f t="shared" ca="1" si="15"/>
        <v/>
      </c>
      <c r="I129" s="407"/>
      <c r="R129" s="184" t="s">
        <v>660</v>
      </c>
      <c r="S129" s="243" t="str">
        <f ca="1">IF(U129="","",MAX(S$1:$S128)+1)</f>
        <v/>
      </c>
      <c r="T129" s="243"/>
      <c r="U129" s="184" t="str">
        <f t="shared" ca="1" si="10"/>
        <v/>
      </c>
      <c r="V129" s="349" t="s">
        <v>754</v>
      </c>
    </row>
    <row r="130" spans="2:22" hidden="1">
      <c r="B130" s="72" t="str">
        <f ca="1">IF($C130&lt;=71,41,"")</f>
        <v/>
      </c>
      <c r="C130" s="72">
        <f ca="1">$C$2+40</f>
        <v>72</v>
      </c>
      <c r="D130" s="72" t="str">
        <f t="shared" ca="1" si="11"/>
        <v>AOR100172</v>
      </c>
      <c r="E130" s="77">
        <f t="shared" ca="1" si="12"/>
        <v>0</v>
      </c>
      <c r="F130" s="77">
        <f t="shared" ca="1" si="13"/>
        <v>0</v>
      </c>
      <c r="G130" s="77">
        <f t="shared" ca="1" si="14"/>
        <v>0</v>
      </c>
      <c r="H130" s="77" t="str">
        <f t="shared" ca="1" si="15"/>
        <v/>
      </c>
      <c r="I130" s="407"/>
      <c r="R130" s="184" t="s">
        <v>660</v>
      </c>
      <c r="S130" s="243" t="str">
        <f ca="1">IF(U130="","",MAX(S$1:$S129)+1)</f>
        <v/>
      </c>
      <c r="T130" s="243">
        <v>1</v>
      </c>
      <c r="U130" s="184" t="str">
        <f t="shared" ca="1" si="10"/>
        <v/>
      </c>
      <c r="V130" s="245" t="s">
        <v>753</v>
      </c>
    </row>
    <row r="131" spans="2:22" hidden="1">
      <c r="B131" s="72" t="str">
        <f ca="1">IF($C131&lt;=71,51,"")</f>
        <v/>
      </c>
      <c r="C131" s="72">
        <f ca="1">$C$2+50</f>
        <v>82</v>
      </c>
      <c r="D131" s="72" t="str">
        <f t="shared" ca="1" si="11"/>
        <v>AOR100182</v>
      </c>
      <c r="E131" s="77">
        <f t="shared" ca="1" si="12"/>
        <v>0</v>
      </c>
      <c r="F131" s="77">
        <f t="shared" ca="1" si="13"/>
        <v>0</v>
      </c>
      <c r="G131" s="77">
        <f t="shared" ca="1" si="14"/>
        <v>0</v>
      </c>
      <c r="H131" s="77" t="str">
        <f t="shared" ca="1" si="15"/>
        <v/>
      </c>
      <c r="I131" s="407"/>
      <c r="R131" s="184" t="s">
        <v>660</v>
      </c>
      <c r="S131" s="243" t="str">
        <f ca="1">IF(U131="","",MAX(S$1:$S130)+1)</f>
        <v/>
      </c>
      <c r="T131" s="243">
        <v>1</v>
      </c>
      <c r="U131" s="184" t="str">
        <f t="shared" ca="1" si="10"/>
        <v/>
      </c>
      <c r="V131" s="245" t="s">
        <v>789</v>
      </c>
    </row>
    <row r="132" spans="2:22" hidden="1">
      <c r="B132" s="72" t="str">
        <f ca="1">IF($C132&lt;=71,61,"")</f>
        <v/>
      </c>
      <c r="C132" s="72">
        <f ca="1">$C$2+60</f>
        <v>92</v>
      </c>
      <c r="D132" s="72" t="str">
        <f t="shared" ca="1" si="11"/>
        <v>AOR100192</v>
      </c>
      <c r="E132" s="77">
        <f t="shared" ca="1" si="12"/>
        <v>0</v>
      </c>
      <c r="F132" s="77">
        <f t="shared" ca="1" si="13"/>
        <v>0</v>
      </c>
      <c r="G132" s="77">
        <f t="shared" ca="1" si="14"/>
        <v>0</v>
      </c>
      <c r="H132" s="77" t="str">
        <f t="shared" ca="1" si="15"/>
        <v/>
      </c>
      <c r="I132" s="407"/>
      <c r="R132" s="184" t="s">
        <v>660</v>
      </c>
      <c r="S132" s="243" t="str">
        <f ca="1">IF(U132="","",MAX(S$1:$S131)+1)</f>
        <v/>
      </c>
      <c r="T132" s="243"/>
      <c r="U132" s="184" t="str">
        <f t="shared" ca="1" si="10"/>
        <v/>
      </c>
      <c r="V132" s="245" t="s">
        <v>774</v>
      </c>
    </row>
    <row r="133" spans="2:22" hidden="1">
      <c r="B133" s="315"/>
      <c r="C133" s="314"/>
      <c r="D133" s="317"/>
      <c r="E133" s="316"/>
      <c r="I133" s="200"/>
      <c r="R133" s="184" t="s">
        <v>660</v>
      </c>
      <c r="S133" s="243" t="str">
        <f ca="1">IF(U133="","",MAX(S$1:$S132)+1)</f>
        <v/>
      </c>
      <c r="T133" s="243"/>
      <c r="U133" s="184" t="str">
        <f t="shared" ca="1" si="10"/>
        <v/>
      </c>
      <c r="V133" s="245" t="s">
        <v>779</v>
      </c>
    </row>
    <row r="134" spans="2:22" hidden="1">
      <c r="B134" s="315"/>
      <c r="C134" s="314"/>
      <c r="D134" s="317"/>
      <c r="E134" s="316"/>
      <c r="I134" s="200"/>
      <c r="R134" s="184" t="s">
        <v>660</v>
      </c>
      <c r="S134" s="243" t="str">
        <f ca="1">IF(U134="","",MAX(S$1:$S133)+1)</f>
        <v/>
      </c>
      <c r="T134" s="243"/>
      <c r="U134" s="184" t="str">
        <f t="shared" ca="1" si="10"/>
        <v/>
      </c>
      <c r="V134" s="245" t="s">
        <v>775</v>
      </c>
    </row>
    <row r="135" spans="2:22" hidden="1">
      <c r="B135" s="315"/>
      <c r="C135" s="315"/>
      <c r="D135" s="315"/>
      <c r="E135" s="316"/>
      <c r="H135" s="184"/>
      <c r="I135" s="200"/>
      <c r="R135" s="184" t="s">
        <v>660</v>
      </c>
      <c r="S135" s="243" t="str">
        <f ca="1">IF(U135="","",MAX(S$1:$S134)+1)</f>
        <v/>
      </c>
      <c r="T135" s="243">
        <v>2</v>
      </c>
      <c r="U135" s="184" t="str">
        <f t="shared" ca="1" si="10"/>
        <v/>
      </c>
      <c r="V135" s="349" t="s">
        <v>969</v>
      </c>
    </row>
    <row r="136" spans="2:22" hidden="1">
      <c r="B136" s="315" t="s">
        <v>814</v>
      </c>
      <c r="C136" s="314"/>
      <c r="D136" s="317"/>
      <c r="E136" s="316">
        <v>40</v>
      </c>
      <c r="F136" s="186">
        <v>44</v>
      </c>
      <c r="G136" s="186">
        <v>50</v>
      </c>
      <c r="H136" s="186">
        <v>53</v>
      </c>
      <c r="I136" s="200"/>
      <c r="R136" s="184" t="s">
        <v>660</v>
      </c>
      <c r="S136" s="243" t="str">
        <f ca="1">IF(U136="","",MAX(S$1:$S135)+1)</f>
        <v/>
      </c>
      <c r="T136" s="243">
        <v>2</v>
      </c>
      <c r="U136" s="184" t="str">
        <f t="shared" ca="1" si="10"/>
        <v/>
      </c>
      <c r="V136" s="349" t="s">
        <v>1017</v>
      </c>
    </row>
    <row r="137" spans="2:22" hidden="1">
      <c r="B137" s="62" t="s">
        <v>811</v>
      </c>
      <c r="C137" s="62" t="s">
        <v>812</v>
      </c>
      <c r="D137" s="62"/>
      <c r="E137" s="62" t="s">
        <v>815</v>
      </c>
      <c r="F137" s="62" t="s">
        <v>71</v>
      </c>
      <c r="G137" s="62" t="s">
        <v>88</v>
      </c>
      <c r="H137" s="62" t="s">
        <v>94</v>
      </c>
      <c r="I137" s="110"/>
      <c r="R137" s="184" t="s">
        <v>660</v>
      </c>
      <c r="S137" s="243" t="str">
        <f ca="1">IF(U137="","",MAX(S$1:$S136)+1)</f>
        <v/>
      </c>
      <c r="T137" s="243">
        <v>2</v>
      </c>
      <c r="U137" s="184" t="str">
        <f t="shared" ca="1" si="10"/>
        <v/>
      </c>
      <c r="V137" s="184" t="s">
        <v>1018</v>
      </c>
    </row>
    <row r="138" spans="2:22" hidden="1">
      <c r="B138" s="72">
        <f ca="1">IF($C138&lt;=71,11,"")</f>
        <v>11</v>
      </c>
      <c r="C138" s="72">
        <f ca="1">$C$2+10</f>
        <v>42</v>
      </c>
      <c r="D138" s="72" t="str">
        <f t="shared" ref="D138:D143" ca="1" si="16">$D$23&amp;TEXT($C$4,"00")&amp;TEXT($C138,"00")</f>
        <v>0142</v>
      </c>
      <c r="E138" s="77">
        <f t="shared" ref="E138:E143" ca="1" si="17">IF(OR($D$33=1,ISERROR(VLOOKUP($D138,HSGGP,2,0))),,VLOOKUP($D138,HSGGP,2,0)*$D$41)</f>
        <v>0</v>
      </c>
      <c r="F138" s="77">
        <f t="shared" ref="F138:F143" ca="1" si="18">IF($D$33=1,0,ROUND($E138*$D$43,0))</f>
        <v>0</v>
      </c>
      <c r="G138" s="77">
        <f t="shared" ref="G138:G143" ca="1" si="19">ROUND($F138*(1-$D$48),0)</f>
        <v>0</v>
      </c>
      <c r="H138" s="77" t="str">
        <f t="shared" ref="H138:H143" ca="1" si="20">IF($D$33=1,"",$D$51*$G138)</f>
        <v/>
      </c>
      <c r="I138" s="407"/>
    </row>
    <row r="139" spans="2:22" hidden="1">
      <c r="B139" s="72">
        <f ca="1">IF($C139&lt;=71,21,"")</f>
        <v>21</v>
      </c>
      <c r="C139" s="72">
        <f ca="1">$C$2+20</f>
        <v>52</v>
      </c>
      <c r="D139" s="72" t="str">
        <f t="shared" ca="1" si="16"/>
        <v>0152</v>
      </c>
      <c r="E139" s="77">
        <f t="shared" ca="1" si="17"/>
        <v>0</v>
      </c>
      <c r="F139" s="77">
        <f t="shared" ca="1" si="18"/>
        <v>0</v>
      </c>
      <c r="G139" s="77">
        <f t="shared" ca="1" si="19"/>
        <v>0</v>
      </c>
      <c r="H139" s="77" t="str">
        <f t="shared" ca="1" si="20"/>
        <v/>
      </c>
      <c r="I139" s="407"/>
    </row>
    <row r="140" spans="2:22" hidden="1">
      <c r="B140" s="72">
        <f ca="1">IF($C140&lt;=71,31,"")</f>
        <v>31</v>
      </c>
      <c r="C140" s="72">
        <f ca="1">$C$2+30</f>
        <v>62</v>
      </c>
      <c r="D140" s="72" t="str">
        <f t="shared" ca="1" si="16"/>
        <v>0162</v>
      </c>
      <c r="E140" s="77">
        <f t="shared" ca="1" si="17"/>
        <v>0</v>
      </c>
      <c r="F140" s="77">
        <f t="shared" ca="1" si="18"/>
        <v>0</v>
      </c>
      <c r="G140" s="77">
        <f t="shared" ca="1" si="19"/>
        <v>0</v>
      </c>
      <c r="H140" s="77" t="str">
        <f t="shared" ca="1" si="20"/>
        <v/>
      </c>
      <c r="I140" s="407"/>
    </row>
    <row r="141" spans="2:22" hidden="1">
      <c r="B141" s="72" t="str">
        <f ca="1">IF($C141&lt;=71,41,"")</f>
        <v/>
      </c>
      <c r="C141" s="72">
        <f ca="1">$C$2+40</f>
        <v>72</v>
      </c>
      <c r="D141" s="72" t="str">
        <f t="shared" ca="1" si="16"/>
        <v>0172</v>
      </c>
      <c r="E141" s="77">
        <f t="shared" ca="1" si="17"/>
        <v>0</v>
      </c>
      <c r="F141" s="77">
        <f t="shared" ca="1" si="18"/>
        <v>0</v>
      </c>
      <c r="G141" s="77">
        <f t="shared" ca="1" si="19"/>
        <v>0</v>
      </c>
      <c r="H141" s="77" t="str">
        <f t="shared" ca="1" si="20"/>
        <v/>
      </c>
      <c r="I141" s="407"/>
    </row>
    <row r="142" spans="2:22" hidden="1">
      <c r="B142" s="72" t="str">
        <f ca="1">IF($C142&lt;=71,51,"")</f>
        <v/>
      </c>
      <c r="C142" s="72">
        <f ca="1">$C$2+50</f>
        <v>82</v>
      </c>
      <c r="D142" s="72" t="str">
        <f t="shared" ca="1" si="16"/>
        <v>0182</v>
      </c>
      <c r="E142" s="77">
        <f t="shared" ca="1" si="17"/>
        <v>0</v>
      </c>
      <c r="F142" s="77">
        <f t="shared" ca="1" si="18"/>
        <v>0</v>
      </c>
      <c r="G142" s="77">
        <f t="shared" ca="1" si="19"/>
        <v>0</v>
      </c>
      <c r="H142" s="77" t="str">
        <f t="shared" ca="1" si="20"/>
        <v/>
      </c>
      <c r="I142" s="407"/>
    </row>
    <row r="143" spans="2:22" hidden="1">
      <c r="B143" s="72" t="str">
        <f ca="1">IF($C143&lt;=71,61,"")</f>
        <v/>
      </c>
      <c r="C143" s="72">
        <f ca="1">$C$2+60</f>
        <v>92</v>
      </c>
      <c r="D143" s="72" t="str">
        <f t="shared" ca="1" si="16"/>
        <v>0192</v>
      </c>
      <c r="E143" s="77">
        <f t="shared" ca="1" si="17"/>
        <v>0</v>
      </c>
      <c r="F143" s="77">
        <f t="shared" ca="1" si="18"/>
        <v>0</v>
      </c>
      <c r="G143" s="77">
        <f t="shared" ca="1" si="19"/>
        <v>0</v>
      </c>
      <c r="H143" s="77" t="str">
        <f t="shared" ca="1" si="20"/>
        <v/>
      </c>
      <c r="I143" s="407"/>
    </row>
    <row r="144" spans="2:22" hidden="1">
      <c r="H144" s="184"/>
      <c r="I144" s="200"/>
    </row>
    <row r="145" spans="2:9" hidden="1">
      <c r="H145" s="184"/>
      <c r="I145" s="200"/>
    </row>
    <row r="146" spans="2:9" hidden="1">
      <c r="H146" s="184"/>
      <c r="I146" s="200"/>
    </row>
    <row r="147" spans="2:9" hidden="1">
      <c r="B147" s="315" t="s">
        <v>643</v>
      </c>
      <c r="C147" s="314"/>
      <c r="D147" s="317"/>
      <c r="E147" s="316">
        <v>40</v>
      </c>
      <c r="F147" s="186">
        <v>44</v>
      </c>
      <c r="G147" s="186">
        <v>50</v>
      </c>
      <c r="H147" s="186">
        <v>53</v>
      </c>
      <c r="I147" s="200"/>
    </row>
    <row r="148" spans="2:9" hidden="1">
      <c r="B148" s="62" t="s">
        <v>811</v>
      </c>
      <c r="C148" s="62" t="s">
        <v>812</v>
      </c>
      <c r="D148" s="62"/>
      <c r="E148" s="62" t="s">
        <v>815</v>
      </c>
      <c r="F148" s="62" t="s">
        <v>71</v>
      </c>
      <c r="G148" s="62" t="s">
        <v>88</v>
      </c>
      <c r="H148" s="62" t="s">
        <v>94</v>
      </c>
      <c r="I148" s="110"/>
    </row>
    <row r="149" spans="2:9" hidden="1">
      <c r="B149" s="72">
        <f ca="1">IF($C149&lt;=71,11,"")</f>
        <v>11</v>
      </c>
      <c r="C149" s="72">
        <f ca="1">$C$2+10</f>
        <v>42</v>
      </c>
      <c r="D149" s="72" t="str">
        <f t="shared" ref="D149:D154" ca="1" si="21">$E$23&amp;$E$36&amp;TEXT($C$4,"00")&amp;TEXT($C149,"00")</f>
        <v>HNR100142</v>
      </c>
      <c r="E149" s="77">
        <f t="shared" ref="E149:E154" ca="1" si="22">IF(OR($E$33=1,ISERROR(VLOOKUP($D149,HNRGP,2,0))),,VLOOKUP($D149,HNRGP,2,0)*$E$41/100)</f>
        <v>0</v>
      </c>
      <c r="F149" s="77">
        <f t="shared" ref="F149:F154" ca="1" si="23">IF($E$33=1,0,ROUND($E149*$E$43,0))</f>
        <v>0</v>
      </c>
      <c r="G149" s="77">
        <f t="shared" ref="G149:G154" ca="1" si="24">ROUND($F149*(1-$E$48),0)</f>
        <v>0</v>
      </c>
      <c r="H149" s="77" t="str">
        <f t="shared" ref="H149:H154" ca="1" si="25">IF($E$33=1,"",$E$51*$G149)</f>
        <v/>
      </c>
      <c r="I149" s="407"/>
    </row>
    <row r="150" spans="2:9" hidden="1">
      <c r="B150" s="72">
        <f ca="1">IF($C150&lt;=71,21,"")</f>
        <v>21</v>
      </c>
      <c r="C150" s="72">
        <f ca="1">$C$2+20</f>
        <v>52</v>
      </c>
      <c r="D150" s="72" t="str">
        <f t="shared" ca="1" si="21"/>
        <v>HNR100152</v>
      </c>
      <c r="E150" s="77">
        <f t="shared" ca="1" si="22"/>
        <v>0</v>
      </c>
      <c r="F150" s="77">
        <f t="shared" ca="1" si="23"/>
        <v>0</v>
      </c>
      <c r="G150" s="77">
        <f t="shared" ca="1" si="24"/>
        <v>0</v>
      </c>
      <c r="H150" s="77" t="str">
        <f t="shared" ca="1" si="25"/>
        <v/>
      </c>
      <c r="I150" s="407"/>
    </row>
    <row r="151" spans="2:9" hidden="1">
      <c r="B151" s="72">
        <f ca="1">IF($C151&lt;=71,31,"")</f>
        <v>31</v>
      </c>
      <c r="C151" s="72">
        <f ca="1">$C$2+30</f>
        <v>62</v>
      </c>
      <c r="D151" s="72" t="str">
        <f t="shared" ca="1" si="21"/>
        <v>HNR100162</v>
      </c>
      <c r="E151" s="77">
        <f t="shared" ca="1" si="22"/>
        <v>0</v>
      </c>
      <c r="F151" s="77">
        <f t="shared" ca="1" si="23"/>
        <v>0</v>
      </c>
      <c r="G151" s="77">
        <f t="shared" ca="1" si="24"/>
        <v>0</v>
      </c>
      <c r="H151" s="77" t="str">
        <f t="shared" ca="1" si="25"/>
        <v/>
      </c>
      <c r="I151" s="407"/>
    </row>
    <row r="152" spans="2:9" hidden="1">
      <c r="B152" s="72" t="str">
        <f ca="1">IF($C152&lt;=71,41,"")</f>
        <v/>
      </c>
      <c r="C152" s="72">
        <f ca="1">$C$2+40</f>
        <v>72</v>
      </c>
      <c r="D152" s="72" t="str">
        <f t="shared" ca="1" si="21"/>
        <v>HNR100172</v>
      </c>
      <c r="E152" s="77">
        <f t="shared" ca="1" si="22"/>
        <v>0</v>
      </c>
      <c r="F152" s="77">
        <f t="shared" ca="1" si="23"/>
        <v>0</v>
      </c>
      <c r="G152" s="77">
        <f t="shared" ca="1" si="24"/>
        <v>0</v>
      </c>
      <c r="H152" s="77" t="str">
        <f t="shared" ca="1" si="25"/>
        <v/>
      </c>
      <c r="I152" s="407"/>
    </row>
    <row r="153" spans="2:9" hidden="1">
      <c r="B153" s="72" t="str">
        <f ca="1">IF($C153&lt;=71,51,"")</f>
        <v/>
      </c>
      <c r="C153" s="72">
        <f ca="1">$C$2+50</f>
        <v>82</v>
      </c>
      <c r="D153" s="72" t="str">
        <f t="shared" ca="1" si="21"/>
        <v>HNR100182</v>
      </c>
      <c r="E153" s="77">
        <f t="shared" ca="1" si="22"/>
        <v>0</v>
      </c>
      <c r="F153" s="77">
        <f t="shared" ca="1" si="23"/>
        <v>0</v>
      </c>
      <c r="G153" s="77">
        <f t="shared" ca="1" si="24"/>
        <v>0</v>
      </c>
      <c r="H153" s="77" t="str">
        <f t="shared" ca="1" si="25"/>
        <v/>
      </c>
      <c r="I153" s="407"/>
    </row>
    <row r="154" spans="2:9" hidden="1">
      <c r="B154" s="72" t="str">
        <f ca="1">IF($C154&lt;=71,61,"")</f>
        <v/>
      </c>
      <c r="C154" s="72">
        <f ca="1">$C$2+60</f>
        <v>92</v>
      </c>
      <c r="D154" s="72" t="str">
        <f t="shared" ca="1" si="21"/>
        <v>HNR100192</v>
      </c>
      <c r="E154" s="77">
        <f t="shared" ca="1" si="22"/>
        <v>0</v>
      </c>
      <c r="F154" s="77">
        <f t="shared" ca="1" si="23"/>
        <v>0</v>
      </c>
      <c r="G154" s="77">
        <f t="shared" ca="1" si="24"/>
        <v>0</v>
      </c>
      <c r="H154" s="77" t="str">
        <f t="shared" ca="1" si="25"/>
        <v/>
      </c>
      <c r="I154" s="407"/>
    </row>
    <row r="155" spans="2:9" hidden="1">
      <c r="H155" s="184"/>
      <c r="I155" s="200"/>
    </row>
    <row r="156" spans="2:9" hidden="1">
      <c r="H156" s="184"/>
      <c r="I156" s="200"/>
    </row>
    <row r="157" spans="2:9" hidden="1">
      <c r="H157" s="184"/>
      <c r="I157" s="200"/>
    </row>
    <row r="158" spans="2:9" hidden="1">
      <c r="B158" s="315" t="s">
        <v>1021</v>
      </c>
      <c r="C158" s="314"/>
      <c r="D158" s="317"/>
      <c r="E158" s="316">
        <v>40</v>
      </c>
      <c r="F158" s="186">
        <v>44</v>
      </c>
      <c r="G158" s="186">
        <v>50</v>
      </c>
      <c r="H158" s="186">
        <v>53</v>
      </c>
      <c r="I158" s="200"/>
    </row>
    <row r="159" spans="2:9" hidden="1">
      <c r="B159" s="62" t="s">
        <v>811</v>
      </c>
      <c r="C159" s="62" t="s">
        <v>812</v>
      </c>
      <c r="D159" s="62"/>
      <c r="E159" s="62" t="s">
        <v>815</v>
      </c>
      <c r="F159" s="62" t="s">
        <v>71</v>
      </c>
      <c r="G159" s="62" t="s">
        <v>88</v>
      </c>
      <c r="H159" s="62" t="s">
        <v>94</v>
      </c>
      <c r="I159" s="110"/>
    </row>
    <row r="160" spans="2:9" hidden="1">
      <c r="B160" s="72">
        <f ca="1">IF($C160&lt;=71,11,"")</f>
        <v>11</v>
      </c>
      <c r="C160" s="72">
        <f ca="1">$C$2+10</f>
        <v>42</v>
      </c>
      <c r="D160" s="72" t="str">
        <f t="shared" ref="D160:D165" ca="1" si="26">$F$23&amp;$F$36&amp;TEXT($C$4,"00")&amp;TEXT($C160,"00")</f>
        <v>HOR100142</v>
      </c>
      <c r="E160" s="561">
        <f t="shared" ref="E160:E165" ca="1" si="27">IF(OR($F$33=1,ISERROR(VLOOKUP($D160,HORGP,2,0))),,VLOOKUP($D160,HORGP,2,0)*$F$41/100)</f>
        <v>0</v>
      </c>
      <c r="F160" s="77">
        <f t="shared" ref="F160:F165" ca="1" si="28">IF($F$33=1,0,ROUND($E160*$F$43,0))</f>
        <v>0</v>
      </c>
      <c r="G160" s="77">
        <f t="shared" ref="G160:G165" ca="1" si="29">ROUND($F160*(1-$E$48),0)</f>
        <v>0</v>
      </c>
      <c r="H160" s="77" t="str">
        <f t="shared" ref="H160:H165" ca="1" si="30">IF($F$33=1,"",$F$51*$G160)</f>
        <v/>
      </c>
      <c r="I160" s="407"/>
    </row>
    <row r="161" spans="2:9" hidden="1">
      <c r="B161" s="72">
        <f ca="1">IF($C161&lt;=71,21,"")</f>
        <v>21</v>
      </c>
      <c r="C161" s="72">
        <f ca="1">$C$2+20</f>
        <v>52</v>
      </c>
      <c r="D161" s="72" t="str">
        <f t="shared" ca="1" si="26"/>
        <v>HOR100152</v>
      </c>
      <c r="E161" s="561">
        <f t="shared" ca="1" si="27"/>
        <v>0</v>
      </c>
      <c r="F161" s="77">
        <f t="shared" ca="1" si="28"/>
        <v>0</v>
      </c>
      <c r="G161" s="77">
        <f t="shared" ca="1" si="29"/>
        <v>0</v>
      </c>
      <c r="H161" s="77" t="str">
        <f t="shared" ca="1" si="30"/>
        <v/>
      </c>
      <c r="I161" s="407"/>
    </row>
    <row r="162" spans="2:9" hidden="1">
      <c r="B162" s="72">
        <f ca="1">IF($C162&lt;=71,31,"")</f>
        <v>31</v>
      </c>
      <c r="C162" s="72">
        <f ca="1">$C$2+30</f>
        <v>62</v>
      </c>
      <c r="D162" s="72" t="str">
        <f t="shared" ca="1" si="26"/>
        <v>HOR100162</v>
      </c>
      <c r="E162" s="561">
        <f t="shared" ca="1" si="27"/>
        <v>0</v>
      </c>
      <c r="F162" s="77">
        <f t="shared" ca="1" si="28"/>
        <v>0</v>
      </c>
      <c r="G162" s="77">
        <f t="shared" ca="1" si="29"/>
        <v>0</v>
      </c>
      <c r="H162" s="77" t="str">
        <f t="shared" ca="1" si="30"/>
        <v/>
      </c>
      <c r="I162" s="407"/>
    </row>
    <row r="163" spans="2:9" hidden="1">
      <c r="B163" s="72" t="str">
        <f ca="1">IF($C163&lt;=71,41,"")</f>
        <v/>
      </c>
      <c r="C163" s="72">
        <f ca="1">$C$2+40</f>
        <v>72</v>
      </c>
      <c r="D163" s="72" t="str">
        <f t="shared" ca="1" si="26"/>
        <v>HOR100172</v>
      </c>
      <c r="E163" s="561">
        <f t="shared" ca="1" si="27"/>
        <v>0</v>
      </c>
      <c r="F163" s="77">
        <f t="shared" ca="1" si="28"/>
        <v>0</v>
      </c>
      <c r="G163" s="77">
        <f t="shared" ca="1" si="29"/>
        <v>0</v>
      </c>
      <c r="H163" s="77" t="str">
        <f t="shared" ca="1" si="30"/>
        <v/>
      </c>
      <c r="I163" s="407"/>
    </row>
    <row r="164" spans="2:9" hidden="1">
      <c r="B164" s="72" t="str">
        <f ca="1">IF($C164&lt;=71,51,"")</f>
        <v/>
      </c>
      <c r="C164" s="72">
        <f ca="1">$C$2+50</f>
        <v>82</v>
      </c>
      <c r="D164" s="72" t="str">
        <f t="shared" ca="1" si="26"/>
        <v>HOR100182</v>
      </c>
      <c r="E164" s="561">
        <f t="shared" ca="1" si="27"/>
        <v>0</v>
      </c>
      <c r="F164" s="77">
        <f t="shared" ca="1" si="28"/>
        <v>0</v>
      </c>
      <c r="G164" s="77">
        <f t="shared" ca="1" si="29"/>
        <v>0</v>
      </c>
      <c r="H164" s="77" t="str">
        <f t="shared" ca="1" si="30"/>
        <v/>
      </c>
      <c r="I164" s="407"/>
    </row>
    <row r="165" spans="2:9" hidden="1">
      <c r="B165" s="72" t="str">
        <f ca="1">IF($C165&lt;=71,61,"")</f>
        <v/>
      </c>
      <c r="C165" s="72">
        <f ca="1">$C$2+60</f>
        <v>92</v>
      </c>
      <c r="D165" s="72" t="str">
        <f t="shared" ca="1" si="26"/>
        <v>HOR100192</v>
      </c>
      <c r="E165" s="561">
        <f t="shared" ca="1" si="27"/>
        <v>0</v>
      </c>
      <c r="F165" s="77">
        <f t="shared" ca="1" si="28"/>
        <v>0</v>
      </c>
      <c r="G165" s="77">
        <f t="shared" ca="1" si="29"/>
        <v>0</v>
      </c>
      <c r="H165" s="77" t="str">
        <f t="shared" ca="1" si="30"/>
        <v/>
      </c>
      <c r="I165" s="407"/>
    </row>
    <row r="166" spans="2:9" hidden="1">
      <c r="H166" s="184"/>
      <c r="I166" s="200"/>
    </row>
    <row r="167" spans="2:9" hidden="1">
      <c r="H167" s="184"/>
      <c r="I167" s="200"/>
    </row>
    <row r="168" spans="2:9" hidden="1">
      <c r="H168" s="184"/>
      <c r="I168" s="200"/>
    </row>
    <row r="169" spans="2:9" hidden="1">
      <c r="B169" s="315" t="s">
        <v>816</v>
      </c>
      <c r="C169" s="314"/>
      <c r="D169" s="317"/>
      <c r="E169" s="316">
        <v>40</v>
      </c>
      <c r="F169" s="186">
        <v>44</v>
      </c>
      <c r="G169" s="186">
        <v>50</v>
      </c>
      <c r="H169" s="186">
        <v>53</v>
      </c>
      <c r="I169" s="200"/>
    </row>
    <row r="170" spans="2:9" hidden="1">
      <c r="B170" s="62" t="s">
        <v>811</v>
      </c>
      <c r="C170" s="62" t="s">
        <v>812</v>
      </c>
      <c r="D170" s="62"/>
      <c r="E170" s="62" t="s">
        <v>815</v>
      </c>
      <c r="F170" s="62" t="s">
        <v>71</v>
      </c>
      <c r="G170" s="62" t="s">
        <v>88</v>
      </c>
      <c r="H170" s="62" t="s">
        <v>94</v>
      </c>
      <c r="I170" s="110"/>
    </row>
    <row r="171" spans="2:9" hidden="1">
      <c r="B171" s="72">
        <f ca="1">IF($C171&lt;=71,11,"")</f>
        <v>11</v>
      </c>
      <c r="C171" s="72">
        <f ca="1">$C$2+10</f>
        <v>42</v>
      </c>
      <c r="D171" s="72" t="str">
        <f t="shared" ref="D171:D176" ca="1" si="31">$G$23&amp;$G$36&amp;TEXT($C$4,"00")&amp;TEXT($C171,"00")</f>
        <v>CLR100142</v>
      </c>
      <c r="E171" s="77">
        <f t="shared" ref="E171:E176" ca="1" si="32">IF(OR($G$33=1,ISERROR(VLOOKUP($D171,CLRGP,2,0))),,VLOOKUP($D171,CLRGP,2,0)*$G$41/100)</f>
        <v>0</v>
      </c>
      <c r="F171" s="77">
        <f t="shared" ref="F171:F176" ca="1" si="33">IF($G$33=1,0,ROUND($E171*$G$43,0))</f>
        <v>0</v>
      </c>
      <c r="G171" s="77">
        <f t="shared" ref="G171:G176" ca="1" si="34">ROUND($F171*(1-$G$48),0)</f>
        <v>0</v>
      </c>
      <c r="H171" s="77" t="str">
        <f t="shared" ref="H171:H176" ca="1" si="35">IF($G$33=1,"",$G$51*$G171)</f>
        <v/>
      </c>
      <c r="I171" s="407"/>
    </row>
    <row r="172" spans="2:9" hidden="1">
      <c r="B172" s="72">
        <f ca="1">IF($C172&lt;=71,21,"")</f>
        <v>21</v>
      </c>
      <c r="C172" s="72">
        <f ca="1">$C$2+20</f>
        <v>52</v>
      </c>
      <c r="D172" s="72" t="str">
        <f t="shared" ca="1" si="31"/>
        <v>CLR100152</v>
      </c>
      <c r="E172" s="77">
        <f t="shared" ca="1" si="32"/>
        <v>0</v>
      </c>
      <c r="F172" s="77">
        <f t="shared" ca="1" si="33"/>
        <v>0</v>
      </c>
      <c r="G172" s="77">
        <f t="shared" ca="1" si="34"/>
        <v>0</v>
      </c>
      <c r="H172" s="77" t="str">
        <f t="shared" ca="1" si="35"/>
        <v/>
      </c>
      <c r="I172" s="407"/>
    </row>
    <row r="173" spans="2:9" hidden="1">
      <c r="B173" s="72">
        <f ca="1">IF($C173&lt;=71,31,"")</f>
        <v>31</v>
      </c>
      <c r="C173" s="72">
        <f ca="1">$C$2+30</f>
        <v>62</v>
      </c>
      <c r="D173" s="72" t="str">
        <f t="shared" ca="1" si="31"/>
        <v>CLR100162</v>
      </c>
      <c r="E173" s="77">
        <f t="shared" ca="1" si="32"/>
        <v>0</v>
      </c>
      <c r="F173" s="77">
        <f t="shared" ca="1" si="33"/>
        <v>0</v>
      </c>
      <c r="G173" s="77">
        <f t="shared" ca="1" si="34"/>
        <v>0</v>
      </c>
      <c r="H173" s="77" t="str">
        <f t="shared" ca="1" si="35"/>
        <v/>
      </c>
      <c r="I173" s="407"/>
    </row>
    <row r="174" spans="2:9" hidden="1">
      <c r="B174" s="72" t="str">
        <f ca="1">IF($C174&lt;=71,41,"")</f>
        <v/>
      </c>
      <c r="C174" s="72">
        <f ca="1">$C$2+40</f>
        <v>72</v>
      </c>
      <c r="D174" s="72" t="str">
        <f t="shared" ca="1" si="31"/>
        <v>CLR100172</v>
      </c>
      <c r="E174" s="77">
        <f t="shared" ca="1" si="32"/>
        <v>0</v>
      </c>
      <c r="F174" s="77">
        <f t="shared" ca="1" si="33"/>
        <v>0</v>
      </c>
      <c r="G174" s="77">
        <f t="shared" ca="1" si="34"/>
        <v>0</v>
      </c>
      <c r="H174" s="77" t="str">
        <f t="shared" ca="1" si="35"/>
        <v/>
      </c>
      <c r="I174" s="407"/>
    </row>
    <row r="175" spans="2:9" hidden="1">
      <c r="B175" s="72" t="str">
        <f ca="1">IF($C175&lt;=71,51,"")</f>
        <v/>
      </c>
      <c r="C175" s="72">
        <f ca="1">$C$2+50</f>
        <v>82</v>
      </c>
      <c r="D175" s="72" t="str">
        <f t="shared" ca="1" si="31"/>
        <v>CLR100182</v>
      </c>
      <c r="E175" s="77">
        <f t="shared" ca="1" si="32"/>
        <v>0</v>
      </c>
      <c r="F175" s="77">
        <f t="shared" ca="1" si="33"/>
        <v>0</v>
      </c>
      <c r="G175" s="77">
        <f t="shared" ca="1" si="34"/>
        <v>0</v>
      </c>
      <c r="H175" s="77" t="str">
        <f t="shared" ca="1" si="35"/>
        <v/>
      </c>
      <c r="I175" s="407"/>
    </row>
    <row r="176" spans="2:9" hidden="1">
      <c r="B176" s="72" t="str">
        <f ca="1">IF($C176&lt;=71,61,"")</f>
        <v/>
      </c>
      <c r="C176" s="72">
        <f ca="1">$C$2+60</f>
        <v>92</v>
      </c>
      <c r="D176" s="72" t="str">
        <f t="shared" ca="1" si="31"/>
        <v>CLR100192</v>
      </c>
      <c r="E176" s="77">
        <f t="shared" ca="1" si="32"/>
        <v>0</v>
      </c>
      <c r="F176" s="77">
        <f t="shared" ca="1" si="33"/>
        <v>0</v>
      </c>
      <c r="G176" s="77">
        <f t="shared" ca="1" si="34"/>
        <v>0</v>
      </c>
      <c r="H176" s="77" t="str">
        <f t="shared" ca="1" si="35"/>
        <v/>
      </c>
      <c r="I176" s="407"/>
    </row>
  </sheetData>
  <sheetProtection algorithmName="SHA-512" hashValue="YepBYo1Nmo07BtCGFGbyKvmRZAivtEJlDnth5kC3/W9Y/MEMkuGJ24Hwl6MbqDs1jJr2t4GzENzfhu9flQ54WQ==" saltValue="lh1thU/OdYjRqbnbgPyX5Q==" spinCount="100000" sheet="1" objects="1" scenarios="1"/>
  <phoneticPr fontId="7" type="noConversion"/>
  <pageMargins left="0.7" right="0.7" top="0.75" bottom="0.75" header="0.3" footer="0.3"/>
  <pageSetup paperSize="9" orientation="portrait" verticalDpi="0" r:id="rId1"/>
  <ignoredErrors>
    <ignoredError sqref="I40" evalError="1"/>
    <ignoredError sqref="C81"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5"/>
  <dimension ref="B1:AO182"/>
  <sheetViews>
    <sheetView workbookViewId="0"/>
  </sheetViews>
  <sheetFormatPr defaultColWidth="12" defaultRowHeight="16.5"/>
  <cols>
    <col min="1" max="1" width="2.33203125" style="68" customWidth="1"/>
    <col min="2" max="2" width="35.6640625" style="70" bestFit="1" customWidth="1"/>
    <col min="3" max="3" width="23.83203125" style="70" customWidth="1"/>
    <col min="4" max="4" width="18.5" style="68" bestFit="1" customWidth="1"/>
    <col min="5" max="5" width="12.6640625" style="68" customWidth="1"/>
    <col min="6" max="6" width="13.6640625" style="68" bestFit="1" customWidth="1"/>
    <col min="7" max="7" width="14" style="68" bestFit="1" customWidth="1"/>
    <col min="8" max="8" width="20.83203125" style="68" bestFit="1" customWidth="1"/>
    <col min="9" max="9" width="16.33203125" style="68" bestFit="1" customWidth="1"/>
    <col min="10" max="11" width="16.83203125" style="68" bestFit="1" customWidth="1"/>
    <col min="12" max="18" width="12" style="68" customWidth="1"/>
    <col min="19" max="19" width="16.5" style="68" customWidth="1"/>
    <col min="20" max="29" width="12" style="68" customWidth="1"/>
    <col min="30" max="30" width="18.6640625" style="68" customWidth="1"/>
    <col min="31" max="31" width="12" style="68" customWidth="1"/>
    <col min="32" max="41" width="12" style="101" customWidth="1"/>
    <col min="42" max="16384" width="12" style="68"/>
  </cols>
  <sheetData>
    <row r="1" spans="2:39">
      <c r="N1" s="178"/>
      <c r="O1" s="91"/>
      <c r="P1" s="91"/>
      <c r="S1" s="101"/>
      <c r="T1" s="101"/>
      <c r="U1" s="101"/>
      <c r="V1" s="101"/>
      <c r="W1" s="101"/>
      <c r="X1" s="101"/>
      <c r="Y1" s="101"/>
      <c r="AF1" s="135"/>
      <c r="AG1" s="136"/>
      <c r="AH1" s="136"/>
      <c r="AI1" s="136"/>
      <c r="AJ1" s="136"/>
      <c r="AK1" s="136"/>
      <c r="AL1" s="136"/>
      <c r="AM1" s="136"/>
    </row>
    <row r="2" spans="2:39">
      <c r="B2" s="62" t="s">
        <v>27</v>
      </c>
      <c r="C2" s="62" t="s">
        <v>28</v>
      </c>
      <c r="D2" s="62" t="s">
        <v>29</v>
      </c>
      <c r="E2" s="62" t="s">
        <v>30</v>
      </c>
      <c r="H2" s="62" t="s">
        <v>31</v>
      </c>
      <c r="I2" s="62">
        <v>1</v>
      </c>
      <c r="J2" s="72">
        <v>1</v>
      </c>
      <c r="K2" s="72">
        <v>1</v>
      </c>
      <c r="N2" s="179"/>
      <c r="O2" s="180"/>
      <c r="P2" s="179"/>
      <c r="Q2" s="68" t="s">
        <v>811</v>
      </c>
      <c r="R2" s="68" t="s">
        <v>812</v>
      </c>
      <c r="S2" s="68" t="s">
        <v>1109</v>
      </c>
      <c r="T2" s="70" t="s">
        <v>60</v>
      </c>
      <c r="U2" s="70" t="s">
        <v>63</v>
      </c>
      <c r="V2" s="70" t="s">
        <v>71</v>
      </c>
      <c r="W2" s="70" t="s">
        <v>88</v>
      </c>
      <c r="X2" s="70" t="s">
        <v>94</v>
      </c>
      <c r="Y2" s="70"/>
      <c r="AF2" s="137"/>
      <c r="AG2" s="137"/>
      <c r="AH2" s="137"/>
      <c r="AI2" s="137"/>
      <c r="AJ2" s="137"/>
      <c r="AK2" s="137"/>
      <c r="AL2" s="137"/>
      <c r="AM2" s="137"/>
    </row>
    <row r="3" spans="2:39">
      <c r="B3" s="62">
        <f>IF(C4=0,0,VALUE(MID(C4,IF(LEN(C4)=7,4,3),2)))</f>
        <v>1</v>
      </c>
      <c r="C3" s="63">
        <f ca="1">OP!C3</f>
        <v>44835</v>
      </c>
      <c r="D3" s="63">
        <f>IF(C4=0,0,DATE(LEFT(C4,IF(LEN(C4)=7,3,2))+1911,MID(C4,IF(LEN(C4)=7,4,3),2),RIGHT(C4,2)))</f>
        <v>33239</v>
      </c>
      <c r="E3" s="64">
        <f>N(DAY(DATE(LEFT(C4,IF(LEN(C4)=7,3,2))+1911,MID(C4,IF(LEN(C4)=7,4,3),2)+1,0)))</f>
        <v>31</v>
      </c>
      <c r="H3" s="62" t="s">
        <v>33</v>
      </c>
      <c r="I3" s="62">
        <v>1</v>
      </c>
      <c r="J3" s="72">
        <v>1</v>
      </c>
      <c r="K3" s="72">
        <v>1</v>
      </c>
      <c r="N3" s="179"/>
      <c r="O3" s="181"/>
      <c r="P3" s="179"/>
      <c r="Q3" s="68">
        <f ca="1">IF($R3&lt;=71,11,"")</f>
        <v>11</v>
      </c>
      <c r="R3" s="68">
        <f ca="1">$D$5+10</f>
        <v>42</v>
      </c>
      <c r="S3" s="68" t="str">
        <f t="shared" ref="S3:S8" ca="1" si="0">$S$2&amp;TEXT($C$24,"00")&amp;TEXT($C$18,"00")&amp;TEXT($R3,"00")</f>
        <v>SWUD100142</v>
      </c>
      <c r="T3" s="469">
        <f t="shared" ref="T3:T8" ca="1" si="1">IF(OR($C$18=0,$C$22=0,$D$28=1),0,IF(ISNA(VLOOKUP($S3,GP_1,2,0)),0,VLOOKUP($S3,GP_1,2,0)))</f>
        <v>0</v>
      </c>
      <c r="U3" s="100">
        <f t="shared" ref="U3:U8" ca="1" si="2">IF($C$21=1,ROUND($C$28*$T3,1),IF($C$21=2,ROUND($C$28*$T3,1),""))</f>
        <v>0</v>
      </c>
      <c r="V3" s="100">
        <f t="shared" ref="V3:V8" ca="1" si="3">IF($C$21=1,ROUND($U3*$C$34,0),IF($C$21=2,ROUNDDOWN($U3*$C$34,0),""))</f>
        <v>0</v>
      </c>
      <c r="W3" s="100">
        <f t="shared" ref="W3:W8" ca="1" si="4">ROUND($V3*(1-$C$47),0)</f>
        <v>0</v>
      </c>
      <c r="X3" s="100">
        <f t="shared" ref="X3:X8" ca="1" si="5">$W3*$C$50</f>
        <v>0</v>
      </c>
      <c r="Y3" s="100"/>
      <c r="AC3" s="177"/>
      <c r="AF3" s="138"/>
      <c r="AG3" s="138"/>
      <c r="AH3" s="138"/>
      <c r="AI3" s="138"/>
      <c r="AJ3" s="138"/>
      <c r="AK3" s="138"/>
      <c r="AL3" s="138"/>
      <c r="AM3" s="138"/>
    </row>
    <row r="4" spans="2:39">
      <c r="B4" s="62" t="s">
        <v>29</v>
      </c>
      <c r="C4" s="65">
        <f>IF(C9=1,C10,IF(C9=2,VALUE(C11&amp;TEXT(C12,"00")&amp;TEXT(C13,"00")),""))</f>
        <v>800101</v>
      </c>
      <c r="D4" s="66">
        <f ca="1">DATE(YEAR(C3)-$C$15,MONTH(C3)-6,DAY(C3))</f>
        <v>22372</v>
      </c>
      <c r="E4" s="114" t="str">
        <f>IF(OR(B3&lt;1,B3&gt;12),1,"")</f>
        <v/>
      </c>
      <c r="F4" s="151">
        <f ca="1">YEAR($D$4)-1911</f>
        <v>50</v>
      </c>
      <c r="H4" s="62" t="s">
        <v>34</v>
      </c>
      <c r="I4" s="62">
        <v>1</v>
      </c>
      <c r="J4" s="72">
        <v>1</v>
      </c>
      <c r="K4" s="72">
        <v>1</v>
      </c>
      <c r="N4" s="179"/>
      <c r="O4" s="182"/>
      <c r="P4" s="179"/>
      <c r="Q4" s="68">
        <f ca="1">IF($R4&lt;=71,21,"")</f>
        <v>21</v>
      </c>
      <c r="R4" s="68">
        <f ca="1">$D$5+20</f>
        <v>52</v>
      </c>
      <c r="S4" s="68" t="str">
        <f t="shared" ca="1" si="0"/>
        <v>SWUD100152</v>
      </c>
      <c r="T4" s="469">
        <f t="shared" ca="1" si="1"/>
        <v>0</v>
      </c>
      <c r="U4" s="100">
        <f t="shared" ca="1" si="2"/>
        <v>0</v>
      </c>
      <c r="V4" s="100">
        <f t="shared" ca="1" si="3"/>
        <v>0</v>
      </c>
      <c r="W4" s="100">
        <f t="shared" ca="1" si="4"/>
        <v>0</v>
      </c>
      <c r="X4" s="100">
        <f t="shared" ca="1" si="5"/>
        <v>0</v>
      </c>
      <c r="Y4" s="100"/>
      <c r="AC4" s="177"/>
      <c r="AF4" s="138"/>
      <c r="AG4" s="138"/>
      <c r="AH4" s="138"/>
      <c r="AI4" s="138"/>
      <c r="AJ4" s="138"/>
      <c r="AK4" s="138"/>
      <c r="AL4" s="138"/>
      <c r="AM4" s="138"/>
    </row>
    <row r="5" spans="2:39">
      <c r="B5" s="62" t="s">
        <v>35</v>
      </c>
      <c r="C5" s="67" t="s">
        <v>36</v>
      </c>
      <c r="D5" s="67">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32</v>
      </c>
      <c r="E5" s="114" t="str">
        <f>IF(OR(VALUE(RIGHT(C4,2))&lt;1,VALUE(RIGHT(C4,2))&gt;E3),1,"")</f>
        <v/>
      </c>
      <c r="F5" s="151">
        <f ca="1">MONTH($D$4)</f>
        <v>4</v>
      </c>
      <c r="H5" s="62" t="s">
        <v>37</v>
      </c>
      <c r="I5" s="62">
        <v>0.52</v>
      </c>
      <c r="J5" s="72">
        <v>0.5</v>
      </c>
      <c r="K5" s="72">
        <v>2</v>
      </c>
      <c r="N5" s="179"/>
      <c r="O5" s="181"/>
      <c r="P5" s="179"/>
      <c r="Q5" s="68">
        <f ca="1">IF($R5&lt;=71,31,"")</f>
        <v>31</v>
      </c>
      <c r="R5" s="68">
        <f ca="1">$D$5+30</f>
        <v>62</v>
      </c>
      <c r="S5" s="68" t="str">
        <f t="shared" ca="1" si="0"/>
        <v>SWUD100162</v>
      </c>
      <c r="T5" s="469">
        <f t="shared" ca="1" si="1"/>
        <v>0</v>
      </c>
      <c r="U5" s="100">
        <f t="shared" ca="1" si="2"/>
        <v>0</v>
      </c>
      <c r="V5" s="100">
        <f t="shared" ca="1" si="3"/>
        <v>0</v>
      </c>
      <c r="W5" s="100">
        <f t="shared" ca="1" si="4"/>
        <v>0</v>
      </c>
      <c r="X5" s="100">
        <f t="shared" ca="1" si="5"/>
        <v>0</v>
      </c>
      <c r="Y5" s="100"/>
      <c r="AC5" s="177"/>
      <c r="AF5" s="138"/>
      <c r="AG5" s="138"/>
      <c r="AH5" s="138"/>
      <c r="AI5" s="138"/>
      <c r="AJ5" s="138"/>
      <c r="AK5" s="138"/>
      <c r="AL5" s="138"/>
      <c r="AM5" s="138"/>
    </row>
    <row r="6" spans="2:39">
      <c r="B6" s="62"/>
      <c r="C6" s="67" t="s">
        <v>38</v>
      </c>
      <c r="D6" s="67">
        <f ca="1">IF(SUM(E6,D10:D13)&gt;=1,"生日格式錯誤",IF(D3&gt;C3,"被保險人未出生",DATEDIF(D3,C3,"y")))</f>
        <v>31</v>
      </c>
      <c r="E6" s="150" t="str">
        <f>IF(OR(E4=1,E5=1),1,"")</f>
        <v/>
      </c>
      <c r="F6" s="151">
        <f ca="1">DAY($D$4)</f>
        <v>1</v>
      </c>
      <c r="H6" s="62" t="s">
        <v>39</v>
      </c>
      <c r="I6" s="62">
        <v>0.26200000000000001</v>
      </c>
      <c r="J6" s="72">
        <v>0.25</v>
      </c>
      <c r="K6" s="72">
        <v>4</v>
      </c>
      <c r="N6" s="179"/>
      <c r="O6" s="181"/>
      <c r="P6" s="179"/>
      <c r="Q6" s="68" t="str">
        <f ca="1">IF($R6&lt;=71,41,"")</f>
        <v/>
      </c>
      <c r="R6" s="68">
        <f ca="1">$D$5+40</f>
        <v>72</v>
      </c>
      <c r="S6" s="68" t="str">
        <f t="shared" ca="1" si="0"/>
        <v>SWUD100172</v>
      </c>
      <c r="T6" s="469">
        <f t="shared" ca="1" si="1"/>
        <v>0</v>
      </c>
      <c r="U6" s="100">
        <f t="shared" ca="1" si="2"/>
        <v>0</v>
      </c>
      <c r="V6" s="100">
        <f t="shared" ca="1" si="3"/>
        <v>0</v>
      </c>
      <c r="W6" s="100">
        <f t="shared" ca="1" si="4"/>
        <v>0</v>
      </c>
      <c r="X6" s="100">
        <f t="shared" ca="1" si="5"/>
        <v>0</v>
      </c>
      <c r="Y6" s="100"/>
      <c r="AF6" s="138"/>
      <c r="AG6" s="138"/>
      <c r="AH6" s="138"/>
      <c r="AI6" s="138"/>
      <c r="AJ6" s="138"/>
      <c r="AK6" s="138"/>
      <c r="AL6" s="138"/>
      <c r="AM6" s="138"/>
    </row>
    <row r="7" spans="2:39">
      <c r="F7" s="151" t="str">
        <f ca="1">F4&amp;TEXT(F5,"00")&amp;TEXT(F6,"00")</f>
        <v>500401</v>
      </c>
      <c r="H7" s="62" t="s">
        <v>40</v>
      </c>
      <c r="I7" s="62">
        <v>8.7999999999999995E-2</v>
      </c>
      <c r="J7" s="72">
        <v>8.3333329999999997E-2</v>
      </c>
      <c r="K7" s="72">
        <v>12</v>
      </c>
      <c r="N7" s="179"/>
      <c r="O7" s="183"/>
      <c r="P7" s="179"/>
      <c r="Q7" s="68" t="str">
        <f ca="1">IF($R7&lt;=71,51,"")</f>
        <v/>
      </c>
      <c r="R7" s="68">
        <f ca="1">$D$5+50</f>
        <v>82</v>
      </c>
      <c r="S7" s="68" t="str">
        <f t="shared" ca="1" si="0"/>
        <v>SWUD100182</v>
      </c>
      <c r="T7" s="469">
        <f t="shared" ca="1" si="1"/>
        <v>0</v>
      </c>
      <c r="U7" s="100">
        <f t="shared" ca="1" si="2"/>
        <v>0</v>
      </c>
      <c r="V7" s="100">
        <f t="shared" ca="1" si="3"/>
        <v>0</v>
      </c>
      <c r="W7" s="100">
        <f t="shared" ca="1" si="4"/>
        <v>0</v>
      </c>
      <c r="X7" s="100">
        <f t="shared" ca="1" si="5"/>
        <v>0</v>
      </c>
      <c r="Y7" s="100"/>
      <c r="AF7" s="138"/>
      <c r="AG7" s="138"/>
      <c r="AH7" s="138"/>
      <c r="AI7" s="138"/>
      <c r="AJ7" s="138"/>
      <c r="AK7" s="138"/>
      <c r="AL7" s="138"/>
      <c r="AM7" s="138"/>
    </row>
    <row r="8" spans="2:39">
      <c r="K8" s="71" t="s">
        <v>123</v>
      </c>
      <c r="L8" s="71" t="s">
        <v>124</v>
      </c>
      <c r="M8" s="68">
        <f>COUNTA(L11:L12)</f>
        <v>2</v>
      </c>
      <c r="N8" s="1"/>
      <c r="P8" s="1"/>
      <c r="Q8" s="68" t="str">
        <f ca="1">IF($R8&lt;=71,61,"")</f>
        <v/>
      </c>
      <c r="R8" s="68">
        <f ca="1">$D$5+60</f>
        <v>92</v>
      </c>
      <c r="S8" s="68" t="str">
        <f t="shared" ca="1" si="0"/>
        <v>SWUD100192</v>
      </c>
      <c r="T8" s="469">
        <f t="shared" ca="1" si="1"/>
        <v>0</v>
      </c>
      <c r="U8" s="100">
        <f t="shared" ca="1" si="2"/>
        <v>0</v>
      </c>
      <c r="V8" s="100">
        <f t="shared" ca="1" si="3"/>
        <v>0</v>
      </c>
      <c r="W8" s="100">
        <f t="shared" ca="1" si="4"/>
        <v>0</v>
      </c>
      <c r="X8" s="100">
        <f t="shared" ca="1" si="5"/>
        <v>0</v>
      </c>
      <c r="Y8" s="100"/>
      <c r="AF8" s="138"/>
      <c r="AG8" s="138"/>
      <c r="AH8" s="138"/>
      <c r="AI8" s="138"/>
      <c r="AJ8" s="138"/>
      <c r="AK8" s="138"/>
      <c r="AL8" s="138"/>
      <c r="AM8" s="138"/>
    </row>
    <row r="9" spans="2:39">
      <c r="B9" s="70" t="s">
        <v>41</v>
      </c>
      <c r="C9" s="73">
        <v>1</v>
      </c>
      <c r="D9" s="70" t="s">
        <v>42</v>
      </c>
      <c r="H9" s="118" t="s">
        <v>125</v>
      </c>
      <c r="I9" s="118" t="s">
        <v>18</v>
      </c>
      <c r="J9" s="118" t="s">
        <v>19</v>
      </c>
      <c r="K9" s="72" t="str">
        <f>K10&amp;M10&amp;K11&amp;M11&amp;K12&amp;M12&amp;K13&amp;M13&amp;"。"&amp;D47</f>
        <v>首、續期繳費方式 1%折扣。</v>
      </c>
      <c r="L9" s="72" t="str">
        <f>"保費折扣"</f>
        <v>保費折扣</v>
      </c>
      <c r="M9" s="68" t="str">
        <f>L10&amp;M10&amp;L11&amp;M11&amp;L12&amp;M12&amp;L13&amp;"折扣"</f>
        <v>繳費方式折扣</v>
      </c>
      <c r="P9" s="1"/>
      <c r="Q9" s="1"/>
      <c r="R9" s="1"/>
      <c r="S9" s="397"/>
      <c r="T9" s="399"/>
      <c r="U9" s="397"/>
      <c r="V9" s="397"/>
      <c r="W9" s="101"/>
      <c r="X9" s="101"/>
      <c r="Y9" s="101"/>
      <c r="AF9" s="138"/>
      <c r="AG9" s="138"/>
      <c r="AH9" s="138"/>
      <c r="AI9" s="138"/>
      <c r="AJ9" s="138"/>
      <c r="AK9" s="138"/>
      <c r="AL9" s="138"/>
      <c r="AM9" s="138"/>
    </row>
    <row r="10" spans="2:39">
      <c r="B10" s="70" t="s">
        <v>43</v>
      </c>
      <c r="C10" s="67">
        <f>BD</f>
        <v>800101</v>
      </c>
      <c r="D10" s="75" t="str">
        <f>IF(AND($C$9=1,OR(C10="",C10=0)),1,"")</f>
        <v/>
      </c>
      <c r="H10" s="173" t="s">
        <v>126</v>
      </c>
      <c r="I10" s="174">
        <f>$C$42</f>
        <v>0.01</v>
      </c>
      <c r="J10" s="174">
        <f>$C$44</f>
        <v>0.01</v>
      </c>
      <c r="K10" s="72" t="str">
        <f>IF(AND(I10&gt;0,J10&gt;0),"首、續期"&amp;H10&amp;TEXT(I10," 0%")&amp;"折扣",IF(AND(I10&gt;0,J10=0),"首期"&amp;H10&amp;TEXT(I10," 0%")&amp;"折扣",IF(AND(I10=0,J10&gt;0),"續期"&amp;H10&amp;TEXT(J10," 0%")&amp;"折扣","")))</f>
        <v>首、續期繳費方式 1%折扣</v>
      </c>
      <c r="L10" s="72" t="str">
        <f>IF(SUM(I10:J10)&gt;0,H10,"")</f>
        <v>繳費方式</v>
      </c>
      <c r="M10" s="72" t="str">
        <f>IF(L10="","",IF(SUM(N11:N13)&gt;=2,"、",IF(SUM(N11:N13)=1,"及","")))</f>
        <v/>
      </c>
      <c r="N10" s="68">
        <f>IF(L10&lt;&gt;"",1,0)</f>
        <v>1</v>
      </c>
      <c r="P10" s="1"/>
      <c r="Q10" s="1"/>
      <c r="R10" s="1"/>
      <c r="S10" s="397"/>
      <c r="T10" s="398"/>
      <c r="U10" s="397"/>
      <c r="V10" s="397"/>
      <c r="W10" s="101"/>
      <c r="X10" s="101"/>
      <c r="Y10" s="101"/>
      <c r="AF10" s="138"/>
      <c r="AG10" s="138"/>
      <c r="AH10" s="138"/>
      <c r="AI10" s="138"/>
      <c r="AJ10" s="138"/>
      <c r="AK10" s="138"/>
      <c r="AL10" s="138"/>
      <c r="AM10" s="138"/>
    </row>
    <row r="11" spans="2:39">
      <c r="B11" s="70" t="s">
        <v>44</v>
      </c>
      <c r="C11" s="67"/>
      <c r="D11" s="75" t="str">
        <f>IF(AND($C$9=2,OR(C11="",C11=0)),1,"")</f>
        <v/>
      </c>
      <c r="H11" s="118" t="s">
        <v>127</v>
      </c>
      <c r="I11" s="174">
        <f>$C$37</f>
        <v>0</v>
      </c>
      <c r="J11" s="174">
        <f>$C$37</f>
        <v>0</v>
      </c>
      <c r="K11" s="72" t="str">
        <f>IF(AND(I11&gt;0,J11&gt;0),"首、續期"&amp;H11&amp;TEXT(I11," 0.0%")&amp;"折扣",IF(AND(I11&gt;0,J11=0),"首期"&amp;H11&amp;TEXT(I11," 0.0%")&amp;"折扣",IF(AND(I11=0,J11&gt;0),"續期"&amp;H11&amp;TEXT(J11," 0.0%")&amp;"折扣","")))</f>
        <v/>
      </c>
      <c r="L11" s="72" t="str">
        <f>IF(SUM(I11:J11)&gt;0,H11,"")</f>
        <v/>
      </c>
      <c r="M11" s="72" t="str">
        <f>IF(L11="","",IF(SUM(N12:N14)&gt;=2,"、",IF(SUM(N12:N14)=1,"及","")))</f>
        <v/>
      </c>
      <c r="N11" s="68">
        <f>IF(L11&lt;&gt;"",1,0)</f>
        <v>0</v>
      </c>
      <c r="P11" s="1"/>
      <c r="Q11" s="1"/>
      <c r="R11" s="1"/>
      <c r="S11" s="397"/>
      <c r="T11" s="398"/>
      <c r="U11" s="397"/>
      <c r="V11" s="397"/>
      <c r="W11" s="101"/>
      <c r="X11" s="101"/>
      <c r="Y11" s="101"/>
      <c r="AF11" s="138"/>
      <c r="AG11" s="138"/>
      <c r="AH11" s="138"/>
      <c r="AI11" s="138"/>
      <c r="AJ11" s="138"/>
      <c r="AK11" s="138"/>
      <c r="AL11" s="138"/>
      <c r="AM11" s="138"/>
    </row>
    <row r="12" spans="2:39">
      <c r="C12" s="67"/>
      <c r="D12" s="75" t="str">
        <f>IF(AND($C$9=2,OR(C12="",C12&lt;1,C12&gt;12)),1,"")</f>
        <v/>
      </c>
      <c r="H12" s="118" t="s">
        <v>128</v>
      </c>
      <c r="I12" s="174">
        <f>$C$38</f>
        <v>0</v>
      </c>
      <c r="J12" s="174">
        <f>$C$39</f>
        <v>0</v>
      </c>
      <c r="K12" s="72" t="str">
        <f>IF(AND(I12&gt;0,J12&gt;0),"首、續期"&amp;H12&amp;TEXT(I12," 0%")&amp;"折扣",IF(AND(I12&gt;0,J12=0),"首期"&amp;H12&amp;TEXT(I12," 0%")&amp;"折扣",IF(AND(I12=0,J12&gt;0),"續期"&amp;H12&amp;TEXT(J12," 0%")&amp;"折扣","")))</f>
        <v/>
      </c>
      <c r="L12" s="72" t="str">
        <f>IF(SUM(I12:J12)&gt;0,H12,"")</f>
        <v/>
      </c>
      <c r="M12" s="72" t="str">
        <f>IF(L12="","",IF(SUM(N13:N15)&gt;=2,"、",IF(SUM(N13:N15)=1,"及","")))</f>
        <v/>
      </c>
      <c r="N12" s="68">
        <f>IF(L12&lt;&gt;"",1,0)</f>
        <v>0</v>
      </c>
      <c r="P12" s="1"/>
      <c r="Q12" s="1"/>
      <c r="R12" s="1"/>
      <c r="S12" s="397"/>
      <c r="T12" s="398"/>
      <c r="U12" s="101"/>
      <c r="V12" s="397"/>
      <c r="W12" s="101"/>
      <c r="X12" s="101"/>
      <c r="Y12" s="101"/>
      <c r="AF12" s="138"/>
      <c r="AG12" s="138"/>
      <c r="AH12" s="138"/>
      <c r="AI12" s="138"/>
      <c r="AJ12" s="138"/>
      <c r="AK12" s="138"/>
      <c r="AL12" s="138"/>
      <c r="AM12" s="138"/>
    </row>
    <row r="13" spans="2:39">
      <c r="C13" s="79"/>
      <c r="D13" s="80" t="str">
        <f>IF(AND($C$9=2,OR(C13="",C13&lt;1,C13&gt;E3)),1,"")</f>
        <v/>
      </c>
      <c r="H13" s="118" t="s">
        <v>129</v>
      </c>
      <c r="I13" s="174">
        <f>$C$40</f>
        <v>0</v>
      </c>
      <c r="J13" s="174">
        <f>$C$40</f>
        <v>0</v>
      </c>
      <c r="K13" s="72" t="str">
        <f>IF(AND(I13&gt;0,J13&gt;0),"首、續期"&amp;H13&amp;TEXT(I13," 0%")&amp;"折扣",IF(AND(I13&gt;0,J13=0),"首期"&amp;H13&amp;TEXT(I13," 0%")&amp;"折扣",IF(AND(I13=0,J13&gt;0),"續期"&amp;H13&amp;TEXT(J13," 0%")&amp;"折扣","")))</f>
        <v/>
      </c>
      <c r="L13" s="72" t="str">
        <f>IF(SUM(I13:J13)&gt;0,H13,"")</f>
        <v/>
      </c>
      <c r="M13" s="72" t="str">
        <f>IF(L13="","",IF(SUM(N14:N16)&gt;=2,"、",IF(SUM(N14:N16)=1,"及","")))</f>
        <v/>
      </c>
      <c r="N13" s="68">
        <f>IF(L13&lt;&gt;"",1,0)</f>
        <v>0</v>
      </c>
      <c r="P13" s="1"/>
      <c r="Q13" s="1"/>
      <c r="R13" s="1"/>
      <c r="S13" s="397"/>
      <c r="T13" s="398"/>
      <c r="U13" s="101"/>
      <c r="V13" s="397"/>
      <c r="W13" s="101"/>
      <c r="X13" s="101"/>
      <c r="Y13" s="101"/>
      <c r="AF13" s="138"/>
      <c r="AG13" s="138"/>
      <c r="AH13" s="138"/>
      <c r="AI13" s="138"/>
      <c r="AJ13" s="138"/>
      <c r="AK13" s="138"/>
      <c r="AL13" s="138"/>
      <c r="AM13" s="138"/>
    </row>
    <row r="14" spans="2:39">
      <c r="B14" s="81" t="s">
        <v>45</v>
      </c>
      <c r="C14" s="81"/>
      <c r="D14" s="82" t="str">
        <f>IF(SUM(E6,D10:D13)&gt;=1,"*日期空白或格式錯誤*","")</f>
        <v/>
      </c>
      <c r="H14" s="62"/>
      <c r="I14" s="77"/>
      <c r="J14" s="78"/>
      <c r="P14" s="1"/>
      <c r="Q14" s="1"/>
      <c r="R14" s="1"/>
      <c r="S14" s="397"/>
      <c r="T14" s="398"/>
      <c r="U14" s="400"/>
      <c r="V14" s="397"/>
      <c r="W14" s="101"/>
      <c r="X14" s="101"/>
      <c r="Y14" s="101"/>
      <c r="AF14" s="138"/>
      <c r="AG14" s="138"/>
      <c r="AH14" s="138"/>
      <c r="AI14" s="138"/>
      <c r="AJ14" s="138"/>
      <c r="AK14" s="138"/>
      <c r="AL14" s="138"/>
      <c r="AM14" s="138"/>
    </row>
    <row r="15" spans="2:39">
      <c r="B15" s="83" t="s">
        <v>46</v>
      </c>
      <c r="C15" s="73">
        <f>IF($C$22="",,VLOOKUP($C$24,$H$51:$J$53,3,FALSE))</f>
        <v>61</v>
      </c>
      <c r="D15" s="75" t="str">
        <f ca="1">IF(D5&gt;C15,1,"")</f>
        <v/>
      </c>
      <c r="H15" s="62"/>
      <c r="I15" s="77"/>
      <c r="J15" s="78"/>
      <c r="K15" s="68" t="s">
        <v>130</v>
      </c>
      <c r="P15" s="1"/>
      <c r="Q15" s="1"/>
      <c r="R15" s="1"/>
      <c r="S15" s="397"/>
      <c r="T15" s="398"/>
      <c r="U15" s="320"/>
      <c r="V15" s="397"/>
      <c r="W15" s="101"/>
      <c r="X15" s="101"/>
      <c r="Y15" s="101"/>
      <c r="AF15" s="138"/>
      <c r="AG15" s="138"/>
    </row>
    <row r="16" spans="2:39">
      <c r="B16" s="84" t="str">
        <f>"最低承保"&amp;IF(E16=1,"(足歲)","(保險年齡)")</f>
        <v>最低承保(足歲)</v>
      </c>
      <c r="C16" s="73">
        <f>IF($C$22="",,VLOOKUP($C$24,$H$51:$J$53,2,FALSE))</f>
        <v>15</v>
      </c>
      <c r="D16" s="75" t="str">
        <f ca="1">IF(IF(E16=1,D6,IF(E16=2,D5,0))&lt;C16,1,"")</f>
        <v/>
      </c>
      <c r="E16" s="73">
        <v>1</v>
      </c>
      <c r="K16" s="68" t="s">
        <v>131</v>
      </c>
      <c r="P16" s="1"/>
      <c r="R16" s="1"/>
      <c r="S16" s="397"/>
      <c r="T16" s="398"/>
      <c r="U16" s="400"/>
      <c r="V16" s="397"/>
      <c r="W16" s="101"/>
      <c r="X16" s="101"/>
      <c r="Y16" s="101"/>
      <c r="AF16" s="138"/>
      <c r="AG16" s="138"/>
    </row>
    <row r="17" spans="2:41">
      <c r="B17" s="85" t="s">
        <v>47</v>
      </c>
      <c r="C17" s="81"/>
      <c r="D17" s="82" t="str">
        <f ca="1">IF(SUM(D15:D16)&gt;=1,"*年齡不符專案投保區間*","")</f>
        <v/>
      </c>
      <c r="H17" s="67" t="str">
        <f>IF($C$24=1,"躉繳","躉繳")</f>
        <v>躉繳</v>
      </c>
      <c r="I17" s="62"/>
      <c r="J17" s="62"/>
      <c r="K17" s="68" t="s">
        <v>132</v>
      </c>
      <c r="P17" s="1"/>
      <c r="Q17" s="1"/>
      <c r="R17" s="1"/>
      <c r="S17" s="397"/>
      <c r="T17" s="398"/>
      <c r="U17" s="400"/>
      <c r="V17" s="397"/>
      <c r="W17" s="101"/>
      <c r="X17" s="101"/>
      <c r="Y17" s="101"/>
      <c r="AF17" s="138"/>
      <c r="AG17" s="138"/>
    </row>
    <row r="18" spans="2:41">
      <c r="B18" s="70" t="s">
        <v>48</v>
      </c>
      <c r="C18" s="86">
        <f>IF(輸入頁!$K$5="男",1,IF(輸入頁!$K$5="女",2,0))</f>
        <v>1</v>
      </c>
      <c r="D18" s="87" t="str">
        <f>IF(OR(C18="",C18&lt;=0,C18&gt;=3),1,"")</f>
        <v/>
      </c>
      <c r="H18" s="67" t="str">
        <f>IF($C$24=1,"年繳","年繳")</f>
        <v>年繳</v>
      </c>
      <c r="I18" s="62"/>
      <c r="J18" s="62"/>
      <c r="K18" s="68" t="s">
        <v>133</v>
      </c>
      <c r="P18" s="1"/>
      <c r="Q18" s="1"/>
      <c r="R18" s="1"/>
      <c r="S18" s="397"/>
      <c r="T18" s="398"/>
      <c r="U18" s="397"/>
      <c r="V18" s="397"/>
      <c r="W18" s="101"/>
      <c r="X18" s="101"/>
      <c r="Y18" s="101"/>
      <c r="AF18" s="138"/>
      <c r="AG18" s="138"/>
    </row>
    <row r="19" spans="2:41">
      <c r="B19" s="88" t="s">
        <v>49</v>
      </c>
      <c r="C19" s="88"/>
      <c r="D19" s="89" t="str">
        <f>IF(D18=1,"*性別輸入錯誤*","")</f>
        <v/>
      </c>
      <c r="H19" s="67" t="str">
        <f>IF($C$24=1,"半年繳","半年繳")</f>
        <v>半年繳</v>
      </c>
      <c r="I19" s="62"/>
      <c r="J19" s="78"/>
      <c r="K19" s="68" t="s">
        <v>134</v>
      </c>
      <c r="P19" s="1"/>
      <c r="Q19" s="1"/>
      <c r="R19" s="1"/>
      <c r="S19" s="397"/>
      <c r="T19" s="401"/>
      <c r="U19" s="397"/>
      <c r="V19" s="397"/>
      <c r="W19" s="101"/>
      <c r="X19" s="101"/>
      <c r="Y19" s="101"/>
      <c r="AF19" s="138"/>
      <c r="AG19" s="138"/>
    </row>
    <row r="20" spans="2:41">
      <c r="B20" s="88" t="s">
        <v>50</v>
      </c>
      <c r="C20" s="88"/>
      <c r="D20" s="75" t="str">
        <f>IF(SUM(E6,D10:D13,D18)&gt;=1,1,"")</f>
        <v/>
      </c>
      <c r="H20" s="67" t="str">
        <f>IF($C$24=1,"季繳","季繳")</f>
        <v>季繳</v>
      </c>
      <c r="I20" s="62"/>
      <c r="J20" s="78"/>
      <c r="P20" s="1"/>
      <c r="Q20" s="1"/>
      <c r="R20" s="1"/>
      <c r="S20" s="397"/>
      <c r="T20" s="401"/>
      <c r="U20" s="397"/>
      <c r="V20" s="397"/>
      <c r="W20" s="101"/>
      <c r="X20" s="101"/>
      <c r="Y20" s="101"/>
      <c r="AF20" s="138"/>
      <c r="AG20" s="138"/>
    </row>
    <row r="21" spans="2:41">
      <c r="B21" s="70" t="s">
        <v>51</v>
      </c>
      <c r="C21" s="73">
        <v>1</v>
      </c>
      <c r="D21" s="75" t="str">
        <f>IF(OR(C21="",C21&lt;=0,C21&gt;=3),1,"")</f>
        <v/>
      </c>
      <c r="E21" s="549" t="s">
        <v>1000</v>
      </c>
      <c r="H21" s="67" t="str">
        <f>IF($C$24=1,"月繳","月繳")</f>
        <v>月繳</v>
      </c>
      <c r="I21" s="62"/>
      <c r="J21" s="78"/>
      <c r="P21" s="1"/>
      <c r="Q21" s="1"/>
      <c r="R21" s="1"/>
      <c r="S21" s="397"/>
      <c r="T21" s="402"/>
      <c r="U21" s="397"/>
      <c r="V21" s="397"/>
      <c r="W21" s="101"/>
      <c r="X21" s="101"/>
      <c r="Y21" s="101"/>
      <c r="AF21" s="136"/>
      <c r="AG21" s="136"/>
    </row>
    <row r="22" spans="2:41">
      <c r="B22" s="70" t="s">
        <v>52</v>
      </c>
      <c r="C22" s="90" t="str">
        <f>IF(RIGHT(YPN1,4)&lt;&gt;I55,"",RIGHT(YPN1,4))</f>
        <v>SWUC</v>
      </c>
      <c r="D22" s="75" t="str">
        <f>IF(OR(C22="",C22=0,AND(C22&lt;&gt;K39,C22&lt;&gt;K40)),1,"")</f>
        <v/>
      </c>
      <c r="E22" s="71"/>
      <c r="F22" s="91"/>
      <c r="H22" s="62"/>
      <c r="I22" s="62"/>
      <c r="J22" s="78"/>
      <c r="N22" s="21" t="str">
        <f>IF(O22="","",MAX($N$2:N21)+1)</f>
        <v/>
      </c>
      <c r="O22" s="26"/>
      <c r="P22" s="1"/>
      <c r="Q22" s="1"/>
      <c r="R22" s="1"/>
      <c r="S22" s="397"/>
      <c r="T22" s="401"/>
      <c r="U22" s="397"/>
      <c r="V22" s="397"/>
      <c r="W22" s="101"/>
      <c r="X22" s="101"/>
      <c r="Y22" s="101"/>
      <c r="AF22" s="136"/>
      <c r="AG22" s="136"/>
    </row>
    <row r="23" spans="2:41">
      <c r="B23" s="92" t="s">
        <v>53</v>
      </c>
      <c r="C23" s="90" t="s">
        <v>1115</v>
      </c>
      <c r="D23" s="75"/>
      <c r="H23" s="62"/>
      <c r="I23" s="62"/>
      <c r="J23" s="78"/>
      <c r="N23" s="1"/>
      <c r="O23" s="26"/>
      <c r="P23" s="1"/>
      <c r="Q23" s="1"/>
      <c r="R23" s="1"/>
      <c r="S23" s="397"/>
      <c r="T23" s="401"/>
      <c r="U23" s="397"/>
      <c r="V23" s="397"/>
      <c r="W23" s="101"/>
      <c r="X23" s="101"/>
      <c r="Y23" s="101"/>
      <c r="AF23" s="136"/>
      <c r="AG23" s="136"/>
    </row>
    <row r="24" spans="2:41">
      <c r="B24" s="70" t="s">
        <v>54</v>
      </c>
      <c r="C24" s="67">
        <f>IF($C$22="",,VALUE(LEFT(YPN1,IF(LEN(YPN1)=6,2,1))))</f>
        <v>10</v>
      </c>
      <c r="D24" s="75" t="str">
        <f>IF(OR(C24="",C24=0,ISERR(COUNTIF(H39:J41,C24))),1,"")</f>
        <v/>
      </c>
      <c r="N24" s="1"/>
      <c r="O24" s="93"/>
      <c r="P24" s="1"/>
      <c r="Q24" s="1"/>
      <c r="R24" s="1"/>
      <c r="S24" s="397"/>
      <c r="T24" s="401"/>
      <c r="U24" s="397"/>
      <c r="V24" s="397"/>
      <c r="W24" s="101"/>
      <c r="X24" s="101"/>
      <c r="Y24" s="101"/>
      <c r="AF24" s="136"/>
      <c r="AG24" s="136"/>
    </row>
    <row r="25" spans="2:41">
      <c r="B25" s="88" t="s">
        <v>55</v>
      </c>
      <c r="C25" s="94"/>
      <c r="D25" s="82" t="str">
        <f>IF(SUM(D24)&gt;=1,"*年期選擇錯誤*","")</f>
        <v/>
      </c>
      <c r="E25" s="91"/>
      <c r="H25" s="76" t="s">
        <v>1055</v>
      </c>
      <c r="I25" s="166" t="s">
        <v>1107</v>
      </c>
      <c r="J25" s="166" t="str">
        <f>"SWUC續年度折扣後實繳保費"&amp;IF('OP1'!$C$44&gt;0,"(含續期繳費方式折扣"&amp;TEXT('OP1'!$C$44,"0%")&amp;")","")</f>
        <v>SWUC續年度折扣後實繳保費(含續期繳費方式折扣1%)</v>
      </c>
      <c r="N25" s="1"/>
      <c r="O25" s="93"/>
      <c r="P25" s="1"/>
      <c r="Q25" s="1"/>
      <c r="R25" s="1"/>
      <c r="S25" s="397"/>
      <c r="T25" s="401"/>
      <c r="U25" s="397"/>
      <c r="V25" s="397"/>
      <c r="W25" s="101"/>
      <c r="X25" s="101"/>
      <c r="Y25" s="101"/>
      <c r="AF25" s="136"/>
      <c r="AG25" s="136"/>
    </row>
    <row r="26" spans="2:41">
      <c r="B26" s="95" t="s">
        <v>56</v>
      </c>
      <c r="C26" s="73">
        <f>IF($C$22="",,VLOOKUP($C$24,$H$57:$L$59,$H$55+1,FALSE))</f>
        <v>50</v>
      </c>
      <c r="D26" s="96"/>
      <c r="E26" s="91"/>
      <c r="H26" s="118" t="s">
        <v>1034</v>
      </c>
      <c r="I26" s="174">
        <v>0.02</v>
      </c>
      <c r="J26" s="72">
        <f ca="1">ROUND($C$35*(1-($C$44+$I26)),0)</f>
        <v>5141</v>
      </c>
      <c r="N26" s="1"/>
      <c r="O26" s="93"/>
      <c r="P26" s="1"/>
      <c r="Q26" s="1"/>
      <c r="R26" s="1"/>
      <c r="S26" s="397"/>
      <c r="T26" s="401"/>
      <c r="U26" s="397"/>
      <c r="V26" s="397"/>
      <c r="W26" s="101"/>
      <c r="X26" s="101"/>
      <c r="Y26" s="101"/>
      <c r="AF26" s="136"/>
      <c r="AG26" s="136"/>
    </row>
    <row r="27" spans="2:41">
      <c r="B27" s="95" t="s">
        <v>57</v>
      </c>
      <c r="C27" s="73">
        <f>IF($C$22="",,VLOOKUP($C$24,$H$57:$L$59,$H$55+2,FALSE))</f>
        <v>50</v>
      </c>
      <c r="D27" s="97"/>
      <c r="E27" s="91"/>
      <c r="H27" s="600" t="s">
        <v>1033</v>
      </c>
      <c r="I27" s="174">
        <v>0.03</v>
      </c>
      <c r="J27" s="72">
        <f t="shared" ref="J27:J28" ca="1" si="6">ROUND($C$35*(1-($C$44+$I27)),0)</f>
        <v>5088</v>
      </c>
      <c r="N27" s="1"/>
      <c r="O27" s="93"/>
      <c r="P27" s="1"/>
      <c r="Q27" s="1"/>
      <c r="R27" s="1"/>
      <c r="S27" s="397"/>
      <c r="T27" s="401"/>
      <c r="U27" s="397"/>
      <c r="V27" s="397"/>
      <c r="W27" s="101"/>
      <c r="X27" s="101"/>
      <c r="Y27" s="101"/>
      <c r="AF27" s="136"/>
      <c r="AG27" s="136"/>
    </row>
    <row r="28" spans="2:41">
      <c r="B28" s="70" t="s">
        <v>12</v>
      </c>
      <c r="C28" s="98">
        <f>ROUND(_INS1,0)</f>
        <v>50</v>
      </c>
      <c r="D28" s="75" t="str">
        <f>IF(OR(C28="",C28=0,C28&lt;C26,C28&gt;C27),1,"")</f>
        <v/>
      </c>
      <c r="H28" s="72" t="s">
        <v>1062</v>
      </c>
      <c r="I28" s="601">
        <f>SUM($I26:$I27)</f>
        <v>0.05</v>
      </c>
      <c r="J28" s="72">
        <f t="shared" ca="1" si="6"/>
        <v>4982</v>
      </c>
      <c r="N28" s="1"/>
      <c r="O28" s="93"/>
      <c r="P28" s="1"/>
      <c r="Q28" s="1"/>
      <c r="R28" s="1"/>
      <c r="S28" s="397"/>
      <c r="T28" s="401"/>
      <c r="U28" s="101"/>
      <c r="V28" s="397"/>
      <c r="W28" s="101"/>
      <c r="X28" s="101"/>
      <c r="Y28" s="101"/>
      <c r="AF28" s="136"/>
      <c r="AG28" s="136"/>
    </row>
    <row r="29" spans="2:41">
      <c r="B29" s="88" t="s">
        <v>59</v>
      </c>
      <c r="C29" s="99"/>
      <c r="D29" s="82" t="str">
        <f>IF(SUM(D28)&gt;=1,"*保額錯誤*","")</f>
        <v/>
      </c>
      <c r="N29" s="1"/>
      <c r="O29" s="93"/>
      <c r="P29" s="1"/>
      <c r="Q29" s="1"/>
      <c r="R29" s="1"/>
      <c r="S29" s="397"/>
      <c r="T29" s="401"/>
      <c r="U29" s="101"/>
      <c r="V29" s="397"/>
      <c r="W29" s="101"/>
      <c r="X29" s="101"/>
      <c r="Y29" s="101"/>
      <c r="AF29" s="136"/>
      <c r="AG29" s="136"/>
    </row>
    <row r="30" spans="2:41" ht="17.25" thickBot="1">
      <c r="B30" s="70" t="s">
        <v>60</v>
      </c>
      <c r="C30" s="100">
        <f ca="1">IF(OR(C18=0,C22=0,D28=1),0,IF(ISNA(VLOOKUP($C$55,GP_1,2,0)),0,VLOOKUP($C$55,GP_1,2,0)))</f>
        <v>106</v>
      </c>
      <c r="D30" s="101"/>
      <c r="H30" s="102" t="s">
        <v>61</v>
      </c>
      <c r="I30" s="62" t="s">
        <v>62</v>
      </c>
      <c r="K30" s="71" t="s">
        <v>607</v>
      </c>
      <c r="L30" s="71" t="s">
        <v>608</v>
      </c>
      <c r="N30" s="1"/>
      <c r="O30" s="93"/>
      <c r="P30" s="1"/>
      <c r="Q30" s="1"/>
      <c r="R30" s="1"/>
      <c r="S30" s="397"/>
      <c r="T30" s="401"/>
      <c r="U30" s="101"/>
      <c r="V30" s="397"/>
      <c r="W30" s="101"/>
      <c r="X30" s="101"/>
      <c r="Y30" s="101"/>
      <c r="AF30" s="136"/>
      <c r="AG30" s="136"/>
      <c r="AK30" s="138"/>
      <c r="AL30" s="138"/>
      <c r="AM30" s="138"/>
      <c r="AN30" s="138"/>
      <c r="AO30" s="138"/>
    </row>
    <row r="31" spans="2:41" ht="17.25" thickTop="1">
      <c r="B31" s="70" t="s">
        <v>63</v>
      </c>
      <c r="C31" s="100">
        <f ca="1">IF($C$21=1,ROUND(C28*C30,1),IF(C21=2,ROUND(C28*C30,1),""))</f>
        <v>5300</v>
      </c>
      <c r="D31" s="103"/>
      <c r="H31" s="104" t="s">
        <v>64</v>
      </c>
      <c r="I31" s="105">
        <v>0.01</v>
      </c>
      <c r="J31" s="71" t="s">
        <v>65</v>
      </c>
      <c r="K31" s="118" t="s">
        <v>609</v>
      </c>
      <c r="L31" s="118" t="s">
        <v>610</v>
      </c>
      <c r="N31" s="1"/>
      <c r="O31" s="93"/>
      <c r="P31" s="1"/>
      <c r="Q31" s="1"/>
      <c r="R31" s="1"/>
      <c r="S31" s="397"/>
      <c r="T31" s="401"/>
      <c r="U31" s="101"/>
      <c r="V31" s="397"/>
      <c r="W31" s="101"/>
      <c r="X31" s="101"/>
      <c r="Y31" s="101"/>
      <c r="AF31" s="136"/>
      <c r="AG31" s="136"/>
      <c r="AK31" s="138"/>
      <c r="AL31" s="138"/>
      <c r="AM31" s="138"/>
      <c r="AN31" s="138"/>
      <c r="AO31" s="138"/>
    </row>
    <row r="32" spans="2:41">
      <c r="B32" s="70" t="s">
        <v>61</v>
      </c>
      <c r="C32" s="73" t="str">
        <f>IF(_PM1="","",_PM1)</f>
        <v>年繳</v>
      </c>
      <c r="D32" s="75" t="str">
        <f>IF(OR(C32="",C32=0),1,"")</f>
        <v/>
      </c>
      <c r="E32" s="68" t="str">
        <f>IF($D$32=1,"繳別錯誤","")</f>
        <v/>
      </c>
      <c r="H32" s="106" t="s">
        <v>636</v>
      </c>
      <c r="I32" s="105">
        <v>0.01</v>
      </c>
      <c r="J32" s="107" t="s">
        <v>66</v>
      </c>
      <c r="K32" s="118" t="s">
        <v>610</v>
      </c>
      <c r="L32" s="72" t="s">
        <v>611</v>
      </c>
      <c r="N32" s="1"/>
      <c r="O32" s="93"/>
      <c r="P32" s="1"/>
      <c r="Q32" s="1"/>
      <c r="R32" s="1"/>
      <c r="S32" s="397"/>
      <c r="T32" s="401"/>
      <c r="U32" s="101"/>
      <c r="V32" s="397"/>
      <c r="W32" s="101"/>
      <c r="X32" s="101"/>
      <c r="Y32" s="101"/>
      <c r="AF32" s="136"/>
      <c r="AG32" s="136"/>
      <c r="AK32" s="138"/>
      <c r="AL32" s="138"/>
      <c r="AM32" s="138"/>
      <c r="AN32" s="138"/>
      <c r="AO32" s="138"/>
    </row>
    <row r="33" spans="2:41">
      <c r="B33" s="70" t="s">
        <v>67</v>
      </c>
      <c r="C33" s="73">
        <v>2</v>
      </c>
      <c r="D33" s="75" t="str">
        <f>IF(OR(C33="",C33=0),1,"")</f>
        <v/>
      </c>
      <c r="H33" s="108" t="s">
        <v>68</v>
      </c>
      <c r="I33" s="105">
        <v>0.01</v>
      </c>
      <c r="K33" s="72" t="s">
        <v>611</v>
      </c>
      <c r="L33" s="72" t="s">
        <v>612</v>
      </c>
      <c r="M33" s="1"/>
      <c r="N33" s="1"/>
      <c r="O33" s="93"/>
      <c r="P33" s="1"/>
      <c r="Q33" s="1"/>
      <c r="R33" s="1"/>
      <c r="S33" s="397"/>
      <c r="T33" s="401"/>
      <c r="U33" s="397"/>
      <c r="V33" s="101"/>
      <c r="W33" s="101"/>
      <c r="X33" s="101"/>
      <c r="Y33" s="101"/>
      <c r="AF33" s="136"/>
      <c r="AG33" s="136"/>
      <c r="AK33" s="138"/>
      <c r="AL33" s="138"/>
      <c r="AM33" s="138"/>
      <c r="AN33" s="138"/>
      <c r="AO33" s="138"/>
    </row>
    <row r="34" spans="2:41">
      <c r="B34" s="70" t="s">
        <v>69</v>
      </c>
      <c r="C34" s="70">
        <f>IF(D32=1,,VLOOKUP(C32,H2:K7,1+C33,FALSE))</f>
        <v>1</v>
      </c>
      <c r="D34" s="109"/>
      <c r="H34" s="142" t="s">
        <v>102</v>
      </c>
      <c r="I34" s="143">
        <v>0</v>
      </c>
      <c r="J34" s="71" t="s">
        <v>70</v>
      </c>
      <c r="K34" s="72" t="s">
        <v>612</v>
      </c>
      <c r="L34" s="72" t="s">
        <v>613</v>
      </c>
      <c r="M34" s="1"/>
      <c r="N34" s="1"/>
      <c r="O34" s="93"/>
      <c r="P34" s="1"/>
      <c r="Q34" s="1"/>
      <c r="R34" s="1"/>
      <c r="S34" s="397"/>
      <c r="T34" s="401"/>
      <c r="U34" s="397"/>
      <c r="V34" s="101"/>
      <c r="W34" s="101"/>
      <c r="X34" s="101"/>
      <c r="Y34" s="101"/>
      <c r="AK34" s="138"/>
      <c r="AL34" s="138"/>
      <c r="AM34" s="138"/>
      <c r="AN34" s="138"/>
      <c r="AO34" s="138"/>
    </row>
    <row r="35" spans="2:41">
      <c r="B35" s="70" t="s">
        <v>71</v>
      </c>
      <c r="C35" s="100">
        <f ca="1">IF($C$21=1,ROUND(C31*C34,0),IF($C$21=2,ROUNDDOWN(C31*C34,0),""))</f>
        <v>5300</v>
      </c>
      <c r="D35" s="101"/>
      <c r="H35" s="118" t="s">
        <v>104</v>
      </c>
      <c r="I35" s="78">
        <v>0</v>
      </c>
      <c r="K35" s="118" t="s">
        <v>614</v>
      </c>
      <c r="L35" s="72"/>
      <c r="M35" s="1"/>
      <c r="N35" s="1"/>
      <c r="O35" s="93"/>
      <c r="P35" s="1"/>
      <c r="Q35" s="1"/>
      <c r="R35" s="1"/>
      <c r="S35" s="397"/>
      <c r="T35" s="401"/>
      <c r="U35" s="397"/>
      <c r="V35" s="101"/>
      <c r="W35" s="101"/>
      <c r="X35" s="101"/>
      <c r="Y35" s="101"/>
      <c r="AK35" s="139"/>
      <c r="AL35" s="139"/>
      <c r="AM35" s="139"/>
      <c r="AN35" s="139"/>
      <c r="AO35" s="139"/>
    </row>
    <row r="36" spans="2:41">
      <c r="B36" s="110" t="s">
        <v>73</v>
      </c>
      <c r="C36" s="111"/>
      <c r="D36" s="68" t="s">
        <v>74</v>
      </c>
      <c r="H36" s="144" t="s">
        <v>72</v>
      </c>
      <c r="I36" s="145">
        <v>0.01</v>
      </c>
      <c r="J36" s="107" t="s">
        <v>76</v>
      </c>
      <c r="K36" s="72"/>
      <c r="M36" s="1"/>
      <c r="N36" s="1"/>
      <c r="O36" s="93"/>
      <c r="P36" s="1"/>
      <c r="Q36" s="1"/>
      <c r="R36" s="1"/>
      <c r="S36" s="397"/>
      <c r="T36" s="401"/>
      <c r="U36" s="397"/>
      <c r="V36" s="101"/>
      <c r="W36" s="101"/>
      <c r="X36" s="101"/>
      <c r="Y36" s="101"/>
      <c r="AK36" s="138"/>
      <c r="AL36" s="138"/>
      <c r="AM36" s="138"/>
      <c r="AN36" s="138"/>
      <c r="AO36" s="138"/>
    </row>
    <row r="37" spans="2:41" ht="17.25" thickBot="1">
      <c r="B37" s="110" t="s">
        <v>77</v>
      </c>
      <c r="C37" s="146"/>
      <c r="D37" s="101"/>
      <c r="H37" s="112" t="s">
        <v>75</v>
      </c>
      <c r="I37" s="105">
        <v>0</v>
      </c>
      <c r="M37" s="1"/>
      <c r="N37" s="1"/>
      <c r="O37" s="93"/>
      <c r="P37" s="1"/>
      <c r="Q37" s="1"/>
      <c r="R37" s="1"/>
      <c r="S37" s="397"/>
      <c r="T37" s="401"/>
      <c r="U37" s="397"/>
      <c r="V37" s="101"/>
      <c r="W37" s="101"/>
      <c r="X37" s="101"/>
      <c r="Y37" s="101"/>
      <c r="AK37" s="138"/>
      <c r="AL37" s="138"/>
      <c r="AM37" s="138"/>
      <c r="AN37" s="138"/>
      <c r="AO37" s="138"/>
    </row>
    <row r="38" spans="2:41" ht="17.25" thickTop="1">
      <c r="B38" s="157" t="s">
        <v>121</v>
      </c>
      <c r="C38" s="111">
        <f>IF(AND($E$38=1,OR($C$41=$H$32,$C$41=$H$33,$C$41=$H$34)),2%,0%)</f>
        <v>0</v>
      </c>
      <c r="D38" s="101"/>
      <c r="E38" s="72">
        <v>0</v>
      </c>
      <c r="H38" s="72" t="s">
        <v>54</v>
      </c>
      <c r="K38" s="76" t="s">
        <v>78</v>
      </c>
      <c r="N38" s="1"/>
      <c r="O38" s="93"/>
      <c r="P38" s="1"/>
      <c r="Q38" s="1"/>
      <c r="R38" s="1"/>
      <c r="S38" s="397"/>
      <c r="T38" s="401"/>
      <c r="U38" s="101"/>
      <c r="V38" s="397"/>
      <c r="W38" s="101"/>
      <c r="X38" s="101"/>
      <c r="Y38" s="101"/>
      <c r="AK38" s="138"/>
      <c r="AL38" s="138"/>
      <c r="AM38" s="138"/>
      <c r="AN38" s="138"/>
      <c r="AO38" s="138"/>
    </row>
    <row r="39" spans="2:41">
      <c r="B39" s="157" t="s">
        <v>122</v>
      </c>
      <c r="C39" s="111">
        <f>IF(AND($E$38=1,OR($C$43=$H$32,$C$43=$H$33,$C$43=$H$34,$C$43=$H$36)),2%,0%)</f>
        <v>0</v>
      </c>
      <c r="D39" s="103"/>
      <c r="G39" s="71"/>
      <c r="H39" s="62">
        <v>10</v>
      </c>
      <c r="I39" s="113"/>
      <c r="J39" s="114"/>
      <c r="K39" s="76" t="s">
        <v>1102</v>
      </c>
      <c r="N39" s="1"/>
      <c r="O39" s="93"/>
      <c r="P39" s="1"/>
      <c r="Q39" s="1"/>
      <c r="R39" s="1"/>
      <c r="S39" s="397"/>
      <c r="T39" s="401"/>
      <c r="U39" s="101"/>
      <c r="V39" s="397"/>
      <c r="W39" s="101"/>
      <c r="X39" s="101"/>
      <c r="Y39" s="101"/>
      <c r="AK39" s="138"/>
      <c r="AL39" s="138"/>
      <c r="AM39" s="138"/>
      <c r="AN39" s="138"/>
      <c r="AO39" s="138"/>
    </row>
    <row r="40" spans="2:41">
      <c r="B40" s="157" t="s">
        <v>107</v>
      </c>
      <c r="C40" s="115"/>
      <c r="D40" s="75"/>
      <c r="G40" s="71"/>
      <c r="H40" s="62"/>
      <c r="I40" s="62"/>
      <c r="J40" s="114"/>
      <c r="K40" s="76"/>
      <c r="N40" s="1"/>
      <c r="O40" s="93"/>
      <c r="P40" s="1"/>
      <c r="Q40" s="1"/>
      <c r="R40" s="1"/>
      <c r="S40" s="397"/>
      <c r="T40" s="401"/>
      <c r="U40" s="397"/>
      <c r="V40" s="397"/>
      <c r="W40" s="101"/>
      <c r="X40" s="101"/>
      <c r="Y40" s="101"/>
      <c r="AK40" s="138"/>
      <c r="AL40" s="138"/>
      <c r="AM40" s="138"/>
      <c r="AN40" s="138"/>
      <c r="AO40" s="138"/>
    </row>
    <row r="41" spans="2:41">
      <c r="B41" s="110" t="s">
        <v>79</v>
      </c>
      <c r="C41" s="73" t="str">
        <f>輸入頁!Q30</f>
        <v>匯款</v>
      </c>
      <c r="D41" s="75"/>
      <c r="H41" s="62"/>
      <c r="I41" s="62"/>
      <c r="J41" s="114"/>
      <c r="K41" s="76"/>
      <c r="N41" s="1"/>
      <c r="O41" s="93"/>
      <c r="P41" s="1"/>
      <c r="Q41" s="1"/>
      <c r="R41" s="1"/>
      <c r="S41" s="397"/>
      <c r="T41" s="401"/>
      <c r="U41" s="397"/>
      <c r="V41" s="397"/>
      <c r="W41" s="101"/>
      <c r="X41" s="101"/>
      <c r="Y41" s="101"/>
      <c r="AK41" s="138"/>
      <c r="AL41" s="138"/>
      <c r="AM41" s="138"/>
      <c r="AN41" s="138"/>
      <c r="AO41" s="138"/>
    </row>
    <row r="42" spans="2:41">
      <c r="B42" s="70" t="s">
        <v>80</v>
      </c>
      <c r="C42" s="116">
        <f>IF(ISNA(VLOOKUP(C41,$H$30:$I$37,2,FALSE)),0,VLOOKUP(C41,$H$30:$I$37,2,FALSE))</f>
        <v>0.01</v>
      </c>
      <c r="D42" s="117" t="str">
        <f>IF(C42&gt;0,"-首期享有1%繳別折扣-","")</f>
        <v>-首期享有1%繳別折扣-</v>
      </c>
      <c r="H42" s="118" t="s">
        <v>81</v>
      </c>
      <c r="O42" s="93"/>
      <c r="S42" s="397"/>
      <c r="T42" s="403"/>
      <c r="U42" s="101"/>
      <c r="V42" s="101"/>
      <c r="W42" s="101"/>
      <c r="X42" s="101"/>
      <c r="Y42" s="101"/>
      <c r="AK42" s="138"/>
      <c r="AL42" s="138"/>
      <c r="AM42" s="138"/>
      <c r="AN42" s="138"/>
      <c r="AO42" s="138"/>
    </row>
    <row r="43" spans="2:41">
      <c r="B43" s="70" t="s">
        <v>82</v>
      </c>
      <c r="C43" s="73" t="str">
        <f>輸入頁!Q32</f>
        <v>金融機構轉帳</v>
      </c>
      <c r="D43" s="75"/>
      <c r="H43" s="118" t="s">
        <v>1103</v>
      </c>
      <c r="O43" s="93"/>
      <c r="S43" s="397"/>
      <c r="T43" s="404"/>
      <c r="U43" s="101"/>
      <c r="V43" s="101"/>
      <c r="W43" s="101"/>
      <c r="X43" s="101"/>
      <c r="Y43" s="101"/>
      <c r="AK43" s="138"/>
      <c r="AL43" s="138"/>
      <c r="AM43" s="138"/>
      <c r="AN43" s="138"/>
      <c r="AO43" s="138"/>
    </row>
    <row r="44" spans="2:41">
      <c r="B44" s="70" t="s">
        <v>83</v>
      </c>
      <c r="C44" s="116">
        <f>IF(ISNA(VLOOKUP(C43,$H$30:$I$37,2,FALSE)),0,VLOOKUP(C43,$H$30:$I$37,2,FALSE))</f>
        <v>0.01</v>
      </c>
      <c r="D44" s="117" t="str">
        <f>IF(C44&gt;0,"-續期享有1%繳別折扣-","")</f>
        <v>-續期享有1%繳別折扣-</v>
      </c>
      <c r="H44" s="118"/>
      <c r="O44" s="71"/>
      <c r="S44" s="397"/>
      <c r="T44" s="403"/>
      <c r="U44" s="101"/>
      <c r="V44" s="101"/>
      <c r="W44" s="101"/>
      <c r="X44" s="101"/>
      <c r="Y44" s="101"/>
    </row>
    <row r="45" spans="2:41">
      <c r="B45" s="70" t="s">
        <v>84</v>
      </c>
      <c r="C45" s="119">
        <v>0.01</v>
      </c>
      <c r="D45" s="75" t="str">
        <f>IF(OR(C45="",),1,"")</f>
        <v/>
      </c>
      <c r="H45" s="118"/>
      <c r="S45" s="397"/>
      <c r="T45" s="403"/>
      <c r="U45" s="101"/>
      <c r="V45" s="101"/>
      <c r="W45" s="101"/>
      <c r="X45" s="101"/>
      <c r="Y45" s="101"/>
    </row>
    <row r="46" spans="2:41">
      <c r="B46" s="70" t="s">
        <v>85</v>
      </c>
      <c r="C46" s="120">
        <f>MIN(SUM(C36:C38,C42,C40),C45)</f>
        <v>0.01</v>
      </c>
      <c r="D46" s="121"/>
      <c r="H46" s="118"/>
      <c r="S46" s="397"/>
      <c r="T46" s="403"/>
      <c r="U46" s="101"/>
      <c r="V46" s="101"/>
      <c r="W46" s="101"/>
      <c r="X46" s="101"/>
      <c r="Y46" s="101"/>
    </row>
    <row r="47" spans="2:41">
      <c r="B47" s="70" t="s">
        <v>86</v>
      </c>
      <c r="C47" s="120">
        <f>MIN(SUM(C37,C39:C40,C44),C45)</f>
        <v>0.01</v>
      </c>
      <c r="D47" s="101"/>
      <c r="H47" s="118"/>
      <c r="S47" s="397"/>
      <c r="T47" s="403"/>
      <c r="U47" s="101"/>
      <c r="V47" s="101"/>
      <c r="W47" s="101"/>
      <c r="X47" s="101"/>
      <c r="Y47" s="101"/>
    </row>
    <row r="48" spans="2:41">
      <c r="B48" s="70" t="s">
        <v>87</v>
      </c>
      <c r="C48" s="100">
        <f ca="1">ROUND(_MGP1*(1-C46),0)</f>
        <v>5247</v>
      </c>
      <c r="D48" s="82"/>
      <c r="H48" s="118"/>
      <c r="S48" s="397"/>
      <c r="T48" s="403"/>
      <c r="U48" s="101"/>
      <c r="V48" s="101"/>
      <c r="W48" s="101"/>
      <c r="X48" s="101"/>
      <c r="Y48" s="101"/>
    </row>
    <row r="49" spans="2:25">
      <c r="B49" s="70" t="s">
        <v>88</v>
      </c>
      <c r="C49" s="100">
        <f ca="1">ROUND(_MGP1*(1-C47),0)</f>
        <v>5247</v>
      </c>
      <c r="D49" s="82" t="str">
        <f>IF($C$50=12,"-月繳首期須繳 2個月 "&amp;TEXT($C$48*2,"#,##0 元-"),"")</f>
        <v/>
      </c>
      <c r="S49" s="397"/>
      <c r="T49" s="403"/>
      <c r="U49" s="101"/>
      <c r="V49" s="101"/>
      <c r="W49" s="101"/>
      <c r="X49" s="101"/>
      <c r="Y49" s="101"/>
    </row>
    <row r="50" spans="2:25">
      <c r="B50" s="70" t="s">
        <v>89</v>
      </c>
      <c r="C50" s="70">
        <f>IF(D32=1,,VLOOKUP(C32,H2:K7,4,0))</f>
        <v>1</v>
      </c>
      <c r="D50" s="75"/>
      <c r="E50" s="71" t="s">
        <v>90</v>
      </c>
      <c r="H50" s="118" t="s">
        <v>54</v>
      </c>
      <c r="I50" s="118" t="s">
        <v>91</v>
      </c>
      <c r="J50" s="118" t="s">
        <v>92</v>
      </c>
      <c r="S50" s="397"/>
      <c r="T50" s="405"/>
      <c r="U50" s="101"/>
      <c r="V50" s="101"/>
      <c r="W50" s="101"/>
      <c r="X50" s="101"/>
      <c r="Y50" s="101"/>
    </row>
    <row r="51" spans="2:25">
      <c r="B51" s="70" t="s">
        <v>93</v>
      </c>
      <c r="C51" s="100">
        <f ca="1">IF(C50=12,C48*2+C49*10,C48*1+C49*(C50-1))</f>
        <v>5247</v>
      </c>
      <c r="D51" s="134">
        <f>OP!$D$51</f>
        <v>44681</v>
      </c>
      <c r="H51" s="62">
        <v>10</v>
      </c>
      <c r="I51" s="62">
        <v>15</v>
      </c>
      <c r="J51" s="62">
        <v>61</v>
      </c>
      <c r="S51" s="397"/>
      <c r="T51" s="405"/>
      <c r="U51" s="101"/>
      <c r="V51" s="101"/>
      <c r="W51" s="101"/>
      <c r="X51" s="101"/>
      <c r="Y51" s="101"/>
    </row>
    <row r="52" spans="2:25">
      <c r="B52" s="70" t="s">
        <v>94</v>
      </c>
      <c r="C52" s="100">
        <f ca="1">C49*C50</f>
        <v>5247</v>
      </c>
      <c r="D52" s="101"/>
      <c r="H52" s="62"/>
      <c r="I52" s="62"/>
      <c r="J52" s="62"/>
      <c r="S52" s="397"/>
      <c r="T52" s="405"/>
      <c r="U52" s="101"/>
      <c r="V52" s="101"/>
      <c r="W52" s="101"/>
      <c r="X52" s="101"/>
      <c r="Y52" s="101"/>
    </row>
    <row r="53" spans="2:25">
      <c r="B53" s="122" t="s">
        <v>244</v>
      </c>
      <c r="C53" s="88"/>
      <c r="D53" s="75" t="str">
        <f ca="1">IF(SUM(D15:D16,D28,D32:D33,D40:D41,D43,D45,D50)&gt;=1,1,"")</f>
        <v/>
      </c>
      <c r="H53" s="62"/>
      <c r="I53" s="62"/>
      <c r="J53" s="62"/>
      <c r="S53" s="397"/>
      <c r="T53" s="405"/>
      <c r="U53" s="101"/>
      <c r="V53" s="101"/>
      <c r="W53" s="101"/>
      <c r="X53" s="101"/>
      <c r="Y53" s="101"/>
    </row>
    <row r="54" spans="2:25">
      <c r="B54" s="70" t="s">
        <v>96</v>
      </c>
      <c r="C54" s="123" t="str">
        <f>OP!C54</f>
        <v>V3.0A-1111001</v>
      </c>
      <c r="S54" s="397"/>
      <c r="T54" s="405"/>
      <c r="U54" s="101"/>
      <c r="V54" s="101"/>
      <c r="W54" s="101"/>
      <c r="X54" s="101"/>
      <c r="Y54" s="101"/>
    </row>
    <row r="55" spans="2:25">
      <c r="B55" s="92" t="s">
        <v>32</v>
      </c>
      <c r="C55" s="70" t="str">
        <f ca="1">$C$22&amp;TEXT($C$24,"00")&amp;TEXT($C$18,"00")&amp;TEXT($D$5,"00")</f>
        <v>SWUC100132</v>
      </c>
      <c r="D55" s="124" t="s">
        <v>97</v>
      </c>
      <c r="H55" s="67">
        <f>IF(C22=I55,1,3)</f>
        <v>1</v>
      </c>
      <c r="I55" s="118" t="s">
        <v>1102</v>
      </c>
      <c r="J55" s="72"/>
      <c r="K55" s="118"/>
      <c r="L55" s="72"/>
      <c r="S55" s="397"/>
      <c r="T55" s="405"/>
      <c r="U55" s="101"/>
      <c r="V55" s="101"/>
      <c r="W55" s="101"/>
      <c r="X55" s="101"/>
      <c r="Y55" s="101"/>
    </row>
    <row r="56" spans="2:25">
      <c r="B56" s="92" t="s">
        <v>98</v>
      </c>
      <c r="C56" s="70" t="str">
        <f>C24&amp;C22</f>
        <v>10SWUC</v>
      </c>
      <c r="D56" s="125" t="s">
        <v>99</v>
      </c>
      <c r="H56" s="118" t="s">
        <v>12</v>
      </c>
      <c r="I56" s="118" t="s">
        <v>56</v>
      </c>
      <c r="J56" s="118" t="s">
        <v>57</v>
      </c>
      <c r="K56" s="118"/>
      <c r="L56" s="118"/>
      <c r="S56" s="397"/>
      <c r="T56" s="405"/>
      <c r="U56" s="101"/>
      <c r="V56" s="101"/>
      <c r="W56" s="101"/>
      <c r="X56" s="101"/>
      <c r="Y56" s="101"/>
    </row>
    <row r="57" spans="2:25">
      <c r="B57" s="92" t="s">
        <v>105</v>
      </c>
      <c r="C57" s="70">
        <f ca="1">MAX($Q$3:$Q$8)+10-1</f>
        <v>40</v>
      </c>
      <c r="D57" s="124"/>
      <c r="H57" s="62">
        <v>10</v>
      </c>
      <c r="I57" s="62">
        <v>50</v>
      </c>
      <c r="J57" s="62">
        <v>50</v>
      </c>
      <c r="K57" s="62" t="s">
        <v>1100</v>
      </c>
      <c r="L57" s="62"/>
      <c r="S57" s="397"/>
      <c r="T57" s="405"/>
      <c r="U57" s="101"/>
      <c r="V57" s="101"/>
      <c r="W57" s="101"/>
      <c r="X57" s="101"/>
      <c r="Y57" s="101"/>
    </row>
    <row r="58" spans="2:25">
      <c r="H58" s="62"/>
      <c r="I58" s="62"/>
      <c r="J58" s="62"/>
      <c r="K58" s="62"/>
      <c r="L58" s="62"/>
      <c r="S58" s="397"/>
      <c r="T58" s="405"/>
      <c r="U58" s="101"/>
      <c r="V58" s="101"/>
      <c r="W58" s="101"/>
      <c r="X58" s="101"/>
      <c r="Y58" s="101"/>
    </row>
    <row r="59" spans="2:25">
      <c r="H59" s="62"/>
      <c r="I59" s="62"/>
      <c r="J59" s="62"/>
      <c r="K59" s="62"/>
      <c r="L59" s="62"/>
      <c r="S59" s="397"/>
      <c r="T59" s="405"/>
      <c r="U59" s="101"/>
      <c r="V59" s="101"/>
      <c r="W59" s="101"/>
      <c r="X59" s="101"/>
      <c r="Y59" s="101"/>
    </row>
    <row r="60" spans="2:25">
      <c r="S60" s="397"/>
      <c r="T60" s="405"/>
      <c r="U60" s="101"/>
      <c r="V60" s="101"/>
      <c r="W60" s="101"/>
      <c r="X60" s="101"/>
      <c r="Y60" s="101"/>
    </row>
    <row r="61" spans="2:25">
      <c r="H61" s="165" t="s">
        <v>108</v>
      </c>
      <c r="I61" s="62">
        <f>HLOOKUP(H61,H62:K63,2,0)</f>
        <v>1</v>
      </c>
      <c r="S61" s="397"/>
      <c r="T61" s="405"/>
      <c r="U61" s="101"/>
      <c r="V61" s="101"/>
      <c r="W61" s="101"/>
      <c r="X61" s="101"/>
      <c r="Y61" s="101"/>
    </row>
    <row r="62" spans="2:25">
      <c r="H62" s="118" t="s">
        <v>109</v>
      </c>
      <c r="I62" s="118" t="s">
        <v>110</v>
      </c>
      <c r="J62" s="118" t="s">
        <v>111</v>
      </c>
      <c r="K62" s="118" t="s">
        <v>112</v>
      </c>
      <c r="S62" s="397"/>
      <c r="T62" s="405"/>
      <c r="U62" s="101"/>
      <c r="V62" s="101"/>
      <c r="W62" s="101"/>
      <c r="X62" s="101"/>
      <c r="Y62" s="101"/>
    </row>
    <row r="63" spans="2:25">
      <c r="H63" s="72">
        <v>1</v>
      </c>
      <c r="I63" s="72">
        <v>2</v>
      </c>
      <c r="J63" s="72">
        <v>3</v>
      </c>
      <c r="K63" s="72">
        <v>4</v>
      </c>
      <c r="S63" s="397"/>
      <c r="T63" s="405"/>
      <c r="U63" s="101"/>
      <c r="V63" s="101"/>
      <c r="W63" s="101"/>
      <c r="X63" s="101"/>
      <c r="Y63" s="101"/>
    </row>
    <row r="64" spans="2:25">
      <c r="B64" s="263" t="s">
        <v>250</v>
      </c>
      <c r="C64" s="264">
        <f>輸入頁!$J34</f>
        <v>50</v>
      </c>
      <c r="D64" s="265" t="str">
        <f>IF(ROUND($C$64,IF($C$21=2,1,0))&lt;&gt;$C$64,1,"")</f>
        <v/>
      </c>
      <c r="E64" s="265" t="str">
        <f>IF(D64=1,"保額輸入"&amp;C64&amp;"不符投保規則，請重新輸入","")</f>
        <v/>
      </c>
      <c r="I64" s="71" t="s">
        <v>113</v>
      </c>
      <c r="J64" s="71" t="s">
        <v>114</v>
      </c>
      <c r="K64" s="71" t="s">
        <v>115</v>
      </c>
      <c r="S64" s="397"/>
      <c r="T64" s="405"/>
      <c r="U64" s="101"/>
      <c r="V64" s="101"/>
      <c r="W64" s="101"/>
      <c r="X64" s="101"/>
      <c r="Y64" s="101"/>
    </row>
    <row r="65" spans="2:41">
      <c r="H65" s="118">
        <v>1</v>
      </c>
      <c r="I65" s="166">
        <v>15</v>
      </c>
      <c r="J65" s="166">
        <v>61</v>
      </c>
      <c r="K65" s="166">
        <f ca="1">IF($D$5&lt;=15,50,50)</f>
        <v>50</v>
      </c>
      <c r="L65" s="166"/>
      <c r="M65" s="72"/>
      <c r="N65" s="72"/>
      <c r="O65" s="72"/>
      <c r="P65" s="72"/>
      <c r="Q65" s="72"/>
      <c r="S65" s="397"/>
      <c r="T65" s="101"/>
      <c r="U65" s="101"/>
      <c r="V65" s="101"/>
      <c r="W65" s="101"/>
      <c r="X65" s="101"/>
      <c r="Y65" s="101"/>
    </row>
    <row r="66" spans="2:41">
      <c r="H66" s="118">
        <v>2</v>
      </c>
      <c r="I66" s="166"/>
      <c r="J66" s="166"/>
      <c r="K66" s="166">
        <f t="shared" ref="K66:K68" ca="1" si="7">IF($D$5&lt;=15,50,50)</f>
        <v>50</v>
      </c>
      <c r="L66" s="167"/>
      <c r="M66" s="118"/>
      <c r="N66" s="118"/>
      <c r="O66" s="118"/>
      <c r="P66" s="118"/>
      <c r="Q66" s="118"/>
      <c r="S66" s="397"/>
      <c r="T66" s="101"/>
      <c r="U66" s="101"/>
      <c r="V66" s="101"/>
      <c r="W66" s="101"/>
      <c r="X66" s="101"/>
      <c r="Y66" s="101"/>
    </row>
    <row r="67" spans="2:41">
      <c r="H67" s="72">
        <v>3</v>
      </c>
      <c r="I67" s="166"/>
      <c r="J67" s="166"/>
      <c r="K67" s="166">
        <f t="shared" ca="1" si="7"/>
        <v>50</v>
      </c>
      <c r="L67" s="72"/>
      <c r="M67" s="72"/>
      <c r="N67" s="72"/>
      <c r="O67" s="72"/>
      <c r="P67" s="72"/>
      <c r="Q67" s="72"/>
      <c r="S67" s="397"/>
      <c r="T67" s="101"/>
      <c r="U67" s="101"/>
      <c r="V67" s="101"/>
      <c r="W67" s="101"/>
      <c r="X67" s="101"/>
      <c r="Y67" s="101"/>
    </row>
    <row r="68" spans="2:41">
      <c r="H68" s="72">
        <v>4</v>
      </c>
      <c r="I68" s="118"/>
      <c r="J68" s="72"/>
      <c r="K68" s="166">
        <f t="shared" ca="1" si="7"/>
        <v>50</v>
      </c>
      <c r="L68" s="72"/>
      <c r="M68" s="72"/>
      <c r="N68" s="72"/>
      <c r="O68" s="72"/>
      <c r="P68" s="72"/>
      <c r="Q68" s="72"/>
      <c r="S68" s="397"/>
      <c r="T68" s="101"/>
      <c r="U68" s="101"/>
      <c r="V68" s="101"/>
      <c r="W68" s="101"/>
      <c r="X68" s="101"/>
      <c r="Y68" s="101"/>
    </row>
    <row r="69" spans="2:41">
      <c r="B69" s="76" t="s">
        <v>117</v>
      </c>
      <c r="C69" s="168" t="s">
        <v>1094</v>
      </c>
      <c r="E69" s="552" t="s">
        <v>1006</v>
      </c>
      <c r="F69" s="68" t="s">
        <v>1005</v>
      </c>
      <c r="S69" s="397"/>
      <c r="T69" s="101"/>
      <c r="U69" s="101"/>
      <c r="V69" s="101"/>
      <c r="W69" s="101"/>
      <c r="X69" s="101"/>
      <c r="Y69" s="101"/>
    </row>
    <row r="70" spans="2:41" s="175" customFormat="1">
      <c r="B70" s="95"/>
      <c r="C70" s="95"/>
      <c r="L70" s="176"/>
      <c r="S70" s="101"/>
      <c r="T70" s="101"/>
      <c r="U70" s="101"/>
      <c r="V70" s="101"/>
      <c r="W70" s="101"/>
      <c r="X70" s="101"/>
      <c r="Y70" s="101"/>
      <c r="AF70" s="101"/>
      <c r="AG70" s="101"/>
      <c r="AH70" s="101"/>
      <c r="AI70" s="101"/>
      <c r="AJ70" s="101"/>
      <c r="AK70" s="101"/>
      <c r="AL70" s="101"/>
      <c r="AM70" s="101"/>
      <c r="AN70" s="101"/>
      <c r="AO70" s="101"/>
    </row>
    <row r="71" spans="2:41">
      <c r="B71" s="141"/>
      <c r="C71" s="141"/>
      <c r="S71" s="101"/>
      <c r="T71" s="101"/>
      <c r="U71" s="101"/>
      <c r="V71" s="101"/>
      <c r="W71" s="101"/>
      <c r="X71" s="101"/>
      <c r="Y71" s="101"/>
    </row>
    <row r="72" spans="2:41">
      <c r="B72"/>
      <c r="C72" s="152"/>
      <c r="H72" s="72">
        <v>15</v>
      </c>
      <c r="I72" s="72">
        <v>50</v>
      </c>
      <c r="S72" s="101"/>
      <c r="T72" s="101"/>
      <c r="U72" s="101"/>
      <c r="V72" s="101"/>
      <c r="W72" s="101"/>
      <c r="X72" s="101"/>
      <c r="Y72" s="101"/>
    </row>
    <row r="73" spans="2:41">
      <c r="B73"/>
      <c r="C73" s="152"/>
      <c r="H73" s="72">
        <v>16</v>
      </c>
      <c r="I73" s="72">
        <v>50</v>
      </c>
      <c r="S73" s="101"/>
      <c r="T73" s="101"/>
      <c r="U73" s="101"/>
      <c r="V73" s="101"/>
      <c r="W73" s="101"/>
      <c r="X73" s="101"/>
      <c r="Y73" s="101"/>
    </row>
    <row r="74" spans="2:41">
      <c r="B74"/>
      <c r="C74" s="152"/>
      <c r="H74" s="72">
        <v>17</v>
      </c>
      <c r="I74" s="72">
        <v>50</v>
      </c>
      <c r="S74" s="101"/>
      <c r="T74" s="101"/>
      <c r="U74" s="101"/>
      <c r="V74" s="101"/>
      <c r="W74" s="101"/>
      <c r="X74" s="101"/>
      <c r="Y74" s="101"/>
    </row>
    <row r="75" spans="2:41">
      <c r="B75"/>
      <c r="C75" s="152"/>
      <c r="H75" s="72">
        <v>18</v>
      </c>
      <c r="I75" s="72">
        <v>50</v>
      </c>
      <c r="S75" s="101"/>
      <c r="T75" s="101"/>
      <c r="U75" s="101"/>
      <c r="V75" s="101"/>
      <c r="W75" s="101"/>
      <c r="X75" s="101"/>
      <c r="Y75" s="101"/>
    </row>
    <row r="76" spans="2:41">
      <c r="B76"/>
      <c r="C76" s="152"/>
      <c r="H76" s="72">
        <v>19</v>
      </c>
      <c r="I76" s="72">
        <v>50</v>
      </c>
      <c r="S76" s="101"/>
      <c r="T76" s="101"/>
      <c r="U76" s="101"/>
      <c r="V76" s="101"/>
      <c r="W76" s="101"/>
      <c r="X76" s="101"/>
      <c r="Y76" s="101"/>
    </row>
    <row r="77" spans="2:41">
      <c r="B77"/>
      <c r="C77" s="152"/>
      <c r="H77" s="72">
        <v>20</v>
      </c>
      <c r="I77" s="72">
        <v>50</v>
      </c>
      <c r="S77" s="101"/>
      <c r="T77" s="101"/>
      <c r="U77" s="101"/>
      <c r="V77" s="101"/>
      <c r="W77" s="101"/>
      <c r="X77" s="101"/>
      <c r="Y77" s="101"/>
    </row>
    <row r="78" spans="2:41">
      <c r="B78"/>
      <c r="C78" s="152"/>
      <c r="H78" s="72">
        <v>21</v>
      </c>
      <c r="I78" s="72">
        <v>50</v>
      </c>
      <c r="S78" s="101"/>
      <c r="T78" s="101"/>
      <c r="U78" s="101"/>
      <c r="V78" s="101"/>
      <c r="W78" s="101"/>
      <c r="X78" s="101"/>
      <c r="Y78" s="101"/>
    </row>
    <row r="79" spans="2:41">
      <c r="B79"/>
      <c r="C79" s="152"/>
      <c r="H79" s="72">
        <v>22</v>
      </c>
      <c r="I79" s="72">
        <v>50</v>
      </c>
      <c r="S79" s="101"/>
      <c r="T79" s="101"/>
      <c r="U79" s="101"/>
      <c r="V79" s="101"/>
      <c r="W79" s="101"/>
      <c r="X79" s="101"/>
      <c r="Y79" s="101"/>
    </row>
    <row r="80" spans="2:41">
      <c r="B80"/>
      <c r="C80" s="152"/>
      <c r="H80" s="72">
        <v>23</v>
      </c>
      <c r="I80" s="72">
        <v>50</v>
      </c>
      <c r="S80" s="101"/>
      <c r="T80" s="101"/>
      <c r="U80" s="101"/>
      <c r="V80" s="101"/>
      <c r="W80" s="101"/>
      <c r="X80" s="101"/>
      <c r="Y80" s="101"/>
    </row>
    <row r="81" spans="2:25">
      <c r="B81"/>
      <c r="C81" s="152"/>
      <c r="H81" s="72">
        <v>24</v>
      </c>
      <c r="I81" s="72">
        <v>50</v>
      </c>
      <c r="S81" s="101"/>
      <c r="T81" s="101"/>
      <c r="U81" s="101"/>
      <c r="V81" s="101"/>
      <c r="W81" s="101"/>
      <c r="X81" s="101"/>
      <c r="Y81" s="101"/>
    </row>
    <row r="82" spans="2:25">
      <c r="B82"/>
      <c r="C82" s="152"/>
      <c r="H82" s="72">
        <v>25</v>
      </c>
      <c r="I82" s="72">
        <v>50</v>
      </c>
      <c r="S82" s="101"/>
      <c r="T82" s="101"/>
      <c r="U82" s="101"/>
      <c r="V82" s="101"/>
      <c r="W82" s="101"/>
      <c r="X82" s="101"/>
      <c r="Y82" s="101"/>
    </row>
    <row r="83" spans="2:25">
      <c r="B83"/>
      <c r="C83" s="152"/>
      <c r="H83" s="72">
        <v>26</v>
      </c>
      <c r="I83" s="72">
        <v>50</v>
      </c>
      <c r="S83" s="101"/>
      <c r="T83" s="101"/>
      <c r="U83" s="101"/>
      <c r="V83" s="101"/>
      <c r="W83" s="101"/>
      <c r="X83" s="101"/>
      <c r="Y83" s="101"/>
    </row>
    <row r="84" spans="2:25">
      <c r="B84"/>
      <c r="C84" s="152"/>
      <c r="H84" s="72">
        <v>27</v>
      </c>
      <c r="I84" s="72">
        <v>50</v>
      </c>
      <c r="S84" s="101"/>
      <c r="T84" s="101"/>
      <c r="U84" s="101"/>
      <c r="V84" s="101"/>
      <c r="W84" s="101"/>
      <c r="X84" s="101"/>
      <c r="Y84" s="101"/>
    </row>
    <row r="85" spans="2:25">
      <c r="B85"/>
      <c r="C85" s="152"/>
      <c r="H85" s="72">
        <v>28</v>
      </c>
      <c r="I85" s="72">
        <v>50</v>
      </c>
      <c r="S85" s="101"/>
      <c r="T85" s="101"/>
      <c r="U85" s="101"/>
      <c r="V85" s="101"/>
      <c r="W85" s="101"/>
      <c r="X85" s="101"/>
      <c r="Y85" s="101"/>
    </row>
    <row r="86" spans="2:25">
      <c r="B86"/>
      <c r="C86" s="152"/>
      <c r="H86" s="72">
        <v>29</v>
      </c>
      <c r="I86" s="72">
        <v>50</v>
      </c>
      <c r="S86" s="101"/>
      <c r="T86" s="101"/>
      <c r="U86" s="101"/>
      <c r="V86" s="101"/>
      <c r="W86" s="101"/>
      <c r="X86" s="101"/>
      <c r="Y86" s="101"/>
    </row>
    <row r="87" spans="2:25">
      <c r="B87"/>
      <c r="C87" s="152"/>
      <c r="H87" s="72">
        <v>30</v>
      </c>
      <c r="I87" s="72">
        <v>50</v>
      </c>
      <c r="S87" s="101"/>
      <c r="T87" s="101"/>
      <c r="U87" s="101"/>
      <c r="V87" s="101"/>
      <c r="W87" s="101"/>
      <c r="X87" s="101"/>
      <c r="Y87" s="101"/>
    </row>
    <row r="88" spans="2:25">
      <c r="B88"/>
      <c r="C88" s="152"/>
      <c r="H88" s="72">
        <v>31</v>
      </c>
      <c r="I88" s="72">
        <v>50</v>
      </c>
      <c r="S88" s="101"/>
      <c r="T88" s="101"/>
      <c r="U88" s="101"/>
      <c r="V88" s="101"/>
      <c r="W88" s="101"/>
      <c r="X88" s="101"/>
      <c r="Y88" s="101"/>
    </row>
    <row r="89" spans="2:25">
      <c r="B89"/>
      <c r="C89" s="152"/>
      <c r="H89" s="72">
        <v>32</v>
      </c>
      <c r="I89" s="72">
        <v>50</v>
      </c>
      <c r="S89" s="101"/>
      <c r="T89" s="101"/>
      <c r="U89" s="101"/>
      <c r="V89" s="101"/>
      <c r="W89" s="101"/>
      <c r="X89" s="101"/>
      <c r="Y89" s="101"/>
    </row>
    <row r="90" spans="2:25">
      <c r="B90"/>
      <c r="C90" s="152"/>
      <c r="H90" s="72">
        <v>33</v>
      </c>
      <c r="I90" s="72">
        <v>50</v>
      </c>
      <c r="S90" s="101"/>
      <c r="T90" s="101"/>
      <c r="U90" s="101"/>
      <c r="V90" s="101"/>
      <c r="W90" s="101"/>
      <c r="X90" s="101"/>
      <c r="Y90" s="101"/>
    </row>
    <row r="91" spans="2:25">
      <c r="B91"/>
      <c r="C91" s="152"/>
      <c r="H91" s="72">
        <v>34</v>
      </c>
      <c r="I91" s="72">
        <v>50</v>
      </c>
      <c r="S91" s="101"/>
      <c r="T91" s="101"/>
      <c r="U91" s="101"/>
      <c r="V91" s="101"/>
      <c r="W91" s="101"/>
      <c r="X91" s="101"/>
      <c r="Y91" s="101"/>
    </row>
    <row r="92" spans="2:25">
      <c r="B92"/>
      <c r="C92" s="152"/>
      <c r="H92" s="72">
        <v>35</v>
      </c>
      <c r="I92" s="72">
        <v>50</v>
      </c>
      <c r="S92" s="101"/>
      <c r="T92" s="101"/>
      <c r="U92" s="101"/>
      <c r="V92" s="101"/>
      <c r="W92" s="101"/>
      <c r="X92" s="101"/>
      <c r="Y92" s="101"/>
    </row>
    <row r="93" spans="2:25">
      <c r="B93"/>
      <c r="C93" s="152"/>
      <c r="H93" s="72">
        <v>36</v>
      </c>
      <c r="I93" s="72">
        <v>50</v>
      </c>
      <c r="S93" s="101"/>
      <c r="T93" s="101"/>
      <c r="U93" s="101"/>
      <c r="V93" s="101"/>
      <c r="W93" s="101"/>
      <c r="X93" s="101"/>
      <c r="Y93" s="101"/>
    </row>
    <row r="94" spans="2:25">
      <c r="B94"/>
      <c r="C94" s="152"/>
      <c r="H94" s="72">
        <v>37</v>
      </c>
      <c r="I94" s="72">
        <v>50</v>
      </c>
      <c r="S94" s="101"/>
      <c r="T94" s="101"/>
      <c r="U94" s="101"/>
      <c r="V94" s="101"/>
      <c r="W94" s="101"/>
      <c r="X94" s="101"/>
      <c r="Y94" s="101"/>
    </row>
    <row r="95" spans="2:25">
      <c r="B95"/>
      <c r="C95" s="152"/>
      <c r="H95" s="72">
        <v>38</v>
      </c>
      <c r="I95" s="72">
        <v>50</v>
      </c>
      <c r="S95" s="101"/>
      <c r="T95" s="101"/>
      <c r="U95" s="101"/>
      <c r="V95" s="101"/>
      <c r="W95" s="101"/>
      <c r="X95" s="101"/>
      <c r="Y95" s="101"/>
    </row>
    <row r="96" spans="2:25">
      <c r="B96"/>
      <c r="C96" s="152"/>
      <c r="H96" s="72">
        <v>39</v>
      </c>
      <c r="I96" s="72">
        <v>50</v>
      </c>
      <c r="S96" s="101"/>
      <c r="T96" s="101"/>
      <c r="U96" s="101"/>
      <c r="V96" s="101"/>
      <c r="W96" s="101"/>
      <c r="X96" s="101"/>
      <c r="Y96" s="101"/>
    </row>
    <row r="97" spans="2:25">
      <c r="B97"/>
      <c r="C97" s="152"/>
      <c r="H97" s="72">
        <v>40</v>
      </c>
      <c r="I97" s="72">
        <v>50</v>
      </c>
      <c r="S97" s="101"/>
      <c r="T97" s="101"/>
      <c r="U97" s="101"/>
      <c r="V97" s="101"/>
      <c r="W97" s="101"/>
      <c r="X97" s="101"/>
      <c r="Y97" s="101"/>
    </row>
    <row r="98" spans="2:25">
      <c r="B98"/>
      <c r="C98" s="152"/>
      <c r="H98" s="72">
        <v>41</v>
      </c>
      <c r="I98" s="72">
        <v>50</v>
      </c>
      <c r="S98" s="101"/>
      <c r="T98" s="101"/>
      <c r="U98" s="101"/>
      <c r="V98" s="101"/>
      <c r="W98" s="101"/>
      <c r="X98" s="101"/>
      <c r="Y98" s="101"/>
    </row>
    <row r="99" spans="2:25">
      <c r="B99"/>
      <c r="C99" s="152"/>
      <c r="H99" s="72">
        <v>42</v>
      </c>
      <c r="I99" s="72">
        <v>50</v>
      </c>
      <c r="S99" s="101"/>
      <c r="T99" s="101"/>
      <c r="U99" s="101"/>
      <c r="V99" s="101"/>
      <c r="W99" s="101"/>
      <c r="X99" s="101"/>
      <c r="Y99" s="101"/>
    </row>
    <row r="100" spans="2:25">
      <c r="B100"/>
      <c r="C100" s="152"/>
      <c r="H100" s="72">
        <v>43</v>
      </c>
      <c r="I100" s="72">
        <v>50</v>
      </c>
      <c r="S100" s="101"/>
      <c r="T100" s="101"/>
      <c r="U100" s="101"/>
      <c r="V100" s="101"/>
      <c r="W100" s="101"/>
      <c r="X100" s="101"/>
      <c r="Y100" s="101"/>
    </row>
    <row r="101" spans="2:25">
      <c r="B101"/>
      <c r="C101" s="152"/>
      <c r="H101" s="72">
        <v>44</v>
      </c>
      <c r="I101" s="72">
        <v>50</v>
      </c>
      <c r="S101" s="101"/>
      <c r="T101" s="101"/>
      <c r="U101" s="101"/>
      <c r="V101" s="101"/>
      <c r="W101" s="101"/>
      <c r="X101" s="101"/>
      <c r="Y101" s="101"/>
    </row>
    <row r="102" spans="2:25">
      <c r="B102"/>
      <c r="C102" s="152"/>
      <c r="H102" s="72">
        <v>45</v>
      </c>
      <c r="I102" s="72">
        <v>50</v>
      </c>
      <c r="S102" s="101"/>
      <c r="T102" s="101"/>
      <c r="U102" s="101"/>
      <c r="V102" s="101"/>
      <c r="W102" s="101"/>
      <c r="X102" s="101"/>
      <c r="Y102" s="101"/>
    </row>
    <row r="103" spans="2:25">
      <c r="B103"/>
      <c r="C103" s="152"/>
      <c r="H103" s="72">
        <v>46</v>
      </c>
      <c r="I103" s="72">
        <v>50</v>
      </c>
      <c r="S103" s="101"/>
      <c r="T103" s="101"/>
      <c r="U103" s="101"/>
      <c r="V103" s="101"/>
      <c r="W103" s="101"/>
      <c r="X103" s="101"/>
      <c r="Y103" s="101"/>
    </row>
    <row r="104" spans="2:25">
      <c r="B104"/>
      <c r="C104" s="152"/>
      <c r="H104" s="72">
        <v>47</v>
      </c>
      <c r="I104" s="72">
        <v>50</v>
      </c>
      <c r="S104" s="101"/>
      <c r="T104" s="101"/>
      <c r="U104" s="101"/>
      <c r="V104" s="101"/>
      <c r="W104" s="101"/>
      <c r="X104" s="101"/>
      <c r="Y104" s="101"/>
    </row>
    <row r="105" spans="2:25">
      <c r="B105"/>
      <c r="C105" s="152"/>
      <c r="H105" s="72">
        <v>48</v>
      </c>
      <c r="I105" s="72">
        <v>50</v>
      </c>
      <c r="S105" s="101"/>
      <c r="T105" s="101"/>
      <c r="U105" s="101"/>
      <c r="V105" s="101"/>
      <c r="W105" s="101"/>
      <c r="X105" s="101"/>
      <c r="Y105" s="101"/>
    </row>
    <row r="106" spans="2:25">
      <c r="B106"/>
      <c r="C106" s="152"/>
      <c r="H106" s="72">
        <v>49</v>
      </c>
      <c r="I106" s="72">
        <v>50</v>
      </c>
      <c r="S106" s="101"/>
      <c r="T106" s="101"/>
      <c r="U106" s="101"/>
      <c r="V106" s="101"/>
      <c r="W106" s="101"/>
      <c r="X106" s="101"/>
      <c r="Y106" s="101"/>
    </row>
    <row r="107" spans="2:25">
      <c r="B107"/>
      <c r="C107" s="152"/>
      <c r="H107" s="72">
        <v>50</v>
      </c>
      <c r="I107" s="72">
        <v>50</v>
      </c>
      <c r="S107" s="101"/>
      <c r="T107" s="101"/>
      <c r="U107" s="101"/>
      <c r="V107" s="101"/>
      <c r="W107" s="101"/>
      <c r="X107" s="101"/>
      <c r="Y107" s="101"/>
    </row>
    <row r="108" spans="2:25">
      <c r="B108"/>
      <c r="C108" s="152"/>
      <c r="H108" s="72">
        <v>51</v>
      </c>
      <c r="I108" s="72">
        <v>50</v>
      </c>
      <c r="S108" s="101"/>
      <c r="T108" s="101"/>
      <c r="U108" s="101"/>
      <c r="V108" s="101"/>
      <c r="W108" s="101"/>
      <c r="X108" s="101"/>
      <c r="Y108" s="101"/>
    </row>
    <row r="109" spans="2:25">
      <c r="B109"/>
      <c r="C109" s="152"/>
      <c r="H109" s="72">
        <v>52</v>
      </c>
      <c r="I109" s="72">
        <v>50</v>
      </c>
      <c r="S109" s="101"/>
      <c r="T109" s="101"/>
      <c r="U109" s="101"/>
      <c r="V109" s="101"/>
      <c r="W109" s="101"/>
      <c r="X109" s="101"/>
      <c r="Y109" s="101"/>
    </row>
    <row r="110" spans="2:25">
      <c r="B110"/>
      <c r="C110" s="152"/>
      <c r="H110" s="72">
        <v>53</v>
      </c>
      <c r="I110" s="72">
        <v>50</v>
      </c>
      <c r="S110" s="101"/>
      <c r="T110" s="101"/>
      <c r="U110" s="101"/>
      <c r="V110" s="101"/>
      <c r="W110" s="101"/>
      <c r="X110" s="101"/>
      <c r="Y110" s="101"/>
    </row>
    <row r="111" spans="2:25">
      <c r="B111"/>
      <c r="C111" s="152"/>
      <c r="H111" s="72">
        <v>54</v>
      </c>
      <c r="I111" s="72">
        <v>50</v>
      </c>
      <c r="S111" s="101"/>
      <c r="T111" s="101"/>
      <c r="U111" s="101"/>
      <c r="V111" s="101"/>
      <c r="W111" s="101"/>
      <c r="X111" s="101"/>
      <c r="Y111" s="101"/>
    </row>
    <row r="112" spans="2:25">
      <c r="B112"/>
      <c r="C112" s="152"/>
      <c r="H112" s="72">
        <v>55</v>
      </c>
      <c r="I112" s="72">
        <v>50</v>
      </c>
      <c r="S112" s="101"/>
      <c r="T112" s="101"/>
      <c r="U112" s="101"/>
      <c r="V112" s="101"/>
      <c r="W112" s="101"/>
      <c r="X112" s="101"/>
      <c r="Y112" s="101"/>
    </row>
    <row r="113" spans="2:25">
      <c r="B113"/>
      <c r="C113" s="152"/>
      <c r="H113" s="72">
        <v>56</v>
      </c>
      <c r="I113" s="72">
        <v>50</v>
      </c>
      <c r="S113" s="101"/>
      <c r="T113" s="101"/>
      <c r="U113" s="101"/>
      <c r="V113" s="101"/>
      <c r="W113" s="101"/>
      <c r="X113" s="101"/>
      <c r="Y113" s="101"/>
    </row>
    <row r="114" spans="2:25">
      <c r="B114"/>
      <c r="C114" s="152"/>
      <c r="H114" s="72">
        <v>57</v>
      </c>
      <c r="I114" s="72">
        <v>50</v>
      </c>
      <c r="S114" s="101"/>
      <c r="T114" s="101"/>
      <c r="U114" s="101"/>
      <c r="V114" s="101"/>
      <c r="W114" s="101"/>
      <c r="X114" s="101"/>
      <c r="Y114" s="101"/>
    </row>
    <row r="115" spans="2:25">
      <c r="B115"/>
      <c r="C115" s="152"/>
      <c r="H115" s="72">
        <v>58</v>
      </c>
      <c r="I115" s="72">
        <v>50</v>
      </c>
      <c r="S115" s="101"/>
      <c r="T115" s="101"/>
      <c r="U115" s="101"/>
      <c r="V115" s="101"/>
      <c r="W115" s="101"/>
      <c r="X115" s="101"/>
      <c r="Y115" s="101"/>
    </row>
    <row r="116" spans="2:25">
      <c r="B116"/>
      <c r="C116" s="152"/>
      <c r="H116" s="72">
        <v>59</v>
      </c>
      <c r="I116" s="72">
        <v>50</v>
      </c>
      <c r="S116" s="101"/>
      <c r="T116" s="101"/>
      <c r="U116" s="101"/>
      <c r="V116" s="101"/>
      <c r="W116" s="101"/>
      <c r="X116" s="101"/>
      <c r="Y116" s="101"/>
    </row>
    <row r="117" spans="2:25">
      <c r="B117"/>
      <c r="C117" s="152"/>
      <c r="H117" s="72">
        <v>60</v>
      </c>
      <c r="I117" s="72">
        <v>50</v>
      </c>
      <c r="S117" s="101"/>
      <c r="T117" s="101"/>
      <c r="U117" s="101"/>
      <c r="V117" s="101"/>
      <c r="W117" s="101"/>
      <c r="X117" s="101"/>
      <c r="Y117" s="101"/>
    </row>
    <row r="118" spans="2:25">
      <c r="B118"/>
      <c r="C118" s="152"/>
      <c r="H118" s="72">
        <v>61</v>
      </c>
      <c r="I118" s="72">
        <v>50</v>
      </c>
      <c r="S118" s="101"/>
      <c r="T118" s="101"/>
      <c r="U118" s="101"/>
      <c r="V118" s="101"/>
      <c r="W118" s="101"/>
      <c r="X118" s="101"/>
      <c r="Y118" s="101"/>
    </row>
    <row r="119" spans="2:25">
      <c r="B119"/>
      <c r="C119" s="152"/>
      <c r="H119" s="72">
        <v>62</v>
      </c>
      <c r="I119" s="72">
        <v>50</v>
      </c>
      <c r="S119" s="101"/>
      <c r="T119" s="101"/>
      <c r="U119" s="101"/>
      <c r="V119" s="101"/>
      <c r="W119" s="101"/>
      <c r="X119" s="101"/>
      <c r="Y119" s="101"/>
    </row>
    <row r="120" spans="2:25">
      <c r="B120"/>
      <c r="C120" s="152"/>
      <c r="H120" s="72">
        <v>63</v>
      </c>
      <c r="I120" s="72">
        <v>50</v>
      </c>
      <c r="S120" s="101"/>
      <c r="T120" s="101"/>
      <c r="U120" s="101"/>
      <c r="V120" s="101"/>
      <c r="W120" s="101"/>
      <c r="X120" s="101"/>
      <c r="Y120" s="101"/>
    </row>
    <row r="121" spans="2:25">
      <c r="B121"/>
      <c r="C121" s="152"/>
      <c r="H121" s="72">
        <v>64</v>
      </c>
      <c r="I121" s="72">
        <v>50</v>
      </c>
      <c r="S121" s="101"/>
      <c r="T121" s="101"/>
      <c r="U121" s="101"/>
      <c r="V121" s="101"/>
      <c r="W121" s="101"/>
      <c r="X121" s="101"/>
      <c r="Y121" s="101"/>
    </row>
    <row r="122" spans="2:25">
      <c r="B122"/>
      <c r="C122" s="152"/>
      <c r="H122" s="72">
        <v>65</v>
      </c>
      <c r="I122" s="72">
        <v>50</v>
      </c>
      <c r="S122" s="101"/>
      <c r="T122" s="101"/>
      <c r="U122" s="101"/>
      <c r="V122" s="101"/>
      <c r="W122" s="101"/>
      <c r="X122" s="101"/>
      <c r="Y122" s="101"/>
    </row>
    <row r="123" spans="2:25">
      <c r="B123"/>
      <c r="C123" s="152"/>
      <c r="H123" s="72">
        <v>66</v>
      </c>
      <c r="I123" s="72">
        <v>50</v>
      </c>
      <c r="S123" s="101"/>
      <c r="T123" s="101"/>
      <c r="U123" s="101"/>
      <c r="V123" s="101"/>
      <c r="W123" s="101"/>
      <c r="X123" s="101"/>
      <c r="Y123" s="101"/>
    </row>
    <row r="124" spans="2:25">
      <c r="B124"/>
      <c r="C124" s="152"/>
      <c r="H124" s="72">
        <v>67</v>
      </c>
      <c r="I124" s="72">
        <v>50</v>
      </c>
      <c r="S124" s="101"/>
      <c r="T124" s="101"/>
      <c r="U124" s="101"/>
      <c r="V124" s="101"/>
      <c r="W124" s="101"/>
      <c r="X124" s="101"/>
      <c r="Y124" s="101"/>
    </row>
    <row r="125" spans="2:25">
      <c r="B125"/>
      <c r="C125" s="152"/>
      <c r="H125" s="72">
        <v>68</v>
      </c>
      <c r="I125" s="72">
        <v>50</v>
      </c>
      <c r="S125" s="101"/>
      <c r="T125" s="101"/>
      <c r="U125" s="101"/>
      <c r="V125" s="101"/>
      <c r="W125" s="101"/>
      <c r="X125" s="101"/>
      <c r="Y125" s="101"/>
    </row>
    <row r="126" spans="2:25">
      <c r="B126"/>
      <c r="C126" s="152"/>
      <c r="H126" s="72">
        <v>69</v>
      </c>
      <c r="I126" s="72">
        <v>50</v>
      </c>
      <c r="S126" s="101"/>
      <c r="T126" s="101"/>
      <c r="U126" s="101"/>
      <c r="V126" s="101"/>
      <c r="W126" s="101"/>
      <c r="X126" s="101"/>
      <c r="Y126" s="101"/>
    </row>
    <row r="127" spans="2:25">
      <c r="B127"/>
      <c r="C127" s="152"/>
      <c r="H127" s="72">
        <v>70</v>
      </c>
      <c r="I127" s="72">
        <v>50</v>
      </c>
      <c r="S127" s="101"/>
      <c r="T127" s="101"/>
      <c r="U127" s="101"/>
      <c r="V127" s="101"/>
      <c r="W127" s="101"/>
      <c r="X127" s="101"/>
      <c r="Y127" s="101"/>
    </row>
    <row r="128" spans="2:25">
      <c r="B128"/>
      <c r="C128" s="152"/>
      <c r="H128" s="72"/>
      <c r="I128" s="72"/>
      <c r="S128" s="101"/>
      <c r="T128" s="101"/>
      <c r="U128" s="101"/>
      <c r="V128" s="101"/>
      <c r="W128" s="101"/>
      <c r="X128" s="101"/>
      <c r="Y128" s="101"/>
    </row>
    <row r="129" spans="2:25">
      <c r="B129"/>
      <c r="C129" s="152"/>
      <c r="H129" s="72"/>
      <c r="I129" s="72"/>
      <c r="S129" s="101"/>
      <c r="T129" s="101"/>
      <c r="U129" s="101"/>
      <c r="V129" s="101"/>
      <c r="W129" s="101"/>
      <c r="X129" s="101"/>
      <c r="Y129" s="101"/>
    </row>
    <row r="130" spans="2:25">
      <c r="B130"/>
      <c r="C130" s="152"/>
      <c r="H130" s="72"/>
      <c r="I130" s="72"/>
      <c r="S130" s="101"/>
      <c r="T130" s="101"/>
      <c r="U130" s="101"/>
      <c r="V130" s="101"/>
      <c r="W130" s="101"/>
      <c r="X130" s="101"/>
      <c r="Y130" s="101"/>
    </row>
    <row r="131" spans="2:25">
      <c r="B131"/>
      <c r="C131" s="152"/>
      <c r="H131" s="72"/>
      <c r="I131" s="72"/>
      <c r="S131" s="101"/>
      <c r="T131" s="101"/>
      <c r="U131" s="101"/>
      <c r="V131" s="101"/>
      <c r="W131" s="101"/>
      <c r="X131" s="101"/>
      <c r="Y131" s="101"/>
    </row>
    <row r="132" spans="2:25">
      <c r="B132"/>
      <c r="C132" s="152"/>
      <c r="S132" s="101"/>
      <c r="T132" s="101"/>
      <c r="U132" s="101"/>
      <c r="V132" s="101"/>
      <c r="W132" s="101"/>
      <c r="X132" s="101"/>
      <c r="Y132" s="101"/>
    </row>
    <row r="133" spans="2:25">
      <c r="B133"/>
      <c r="C133" s="152"/>
      <c r="S133" s="101"/>
      <c r="T133" s="101"/>
      <c r="U133" s="101"/>
      <c r="V133" s="101"/>
      <c r="W133" s="101"/>
      <c r="X133" s="101"/>
      <c r="Y133" s="101"/>
    </row>
    <row r="134" spans="2:25">
      <c r="B134"/>
      <c r="C134" s="152"/>
      <c r="S134" s="101"/>
      <c r="T134" s="101"/>
      <c r="U134" s="101"/>
      <c r="V134" s="101"/>
      <c r="W134" s="101"/>
      <c r="X134" s="101"/>
      <c r="Y134" s="101"/>
    </row>
    <row r="135" spans="2:25">
      <c r="B135"/>
      <c r="C135" s="152"/>
      <c r="S135" s="101"/>
      <c r="T135" s="101"/>
      <c r="U135" s="101"/>
      <c r="V135" s="101"/>
      <c r="W135" s="101"/>
      <c r="X135" s="101"/>
      <c r="Y135" s="101"/>
    </row>
    <row r="136" spans="2:25">
      <c r="B136"/>
      <c r="C136" s="152"/>
      <c r="S136" s="101"/>
      <c r="T136" s="101"/>
      <c r="U136" s="101"/>
      <c r="V136" s="101"/>
      <c r="W136" s="101"/>
      <c r="X136" s="101"/>
      <c r="Y136" s="101"/>
    </row>
    <row r="137" spans="2:25">
      <c r="B137"/>
      <c r="C137" s="152"/>
      <c r="S137" s="101"/>
      <c r="T137" s="101"/>
      <c r="U137" s="101"/>
      <c r="V137" s="101"/>
      <c r="W137" s="101"/>
      <c r="X137" s="101"/>
      <c r="Y137" s="101"/>
    </row>
    <row r="138" spans="2:25">
      <c r="B138"/>
      <c r="C138" s="152"/>
      <c r="S138" s="101"/>
      <c r="T138" s="101"/>
      <c r="U138" s="101"/>
      <c r="V138" s="101"/>
      <c r="W138" s="101"/>
      <c r="X138" s="101"/>
      <c r="Y138" s="101"/>
    </row>
    <row r="139" spans="2:25">
      <c r="B139"/>
      <c r="C139" s="152"/>
      <c r="S139" s="101"/>
      <c r="T139" s="101"/>
      <c r="U139" s="101"/>
      <c r="V139" s="101"/>
      <c r="W139" s="101"/>
      <c r="X139" s="101"/>
      <c r="Y139" s="101"/>
    </row>
    <row r="140" spans="2:25">
      <c r="B140"/>
      <c r="C140" s="152"/>
      <c r="S140" s="101"/>
      <c r="T140" s="101"/>
      <c r="U140" s="101"/>
      <c r="V140" s="101"/>
      <c r="W140" s="101"/>
      <c r="X140" s="101"/>
      <c r="Y140" s="101"/>
    </row>
    <row r="141" spans="2:25">
      <c r="B141"/>
      <c r="C141" s="152"/>
      <c r="S141" s="101"/>
      <c r="T141" s="101"/>
      <c r="U141" s="101"/>
      <c r="V141" s="101"/>
      <c r="W141" s="101"/>
      <c r="X141" s="101"/>
      <c r="Y141" s="101"/>
    </row>
    <row r="142" spans="2:25">
      <c r="B142"/>
      <c r="C142" s="152"/>
      <c r="S142" s="101"/>
      <c r="T142" s="101"/>
      <c r="U142" s="101"/>
      <c r="V142" s="101"/>
      <c r="W142" s="101"/>
      <c r="X142" s="101"/>
      <c r="Y142" s="101"/>
    </row>
    <row r="143" spans="2:25">
      <c r="B143"/>
      <c r="C143" s="152"/>
      <c r="S143" s="101"/>
      <c r="T143" s="101"/>
      <c r="U143" s="101"/>
      <c r="V143" s="101"/>
      <c r="W143" s="101"/>
      <c r="X143" s="101"/>
      <c r="Y143" s="101"/>
    </row>
    <row r="144" spans="2:25">
      <c r="B144"/>
      <c r="C144" s="152"/>
      <c r="S144" s="101"/>
      <c r="T144" s="101"/>
      <c r="U144" s="101"/>
      <c r="V144" s="101"/>
      <c r="W144" s="101"/>
      <c r="X144" s="101"/>
      <c r="Y144" s="101"/>
    </row>
    <row r="145" spans="2:25">
      <c r="B145"/>
      <c r="C145" s="152"/>
      <c r="S145" s="101"/>
      <c r="T145" s="101"/>
      <c r="U145" s="101"/>
      <c r="V145" s="101"/>
      <c r="W145" s="101"/>
      <c r="X145" s="101"/>
      <c r="Y145" s="101"/>
    </row>
    <row r="146" spans="2:25">
      <c r="B146"/>
      <c r="C146" s="152"/>
      <c r="S146" s="101"/>
      <c r="T146" s="101"/>
      <c r="U146" s="101"/>
      <c r="V146" s="101"/>
      <c r="W146" s="101"/>
      <c r="X146" s="101"/>
      <c r="Y146" s="101"/>
    </row>
    <row r="147" spans="2:25">
      <c r="B147"/>
      <c r="C147" s="152"/>
      <c r="S147" s="101"/>
      <c r="T147" s="101"/>
      <c r="U147" s="101"/>
      <c r="V147" s="101"/>
      <c r="W147" s="101"/>
      <c r="X147" s="101"/>
      <c r="Y147" s="101"/>
    </row>
    <row r="148" spans="2:25">
      <c r="B148"/>
      <c r="C148" s="152"/>
      <c r="S148" s="101"/>
      <c r="T148" s="101"/>
      <c r="U148" s="101"/>
      <c r="V148" s="101"/>
      <c r="W148" s="101"/>
      <c r="X148" s="101"/>
      <c r="Y148" s="101"/>
    </row>
    <row r="149" spans="2:25">
      <c r="B149"/>
      <c r="C149" s="152"/>
      <c r="S149" s="101"/>
      <c r="T149" s="101"/>
      <c r="U149" s="101"/>
      <c r="V149" s="101"/>
      <c r="W149" s="101"/>
      <c r="X149" s="101"/>
      <c r="Y149" s="101"/>
    </row>
    <row r="150" spans="2:25">
      <c r="B150" s="535" t="s">
        <v>989</v>
      </c>
      <c r="C150" s="536">
        <f>IF($E$150="同被保險人",$C$73,輸入頁!$E$13)</f>
        <v>0</v>
      </c>
      <c r="E150" s="537" t="str">
        <f>輸入頁!$E$12</f>
        <v>與被保險人不同</v>
      </c>
      <c r="S150" s="101"/>
      <c r="T150" s="101"/>
      <c r="U150" s="101"/>
      <c r="V150" s="101"/>
      <c r="W150" s="101"/>
      <c r="X150" s="101"/>
      <c r="Y150" s="101"/>
    </row>
    <row r="151" spans="2:25">
      <c r="B151" s="76" t="s">
        <v>990</v>
      </c>
      <c r="C151" s="76" t="s">
        <v>991</v>
      </c>
      <c r="D151" s="76" t="s">
        <v>29</v>
      </c>
      <c r="E151" s="76" t="s">
        <v>992</v>
      </c>
      <c r="S151" s="101"/>
      <c r="T151" s="101"/>
      <c r="U151" s="101"/>
      <c r="V151" s="101"/>
      <c r="W151" s="101"/>
      <c r="X151" s="101"/>
      <c r="Y151" s="101"/>
    </row>
    <row r="152" spans="2:25">
      <c r="B152" s="76">
        <f>IF(C153=0,0,VALUE(MID(C153,IF(LEN(C153)=7,4,3),2)))</f>
        <v>0</v>
      </c>
      <c r="C152" s="538">
        <f ca="1">$C$3</f>
        <v>44835</v>
      </c>
      <c r="D152" s="538">
        <f>IF(C153=0,0,DATE(LEFT(C153,IF(LEN(C153)=7,3,2))+1911,MID(C153,IF(LEN(C153)=7,4,3),2),RIGHT(C153,2)))</f>
        <v>0</v>
      </c>
      <c r="E152" s="539">
        <f>IF(E153=1,0,IF(OR(B152=1,B152=3,B152=5,B152=7,B152=8,B152=10,B152=12),31,IF(OR(B152=4,B152=6,B152=9,B152=11),30,IF(AND(B152=2,YEAR(D152)/4=INT(YEAR(D152)/4),YEAR(D152)/400&lt;&gt;INT(YEAR(D152)/400)),29,28))))</f>
        <v>0</v>
      </c>
      <c r="S152" s="101"/>
      <c r="T152" s="101"/>
      <c r="U152" s="101"/>
      <c r="V152" s="101"/>
      <c r="W152" s="101"/>
      <c r="X152" s="101"/>
      <c r="Y152" s="101"/>
    </row>
    <row r="153" spans="2:25">
      <c r="B153" s="76" t="s">
        <v>993</v>
      </c>
      <c r="C153" s="540">
        <f>IF(輸入頁!$E$12="同被保險人",$C$10,輸入頁!$E$14)</f>
        <v>0</v>
      </c>
      <c r="D153" s="541"/>
      <c r="E153" s="76">
        <f>IF(OR(B152&lt;1,B152&gt;12),1,"")</f>
        <v>1</v>
      </c>
      <c r="S153" s="101"/>
      <c r="T153" s="101"/>
      <c r="U153" s="101"/>
      <c r="V153" s="101"/>
      <c r="W153" s="101"/>
      <c r="X153" s="101"/>
      <c r="Y153" s="101"/>
    </row>
    <row r="154" spans="2:25">
      <c r="B154" s="76" t="s">
        <v>994</v>
      </c>
      <c r="C154" s="165" t="s">
        <v>995</v>
      </c>
      <c r="D154" s="165">
        <f>IF(SUM(E155)&gt;=1,0,IF(D152&gt;C152,0,IF(MONTH(C152)&lt;B152,IF(OR(MONTH(C152)+12-B152&gt;6,AND(MONTH(C152)+12-B152=6,DAY(C152)&gt;DAY(D152))),YEAR(C152)-1-YEAR(D152)+1,IF(OR(MONTH(C152)+12-B152&lt;6,AND(MONTH(C152)+12-B152=6,DAY(C152)&lt;=DAY(D152))),YEAR(C152)-1-YEAR(D152))),IF(OR(MONTH(C152)-B152&gt;6,AND(MONTH(C152)-B152=6,DAY(C152)&gt;DAY(D152))),YEAR(C152)-YEAR(D152)+1,IF(OR(MONTH(C152)-B152&lt;=6,AND(MONTH(C152)-B152=6,DAY(C152)&lt;=DAY(D152))),YEAR(C152)-YEAR(D152),)))))</f>
        <v>0</v>
      </c>
      <c r="E154" s="76">
        <f>IF(OR(VALUE(RIGHT(C153,2))&lt;1,VALUE(RIGHT(C153,2))&gt;E152),1,"")</f>
        <v>1</v>
      </c>
      <c r="S154" s="101"/>
      <c r="T154" s="101"/>
      <c r="U154" s="101"/>
      <c r="V154" s="101"/>
      <c r="W154" s="101"/>
      <c r="X154" s="101"/>
      <c r="Y154" s="101"/>
    </row>
    <row r="155" spans="2:25">
      <c r="B155" s="542" t="str">
        <f ca="1">IF(OR(AND($E$155&lt;&gt;1,$D$154&gt;=$B$156+1),AND($E$6&lt;&gt;1,$D$5&gt;=$B$156+1),$D$159=1),"本件需請要保人進行錄音","")&amp;$B$157&amp;$B$158</f>
        <v/>
      </c>
      <c r="C155" s="165" t="s">
        <v>996</v>
      </c>
      <c r="D155" s="165" t="str">
        <f>IF(SUM(E155)&gt;=1,"生日格式錯誤",IF(D152&gt;C152,"被保險人未出生",DATEDIF(D152,C152,"y")))</f>
        <v>生日格式錯誤</v>
      </c>
      <c r="E155" s="543">
        <f>IF(OR(E153=1,E154=1),1,"")</f>
        <v>1</v>
      </c>
    </row>
    <row r="156" spans="2:25">
      <c r="B156" s="544">
        <f>IF(D158=0,100,69)</f>
        <v>69</v>
      </c>
      <c r="C156" s="545">
        <f ca="1">IF($D$158=0,0,((LEFT(TEXT(DATE(YEAR($C$3)-$B$156,MONTH($C$3)-6,DAY($C$3)-1),"yyyymmdd"),4)*1)-IF(LEN($C$10)=8,0,1911)&amp;TEXT(MID(TEXT(DATE(YEAR($C$3)-$B$156,MONTH($C$3)-6,DAY($C$3)-1),"yyyymmdd"),5,2),"00")&amp;TEXT(RIGHT(TEXT(DATE(YEAR($C$3)-$B$156,MONTH($C$3)-6,DAY($C$3)-1),"yyyymmdd"),2),"00"))*1)</f>
        <v>420331</v>
      </c>
      <c r="D156" s="546" t="str">
        <f ca="1">TEXT(DATE(YEAR($C$3)-$B$156,MONTH($C$3)-6,DAY($C$3)),"yyyy/m/d")</f>
        <v>1953/4/1</v>
      </c>
      <c r="E156" s="265" t="str">
        <f>IF($E$69="一銀",IF(OR(AND($E$155&lt;&gt;1,$D$154&gt;=$B$156+1),AND($E$6&lt;&gt;1,$D$5&gt;=$B$156+1),$D$159=1),1,""),"")</f>
        <v/>
      </c>
    </row>
    <row r="157" spans="2:25">
      <c r="B157" s="62" t="str">
        <f ca="1">IF(AND(C153&gt;$C$156,$C$153&lt;=$E$157),"*請注意要保人將於"&amp;D152-D156+1&amp;"天後達70歲*","")</f>
        <v/>
      </c>
      <c r="C157" s="74" t="s">
        <v>997</v>
      </c>
      <c r="D157" s="74">
        <v>7</v>
      </c>
      <c r="E157" s="547">
        <f ca="1">((LEFT(TEXT(DATE(YEAR($C$3)-$B$156,MONTH($C$3)-6,DAY($C$3)+$D$157),"yyyymmdd"),4)*1)-IF(LEN($C$10)=8,0,1911)&amp;TEXT(MID(TEXT(DATE(YEAR($C$3)-$B$156,MONTH($C$3)-6,DAY($C$3)+$D$157),"yyyymmdd"),5,2),"00")&amp;TEXT(RIGHT(TEXT(DATE(YEAR($C$3)-$B$156,MONTH($C$3)-6,DAY($C$3)+$D$157),"yyyymmdd"),2),"00"))*1</f>
        <v>420408</v>
      </c>
    </row>
    <row r="158" spans="2:25">
      <c r="B158" s="62" t="str">
        <f ca="1">IF(AND($C$4&gt;$C$156,$C$4&lt;=$E$157),"*請注意被保人將於"&amp;$D$3-$D$156+1&amp;"天後達70歲*","")</f>
        <v/>
      </c>
      <c r="C158" s="74" t="s">
        <v>998</v>
      </c>
      <c r="D158" s="548">
        <f>IF($E$69&lt;&gt;"",1,0)</f>
        <v>1</v>
      </c>
      <c r="E158" s="166" t="s">
        <v>999</v>
      </c>
    </row>
    <row r="159" spans="2:25">
      <c r="B159" s="554" t="s">
        <v>1004</v>
      </c>
      <c r="C159" s="554">
        <f>輸入頁!$O$14</f>
        <v>0</v>
      </c>
      <c r="D159" s="555" t="str">
        <f>IF(OR($D$158=0,$C$159=0,$C$159=""),"",IF($C$159*1&lt;=$C$156*1,1,""))</f>
        <v/>
      </c>
    </row>
    <row r="160" spans="2:25">
      <c r="B160" s="76" t="s">
        <v>1015</v>
      </c>
      <c r="C160" s="563" t="s">
        <v>108</v>
      </c>
    </row>
    <row r="161" spans="2:3">
      <c r="B161"/>
      <c r="C161" s="152"/>
    </row>
    <row r="162" spans="2:3">
      <c r="B162"/>
      <c r="C162" s="152"/>
    </row>
    <row r="163" spans="2:3">
      <c r="B163"/>
      <c r="C163" s="152"/>
    </row>
    <row r="164" spans="2:3">
      <c r="B164"/>
      <c r="C164" s="152"/>
    </row>
    <row r="165" spans="2:3">
      <c r="B165"/>
      <c r="C165" s="152"/>
    </row>
    <row r="166" spans="2:3">
      <c r="B166"/>
      <c r="C166" s="152"/>
    </row>
    <row r="167" spans="2:3">
      <c r="B167"/>
      <c r="C167" s="152"/>
    </row>
    <row r="168" spans="2:3">
      <c r="B168"/>
      <c r="C168" s="152"/>
    </row>
    <row r="169" spans="2:3">
      <c r="B169"/>
      <c r="C169" s="152"/>
    </row>
    <row r="170" spans="2:3">
      <c r="B170"/>
      <c r="C170" s="152"/>
    </row>
    <row r="171" spans="2:3">
      <c r="B171"/>
      <c r="C171" s="152"/>
    </row>
    <row r="172" spans="2:3">
      <c r="B172"/>
      <c r="C172" s="152"/>
    </row>
    <row r="173" spans="2:3">
      <c r="B173"/>
      <c r="C173" s="152"/>
    </row>
    <row r="174" spans="2:3">
      <c r="B174"/>
      <c r="C174" s="152"/>
    </row>
    <row r="175" spans="2:3">
      <c r="B175"/>
      <c r="C175" s="152"/>
    </row>
    <row r="176" spans="2:3">
      <c r="B176"/>
      <c r="C176" s="152"/>
    </row>
    <row r="177" spans="2:3">
      <c r="B177"/>
      <c r="C177" s="152"/>
    </row>
    <row r="178" spans="2:3">
      <c r="B178"/>
      <c r="C178" s="152"/>
    </row>
    <row r="179" spans="2:3">
      <c r="B179"/>
      <c r="C179" s="152"/>
    </row>
    <row r="180" spans="2:3">
      <c r="B180"/>
      <c r="C180" s="152"/>
    </row>
    <row r="181" spans="2:3">
      <c r="B181"/>
      <c r="C181" s="152"/>
    </row>
    <row r="182" spans="2:3">
      <c r="B182"/>
      <c r="C182" s="152"/>
    </row>
  </sheetData>
  <sheetProtection algorithmName="SHA-512" hashValue="jEdvH9Hn82BCJf643UiV6S2mHKTVHu7XBbqoSeu9GW3Ja6e6uXklaUBSvspM8iouANXDwi3FXsTbkU2Do2e0mw==" saltValue="WmHTqs26FiZFzrKbYziJhg==" spinCount="100000" sheet="1" objects="1" scenarios="1"/>
  <dataConsolidate/>
  <phoneticPr fontId="7" type="noConversion"/>
  <conditionalFormatting sqref="O2">
    <cfRule type="expression" dxfId="70" priority="3" stopIfTrue="1">
      <formula>$A$50=1</formula>
    </cfRule>
  </conditionalFormatting>
  <conditionalFormatting sqref="O3 O5">
    <cfRule type="expression" dxfId="69" priority="4" stopIfTrue="1">
      <formula>#REF!=1</formula>
    </cfRule>
  </conditionalFormatting>
  <conditionalFormatting sqref="B150 B155">
    <cfRule type="expression" dxfId="68" priority="1" stopIfTrue="1">
      <formula>$A$46=1</formula>
    </cfRule>
  </conditionalFormatting>
  <dataValidations count="9">
    <dataValidation type="list" allowBlank="1" showInputMessage="1" showErrorMessage="1" sqref="C69">
      <formula1>"業務、服展、北富銀,保經代"</formula1>
    </dataValidation>
    <dataValidation type="list" allowBlank="1" showInputMessage="1" showErrorMessage="1" sqref="E16">
      <formula1>"1,2"</formula1>
    </dataValidation>
    <dataValidation allowBlank="1" showInputMessage="1" showErrorMessage="1" prompt="日驗證" sqref="E154"/>
    <dataValidation allowBlank="1" showInputMessage="1" showErrorMessage="1" prompt="月驗證" sqref="E153"/>
    <dataValidation allowBlank="1" showInputMessage="1" showErrorMessage="1" prompt="生日月份最終日" sqref="E152"/>
    <dataValidation allowBlank="1" showInputMessage="1" showErrorMessage="1" prompt="生日-月" sqref="B152"/>
    <dataValidation type="list" allowBlank="1" showInputMessage="1" showErrorMessage="1" sqref="E21">
      <formula1>"新臺幣,美元,澳幣,人民幣"</formula1>
    </dataValidation>
    <dataValidation type="list" allowBlank="1" showInputMessage="1" showErrorMessage="1" sqref="E69">
      <formula1>"銀保通路,一銀,花旗"</formula1>
    </dataValidation>
    <dataValidation type="list" allowBlank="1" showInputMessage="1" showErrorMessage="1" sqref="C160">
      <formula1>"公版,兆豐,台新"</formula1>
    </dataValidation>
  </dataValidations>
  <pageMargins left="0.75" right="0.75" top="1" bottom="1" header="0.5" footer="0.5"/>
  <pageSetup paperSize="9"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B1:AW182"/>
  <sheetViews>
    <sheetView workbookViewId="0"/>
  </sheetViews>
  <sheetFormatPr defaultColWidth="12" defaultRowHeight="16.5"/>
  <cols>
    <col min="1" max="1" width="2.33203125" style="68" customWidth="1"/>
    <col min="2" max="2" width="35.6640625" style="70" bestFit="1" customWidth="1"/>
    <col min="3" max="3" width="23.83203125" style="70" customWidth="1"/>
    <col min="4" max="4" width="18.5" style="68" bestFit="1" customWidth="1"/>
    <col min="5" max="5" width="12.6640625" style="68" customWidth="1"/>
    <col min="6" max="6" width="13.6640625" style="68" bestFit="1" customWidth="1"/>
    <col min="7" max="7" width="14" style="68" bestFit="1" customWidth="1"/>
    <col min="8" max="8" width="20.83203125" style="68" bestFit="1" customWidth="1"/>
    <col min="9" max="9" width="14.1640625" style="68" customWidth="1"/>
    <col min="10" max="10" width="21.6640625" style="68" customWidth="1"/>
    <col min="11" max="11" width="19.6640625" style="68" customWidth="1"/>
    <col min="12" max="12" width="16.5" style="68" customWidth="1"/>
    <col min="13" max="13" width="17.5" style="68" customWidth="1"/>
    <col min="14" max="15" width="19" style="68" customWidth="1"/>
    <col min="16" max="16" width="12" style="68" customWidth="1"/>
    <col min="17" max="17" width="13.5" style="68" customWidth="1"/>
    <col min="18" max="18" width="12" style="68" customWidth="1"/>
    <col min="19" max="19" width="12.5" style="68" customWidth="1"/>
    <col min="20" max="29" width="12" style="68" customWidth="1"/>
    <col min="30" max="30" width="18.6640625" style="68" customWidth="1"/>
    <col min="31" max="31" width="12" style="68" customWidth="1"/>
    <col min="32" max="49" width="12" style="101" customWidth="1"/>
    <col min="50" max="16384" width="12" style="68"/>
  </cols>
  <sheetData>
    <row r="1" spans="2:47">
      <c r="N1" s="178"/>
      <c r="O1" s="91"/>
      <c r="AF1" s="135"/>
      <c r="AG1" s="136"/>
      <c r="AH1" s="136"/>
      <c r="AI1" s="136"/>
      <c r="AJ1" s="136"/>
      <c r="AK1" s="136"/>
      <c r="AL1" s="136"/>
      <c r="AM1" s="136"/>
      <c r="AN1" s="136"/>
      <c r="AO1" s="136"/>
      <c r="AP1" s="136"/>
      <c r="AQ1" s="136"/>
      <c r="AR1" s="136"/>
      <c r="AS1" s="136"/>
      <c r="AT1" s="136"/>
      <c r="AU1" s="136"/>
    </row>
    <row r="2" spans="2:47">
      <c r="B2" s="62" t="s">
        <v>27</v>
      </c>
      <c r="C2" s="62" t="s">
        <v>28</v>
      </c>
      <c r="D2" s="62" t="s">
        <v>29</v>
      </c>
      <c r="E2" s="62" t="s">
        <v>30</v>
      </c>
      <c r="H2" s="62" t="s">
        <v>31</v>
      </c>
      <c r="I2" s="62">
        <v>1</v>
      </c>
      <c r="J2" s="72">
        <v>1</v>
      </c>
      <c r="K2" s="72">
        <v>1</v>
      </c>
      <c r="N2" s="179"/>
      <c r="O2" s="180"/>
      <c r="P2" s="91"/>
      <c r="Q2" s="68" t="s">
        <v>811</v>
      </c>
      <c r="R2" s="68" t="s">
        <v>812</v>
      </c>
      <c r="T2" s="70" t="s">
        <v>60</v>
      </c>
      <c r="U2" s="70" t="s">
        <v>63</v>
      </c>
      <c r="V2" s="70" t="s">
        <v>71</v>
      </c>
      <c r="W2" s="70" t="s">
        <v>88</v>
      </c>
      <c r="X2" s="70" t="s">
        <v>94</v>
      </c>
      <c r="Y2" s="70"/>
      <c r="AA2" s="91"/>
      <c r="AB2" s="91"/>
      <c r="AF2" s="137"/>
      <c r="AG2" s="137"/>
      <c r="AH2" s="137"/>
      <c r="AI2" s="137"/>
      <c r="AJ2" s="137"/>
      <c r="AK2" s="68"/>
      <c r="AL2" s="251" t="str">
        <f>$C$69</f>
        <v>業務、服展、北富銀</v>
      </c>
      <c r="AM2" s="68"/>
      <c r="AN2" s="68"/>
      <c r="AO2" s="68"/>
      <c r="AP2" s="68"/>
      <c r="AQ2" s="68"/>
      <c r="AR2" s="68"/>
      <c r="AS2" s="137"/>
      <c r="AT2" s="137"/>
      <c r="AU2" s="137"/>
    </row>
    <row r="3" spans="2:47">
      <c r="B3" s="62">
        <f>IF(C4=0,0,VALUE(MID(C4,IF(LEN(C4)=7,4,3),2)))</f>
        <v>1</v>
      </c>
      <c r="C3" s="63">
        <f ca="1">IF(TODAY()&lt;DATE(2022,10,1),DATE(2022,10,1),TODAY())</f>
        <v>44835</v>
      </c>
      <c r="D3" s="63">
        <f>IF(C4=0,0,DATE(LEFT(C4,IF(LEN(C4)=7,3,2))+1911,MID(C4,IF(LEN(C4)=7,4,3),2),RIGHT(C4,2)))</f>
        <v>33239</v>
      </c>
      <c r="E3" s="64">
        <f>N(DAY(DATE(LEFT(C4,IF(LEN(C4)=7,3,2))+1911,MID(C4,IF(LEN(C4)=7,4,3),2)+1,0)))</f>
        <v>31</v>
      </c>
      <c r="H3" s="62" t="s">
        <v>33</v>
      </c>
      <c r="I3" s="62">
        <v>1</v>
      </c>
      <c r="J3" s="72">
        <v>1</v>
      </c>
      <c r="K3" s="72">
        <v>1</v>
      </c>
      <c r="N3" s="179"/>
      <c r="O3" s="181"/>
      <c r="Q3" s="68">
        <f ca="1">IF($R3&lt;=71,11,"")</f>
        <v>11</v>
      </c>
      <c r="R3" s="68">
        <f ca="1">$D$5+10</f>
        <v>42</v>
      </c>
      <c r="S3" s="68" t="str">
        <f t="shared" ref="S3:S8" ca="1" si="0">$C$22&amp;TEXT($C$24,"00")&amp;TEXT($C$18,"00")&amp;TEXT($R3,"00")</f>
        <v>AIJ100142</v>
      </c>
      <c r="T3" s="100">
        <f t="shared" ref="T3:T8" ca="1" si="1">IF(OR($C$18=0,$C$22=0,$D$28=1),0,IF(ISNA(VLOOKUP($S3,GP,2,0)),0,VLOOKUP($S3,GP,2,0)))</f>
        <v>105</v>
      </c>
      <c r="U3" s="100">
        <f t="shared" ref="U3:U8" ca="1" si="2">IF($C$21=1,ROUND($C$28*$T3,1),IF($C$21=2,ROUND($C$28*$T3,1),""))</f>
        <v>5250</v>
      </c>
      <c r="V3" s="100">
        <f t="shared" ref="V3:V8" ca="1" si="3">IF($C$21=1,ROUND($U3*$C$34,0),IF($C$21=2,ROUNDDOWN($U3*$C$34,0),""))</f>
        <v>5250</v>
      </c>
      <c r="W3" s="100">
        <f t="shared" ref="W3:W8" ca="1" si="4">ROUND($V3*(1-$C$47),0)</f>
        <v>5198</v>
      </c>
      <c r="X3" s="100">
        <f t="shared" ref="X3:X8" ca="1" si="5">$W3*$C$50</f>
        <v>5198</v>
      </c>
      <c r="Y3" s="100"/>
      <c r="AA3" s="91"/>
      <c r="AB3" s="91"/>
      <c r="AC3" s="177"/>
      <c r="AF3" s="138"/>
      <c r="AG3" s="138"/>
      <c r="AH3" s="138"/>
      <c r="AI3" s="138"/>
      <c r="AJ3" s="138"/>
      <c r="AK3" s="68"/>
      <c r="AL3" s="252" t="s">
        <v>208</v>
      </c>
      <c r="AM3" s="252" t="s">
        <v>209</v>
      </c>
      <c r="AN3" s="252" t="s">
        <v>210</v>
      </c>
      <c r="AO3" s="252" t="s">
        <v>211</v>
      </c>
      <c r="AP3" s="252" t="s">
        <v>212</v>
      </c>
      <c r="AQ3" s="252"/>
      <c r="AR3" s="252"/>
      <c r="AS3" s="138"/>
      <c r="AT3" s="138"/>
      <c r="AU3" s="138"/>
    </row>
    <row r="4" spans="2:47">
      <c r="B4" s="62" t="s">
        <v>29</v>
      </c>
      <c r="C4" s="65">
        <f>IF(C9=1,C10,IF(C9=2,VALUE(C11&amp;TEXT(C12,"00")&amp;TEXT(C13,"00")),""))</f>
        <v>800101</v>
      </c>
      <c r="D4" s="66">
        <f ca="1">DATE(YEAR(C3)-$C$15,MONTH(C3)-6,DAY(C3))</f>
        <v>22372</v>
      </c>
      <c r="E4" s="114" t="str">
        <f>IF(OR(B3&lt;1,B3&gt;12),1,"")</f>
        <v/>
      </c>
      <c r="F4" s="151">
        <f ca="1">YEAR($D$4)-1911</f>
        <v>50</v>
      </c>
      <c r="H4" s="62" t="s">
        <v>34</v>
      </c>
      <c r="I4" s="62">
        <v>1</v>
      </c>
      <c r="J4" s="72">
        <v>1</v>
      </c>
      <c r="K4" s="72">
        <v>1</v>
      </c>
      <c r="N4" s="179"/>
      <c r="O4" s="182"/>
      <c r="Q4" s="68">
        <f ca="1">IF($R4&lt;=71,21,"")</f>
        <v>21</v>
      </c>
      <c r="R4" s="68">
        <f ca="1">$D$5+20</f>
        <v>52</v>
      </c>
      <c r="S4" s="68" t="str">
        <f t="shared" ca="1" si="0"/>
        <v>AIJ100152</v>
      </c>
      <c r="T4" s="100">
        <f t="shared" ca="1" si="1"/>
        <v>184</v>
      </c>
      <c r="U4" s="100">
        <f t="shared" ca="1" si="2"/>
        <v>9200</v>
      </c>
      <c r="V4" s="100">
        <f t="shared" ca="1" si="3"/>
        <v>9200</v>
      </c>
      <c r="W4" s="100">
        <f t="shared" ca="1" si="4"/>
        <v>9108</v>
      </c>
      <c r="X4" s="100">
        <f t="shared" ca="1" si="5"/>
        <v>9108</v>
      </c>
      <c r="Y4" s="100"/>
      <c r="AA4" s="91"/>
      <c r="AB4" s="91"/>
      <c r="AC4" s="177"/>
      <c r="AF4" s="138"/>
      <c r="AG4" s="138"/>
      <c r="AH4" s="138"/>
      <c r="AI4" s="138"/>
      <c r="AJ4" s="138"/>
      <c r="AK4" s="253">
        <f>IF(OR($AL4="",COUNTIF($AL$3:$AR$3,$AL$2)=0),"",MAX($AK$3:AK3)+1)</f>
        <v>1</v>
      </c>
      <c r="AL4" s="253" t="s">
        <v>213</v>
      </c>
      <c r="AM4" s="68"/>
      <c r="AN4" s="68"/>
      <c r="AO4" s="68"/>
      <c r="AP4" s="68"/>
      <c r="AQ4" s="68"/>
      <c r="AR4" s="68"/>
      <c r="AS4" s="138"/>
      <c r="AT4" s="138"/>
      <c r="AU4" s="138"/>
    </row>
    <row r="5" spans="2:47">
      <c r="B5" s="62" t="s">
        <v>35</v>
      </c>
      <c r="C5" s="67" t="s">
        <v>36</v>
      </c>
      <c r="D5" s="67">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32</v>
      </c>
      <c r="E5" s="114" t="str">
        <f>IF(OR(VALUE(RIGHT(C4,2))&lt;1,VALUE(RIGHT(C4,2))&gt;E3),1,"")</f>
        <v/>
      </c>
      <c r="F5" s="151">
        <f ca="1">MONTH($D$4)</f>
        <v>4</v>
      </c>
      <c r="H5" s="62" t="s">
        <v>37</v>
      </c>
      <c r="I5" s="62">
        <v>0.52</v>
      </c>
      <c r="J5" s="72">
        <v>0.5</v>
      </c>
      <c r="K5" s="72">
        <v>2</v>
      </c>
      <c r="N5" s="179"/>
      <c r="O5" s="181"/>
      <c r="Q5" s="68">
        <f ca="1">IF($R5&lt;=71,31,"")</f>
        <v>31</v>
      </c>
      <c r="R5" s="68">
        <f ca="1">$D$5+30</f>
        <v>62</v>
      </c>
      <c r="S5" s="68" t="str">
        <f t="shared" ca="1" si="0"/>
        <v>AIJ100162</v>
      </c>
      <c r="T5" s="100">
        <f t="shared" ca="1" si="1"/>
        <v>376</v>
      </c>
      <c r="U5" s="100">
        <f t="shared" ca="1" si="2"/>
        <v>18800</v>
      </c>
      <c r="V5" s="100">
        <f t="shared" ca="1" si="3"/>
        <v>18800</v>
      </c>
      <c r="W5" s="100">
        <f t="shared" ca="1" si="4"/>
        <v>18612</v>
      </c>
      <c r="X5" s="100">
        <f t="shared" ca="1" si="5"/>
        <v>18612</v>
      </c>
      <c r="Y5" s="100"/>
      <c r="AA5" s="91"/>
      <c r="AB5" s="91"/>
      <c r="AC5" s="177"/>
      <c r="AF5" s="138"/>
      <c r="AG5" s="138"/>
      <c r="AH5" s="138"/>
      <c r="AI5" s="138"/>
      <c r="AJ5" s="138"/>
      <c r="AK5" s="253">
        <f>IF(OR($AL5="",COUNTIF($AL$3:$AR$3,$AL$2)=0),"",MAX($AK$3:AK4)+1)</f>
        <v>2</v>
      </c>
      <c r="AL5" s="253" t="s">
        <v>205</v>
      </c>
      <c r="AM5" s="68"/>
      <c r="AN5" s="68"/>
      <c r="AO5" s="68"/>
      <c r="AP5" s="68"/>
      <c r="AQ5" s="68"/>
      <c r="AR5" s="68"/>
      <c r="AS5" s="138"/>
      <c r="AT5" s="138"/>
      <c r="AU5" s="138"/>
    </row>
    <row r="6" spans="2:47">
      <c r="B6" s="62"/>
      <c r="C6" s="67" t="s">
        <v>38</v>
      </c>
      <c r="D6" s="67">
        <f ca="1">IF(SUM(E6,D10:D13)&gt;=1,"生日格式錯誤",IF(D3&gt;C3,"被保險人未出生",DATEDIF(D3,C3,"y")))</f>
        <v>31</v>
      </c>
      <c r="E6" s="150" t="str">
        <f>IF(OR(E4=1,E5=1),1,"")</f>
        <v/>
      </c>
      <c r="F6" s="151">
        <f ca="1">DAY($D$4)</f>
        <v>1</v>
      </c>
      <c r="H6" s="62" t="s">
        <v>39</v>
      </c>
      <c r="I6" s="62">
        <v>0.26200000000000001</v>
      </c>
      <c r="J6" s="72">
        <v>0.25</v>
      </c>
      <c r="K6" s="72">
        <v>4</v>
      </c>
      <c r="N6" s="179"/>
      <c r="O6" s="181"/>
      <c r="Q6" s="68" t="str">
        <f ca="1">IF($R6&lt;=71,41,"")</f>
        <v/>
      </c>
      <c r="R6" s="68">
        <f ca="1">$D$5+40</f>
        <v>72</v>
      </c>
      <c r="S6" s="68" t="str">
        <f t="shared" ca="1" si="0"/>
        <v>AIJ100172</v>
      </c>
      <c r="T6" s="100">
        <f t="shared" ca="1" si="1"/>
        <v>0</v>
      </c>
      <c r="U6" s="100">
        <f t="shared" ca="1" si="2"/>
        <v>0</v>
      </c>
      <c r="V6" s="100">
        <f t="shared" ca="1" si="3"/>
        <v>0</v>
      </c>
      <c r="W6" s="100">
        <f t="shared" ca="1" si="4"/>
        <v>0</v>
      </c>
      <c r="X6" s="100">
        <f t="shared" ca="1" si="5"/>
        <v>0</v>
      </c>
      <c r="Y6" s="100"/>
      <c r="AA6" s="91"/>
      <c r="AB6" s="91"/>
      <c r="AF6" s="138"/>
      <c r="AG6" s="138"/>
      <c r="AH6" s="138"/>
      <c r="AI6" s="138"/>
      <c r="AJ6" s="138"/>
      <c r="AK6" s="253">
        <f>IF(OR($AL6="",COUNTIF($AL$3:$AR$3,$AL$2)=0),"",MAX($AK$3:AK5)+1)</f>
        <v>3</v>
      </c>
      <c r="AL6" s="253" t="s">
        <v>214</v>
      </c>
      <c r="AM6" s="68"/>
      <c r="AN6" s="68"/>
      <c r="AO6" s="68"/>
      <c r="AP6" s="68"/>
      <c r="AQ6" s="68"/>
      <c r="AR6" s="68"/>
      <c r="AS6" s="138"/>
      <c r="AT6" s="138"/>
      <c r="AU6" s="138"/>
    </row>
    <row r="7" spans="2:47">
      <c r="F7" s="151" t="str">
        <f ca="1">F4&amp;TEXT(F5,"00")&amp;TEXT(F6,"00")</f>
        <v>500401</v>
      </c>
      <c r="H7" s="62" t="s">
        <v>40</v>
      </c>
      <c r="I7" s="62">
        <v>8.7999999999999995E-2</v>
      </c>
      <c r="J7" s="72">
        <v>8.3333329999999997E-2</v>
      </c>
      <c r="K7" s="72">
        <v>12</v>
      </c>
      <c r="N7" s="179"/>
      <c r="O7" s="183"/>
      <c r="Q7" s="68" t="str">
        <f ca="1">IF($R7&lt;=71,51,"")</f>
        <v/>
      </c>
      <c r="R7" s="68">
        <f ca="1">$D$5+50</f>
        <v>82</v>
      </c>
      <c r="S7" s="68" t="str">
        <f t="shared" ca="1" si="0"/>
        <v>AIJ100182</v>
      </c>
      <c r="T7" s="100">
        <f t="shared" ca="1" si="1"/>
        <v>0</v>
      </c>
      <c r="U7" s="100">
        <f t="shared" ca="1" si="2"/>
        <v>0</v>
      </c>
      <c r="V7" s="100">
        <f t="shared" ca="1" si="3"/>
        <v>0</v>
      </c>
      <c r="W7" s="100">
        <f t="shared" ca="1" si="4"/>
        <v>0</v>
      </c>
      <c r="X7" s="100">
        <f t="shared" ca="1" si="5"/>
        <v>0</v>
      </c>
      <c r="Y7" s="100"/>
      <c r="AA7" s="91"/>
      <c r="AB7" s="91"/>
      <c r="AF7" s="138"/>
      <c r="AG7" s="138"/>
      <c r="AH7" s="138"/>
      <c r="AI7" s="138"/>
      <c r="AJ7" s="138"/>
      <c r="AK7" s="253">
        <f>IF(OR($AL7="",COUNTIF($AL$3:$AR$3,$AL$2)=0),"",MAX($AK$3:AK6)+1)</f>
        <v>4</v>
      </c>
      <c r="AL7" s="253" t="s">
        <v>215</v>
      </c>
      <c r="AM7" s="68"/>
      <c r="AN7" s="68"/>
      <c r="AO7" s="68"/>
      <c r="AP7" s="68"/>
      <c r="AQ7" s="68"/>
      <c r="AR7" s="68"/>
      <c r="AS7" s="138"/>
      <c r="AT7" s="138"/>
      <c r="AU7" s="138"/>
    </row>
    <row r="8" spans="2:47">
      <c r="K8" s="71" t="s">
        <v>123</v>
      </c>
      <c r="L8" s="71" t="s">
        <v>124</v>
      </c>
      <c r="M8" s="68">
        <f>COUNTA(L11:L12)</f>
        <v>2</v>
      </c>
      <c r="N8" s="1"/>
      <c r="Q8" s="68" t="str">
        <f ca="1">IF($R8&lt;=71,61,"")</f>
        <v/>
      </c>
      <c r="R8" s="68">
        <f ca="1">$D$5+60</f>
        <v>92</v>
      </c>
      <c r="S8" s="68" t="str">
        <f t="shared" ca="1" si="0"/>
        <v>AIJ100192</v>
      </c>
      <c r="T8" s="100">
        <f t="shared" ca="1" si="1"/>
        <v>0</v>
      </c>
      <c r="U8" s="100">
        <f t="shared" ca="1" si="2"/>
        <v>0</v>
      </c>
      <c r="V8" s="100">
        <f t="shared" ca="1" si="3"/>
        <v>0</v>
      </c>
      <c r="W8" s="100">
        <f t="shared" ca="1" si="4"/>
        <v>0</v>
      </c>
      <c r="X8" s="100">
        <f t="shared" ca="1" si="5"/>
        <v>0</v>
      </c>
      <c r="Y8" s="100"/>
      <c r="AA8" s="91"/>
      <c r="AB8" s="91"/>
      <c r="AF8" s="138"/>
      <c r="AG8" s="138"/>
      <c r="AH8" s="138"/>
      <c r="AI8" s="138"/>
      <c r="AJ8" s="138"/>
      <c r="AK8" s="253">
        <f>IF(OR($AL8="",COUNTIF($AL$3:$AR$3,$AL$2)=0),"",MAX($AK$3:AK7)+1)</f>
        <v>5</v>
      </c>
      <c r="AL8" s="253" t="s">
        <v>216</v>
      </c>
      <c r="AM8" s="68"/>
      <c r="AN8" s="68"/>
      <c r="AO8" s="68"/>
      <c r="AP8" s="68"/>
      <c r="AQ8" s="68"/>
      <c r="AR8" s="68"/>
      <c r="AS8" s="138"/>
      <c r="AT8" s="138"/>
      <c r="AU8" s="138"/>
    </row>
    <row r="9" spans="2:47">
      <c r="B9" s="70" t="s">
        <v>41</v>
      </c>
      <c r="C9" s="73">
        <v>1</v>
      </c>
      <c r="D9" s="70" t="s">
        <v>42</v>
      </c>
      <c r="H9" s="118" t="s">
        <v>125</v>
      </c>
      <c r="I9" s="118" t="s">
        <v>18</v>
      </c>
      <c r="J9" s="118" t="s">
        <v>19</v>
      </c>
      <c r="K9" s="72" t="str">
        <f>K10&amp;M10&amp;K11&amp;M11&amp;K12&amp;M12&amp;K13&amp;M13&amp;"。"&amp;D47</f>
        <v>首、續期繳費方式 1%折扣。</v>
      </c>
      <c r="L9" s="72" t="str">
        <f>"保費折扣"</f>
        <v>保費折扣</v>
      </c>
      <c r="M9" s="68" t="str">
        <f>L10&amp;M10&amp;L11&amp;M11&amp;L12&amp;M12&amp;L13&amp;"折扣"</f>
        <v>繳費方式折扣</v>
      </c>
      <c r="R9" s="1"/>
      <c r="S9" s="179"/>
      <c r="T9" s="389"/>
      <c r="U9" s="179"/>
      <c r="V9" s="179"/>
      <c r="W9" s="91"/>
      <c r="X9" s="91"/>
      <c r="Y9" s="91"/>
      <c r="Z9" s="91"/>
      <c r="AA9" s="91"/>
      <c r="AB9" s="91"/>
      <c r="AF9" s="138"/>
      <c r="AG9" s="138"/>
      <c r="AH9" s="138"/>
      <c r="AI9" s="138"/>
      <c r="AJ9" s="138"/>
      <c r="AK9" s="253">
        <f>IF(OR($AL9="",COUNTIF($AL$3:$AR$3,$AL$2)=0),"",MAX($AK$3:AK8)+1)</f>
        <v>6</v>
      </c>
      <c r="AL9" s="253" t="s">
        <v>217</v>
      </c>
      <c r="AM9" s="68"/>
      <c r="AN9" s="68"/>
      <c r="AO9" s="68"/>
      <c r="AP9" s="68"/>
      <c r="AQ9" s="68"/>
      <c r="AR9" s="68"/>
      <c r="AS9" s="138"/>
      <c r="AT9" s="138"/>
      <c r="AU9" s="138"/>
    </row>
    <row r="10" spans="2:47">
      <c r="B10" s="70" t="s">
        <v>43</v>
      </c>
      <c r="C10" s="67">
        <f>BD</f>
        <v>800101</v>
      </c>
      <c r="D10" s="75" t="str">
        <f>IF(AND($C$9=1,OR(C10="",C10=0)),1,"")</f>
        <v/>
      </c>
      <c r="H10" s="173" t="s">
        <v>126</v>
      </c>
      <c r="I10" s="174">
        <f>$C$42</f>
        <v>0.01</v>
      </c>
      <c r="J10" s="174">
        <f>$C$44</f>
        <v>0.01</v>
      </c>
      <c r="K10" s="72" t="str">
        <f>IF(AND(I10&gt;0,J10&gt;0),"首、續期"&amp;H10&amp;TEXT(I10," 0%")&amp;"折扣",IF(AND(I10&gt;0,J10=0),"首期"&amp;H10&amp;TEXT(I10," 0%")&amp;"折扣",IF(AND(I10=0,J10&gt;0),"續期"&amp;H10&amp;TEXT(J10," 0%")&amp;"折扣","")))</f>
        <v>首、續期繳費方式 1%折扣</v>
      </c>
      <c r="L10" s="72" t="str">
        <f>IF(SUM(I10:J10)&gt;0,H10,"")</f>
        <v>繳費方式</v>
      </c>
      <c r="M10" s="72" t="str">
        <f>IF(L10="","",IF(SUM(N11:N13)&gt;=2,"、",IF(SUM(N11:N13)=1,"及","")))</f>
        <v/>
      </c>
      <c r="N10" s="68">
        <f>IF(L10&lt;&gt;"",1,0)</f>
        <v>1</v>
      </c>
      <c r="R10" s="1"/>
      <c r="S10" s="179"/>
      <c r="T10" s="388"/>
      <c r="U10" s="179"/>
      <c r="V10" s="179"/>
      <c r="W10" s="91"/>
      <c r="X10" s="91"/>
      <c r="Y10" s="91"/>
      <c r="Z10" s="91"/>
      <c r="AA10" s="91"/>
      <c r="AB10" s="91"/>
      <c r="AF10" s="138"/>
      <c r="AG10" s="138"/>
      <c r="AH10" s="138"/>
      <c r="AI10" s="138"/>
      <c r="AJ10" s="138"/>
      <c r="AK10" s="253">
        <f>IF(OR($AL10="",COUNTIF($AL$3:$AR$3,$AL$2)=0),"",MAX($AK$3:AK9)+1)</f>
        <v>7</v>
      </c>
      <c r="AL10" s="253" t="s">
        <v>218</v>
      </c>
      <c r="AM10" s="68"/>
      <c r="AN10" s="68"/>
      <c r="AO10" s="68"/>
      <c r="AP10" s="68"/>
      <c r="AQ10" s="68"/>
      <c r="AR10" s="68"/>
      <c r="AS10" s="138"/>
      <c r="AT10" s="138"/>
      <c r="AU10" s="138"/>
    </row>
    <row r="11" spans="2:47">
      <c r="B11" s="70" t="s">
        <v>44</v>
      </c>
      <c r="C11" s="67"/>
      <c r="D11" s="75" t="str">
        <f>IF(AND($C$9=2,OR(C11="",C11=0)),1,"")</f>
        <v/>
      </c>
      <c r="H11" s="118" t="s">
        <v>127</v>
      </c>
      <c r="I11" s="174">
        <f>$C$37</f>
        <v>0</v>
      </c>
      <c r="J11" s="174">
        <f>$C$37</f>
        <v>0</v>
      </c>
      <c r="K11" s="72" t="str">
        <f>IF(AND(I11&gt;0,J11&gt;0),"首、續期"&amp;H11&amp;TEXT(I11," 0.0%")&amp;"折扣",IF(AND(I11&gt;0,J11=0),"首期"&amp;H11&amp;TEXT(I11," 0.0%")&amp;"折扣",IF(AND(I11=0,J11&gt;0),"續期"&amp;H11&amp;TEXT(J11," 0.0%")&amp;"折扣","")))</f>
        <v/>
      </c>
      <c r="L11" s="72" t="str">
        <f>IF(SUM(I11:J11)&gt;0,H11,"")</f>
        <v/>
      </c>
      <c r="M11" s="72" t="str">
        <f>IF(L11="","",IF(SUM(N12:N14)&gt;=2,"、",IF(SUM(N12:N14)=1,"及","")))</f>
        <v/>
      </c>
      <c r="N11" s="68">
        <f>IF(L11&lt;&gt;"",1,0)</f>
        <v>0</v>
      </c>
      <c r="R11" s="1"/>
      <c r="S11" s="179"/>
      <c r="T11" s="388"/>
      <c r="U11" s="179"/>
      <c r="V11" s="179"/>
      <c r="W11" s="91"/>
      <c r="X11" s="91"/>
      <c r="Y11" s="91"/>
      <c r="Z11" s="91"/>
      <c r="AA11" s="91"/>
      <c r="AB11" s="91"/>
      <c r="AF11" s="138"/>
      <c r="AG11" s="138"/>
      <c r="AH11" s="138"/>
      <c r="AI11" s="138"/>
      <c r="AJ11" s="138"/>
      <c r="AK11" s="253">
        <f>IF(OR($AL11="",COUNTIF($AL$3:$AR$3,$AL$2)=0),"",MAX($AK$3:AK10)+1)</f>
        <v>8</v>
      </c>
      <c r="AL11" s="253" t="s">
        <v>219</v>
      </c>
      <c r="AM11" s="68"/>
      <c r="AN11" s="68"/>
      <c r="AO11" s="68"/>
      <c r="AP11" s="68"/>
      <c r="AQ11" s="68"/>
      <c r="AR11" s="68"/>
      <c r="AS11" s="138"/>
      <c r="AT11" s="138"/>
      <c r="AU11" s="138"/>
    </row>
    <row r="12" spans="2:47">
      <c r="C12" s="67"/>
      <c r="D12" s="75" t="str">
        <f>IF(AND($C$9=2,OR(C12="",C12&lt;1,C12&gt;12)),1,"")</f>
        <v/>
      </c>
      <c r="H12" s="118" t="s">
        <v>128</v>
      </c>
      <c r="I12" s="174">
        <f>$C$38</f>
        <v>0</v>
      </c>
      <c r="J12" s="174">
        <f>$C$39</f>
        <v>0</v>
      </c>
      <c r="K12" s="72" t="str">
        <f>IF(AND(I12&gt;0,J12&gt;0),"首、續期"&amp;H12&amp;TEXT(I12," 0%")&amp;"折扣",IF(AND(I12&gt;0,J12=0),"首期"&amp;H12&amp;TEXT(I12," 0%")&amp;"折扣",IF(AND(I12=0,J12&gt;0),"續期"&amp;H12&amp;TEXT(J12," 0%")&amp;"折扣","")))</f>
        <v/>
      </c>
      <c r="L12" s="72" t="str">
        <f>IF(SUM(I12:J12)&gt;0,H12,"")</f>
        <v/>
      </c>
      <c r="M12" s="72" t="str">
        <f>IF(L12="","",IF(SUM(N13:N15)&gt;=2,"、",IF(SUM(N13:N15)=1,"及","")))</f>
        <v/>
      </c>
      <c r="N12" s="68">
        <f>IF(L12&lt;&gt;"",1,0)</f>
        <v>0</v>
      </c>
      <c r="R12" s="1"/>
      <c r="S12" s="179"/>
      <c r="T12" s="388"/>
      <c r="U12" s="91"/>
      <c r="V12" s="179"/>
      <c r="W12" s="91"/>
      <c r="X12" s="91"/>
      <c r="Y12" s="91"/>
      <c r="Z12" s="91"/>
      <c r="AA12" s="91"/>
      <c r="AB12" s="91"/>
      <c r="AF12" s="138"/>
      <c r="AG12" s="138"/>
      <c r="AH12" s="138"/>
      <c r="AI12" s="138"/>
      <c r="AJ12" s="138"/>
      <c r="AK12" s="253">
        <f>IF(OR($AL12="",COUNTIF($AL$3:$AR$3,$AL$2)=0),"",MAX($AK$3:AK11)+1)</f>
        <v>9</v>
      </c>
      <c r="AL12" s="253" t="s">
        <v>220</v>
      </c>
      <c r="AM12" s="68"/>
      <c r="AN12" s="68"/>
      <c r="AO12" s="68"/>
      <c r="AP12" s="68"/>
      <c r="AQ12" s="68"/>
      <c r="AR12" s="68"/>
      <c r="AS12" s="138"/>
      <c r="AT12" s="138"/>
      <c r="AU12" s="138"/>
    </row>
    <row r="13" spans="2:47">
      <c r="C13" s="79"/>
      <c r="D13" s="80" t="str">
        <f>IF(AND($C$9=2,OR(C13="",C13&lt;1,C13&gt;E3)),1,"")</f>
        <v/>
      </c>
      <c r="H13" s="118" t="s">
        <v>129</v>
      </c>
      <c r="I13" s="174">
        <f>$C$40</f>
        <v>0</v>
      </c>
      <c r="J13" s="174">
        <f>$C$40</f>
        <v>0</v>
      </c>
      <c r="K13" s="72" t="str">
        <f>IF(AND(I13&gt;0,J13&gt;0),"首、續期"&amp;H13&amp;TEXT(I13," 0%")&amp;"折扣",IF(AND(I13&gt;0,J13=0),"首期"&amp;H13&amp;TEXT(I13," 0%")&amp;"折扣",IF(AND(I13=0,J13&gt;0),"續期"&amp;H13&amp;TEXT(J13," 0%")&amp;"折扣","")))</f>
        <v/>
      </c>
      <c r="L13" s="72" t="str">
        <f>IF(SUM(I13:J13)&gt;0,H13,"")</f>
        <v/>
      </c>
      <c r="M13" s="72" t="str">
        <f>IF(L13="","",IF(SUM(N14:N16)&gt;=2,"、",IF(SUM(N14:N16)=1,"及","")))</f>
        <v/>
      </c>
      <c r="N13" s="68">
        <f>IF(L13&lt;&gt;"",1,0)</f>
        <v>0</v>
      </c>
      <c r="R13" s="1"/>
      <c r="S13" s="179"/>
      <c r="T13" s="388"/>
      <c r="U13" s="91"/>
      <c r="V13" s="179"/>
      <c r="W13" s="91"/>
      <c r="X13" s="91"/>
      <c r="Y13" s="91"/>
      <c r="Z13" s="91"/>
      <c r="AA13" s="91"/>
      <c r="AB13" s="91"/>
      <c r="AF13" s="138"/>
      <c r="AG13" s="138"/>
      <c r="AH13" s="138"/>
      <c r="AI13" s="138"/>
      <c r="AJ13" s="138"/>
      <c r="AK13" s="253">
        <f>IF(OR($AL13="",COUNTIF($AL$3:$AR$3,$AL$2)=0),"",MAX($AK$3:AK12)+1)</f>
        <v>10</v>
      </c>
      <c r="AL13" s="253" t="s">
        <v>221</v>
      </c>
      <c r="AM13" s="68"/>
      <c r="AN13" s="68"/>
      <c r="AO13" s="68"/>
      <c r="AP13" s="68"/>
      <c r="AQ13" s="68"/>
      <c r="AR13" s="68"/>
      <c r="AS13" s="138"/>
      <c r="AT13" s="138"/>
      <c r="AU13" s="138"/>
    </row>
    <row r="14" spans="2:47">
      <c r="B14" s="81" t="s">
        <v>45</v>
      </c>
      <c r="C14" s="81"/>
      <c r="D14" s="82" t="str">
        <f>IF(SUM(E6,D10:D13)&gt;=1,"*日期空白或格式錯誤*","")</f>
        <v/>
      </c>
      <c r="H14" s="62"/>
      <c r="I14" s="77"/>
      <c r="J14" s="78"/>
      <c r="R14" s="1"/>
      <c r="S14" s="179"/>
      <c r="T14" s="388"/>
      <c r="U14" s="390"/>
      <c r="V14" s="179"/>
      <c r="W14" s="91"/>
      <c r="X14" s="91"/>
      <c r="Y14" s="91"/>
      <c r="Z14" s="91"/>
      <c r="AA14" s="91"/>
      <c r="AB14" s="91"/>
      <c r="AF14" s="138"/>
      <c r="AG14" s="138"/>
      <c r="AH14" s="138"/>
      <c r="AI14" s="138"/>
      <c r="AJ14" s="138"/>
      <c r="AK14" s="253">
        <f>IF(OR($AL14="",COUNTIF($AL$3:$AR$3,$AL$2)=0),"",MAX($AK$3:AK13)+1)</f>
        <v>11</v>
      </c>
      <c r="AL14" s="253" t="s">
        <v>222</v>
      </c>
      <c r="AM14" s="68"/>
      <c r="AN14" s="68"/>
      <c r="AO14" s="68"/>
      <c r="AP14" s="68"/>
      <c r="AQ14" s="68"/>
      <c r="AR14" s="68"/>
      <c r="AS14" s="138"/>
      <c r="AT14" s="138"/>
      <c r="AU14" s="138"/>
    </row>
    <row r="15" spans="2:47">
      <c r="B15" s="83" t="s">
        <v>46</v>
      </c>
      <c r="C15" s="73">
        <f>IF($C$22="",,VLOOKUP($C$24,$H$51:$J$53,3,FALSE))</f>
        <v>61</v>
      </c>
      <c r="D15" s="75" t="str">
        <f ca="1">IF(D5&gt;C15,1,"")</f>
        <v/>
      </c>
      <c r="H15" s="62"/>
      <c r="I15" s="77"/>
      <c r="J15" s="78"/>
      <c r="K15" s="68" t="s">
        <v>130</v>
      </c>
      <c r="P15" s="1"/>
      <c r="Q15" s="1"/>
      <c r="R15" s="1"/>
      <c r="S15" s="179"/>
      <c r="T15" s="388"/>
      <c r="U15" s="180"/>
      <c r="V15" s="179"/>
      <c r="W15" s="91"/>
      <c r="X15" s="91"/>
      <c r="Y15" s="91"/>
      <c r="Z15" s="91"/>
      <c r="AA15" s="91"/>
      <c r="AB15" s="91"/>
      <c r="AF15" s="138"/>
      <c r="AG15" s="138"/>
      <c r="AK15" s="253">
        <f>IF(OR($AL15="",COUNTIF($AL$3:$AR$3,$AL$2)=0),"",MAX($AK$3:AK14)+1)</f>
        <v>12</v>
      </c>
      <c r="AL15" s="253" t="s">
        <v>251</v>
      </c>
      <c r="AM15" s="68"/>
      <c r="AN15" s="68"/>
      <c r="AO15" s="68"/>
      <c r="AP15" s="68"/>
      <c r="AQ15" s="68"/>
      <c r="AR15" s="68"/>
    </row>
    <row r="16" spans="2:47">
      <c r="B16" s="84" t="str">
        <f>"最低承保"&amp;IF(E16=1,"(足歲)","(保險年齡)")</f>
        <v>最低承保(足歲)</v>
      </c>
      <c r="C16" s="73">
        <f>IF($C$22="",,VLOOKUP($C$24,$H$51:$J$53,2,FALSE))</f>
        <v>15</v>
      </c>
      <c r="D16" s="75" t="str">
        <f ca="1">IF(IF(E16=1,D6,IF(E16=2,D5,0))&lt;C16,1,"")</f>
        <v/>
      </c>
      <c r="E16" s="73">
        <v>1</v>
      </c>
      <c r="K16" s="68" t="s">
        <v>131</v>
      </c>
      <c r="P16" s="1"/>
      <c r="R16" s="1"/>
      <c r="S16" s="179"/>
      <c r="T16" s="388"/>
      <c r="U16" s="390"/>
      <c r="V16" s="179"/>
      <c r="W16" s="91"/>
      <c r="X16" s="91"/>
      <c r="Y16" s="91"/>
      <c r="Z16" s="91"/>
      <c r="AA16" s="91"/>
      <c r="AB16" s="91"/>
      <c r="AF16" s="138"/>
      <c r="AG16" s="138"/>
      <c r="AK16" s="253">
        <f>IF(OR($AL16="",COUNTIF($AL$3:$AR$3,$AL$2)=0),"",MAX($AK$3:AK15)+1)</f>
        <v>13</v>
      </c>
      <c r="AL16" s="253" t="s">
        <v>252</v>
      </c>
      <c r="AM16" s="68"/>
      <c r="AN16" s="68"/>
      <c r="AO16" s="68"/>
      <c r="AP16" s="68"/>
      <c r="AQ16" s="68"/>
      <c r="AR16" s="68"/>
    </row>
    <row r="17" spans="2:49">
      <c r="B17" s="85" t="s">
        <v>47</v>
      </c>
      <c r="C17" s="81"/>
      <c r="D17" s="82" t="str">
        <f ca="1">IF(SUM(D15:D16)&gt;=1,"*年齡不符專案投保區間*","")</f>
        <v/>
      </c>
      <c r="H17" s="67" t="str">
        <f>IF($C$24=1,"躉繳","躉繳")</f>
        <v>躉繳</v>
      </c>
      <c r="I17" s="62"/>
      <c r="J17" s="62"/>
      <c r="K17" s="68" t="s">
        <v>132</v>
      </c>
      <c r="P17" s="1"/>
      <c r="Q17" s="1"/>
      <c r="R17" s="1"/>
      <c r="S17" s="179"/>
      <c r="T17" s="388"/>
      <c r="U17" s="390"/>
      <c r="V17" s="179"/>
      <c r="W17" s="91"/>
      <c r="X17" s="91"/>
      <c r="Y17" s="91"/>
      <c r="Z17" s="91"/>
      <c r="AA17" s="91"/>
      <c r="AB17" s="91"/>
      <c r="AF17" s="138"/>
      <c r="AG17" s="138"/>
      <c r="AK17" s="253">
        <f>IF(OR($AL17="",COUNTIF($AL$3:$AR$3,$AL$2)=0),"",MAX($AK$3:AK16)+1)</f>
        <v>14</v>
      </c>
      <c r="AL17" s="253" t="s">
        <v>223</v>
      </c>
      <c r="AM17" s="68"/>
      <c r="AN17" s="68"/>
      <c r="AO17" s="68"/>
      <c r="AP17" s="68"/>
      <c r="AQ17" s="68"/>
      <c r="AR17" s="68"/>
    </row>
    <row r="18" spans="2:49">
      <c r="B18" s="70" t="s">
        <v>48</v>
      </c>
      <c r="C18" s="86">
        <f>IF(輸入頁!$K$5="男",1,IF(輸入頁!$K$5="女",2,0))</f>
        <v>1</v>
      </c>
      <c r="D18" s="87" t="str">
        <f>IF(OR(C18="",C18&lt;=0,C18&gt;=3),1,"")</f>
        <v/>
      </c>
      <c r="H18" s="67" t="str">
        <f>IF($C$24=1,"年繳","年繳")</f>
        <v>年繳</v>
      </c>
      <c r="I18" s="62"/>
      <c r="J18" s="62"/>
      <c r="K18" s="68" t="s">
        <v>133</v>
      </c>
      <c r="P18" s="1"/>
      <c r="Q18" s="1"/>
      <c r="R18" s="1"/>
      <c r="S18" s="179"/>
      <c r="T18" s="388"/>
      <c r="U18" s="179"/>
      <c r="V18" s="179"/>
      <c r="W18" s="91"/>
      <c r="X18" s="91"/>
      <c r="Y18" s="91"/>
      <c r="Z18" s="91"/>
      <c r="AA18" s="91"/>
      <c r="AB18" s="91"/>
      <c r="AF18" s="138"/>
      <c r="AG18" s="138"/>
      <c r="AK18" s="253">
        <f>IF(OR($AL18="",COUNTIF($AL$3:$AR$3,$AL$2)=0),"",MAX($AK$3:AK17)+1)</f>
        <v>15</v>
      </c>
      <c r="AL18" s="253" t="s">
        <v>224</v>
      </c>
      <c r="AM18" s="68"/>
      <c r="AN18" s="68"/>
      <c r="AO18" s="68"/>
      <c r="AP18" s="68"/>
      <c r="AQ18" s="68"/>
      <c r="AR18" s="68"/>
    </row>
    <row r="19" spans="2:49">
      <c r="B19" s="88" t="s">
        <v>49</v>
      </c>
      <c r="C19" s="88"/>
      <c r="D19" s="89" t="str">
        <f>IF(D18=1,"*性別輸入錯誤*","")</f>
        <v/>
      </c>
      <c r="H19" s="67" t="str">
        <f>IF($C$24=1,"半年繳","半年繳")</f>
        <v>半年繳</v>
      </c>
      <c r="I19" s="62"/>
      <c r="J19" s="78"/>
      <c r="K19" s="68" t="s">
        <v>134</v>
      </c>
      <c r="P19" s="1"/>
      <c r="Q19" s="1"/>
      <c r="R19" s="1"/>
      <c r="S19" s="179"/>
      <c r="T19" s="391"/>
      <c r="U19" s="179"/>
      <c r="V19" s="179"/>
      <c r="W19" s="91"/>
      <c r="X19" s="91"/>
      <c r="Y19" s="91"/>
      <c r="Z19" s="91"/>
      <c r="AA19" s="91"/>
      <c r="AB19" s="91"/>
      <c r="AF19" s="138"/>
      <c r="AG19" s="138"/>
      <c r="AK19" s="253">
        <f>IF(OR($AL19="",COUNTIF($AL$3:$AR$3,$AL$2)=0),"",MAX($AK$3:AK18)+1)</f>
        <v>16</v>
      </c>
      <c r="AL19" s="253" t="s">
        <v>225</v>
      </c>
      <c r="AM19" s="68"/>
      <c r="AN19" s="68"/>
      <c r="AO19" s="68"/>
      <c r="AP19" s="68"/>
      <c r="AQ19" s="68"/>
      <c r="AR19" s="68"/>
    </row>
    <row r="20" spans="2:49">
      <c r="B20" s="88" t="s">
        <v>50</v>
      </c>
      <c r="C20" s="88"/>
      <c r="D20" s="75" t="str">
        <f>IF(SUM(E6,D10:D13,D18)&gt;=1,1,"")</f>
        <v/>
      </c>
      <c r="H20" s="67" t="str">
        <f>IF($C$24=1,"季繳","季繳")</f>
        <v>季繳</v>
      </c>
      <c r="I20" s="62"/>
      <c r="J20" s="78"/>
      <c r="P20" s="1"/>
      <c r="Q20" s="1"/>
      <c r="R20" s="1"/>
      <c r="S20" s="179"/>
      <c r="T20" s="391"/>
      <c r="U20" s="179"/>
      <c r="V20" s="179"/>
      <c r="W20" s="91"/>
      <c r="X20" s="91"/>
      <c r="Y20" s="91"/>
      <c r="Z20" s="91"/>
      <c r="AA20" s="91"/>
      <c r="AB20" s="91"/>
      <c r="AF20" s="138"/>
      <c r="AG20" s="138"/>
      <c r="AK20" s="253">
        <f>IF(OR($AL20="",COUNTIF($AL$3:$AR$3,$AL$2)=0),"",MAX($AK$3:AK19)+1)</f>
        <v>17</v>
      </c>
      <c r="AL20" s="253" t="s">
        <v>226</v>
      </c>
      <c r="AM20" s="68"/>
      <c r="AN20" s="68"/>
      <c r="AO20" s="68"/>
      <c r="AP20" s="68"/>
      <c r="AQ20" s="68"/>
      <c r="AR20" s="68"/>
    </row>
    <row r="21" spans="2:49">
      <c r="B21" s="70" t="s">
        <v>51</v>
      </c>
      <c r="C21" s="73">
        <v>1</v>
      </c>
      <c r="D21" s="75" t="str">
        <f>IF(OR(C21="",C21&lt;=0,C21&gt;=3),1,"")</f>
        <v/>
      </c>
      <c r="E21" s="549" t="s">
        <v>1000</v>
      </c>
      <c r="H21" s="67" t="str">
        <f>IF($C$24=1,"月繳","月繳")</f>
        <v>月繳</v>
      </c>
      <c r="I21" s="62"/>
      <c r="J21" s="78"/>
      <c r="P21" s="1"/>
      <c r="Q21" s="1"/>
      <c r="R21" s="1"/>
      <c r="S21" s="179"/>
      <c r="T21" s="392"/>
      <c r="U21" s="179"/>
      <c r="V21" s="179"/>
      <c r="W21" s="91"/>
      <c r="X21" s="91"/>
      <c r="Y21" s="91"/>
      <c r="Z21" s="91"/>
      <c r="AA21" s="91"/>
      <c r="AB21" s="91"/>
      <c r="AF21" s="136"/>
      <c r="AG21" s="136"/>
      <c r="AK21" s="253">
        <f>IF(OR($AL21="",COUNTIF($AL$3:$AR$3,$AL$2)=0),"",MAX($AK$3:AK20)+1)</f>
        <v>18</v>
      </c>
      <c r="AL21" s="253" t="s">
        <v>227</v>
      </c>
      <c r="AM21" s="68"/>
      <c r="AN21" s="68"/>
      <c r="AO21" s="68"/>
      <c r="AP21" s="68"/>
      <c r="AQ21" s="68"/>
      <c r="AR21" s="68"/>
    </row>
    <row r="22" spans="2:49">
      <c r="B22" s="70" t="s">
        <v>52</v>
      </c>
      <c r="C22" s="90" t="str">
        <f>IF(RIGHT(YPN,3)&lt;&gt;I55,"",RIGHT(YPN,3))</f>
        <v>AIJ</v>
      </c>
      <c r="D22" s="75" t="str">
        <f>IF(OR(C22="",C22=0,AND(C22&lt;&gt;K39,C22&lt;&gt;K40)),1,"")</f>
        <v/>
      </c>
      <c r="E22" s="71"/>
      <c r="F22" s="91"/>
      <c r="H22" s="62"/>
      <c r="I22" s="62"/>
      <c r="J22" s="78"/>
      <c r="N22" s="21" t="str">
        <f>IF(O22="","",MAX($N$2:N21)+1)</f>
        <v/>
      </c>
      <c r="O22" s="26"/>
      <c r="P22" s="1"/>
      <c r="Q22" s="1"/>
      <c r="R22" s="1"/>
      <c r="S22" s="179"/>
      <c r="T22" s="391"/>
      <c r="U22" s="179"/>
      <c r="V22" s="179"/>
      <c r="W22" s="91"/>
      <c r="X22" s="91"/>
      <c r="Y22" s="91"/>
      <c r="Z22" s="91"/>
      <c r="AA22" s="91"/>
      <c r="AB22" s="91"/>
      <c r="AF22" s="136"/>
      <c r="AG22" s="136"/>
      <c r="AK22" s="253">
        <f>IF(OR($AL22="",COUNTIF($AL$3:$AR$3,$AL$2)=0),"",MAX($AK$3:AK21)+1)</f>
        <v>19</v>
      </c>
      <c r="AL22" s="253" t="s">
        <v>228</v>
      </c>
      <c r="AM22" s="68"/>
      <c r="AN22" s="68"/>
      <c r="AO22" s="68"/>
      <c r="AP22" s="68"/>
      <c r="AQ22" s="68"/>
      <c r="AR22" s="68"/>
    </row>
    <row r="23" spans="2:49">
      <c r="B23" s="92" t="s">
        <v>53</v>
      </c>
      <c r="C23" s="90" t="s">
        <v>247</v>
      </c>
      <c r="D23" s="75"/>
      <c r="H23" s="62"/>
      <c r="I23" s="62"/>
      <c r="J23" s="78"/>
      <c r="N23" s="1"/>
      <c r="O23" s="26"/>
      <c r="P23" s="1"/>
      <c r="Q23" s="1"/>
      <c r="R23" s="1"/>
      <c r="S23" s="179"/>
      <c r="T23" s="391"/>
      <c r="U23" s="179"/>
      <c r="V23" s="179"/>
      <c r="W23" s="91"/>
      <c r="X23" s="91"/>
      <c r="Y23" s="91"/>
      <c r="Z23" s="91"/>
      <c r="AA23" s="91"/>
      <c r="AB23" s="91"/>
      <c r="AF23" s="136"/>
      <c r="AG23" s="136"/>
      <c r="AK23" s="253">
        <f>IF(OR($AL23="",COUNTIF($AL$3:$AR$3,$AL$2)=0),"",MAX($AK$3:AK22)+1)</f>
        <v>20</v>
      </c>
      <c r="AL23" s="253" t="s">
        <v>229</v>
      </c>
      <c r="AM23" s="68"/>
      <c r="AN23" s="68"/>
      <c r="AO23" s="68"/>
      <c r="AP23" s="68"/>
      <c r="AQ23" s="68"/>
      <c r="AR23" s="68"/>
    </row>
    <row r="24" spans="2:49">
      <c r="B24" s="70" t="s">
        <v>54</v>
      </c>
      <c r="C24" s="67">
        <f>IF($C$22="",,VALUE(LEFT(YPN,IF(LEN(YPN)=5,2,1))))</f>
        <v>10</v>
      </c>
      <c r="D24" s="75" t="str">
        <f>IF(OR(C24="",C24=0,ISERR(COUNTIF(H39:J41,C24))),1,"")</f>
        <v/>
      </c>
      <c r="N24" s="1"/>
      <c r="O24" s="93"/>
      <c r="P24" s="1"/>
      <c r="Q24" s="1"/>
      <c r="R24" s="1"/>
      <c r="S24" s="179"/>
      <c r="T24" s="391"/>
      <c r="U24" s="179"/>
      <c r="V24" s="179"/>
      <c r="W24" s="91"/>
      <c r="X24" s="91"/>
      <c r="Y24" s="91"/>
      <c r="Z24" s="91"/>
      <c r="AA24" s="91"/>
      <c r="AB24" s="91"/>
      <c r="AF24" s="136"/>
      <c r="AG24" s="136"/>
      <c r="AK24" s="253">
        <f>IF(OR($AL24="",COUNTIF($AL$3:$AR$3,$AL$2)=0),"",MAX($AK$3:AK23)+1)</f>
        <v>21</v>
      </c>
      <c r="AL24" s="253" t="s">
        <v>230</v>
      </c>
      <c r="AM24" s="68"/>
      <c r="AN24" s="68"/>
      <c r="AO24" s="68"/>
      <c r="AP24" s="68"/>
      <c r="AQ24" s="68"/>
      <c r="AR24" s="68"/>
    </row>
    <row r="25" spans="2:49">
      <c r="B25" s="88" t="s">
        <v>55</v>
      </c>
      <c r="C25" s="94"/>
      <c r="D25" s="82" t="str">
        <f>IF(SUM(D24)&gt;=1,"*年期選擇錯誤*","")</f>
        <v/>
      </c>
      <c r="E25" s="91"/>
      <c r="H25" s="74"/>
      <c r="I25" s="62"/>
      <c r="J25" s="62"/>
      <c r="N25" s="1"/>
      <c r="O25" s="93"/>
      <c r="P25" s="1"/>
      <c r="Q25" s="1"/>
      <c r="R25" s="1"/>
      <c r="S25" s="179"/>
      <c r="T25" s="391"/>
      <c r="U25" s="179"/>
      <c r="V25" s="179"/>
      <c r="W25" s="91"/>
      <c r="X25" s="91"/>
      <c r="Y25" s="91"/>
      <c r="Z25" s="91"/>
      <c r="AA25" s="91"/>
      <c r="AB25" s="91"/>
      <c r="AF25" s="136"/>
      <c r="AG25" s="136"/>
      <c r="AK25" s="253">
        <f>IF(OR($AL25="",COUNTIF($AL$3:$AR$3,$AL$2)=0),"",MAX($AK$3:AK24)+1)</f>
        <v>22</v>
      </c>
      <c r="AL25" s="253" t="s">
        <v>231</v>
      </c>
      <c r="AM25" s="68"/>
      <c r="AN25" s="68"/>
      <c r="AO25" s="68"/>
      <c r="AP25" s="68"/>
      <c r="AQ25" s="68"/>
      <c r="AR25" s="68"/>
    </row>
    <row r="26" spans="2:49">
      <c r="B26" s="95" t="s">
        <v>56</v>
      </c>
      <c r="C26" s="73">
        <f>IF($C$22="",,VLOOKUP($C$24,$H$57:$L$59,$H$55+1,FALSE))</f>
        <v>50</v>
      </c>
      <c r="D26" s="96"/>
      <c r="E26" s="91"/>
      <c r="H26" s="74"/>
      <c r="I26" s="62"/>
      <c r="J26" s="62"/>
      <c r="N26" s="1"/>
      <c r="O26" s="93"/>
      <c r="P26" s="1"/>
      <c r="Q26" s="1"/>
      <c r="R26" s="1"/>
      <c r="S26" s="179"/>
      <c r="T26" s="391"/>
      <c r="U26" s="179"/>
      <c r="V26" s="179"/>
      <c r="W26" s="91"/>
      <c r="X26" s="91"/>
      <c r="Y26" s="91"/>
      <c r="Z26" s="91"/>
      <c r="AA26" s="91"/>
      <c r="AB26" s="91"/>
      <c r="AF26" s="136"/>
      <c r="AG26" s="136"/>
      <c r="AK26" s="253">
        <f>IF(OR($AL26="",COUNTIF($AL$3:$AR$3,$AL$2)=0),"",MAX($AK$3:AK25)+1)</f>
        <v>23</v>
      </c>
      <c r="AL26" s="253" t="s">
        <v>232</v>
      </c>
      <c r="AM26" s="68"/>
      <c r="AN26" s="68"/>
      <c r="AO26" s="68"/>
      <c r="AP26" s="68"/>
      <c r="AQ26" s="68"/>
      <c r="AR26" s="68"/>
    </row>
    <row r="27" spans="2:49">
      <c r="B27" s="95" t="s">
        <v>57</v>
      </c>
      <c r="C27" s="73">
        <f ca="1">IF($C$22="",,VLOOKUP($C$24,$H$57:$L$59,$H$55+2,FALSE))</f>
        <v>200</v>
      </c>
      <c r="D27" s="97"/>
      <c r="E27" s="91"/>
      <c r="H27" s="62"/>
      <c r="I27" s="62"/>
      <c r="J27" s="78"/>
      <c r="N27" s="1"/>
      <c r="O27" s="93"/>
      <c r="P27" s="1"/>
      <c r="Q27" s="1"/>
      <c r="R27" s="1"/>
      <c r="S27" s="179"/>
      <c r="T27" s="391"/>
      <c r="U27" s="179"/>
      <c r="V27" s="179"/>
      <c r="W27" s="91"/>
      <c r="X27" s="91"/>
      <c r="Y27" s="91"/>
      <c r="Z27" s="91"/>
      <c r="AA27" s="91"/>
      <c r="AB27" s="91"/>
      <c r="AF27" s="136"/>
      <c r="AG27" s="136"/>
      <c r="AK27" s="253">
        <f>IF(OR($AL27="",COUNTIF($AL$3:$AR$3,$AL$2)=0),"",MAX($AK$3:AK26)+1)</f>
        <v>24</v>
      </c>
      <c r="AL27" s="253" t="s">
        <v>233</v>
      </c>
      <c r="AM27" s="68"/>
      <c r="AN27" s="68"/>
      <c r="AO27" s="68"/>
      <c r="AP27" s="68"/>
      <c r="AQ27" s="68"/>
      <c r="AR27" s="68"/>
    </row>
    <row r="28" spans="2:49">
      <c r="B28" s="70" t="s">
        <v>58</v>
      </c>
      <c r="C28" s="98">
        <f>ROUND(INS,0)</f>
        <v>50</v>
      </c>
      <c r="D28" s="75" t="str">
        <f ca="1">IF(OR(C28="",C28=0,C28&lt;C26,C28&gt;C27),1,"")</f>
        <v/>
      </c>
      <c r="H28" s="62"/>
      <c r="I28" s="62"/>
      <c r="J28" s="78"/>
      <c r="N28" s="1"/>
      <c r="O28" s="93"/>
      <c r="P28" s="1"/>
      <c r="Q28" s="1"/>
      <c r="R28" s="1"/>
      <c r="S28" s="179"/>
      <c r="T28" s="391"/>
      <c r="U28" s="91"/>
      <c r="V28" s="179"/>
      <c r="W28" s="91"/>
      <c r="X28" s="91"/>
      <c r="Y28" s="91"/>
      <c r="Z28" s="91"/>
      <c r="AA28" s="91"/>
      <c r="AB28" s="91"/>
      <c r="AF28" s="136"/>
      <c r="AG28" s="136"/>
      <c r="AK28" s="253">
        <f>IF(OR($AL28="",COUNTIF($AL$3:$AR$3,$AL$2)=0),"",MAX($AK$3:AK27)+1)</f>
        <v>25</v>
      </c>
      <c r="AL28" s="253" t="s">
        <v>234</v>
      </c>
      <c r="AM28" s="68"/>
      <c r="AN28" s="68"/>
      <c r="AO28" s="68"/>
      <c r="AP28" s="68"/>
      <c r="AQ28" s="68"/>
      <c r="AR28" s="68"/>
    </row>
    <row r="29" spans="2:49">
      <c r="B29" s="88" t="s">
        <v>59</v>
      </c>
      <c r="C29" s="99"/>
      <c r="D29" s="82" t="str">
        <f ca="1">IF(SUM(D28)&gt;=1,"*保額錯誤*","")</f>
        <v/>
      </c>
      <c r="N29" s="1"/>
      <c r="O29" s="93"/>
      <c r="P29" s="1"/>
      <c r="Q29" s="1"/>
      <c r="R29" s="1"/>
      <c r="S29" s="179"/>
      <c r="T29" s="391"/>
      <c r="U29" s="91"/>
      <c r="V29" s="179"/>
      <c r="W29" s="91"/>
      <c r="X29" s="91"/>
      <c r="Y29" s="91"/>
      <c r="Z29" s="91"/>
      <c r="AA29" s="91"/>
      <c r="AB29" s="91"/>
      <c r="AF29" s="136"/>
      <c r="AG29" s="136"/>
      <c r="AK29" s="253">
        <f>IF(OR($AL29="",COUNTIF($AL$3:$AR$3,$AL$2)=0),"",MAX($AK$3:AK28)+1)</f>
        <v>26</v>
      </c>
      <c r="AL29" s="253" t="s">
        <v>235</v>
      </c>
      <c r="AM29" s="68"/>
      <c r="AN29" s="68"/>
      <c r="AO29" s="68"/>
      <c r="AP29" s="68"/>
      <c r="AQ29" s="68"/>
      <c r="AR29" s="68"/>
    </row>
    <row r="30" spans="2:49" ht="17.25" thickBot="1">
      <c r="B30" s="70" t="s">
        <v>60</v>
      </c>
      <c r="C30" s="100">
        <f ca="1">IF(OR(C18=0,C22=0,D28=1),0,IF(ISNA(VLOOKUP($C$55,GP,2,0)),0,VLOOKUP($C$55,GP,2,0)))</f>
        <v>71</v>
      </c>
      <c r="D30" s="101"/>
      <c r="H30" s="102" t="s">
        <v>61</v>
      </c>
      <c r="I30" s="62" t="s">
        <v>62</v>
      </c>
      <c r="K30" s="71" t="s">
        <v>607</v>
      </c>
      <c r="L30" s="71" t="s">
        <v>608</v>
      </c>
      <c r="N30" s="1"/>
      <c r="O30" s="93"/>
      <c r="P30" s="1"/>
      <c r="Q30" s="1"/>
      <c r="R30" s="1"/>
      <c r="S30" s="179"/>
      <c r="T30" s="391"/>
      <c r="U30" s="91"/>
      <c r="V30" s="179"/>
      <c r="W30" s="91"/>
      <c r="X30" s="91"/>
      <c r="Y30" s="91"/>
      <c r="Z30" s="91"/>
      <c r="AA30" s="91"/>
      <c r="AB30" s="91"/>
      <c r="AF30" s="136"/>
      <c r="AG30" s="136"/>
      <c r="AK30" s="253">
        <f>IF(OR($AL30="",COUNTIF($AL$3:$AR$3,$AL$2)=0),"",MAX($AK$3:AK29)+1)</f>
        <v>27</v>
      </c>
      <c r="AL30" s="253" t="s">
        <v>236</v>
      </c>
      <c r="AM30" s="68"/>
      <c r="AN30" s="68"/>
      <c r="AO30" s="68"/>
      <c r="AP30" s="68"/>
      <c r="AQ30" s="68"/>
      <c r="AR30" s="68"/>
      <c r="AS30" s="138"/>
      <c r="AT30" s="138"/>
      <c r="AU30" s="138"/>
      <c r="AV30" s="138"/>
      <c r="AW30" s="138"/>
    </row>
    <row r="31" spans="2:49" ht="17.25" thickTop="1">
      <c r="B31" s="70" t="s">
        <v>63</v>
      </c>
      <c r="C31" s="100">
        <f ca="1">IF($C$21=1,ROUND(C28*C30,1),IF(C21=2,ROUND(C28*C30,1),""))</f>
        <v>3550</v>
      </c>
      <c r="D31" s="103"/>
      <c r="H31" s="104" t="s">
        <v>64</v>
      </c>
      <c r="I31" s="105">
        <v>0.01</v>
      </c>
      <c r="J31" s="71" t="s">
        <v>65</v>
      </c>
      <c r="K31" s="118" t="s">
        <v>609</v>
      </c>
      <c r="L31" s="118" t="s">
        <v>610</v>
      </c>
      <c r="N31" s="1"/>
      <c r="O31" s="93"/>
      <c r="P31" s="1"/>
      <c r="Q31" s="1"/>
      <c r="R31" s="1"/>
      <c r="S31" s="179"/>
      <c r="T31" s="391"/>
      <c r="U31" s="91"/>
      <c r="V31" s="179"/>
      <c r="W31" s="91"/>
      <c r="X31" s="91"/>
      <c r="Y31" s="91"/>
      <c r="Z31" s="91"/>
      <c r="AA31" s="91"/>
      <c r="AB31" s="91"/>
      <c r="AF31" s="136"/>
      <c r="AG31" s="136"/>
      <c r="AK31" s="253">
        <f>IF(OR($AL31="",COUNTIF($AL$3:$AR$3,$AL$2)=0),"",MAX($AK$3:AK30)+1)</f>
        <v>28</v>
      </c>
      <c r="AL31" s="253" t="s">
        <v>237</v>
      </c>
      <c r="AM31" s="68"/>
      <c r="AN31" s="68"/>
      <c r="AO31" s="68"/>
      <c r="AP31" s="68"/>
      <c r="AQ31" s="68"/>
      <c r="AR31" s="68"/>
      <c r="AS31" s="138"/>
      <c r="AT31" s="138"/>
      <c r="AU31" s="138"/>
      <c r="AV31" s="138"/>
      <c r="AW31" s="138"/>
    </row>
    <row r="32" spans="2:49">
      <c r="B32" s="70" t="s">
        <v>61</v>
      </c>
      <c r="C32" s="73" t="str">
        <f>IF(PM="","",PM)</f>
        <v>年繳</v>
      </c>
      <c r="D32" s="75" t="str">
        <f>IF(OR(C32="",C32=0),1,"")</f>
        <v/>
      </c>
      <c r="E32" s="68" t="str">
        <f>IF($D$32=1,"繳別錯誤","")</f>
        <v/>
      </c>
      <c r="H32" s="106" t="s">
        <v>636</v>
      </c>
      <c r="I32" s="105">
        <v>0.01</v>
      </c>
      <c r="J32" s="107" t="s">
        <v>66</v>
      </c>
      <c r="K32" s="118" t="s">
        <v>610</v>
      </c>
      <c r="L32" s="72" t="s">
        <v>611</v>
      </c>
      <c r="N32" s="1"/>
      <c r="O32" s="93"/>
      <c r="P32" s="1"/>
      <c r="Q32" s="1"/>
      <c r="R32" s="1"/>
      <c r="S32" s="179"/>
      <c r="T32" s="391"/>
      <c r="U32" s="91"/>
      <c r="V32" s="179"/>
      <c r="W32" s="91"/>
      <c r="X32" s="91"/>
      <c r="Y32" s="91"/>
      <c r="Z32" s="91"/>
      <c r="AA32" s="91"/>
      <c r="AB32" s="91"/>
      <c r="AF32" s="136"/>
      <c r="AG32" s="136"/>
      <c r="AK32" s="253">
        <f>IF(OR($AL32="",COUNTIF($AL$3:$AR$3,$AL$2)=0),"",MAX($AK$3:AK31)+1)</f>
        <v>29</v>
      </c>
      <c r="AL32" s="253" t="s">
        <v>238</v>
      </c>
      <c r="AM32" s="68"/>
      <c r="AN32" s="68"/>
      <c r="AO32" s="68"/>
      <c r="AP32" s="68"/>
      <c r="AQ32" s="68"/>
      <c r="AR32" s="68"/>
      <c r="AS32" s="138"/>
      <c r="AT32" s="138"/>
      <c r="AU32" s="138"/>
      <c r="AV32" s="138"/>
      <c r="AW32" s="138"/>
    </row>
    <row r="33" spans="2:49">
      <c r="B33" s="70" t="s">
        <v>67</v>
      </c>
      <c r="C33" s="73">
        <v>2</v>
      </c>
      <c r="D33" s="75" t="str">
        <f>IF(OR(C33="",C33=0),1,"")</f>
        <v/>
      </c>
      <c r="H33" s="108" t="s">
        <v>68</v>
      </c>
      <c r="I33" s="105">
        <v>0.01</v>
      </c>
      <c r="K33" s="72" t="s">
        <v>611</v>
      </c>
      <c r="L33" s="72" t="s">
        <v>612</v>
      </c>
      <c r="M33" s="1"/>
      <c r="N33" s="1"/>
      <c r="O33" s="93"/>
      <c r="P33" s="1"/>
      <c r="Q33" s="1"/>
      <c r="R33" s="1"/>
      <c r="S33" s="179"/>
      <c r="T33" s="391"/>
      <c r="U33" s="179"/>
      <c r="V33" s="91"/>
      <c r="W33" s="91"/>
      <c r="X33" s="91"/>
      <c r="Y33" s="91"/>
      <c r="Z33" s="91"/>
      <c r="AA33" s="91"/>
      <c r="AB33" s="91"/>
      <c r="AF33" s="136"/>
      <c r="AG33" s="136"/>
      <c r="AK33" s="253">
        <f>IF(OR($AL33="",COUNTIF($AL$3:$AR$3,$AL$2)=0),"",MAX($AK$3:AK32)+1)</f>
        <v>30</v>
      </c>
      <c r="AL33" s="253" t="s">
        <v>239</v>
      </c>
      <c r="AM33" s="68"/>
      <c r="AN33" s="68"/>
      <c r="AO33" s="68"/>
      <c r="AP33" s="68"/>
      <c r="AQ33" s="68"/>
      <c r="AR33" s="68"/>
      <c r="AS33" s="138"/>
      <c r="AT33" s="138"/>
      <c r="AU33" s="138"/>
      <c r="AV33" s="138"/>
      <c r="AW33" s="138"/>
    </row>
    <row r="34" spans="2:49">
      <c r="B34" s="70" t="s">
        <v>69</v>
      </c>
      <c r="C34" s="70">
        <f>IF(D32=1,,VLOOKUP(C32,H2:K7,1+C33,FALSE))</f>
        <v>1</v>
      </c>
      <c r="D34" s="109"/>
      <c r="H34" s="142" t="s">
        <v>102</v>
      </c>
      <c r="I34" s="143">
        <v>0</v>
      </c>
      <c r="J34" s="71" t="s">
        <v>70</v>
      </c>
      <c r="K34" s="72" t="s">
        <v>612</v>
      </c>
      <c r="L34" s="72" t="s">
        <v>613</v>
      </c>
      <c r="M34" s="1"/>
      <c r="N34" s="1"/>
      <c r="O34" s="93"/>
      <c r="P34" s="1"/>
      <c r="Q34" s="1"/>
      <c r="R34" s="1"/>
      <c r="S34" s="179"/>
      <c r="T34" s="391"/>
      <c r="U34" s="179"/>
      <c r="V34" s="91"/>
      <c r="W34" s="91"/>
      <c r="X34" s="91"/>
      <c r="Y34" s="91"/>
      <c r="Z34" s="91"/>
      <c r="AA34" s="91"/>
      <c r="AB34" s="91"/>
      <c r="AK34" s="253">
        <f>IF(OR($AL34="",COUNTIF($AL$3:$AR$3,$AL$2)=0),"",MAX($AK$3:AK33)+1)</f>
        <v>31</v>
      </c>
      <c r="AL34" s="253" t="s">
        <v>240</v>
      </c>
      <c r="AM34" s="68"/>
      <c r="AN34" s="68"/>
      <c r="AO34" s="68"/>
      <c r="AP34" s="68"/>
      <c r="AQ34" s="68"/>
      <c r="AR34" s="68"/>
      <c r="AS34" s="138"/>
      <c r="AT34" s="138"/>
      <c r="AU34" s="138"/>
      <c r="AV34" s="138"/>
      <c r="AW34" s="138"/>
    </row>
    <row r="35" spans="2:49">
      <c r="B35" s="70" t="s">
        <v>71</v>
      </c>
      <c r="C35" s="100">
        <f ca="1">IF($C$21=1,ROUND(C31*C34,0),IF($C$21=2,ROUNDDOWN(C31*C34,0),""))</f>
        <v>3550</v>
      </c>
      <c r="D35" s="101"/>
      <c r="H35" s="118" t="s">
        <v>104</v>
      </c>
      <c r="I35" s="78">
        <v>0</v>
      </c>
      <c r="K35" s="118" t="s">
        <v>614</v>
      </c>
      <c r="L35" s="72"/>
      <c r="M35" s="1"/>
      <c r="N35" s="1"/>
      <c r="O35" s="93"/>
      <c r="P35" s="1"/>
      <c r="Q35" s="1"/>
      <c r="R35" s="1"/>
      <c r="S35" s="179"/>
      <c r="T35" s="391"/>
      <c r="U35" s="179"/>
      <c r="V35" s="91"/>
      <c r="W35" s="91"/>
      <c r="X35" s="91"/>
      <c r="Y35" s="91"/>
      <c r="Z35" s="91"/>
      <c r="AA35" s="91"/>
      <c r="AB35" s="91"/>
      <c r="AK35" s="253">
        <f>IF(OR($AL35="",COUNTIF($AL$3:$AR$3,$AL$2)=0),"",MAX($AK$3:AK34)+1)</f>
        <v>32</v>
      </c>
      <c r="AL35" s="253" t="s">
        <v>241</v>
      </c>
      <c r="AM35" s="68"/>
      <c r="AN35" s="68"/>
      <c r="AO35" s="68"/>
      <c r="AP35" s="68"/>
      <c r="AQ35" s="68"/>
      <c r="AR35" s="68"/>
      <c r="AS35" s="139"/>
      <c r="AT35" s="139"/>
      <c r="AU35" s="139"/>
      <c r="AV35" s="139"/>
      <c r="AW35" s="139"/>
    </row>
    <row r="36" spans="2:49">
      <c r="B36" s="110" t="s">
        <v>73</v>
      </c>
      <c r="C36" s="111"/>
      <c r="D36" s="68" t="s">
        <v>74</v>
      </c>
      <c r="H36" s="144" t="s">
        <v>72</v>
      </c>
      <c r="I36" s="105">
        <v>0.01</v>
      </c>
      <c r="J36" s="107" t="s">
        <v>76</v>
      </c>
      <c r="K36" s="72"/>
      <c r="M36" s="1"/>
      <c r="N36" s="1"/>
      <c r="O36" s="93"/>
      <c r="P36" s="1"/>
      <c r="Q36" s="1"/>
      <c r="R36" s="1"/>
      <c r="S36" s="179"/>
      <c r="T36" s="391"/>
      <c r="U36" s="179"/>
      <c r="V36" s="91"/>
      <c r="W36" s="91"/>
      <c r="X36" s="91"/>
      <c r="Y36" s="91"/>
      <c r="Z36" s="91"/>
      <c r="AA36" s="91"/>
      <c r="AB36" s="91"/>
      <c r="AK36" s="253">
        <f>IF(OR($AL36="",COUNTIF($AL$3:$AR$3,$AL$2)=0),"",MAX($AK$3:AK35)+1)</f>
        <v>33</v>
      </c>
      <c r="AL36" s="253" t="s">
        <v>242</v>
      </c>
      <c r="AM36" s="68"/>
      <c r="AN36" s="68"/>
      <c r="AO36" s="68"/>
      <c r="AP36" s="68"/>
      <c r="AQ36" s="68"/>
      <c r="AR36" s="68"/>
      <c r="AS36" s="138"/>
      <c r="AT36" s="138"/>
      <c r="AU36" s="138"/>
      <c r="AV36" s="138"/>
      <c r="AW36" s="138"/>
    </row>
    <row r="37" spans="2:49" ht="17.25" thickBot="1">
      <c r="B37" s="110" t="s">
        <v>77</v>
      </c>
      <c r="C37" s="146"/>
      <c r="D37" s="101"/>
      <c r="H37" s="112" t="s">
        <v>75</v>
      </c>
      <c r="I37" s="105">
        <v>0</v>
      </c>
      <c r="M37" s="1"/>
      <c r="N37" s="1"/>
      <c r="O37" s="93"/>
      <c r="P37" s="1"/>
      <c r="Q37" s="1"/>
      <c r="R37" s="1"/>
      <c r="S37" s="179"/>
      <c r="T37" s="391"/>
      <c r="U37" s="179"/>
      <c r="V37" s="91"/>
      <c r="W37" s="91"/>
      <c r="X37" s="91"/>
      <c r="Y37" s="91"/>
      <c r="Z37" s="91"/>
      <c r="AA37" s="91"/>
      <c r="AB37" s="91"/>
      <c r="AK37" s="253" t="str">
        <f>IF(OR($AL37="",COUNTIF($AL$3:$AR$3,$AL$2)=0),"",MAX($AK$3:AK36)+1)</f>
        <v/>
      </c>
      <c r="AL37" s="253"/>
      <c r="AM37" s="68"/>
      <c r="AN37" s="68"/>
      <c r="AO37" s="68"/>
      <c r="AP37" s="68"/>
      <c r="AQ37" s="68"/>
      <c r="AR37" s="68"/>
      <c r="AS37" s="138"/>
      <c r="AT37" s="138"/>
      <c r="AU37" s="138"/>
      <c r="AV37" s="138"/>
      <c r="AW37" s="138"/>
    </row>
    <row r="38" spans="2:49" ht="17.25" thickTop="1">
      <c r="B38" s="157" t="s">
        <v>121</v>
      </c>
      <c r="C38" s="111">
        <f>IF(AND($E$38=1,OR($C$41=$H$32,$C$41=$H$33,$C$41=$H$34)),2%,0%)</f>
        <v>0</v>
      </c>
      <c r="D38" s="101"/>
      <c r="E38" s="72">
        <v>0</v>
      </c>
      <c r="H38" s="72" t="s">
        <v>54</v>
      </c>
      <c r="K38" s="76" t="s">
        <v>78</v>
      </c>
      <c r="N38" s="1"/>
      <c r="O38" s="93"/>
      <c r="P38" s="1"/>
      <c r="Q38" s="1"/>
      <c r="R38" s="1"/>
      <c r="S38" s="179"/>
      <c r="T38" s="391"/>
      <c r="U38" s="91"/>
      <c r="V38" s="179"/>
      <c r="W38" s="91"/>
      <c r="X38" s="91"/>
      <c r="Y38" s="91"/>
      <c r="Z38" s="91"/>
      <c r="AA38" s="91"/>
      <c r="AB38" s="91"/>
      <c r="AK38" s="253" t="str">
        <f>IF(OR($AL38="",COUNTIF($AL$3:$AR$3,$AL$2)=0),"",MAX($AK$3:AK37)+1)</f>
        <v/>
      </c>
      <c r="AL38" s="253"/>
      <c r="AM38" s="68"/>
      <c r="AN38" s="68"/>
      <c r="AO38" s="68"/>
      <c r="AP38" s="68"/>
      <c r="AQ38" s="68"/>
      <c r="AR38" s="68"/>
      <c r="AS38" s="138"/>
      <c r="AT38" s="138"/>
      <c r="AU38" s="138"/>
      <c r="AV38" s="138"/>
      <c r="AW38" s="138"/>
    </row>
    <row r="39" spans="2:49">
      <c r="B39" s="157" t="s">
        <v>122</v>
      </c>
      <c r="C39" s="111">
        <f>IF(AND($E$38=1,OR($C$43=$H$32,$C$43=$H$33,$C$43=$H$34,$C$43=$H$36)),2%,0%)</f>
        <v>0</v>
      </c>
      <c r="D39" s="103"/>
      <c r="G39" s="71"/>
      <c r="H39" s="62">
        <v>10</v>
      </c>
      <c r="I39" s="113"/>
      <c r="J39" s="114"/>
      <c r="K39" s="76" t="s">
        <v>248</v>
      </c>
      <c r="N39" s="1"/>
      <c r="O39" s="93"/>
      <c r="P39" s="1"/>
      <c r="Q39" s="1"/>
      <c r="R39" s="1"/>
      <c r="S39" s="179"/>
      <c r="T39" s="391"/>
      <c r="U39" s="91"/>
      <c r="V39" s="179"/>
      <c r="W39" s="91"/>
      <c r="X39" s="91"/>
      <c r="Y39" s="91"/>
      <c r="Z39" s="91"/>
      <c r="AA39" s="91"/>
      <c r="AB39" s="91"/>
      <c r="AK39" s="253" t="str">
        <f>IF(OR($AL39="",COUNTIF($AL$3:$AR$3,$AL$2)=0),"",MAX($AK$3:AK38)+1)</f>
        <v/>
      </c>
      <c r="AL39" s="253"/>
      <c r="AM39" s="68"/>
      <c r="AN39" s="68"/>
      <c r="AO39" s="68"/>
      <c r="AP39" s="68"/>
      <c r="AQ39" s="68"/>
      <c r="AR39" s="68"/>
      <c r="AS39" s="138"/>
      <c r="AT39" s="138"/>
      <c r="AU39" s="138"/>
      <c r="AV39" s="138"/>
      <c r="AW39" s="138"/>
    </row>
    <row r="40" spans="2:49">
      <c r="B40" s="157" t="s">
        <v>107</v>
      </c>
      <c r="C40" s="115"/>
      <c r="D40" s="75"/>
      <c r="G40" s="71"/>
      <c r="H40" s="62"/>
      <c r="I40" s="62"/>
      <c r="J40" s="114"/>
      <c r="K40" s="76"/>
      <c r="N40" s="1"/>
      <c r="O40" s="93"/>
      <c r="P40" s="1"/>
      <c r="Q40" s="1"/>
      <c r="R40" s="1"/>
      <c r="S40" s="179"/>
      <c r="T40" s="391"/>
      <c r="U40" s="179"/>
      <c r="V40" s="179"/>
      <c r="W40" s="91"/>
      <c r="X40" s="91"/>
      <c r="Y40" s="91"/>
      <c r="Z40" s="91"/>
      <c r="AA40" s="91"/>
      <c r="AB40" s="91"/>
      <c r="AK40" s="253" t="str">
        <f>IF(OR($AL40="",COUNTIF($AL$3:$AR$3,$AL$2)=0),"",MAX($AK$3:AK39)+1)</f>
        <v/>
      </c>
      <c r="AL40" s="253"/>
      <c r="AM40" s="68"/>
      <c r="AN40" s="68"/>
      <c r="AO40" s="68"/>
      <c r="AP40" s="68"/>
      <c r="AQ40" s="68"/>
      <c r="AR40" s="68"/>
      <c r="AS40" s="138"/>
      <c r="AT40" s="138"/>
      <c r="AU40" s="138"/>
      <c r="AV40" s="138"/>
      <c r="AW40" s="138"/>
    </row>
    <row r="41" spans="2:49">
      <c r="B41" s="110" t="s">
        <v>79</v>
      </c>
      <c r="C41" s="73" t="str">
        <f>輸入頁!Q17</f>
        <v>匯款</v>
      </c>
      <c r="D41" s="75"/>
      <c r="H41" s="62"/>
      <c r="I41" s="62"/>
      <c r="J41" s="114"/>
      <c r="K41" s="76"/>
      <c r="N41" s="1"/>
      <c r="O41" s="93"/>
      <c r="P41" s="1"/>
      <c r="Q41" s="1"/>
      <c r="R41" s="1"/>
      <c r="S41" s="179"/>
      <c r="T41" s="391"/>
      <c r="U41" s="179"/>
      <c r="V41" s="179"/>
      <c r="W41" s="91"/>
      <c r="X41" s="91"/>
      <c r="Y41" s="91"/>
      <c r="Z41" s="91"/>
      <c r="AA41" s="91"/>
      <c r="AB41" s="91"/>
      <c r="AK41" s="253" t="str">
        <f>IF(OR($AL41="",COUNTIF($AL$3:$AR$3,$AL$2)=0),"",MAX($AK$3:AK40)+1)</f>
        <v/>
      </c>
      <c r="AL41" s="253"/>
      <c r="AM41" s="68"/>
      <c r="AN41" s="68"/>
      <c r="AO41" s="68"/>
      <c r="AP41" s="68"/>
      <c r="AQ41" s="68"/>
      <c r="AR41" s="68"/>
      <c r="AS41" s="138"/>
      <c r="AT41" s="138"/>
      <c r="AU41" s="138"/>
      <c r="AV41" s="138"/>
      <c r="AW41" s="138"/>
    </row>
    <row r="42" spans="2:49">
      <c r="B42" s="70" t="s">
        <v>80</v>
      </c>
      <c r="C42" s="116">
        <f>IF(ISNA(VLOOKUP(C41,$H$30:$I$37,2,FALSE)),0,VLOOKUP(C41,$H$30:$I$37,2,FALSE))</f>
        <v>0.01</v>
      </c>
      <c r="D42" s="117" t="str">
        <f>IF(C42&gt;0,"-首期享有1%繳別折扣-","")</f>
        <v>-首期享有1%繳別折扣-</v>
      </c>
      <c r="H42" s="118" t="s">
        <v>81</v>
      </c>
      <c r="O42" s="93"/>
      <c r="S42" s="179"/>
      <c r="T42" s="393"/>
      <c r="U42" s="91"/>
      <c r="V42" s="91"/>
      <c r="W42" s="91"/>
      <c r="X42" s="91"/>
      <c r="Y42" s="91"/>
      <c r="Z42" s="91"/>
      <c r="AA42" s="91"/>
      <c r="AB42" s="91"/>
      <c r="AK42" s="253" t="str">
        <f>IF(OR($AL42="",COUNTIF($AL$3:$AR$3,$AL$2)=0),"",MAX($AK$3:AK41)+1)</f>
        <v/>
      </c>
      <c r="AL42" s="253"/>
      <c r="AM42" s="68"/>
      <c r="AN42" s="68"/>
      <c r="AO42" s="68"/>
      <c r="AP42" s="68"/>
      <c r="AQ42" s="68"/>
      <c r="AR42" s="68"/>
      <c r="AS42" s="138"/>
      <c r="AT42" s="138"/>
      <c r="AU42" s="138"/>
      <c r="AV42" s="138"/>
      <c r="AW42" s="138"/>
    </row>
    <row r="43" spans="2:49">
      <c r="B43" s="70" t="s">
        <v>82</v>
      </c>
      <c r="C43" s="73" t="str">
        <f>輸入頁!Q19</f>
        <v>金融機構轉帳</v>
      </c>
      <c r="D43" s="75"/>
      <c r="H43" s="118" t="s">
        <v>245</v>
      </c>
      <c r="O43" s="93"/>
      <c r="S43" s="179"/>
      <c r="T43" s="394"/>
      <c r="U43" s="91"/>
      <c r="V43" s="91"/>
      <c r="W43" s="91"/>
      <c r="X43" s="91"/>
      <c r="Y43" s="91"/>
      <c r="Z43" s="91"/>
      <c r="AA43" s="91"/>
      <c r="AB43" s="91"/>
      <c r="AK43" s="253" t="str">
        <f>IF(OR($AL43="",COUNTIF($AL$3:$AR$3,$AL$2)=0),"",MAX($AK$3:AK42)+1)</f>
        <v/>
      </c>
      <c r="AL43" s="253"/>
      <c r="AM43" s="68"/>
      <c r="AN43" s="68"/>
      <c r="AO43" s="68"/>
      <c r="AP43" s="68"/>
      <c r="AQ43" s="68"/>
      <c r="AR43" s="68"/>
      <c r="AS43" s="138"/>
      <c r="AT43" s="138"/>
      <c r="AU43" s="138"/>
      <c r="AV43" s="138"/>
      <c r="AW43" s="138"/>
    </row>
    <row r="44" spans="2:49">
      <c r="B44" s="70" t="s">
        <v>83</v>
      </c>
      <c r="C44" s="116">
        <f>IF(ISNA(VLOOKUP(C43,$H$30:$I$37,2,FALSE)),0,VLOOKUP(C43,$H$30:$I$37,2,FALSE))</f>
        <v>0.01</v>
      </c>
      <c r="D44" s="117" t="str">
        <f>IF(C44&gt;0,"-續期享有1%繳別折扣-","")</f>
        <v>-續期享有1%繳別折扣-</v>
      </c>
      <c r="H44" s="118"/>
      <c r="O44" s="71"/>
      <c r="S44" s="179"/>
      <c r="T44" s="393"/>
      <c r="U44" s="91"/>
      <c r="V44" s="91"/>
      <c r="W44" s="91"/>
      <c r="X44" s="91"/>
      <c r="Y44" s="91"/>
      <c r="Z44" s="91"/>
      <c r="AA44" s="91"/>
      <c r="AB44" s="91"/>
      <c r="AK44" s="253" t="str">
        <f>IF(OR($AL44="",COUNTIF($AL$3:$AR$3,$AL$2)=0),"",MAX($AK$3:AK43)+1)</f>
        <v/>
      </c>
      <c r="AL44" s="253"/>
      <c r="AM44" s="68"/>
      <c r="AN44" s="68"/>
      <c r="AO44" s="68"/>
      <c r="AP44" s="68"/>
      <c r="AQ44" s="68"/>
      <c r="AR44" s="68"/>
    </row>
    <row r="45" spans="2:49">
      <c r="B45" s="70" t="s">
        <v>84</v>
      </c>
      <c r="C45" s="119">
        <v>0.01</v>
      </c>
      <c r="D45" s="75" t="str">
        <f>IF(OR(C45="",),1,"")</f>
        <v/>
      </c>
      <c r="H45" s="118"/>
      <c r="S45" s="179"/>
      <c r="T45" s="393"/>
      <c r="U45" s="91"/>
      <c r="V45" s="91"/>
      <c r="W45" s="91"/>
      <c r="X45" s="91"/>
      <c r="Y45" s="91"/>
      <c r="Z45" s="91"/>
      <c r="AA45" s="91"/>
      <c r="AB45" s="91"/>
      <c r="AK45" s="253" t="str">
        <f>IF(OR($AL45="",COUNTIF($AL$3:$AR$3,$AL$2)=0),"",MAX($AK$3:AK44)+1)</f>
        <v/>
      </c>
      <c r="AL45" s="253"/>
      <c r="AM45" s="68"/>
      <c r="AN45" s="68"/>
      <c r="AO45" s="68"/>
      <c r="AP45" s="68"/>
      <c r="AQ45" s="68"/>
      <c r="AR45" s="68"/>
    </row>
    <row r="46" spans="2:49">
      <c r="B46" s="70" t="s">
        <v>85</v>
      </c>
      <c r="C46" s="120">
        <f>MIN(SUM(C36:C38,C42,C40),C45)</f>
        <v>0.01</v>
      </c>
      <c r="D46" s="121"/>
      <c r="H46" s="118"/>
      <c r="S46" s="179"/>
      <c r="T46" s="393"/>
      <c r="U46" s="91"/>
      <c r="V46" s="91"/>
      <c r="W46" s="91"/>
      <c r="X46" s="91"/>
      <c r="Y46" s="91"/>
      <c r="Z46" s="91"/>
      <c r="AA46" s="91"/>
      <c r="AB46" s="91"/>
      <c r="AK46" s="68"/>
      <c r="AL46" s="252" t="s">
        <v>118</v>
      </c>
      <c r="AM46" s="252"/>
      <c r="AN46" s="252"/>
      <c r="AO46" s="252"/>
      <c r="AP46" s="252"/>
      <c r="AQ46" s="252"/>
      <c r="AR46" s="252"/>
    </row>
    <row r="47" spans="2:49">
      <c r="B47" s="70" t="s">
        <v>86</v>
      </c>
      <c r="C47" s="120">
        <f>MIN(SUM(C37,C39:C40,C44),C45)</f>
        <v>0.01</v>
      </c>
      <c r="D47" s="101"/>
      <c r="H47" s="118"/>
      <c r="S47" s="179"/>
      <c r="T47" s="393"/>
      <c r="U47" s="91"/>
      <c r="V47" s="91"/>
      <c r="W47" s="91"/>
      <c r="X47" s="91"/>
      <c r="Y47" s="91"/>
      <c r="Z47" s="91"/>
      <c r="AA47" s="91"/>
      <c r="AB47" s="91"/>
      <c r="AK47" s="253" t="str">
        <f>IF(OR($AL47="",COUNTIF($AL$46:$AR$46,$AL$2)=0),"",MAX($AK$3:AK46)+1)</f>
        <v/>
      </c>
      <c r="AL47" s="253" t="s">
        <v>213</v>
      </c>
      <c r="AM47" s="68"/>
      <c r="AN47" s="68"/>
      <c r="AO47" s="68"/>
      <c r="AP47" s="68"/>
      <c r="AQ47" s="68"/>
      <c r="AR47" s="68"/>
    </row>
    <row r="48" spans="2:49">
      <c r="B48" s="70" t="s">
        <v>87</v>
      </c>
      <c r="C48" s="100">
        <f ca="1">ROUND(MGP*(1-C46),0)</f>
        <v>3515</v>
      </c>
      <c r="D48" s="82"/>
      <c r="H48" s="118"/>
      <c r="S48" s="179"/>
      <c r="T48" s="393"/>
      <c r="U48" s="91"/>
      <c r="V48" s="91"/>
      <c r="W48" s="91"/>
      <c r="X48" s="91"/>
      <c r="Y48" s="91"/>
      <c r="Z48" s="91"/>
      <c r="AA48" s="91"/>
      <c r="AB48" s="91"/>
      <c r="AK48" s="253" t="str">
        <f>IF(OR($AL48="",COUNTIF($AL$46:$AR$46,$AL$2)=0),"",MAX($AK$3:AK47)+1)</f>
        <v/>
      </c>
      <c r="AL48" s="253" t="s">
        <v>205</v>
      </c>
      <c r="AM48" s="68"/>
      <c r="AN48" s="68"/>
      <c r="AO48" s="68"/>
      <c r="AP48" s="68"/>
      <c r="AQ48" s="68"/>
      <c r="AR48" s="68"/>
    </row>
    <row r="49" spans="2:44">
      <c r="B49" s="70" t="s">
        <v>88</v>
      </c>
      <c r="C49" s="100">
        <f ca="1">ROUND(MGP*(1-C47),0)</f>
        <v>3515</v>
      </c>
      <c r="D49" s="82" t="str">
        <f>IF($C$50=12,"-月繳首期須繳 2個月 "&amp;TEXT($C$48*2,"#,##0 元-"),"")</f>
        <v/>
      </c>
      <c r="S49" s="179"/>
      <c r="T49" s="393"/>
      <c r="U49" s="91"/>
      <c r="V49" s="91"/>
      <c r="W49" s="91"/>
      <c r="X49" s="91"/>
      <c r="Y49" s="91"/>
      <c r="Z49" s="91"/>
      <c r="AA49" s="91"/>
      <c r="AB49" s="91"/>
      <c r="AK49" s="253" t="str">
        <f>IF(OR($AL49="",COUNTIF($AL$46:$AR$46,$AL$2)=0),"",MAX($AK$3:AK48)+1)</f>
        <v/>
      </c>
      <c r="AL49" s="253" t="s">
        <v>214</v>
      </c>
      <c r="AM49" s="68"/>
      <c r="AN49" s="68"/>
      <c r="AO49" s="68"/>
      <c r="AP49" s="68"/>
      <c r="AQ49" s="68"/>
      <c r="AR49" s="68"/>
    </row>
    <row r="50" spans="2:44">
      <c r="B50" s="70" t="s">
        <v>89</v>
      </c>
      <c r="C50" s="70">
        <f>IF(D32=1,,VLOOKUP(C32,H2:K7,4,0))</f>
        <v>1</v>
      </c>
      <c r="D50" s="75"/>
      <c r="E50" s="71" t="s">
        <v>90</v>
      </c>
      <c r="H50" s="118" t="s">
        <v>54</v>
      </c>
      <c r="I50" s="118" t="s">
        <v>91</v>
      </c>
      <c r="J50" s="118" t="s">
        <v>92</v>
      </c>
      <c r="S50" s="179"/>
      <c r="T50" s="395"/>
      <c r="U50" s="91"/>
      <c r="V50" s="91"/>
      <c r="W50" s="91"/>
      <c r="X50" s="91"/>
      <c r="Y50" s="91"/>
      <c r="Z50" s="91"/>
      <c r="AA50" s="91"/>
      <c r="AB50" s="91"/>
      <c r="AK50" s="253" t="str">
        <f>IF(OR($AL50="",COUNTIF($AL$46:$AR$46,$AL$2)=0),"",MAX($AK$3:AK49)+1)</f>
        <v/>
      </c>
      <c r="AL50" s="253" t="s">
        <v>215</v>
      </c>
      <c r="AM50" s="68"/>
      <c r="AN50" s="68"/>
      <c r="AO50" s="68"/>
      <c r="AP50" s="68"/>
      <c r="AQ50" s="68"/>
      <c r="AR50" s="68"/>
    </row>
    <row r="51" spans="2:44">
      <c r="B51" s="70" t="s">
        <v>93</v>
      </c>
      <c r="C51" s="100">
        <f ca="1">IF(C50=12,C48*2+C49*10,C48*1+C49*(C50-1))</f>
        <v>3515</v>
      </c>
      <c r="D51" s="134">
        <v>44681</v>
      </c>
      <c r="H51" s="62">
        <v>10</v>
      </c>
      <c r="I51" s="62">
        <v>15</v>
      </c>
      <c r="J51" s="62">
        <v>61</v>
      </c>
      <c r="S51" s="179"/>
      <c r="T51" s="395"/>
      <c r="U51" s="91"/>
      <c r="V51" s="91"/>
      <c r="W51" s="91"/>
      <c r="X51" s="91"/>
      <c r="Y51" s="91"/>
      <c r="Z51" s="91"/>
      <c r="AA51" s="91"/>
      <c r="AB51" s="91"/>
      <c r="AK51" s="253" t="str">
        <f>IF(OR($AL51="",COUNTIF($AL$46:$AR$46,$AL$2)=0),"",MAX($AK$3:AK50)+1)</f>
        <v/>
      </c>
      <c r="AL51" s="253" t="s">
        <v>216</v>
      </c>
      <c r="AM51" s="68"/>
      <c r="AN51" s="68"/>
      <c r="AO51" s="68"/>
      <c r="AP51" s="68"/>
      <c r="AQ51" s="68"/>
      <c r="AR51" s="68"/>
    </row>
    <row r="52" spans="2:44">
      <c r="B52" s="70" t="s">
        <v>94</v>
      </c>
      <c r="C52" s="100">
        <f ca="1">C49*C50</f>
        <v>3515</v>
      </c>
      <c r="D52" s="101"/>
      <c r="H52" s="62"/>
      <c r="I52" s="62"/>
      <c r="J52" s="62"/>
      <c r="S52" s="179"/>
      <c r="T52" s="395"/>
      <c r="U52" s="91"/>
      <c r="V52" s="91"/>
      <c r="W52" s="91"/>
      <c r="X52" s="91"/>
      <c r="Y52" s="91"/>
      <c r="Z52" s="91"/>
      <c r="AA52" s="91"/>
      <c r="AB52" s="91"/>
      <c r="AK52" s="253" t="str">
        <f>IF(OR($AL52="",COUNTIF($AL$46:$AR$46,$AL$2)=0),"",MAX($AK$3:AK51)+1)</f>
        <v/>
      </c>
      <c r="AL52" s="253" t="s">
        <v>217</v>
      </c>
      <c r="AM52" s="68"/>
      <c r="AN52" s="68"/>
      <c r="AO52" s="68"/>
      <c r="AP52" s="68"/>
      <c r="AQ52" s="68"/>
      <c r="AR52" s="68"/>
    </row>
    <row r="53" spans="2:44">
      <c r="B53" s="122" t="s">
        <v>95</v>
      </c>
      <c r="C53" s="88"/>
      <c r="D53" s="75" t="str">
        <f ca="1">IF(SUM(D15:D16,D28,D32:D33,D40:D41,D43,D45,D50,D59)&gt;=1,1,"")</f>
        <v/>
      </c>
      <c r="H53" s="62"/>
      <c r="I53" s="62"/>
      <c r="J53" s="62"/>
      <c r="S53" s="179"/>
      <c r="T53" s="395"/>
      <c r="U53" s="91"/>
      <c r="V53" s="91"/>
      <c r="W53" s="91"/>
      <c r="X53" s="91"/>
      <c r="Y53" s="91"/>
      <c r="Z53" s="91"/>
      <c r="AA53" s="91"/>
      <c r="AB53" s="91"/>
      <c r="AK53" s="253" t="str">
        <f>IF(OR($AL53="",COUNTIF($AL$46:$AR$46,$AL$2)=0),"",MAX($AK$3:AK52)+1)</f>
        <v/>
      </c>
      <c r="AL53" s="253" t="s">
        <v>218</v>
      </c>
      <c r="AM53" s="68"/>
      <c r="AN53" s="68"/>
      <c r="AO53" s="68"/>
      <c r="AP53" s="68"/>
      <c r="AQ53" s="68"/>
      <c r="AR53" s="68"/>
    </row>
    <row r="54" spans="2:44">
      <c r="B54" s="70" t="s">
        <v>96</v>
      </c>
      <c r="C54" s="123" t="s">
        <v>1127</v>
      </c>
      <c r="S54" s="179"/>
      <c r="T54" s="395"/>
      <c r="U54" s="91"/>
      <c r="V54" s="91"/>
      <c r="W54" s="91"/>
      <c r="X54" s="91"/>
      <c r="Y54" s="91"/>
      <c r="Z54" s="91"/>
      <c r="AA54" s="91"/>
      <c r="AB54" s="91"/>
      <c r="AK54" s="253" t="str">
        <f>IF(OR($AL54="",COUNTIF($AL$46:$AR$46,$AL$2)=0),"",MAX($AK$3:AK53)+1)</f>
        <v/>
      </c>
      <c r="AL54" s="253" t="s">
        <v>219</v>
      </c>
      <c r="AM54" s="68"/>
      <c r="AN54" s="68"/>
      <c r="AO54" s="68"/>
      <c r="AP54" s="68"/>
      <c r="AQ54" s="68"/>
      <c r="AR54" s="68"/>
    </row>
    <row r="55" spans="2:44">
      <c r="B55" s="92" t="s">
        <v>32</v>
      </c>
      <c r="C55" s="70" t="str">
        <f ca="1">$C$22&amp;TEXT($C$24,"00")&amp;TEXT($C$18,"00")&amp;TEXT($D$5,"00")</f>
        <v>AIJ100132</v>
      </c>
      <c r="D55" s="124" t="s">
        <v>97</v>
      </c>
      <c r="H55" s="67">
        <f>IF(C22=I55,1,3)</f>
        <v>1</v>
      </c>
      <c r="I55" s="118" t="s">
        <v>246</v>
      </c>
      <c r="J55" s="72"/>
      <c r="K55" s="118"/>
      <c r="L55" s="72"/>
      <c r="S55" s="179"/>
      <c r="T55" s="395"/>
      <c r="U55" s="91"/>
      <c r="V55" s="91"/>
      <c r="W55" s="91"/>
      <c r="X55" s="91"/>
      <c r="Y55" s="91"/>
      <c r="Z55" s="91"/>
      <c r="AA55" s="91"/>
      <c r="AB55" s="91"/>
      <c r="AK55" s="253" t="str">
        <f>IF(OR($AL55="",COUNTIF($AL$46:$AR$46,$AL$2)=0),"",MAX($AK$3:AK54)+1)</f>
        <v/>
      </c>
      <c r="AL55" s="253" t="s">
        <v>220</v>
      </c>
      <c r="AM55" s="68"/>
      <c r="AN55" s="68"/>
      <c r="AO55" s="68"/>
      <c r="AP55" s="68"/>
      <c r="AQ55" s="68"/>
      <c r="AR55" s="68"/>
    </row>
    <row r="56" spans="2:44">
      <c r="B56" s="92" t="s">
        <v>98</v>
      </c>
      <c r="C56" s="70" t="str">
        <f>C24&amp;C22</f>
        <v>10AIJ</v>
      </c>
      <c r="D56" s="125" t="s">
        <v>99</v>
      </c>
      <c r="H56" s="118" t="s">
        <v>58</v>
      </c>
      <c r="I56" s="118" t="s">
        <v>56</v>
      </c>
      <c r="J56" s="118" t="s">
        <v>57</v>
      </c>
      <c r="K56" s="118"/>
      <c r="L56" s="118"/>
      <c r="S56" s="179"/>
      <c r="T56" s="395"/>
      <c r="U56" s="91"/>
      <c r="V56" s="91"/>
      <c r="W56" s="91"/>
      <c r="X56" s="91"/>
      <c r="Y56" s="91"/>
      <c r="Z56" s="91"/>
      <c r="AA56" s="91"/>
      <c r="AB56" s="91"/>
      <c r="AK56" s="253" t="str">
        <f>IF(OR($AL56="",COUNTIF($AL$46:$AR$46,$AL$2)=0),"",MAX($AK$3:AK55)+1)</f>
        <v/>
      </c>
      <c r="AL56" s="253" t="s">
        <v>221</v>
      </c>
      <c r="AM56" s="68"/>
      <c r="AN56" s="68"/>
      <c r="AO56" s="68"/>
      <c r="AP56" s="68"/>
      <c r="AQ56" s="68"/>
      <c r="AR56" s="68"/>
    </row>
    <row r="57" spans="2:44">
      <c r="B57" s="92" t="s">
        <v>105</v>
      </c>
      <c r="C57" s="70">
        <f ca="1">MAX($Q$3:$Q$8)+10-1</f>
        <v>40</v>
      </c>
      <c r="D57" s="124"/>
      <c r="H57" s="62">
        <v>10</v>
      </c>
      <c r="I57" s="62">
        <v>50</v>
      </c>
      <c r="J57" s="62">
        <f ca="1">IF(OR(D15=1,D16=1),,VLOOKUP($I$61,$H$65:$K$68,4,0))</f>
        <v>200</v>
      </c>
      <c r="K57" s="62"/>
      <c r="L57" s="62"/>
      <c r="S57" s="179"/>
      <c r="T57" s="395"/>
      <c r="U57" s="91"/>
      <c r="V57" s="91"/>
      <c r="W57" s="91"/>
      <c r="X57" s="91"/>
      <c r="Y57" s="91"/>
      <c r="Z57" s="91"/>
      <c r="AA57" s="91"/>
      <c r="AB57" s="91"/>
      <c r="AK57" s="253" t="str">
        <f>IF(OR($AL57="",COUNTIF($AL$46:$AR$46,$AL$2)=0),"",MAX($AK$3:AK56)+1)</f>
        <v/>
      </c>
      <c r="AL57" s="253" t="s">
        <v>222</v>
      </c>
      <c r="AM57" s="68"/>
      <c r="AN57" s="68"/>
      <c r="AO57" s="68"/>
      <c r="AP57" s="68"/>
      <c r="AQ57" s="68"/>
      <c r="AR57" s="68"/>
    </row>
    <row r="58" spans="2:44">
      <c r="H58" s="62"/>
      <c r="I58" s="62"/>
      <c r="J58" s="62"/>
      <c r="K58" s="62"/>
      <c r="L58" s="62"/>
      <c r="S58" s="179"/>
      <c r="T58" s="395"/>
      <c r="U58" s="91"/>
      <c r="V58" s="91"/>
      <c r="W58" s="91"/>
      <c r="X58" s="91"/>
      <c r="Y58" s="91"/>
      <c r="Z58" s="91"/>
      <c r="AA58" s="91"/>
      <c r="AB58" s="91"/>
      <c r="AK58" s="253" t="str">
        <f>IF(OR($AL58="",COUNTIF($AL$46:$AR$46,$AL$2)=0),"",MAX($AK$3:AK57)+1)</f>
        <v/>
      </c>
      <c r="AL58" s="253" t="s">
        <v>251</v>
      </c>
      <c r="AM58" s="68"/>
      <c r="AN58" s="68"/>
      <c r="AO58" s="68"/>
      <c r="AP58" s="68"/>
      <c r="AQ58" s="68"/>
      <c r="AR58" s="68"/>
    </row>
    <row r="59" spans="2:44">
      <c r="B59" s="173" t="s">
        <v>137</v>
      </c>
      <c r="C59" s="187">
        <f>輸入頁!$E$9</f>
        <v>1</v>
      </c>
      <c r="D59" s="75" t="str">
        <f>IF($C$59&lt;=4,"",1)</f>
        <v/>
      </c>
      <c r="E59" s="265" t="str">
        <f>IF($D$59=1,"AIJ限職業等級1~4級承保","")</f>
        <v/>
      </c>
      <c r="H59" s="62"/>
      <c r="I59" s="62"/>
      <c r="J59" s="62"/>
      <c r="K59" s="62"/>
      <c r="L59" s="62"/>
      <c r="S59" s="179"/>
      <c r="T59" s="395"/>
      <c r="U59" s="91"/>
      <c r="V59" s="91"/>
      <c r="W59" s="91"/>
      <c r="X59" s="91"/>
      <c r="Y59" s="91"/>
      <c r="Z59" s="91"/>
      <c r="AA59" s="91"/>
      <c r="AB59" s="91"/>
      <c r="AK59" s="253" t="str">
        <f>IF(OR($AL59="",COUNTIF($AL$46:$AR$46,$AL$2)=0),"",MAX($AK$3:AK58)+1)</f>
        <v/>
      </c>
      <c r="AL59" s="253" t="s">
        <v>252</v>
      </c>
      <c r="AM59" s="68"/>
      <c r="AN59" s="68"/>
      <c r="AO59" s="68"/>
      <c r="AP59" s="68"/>
      <c r="AQ59" s="68"/>
      <c r="AR59" s="68"/>
    </row>
    <row r="60" spans="2:44">
      <c r="S60" s="179"/>
      <c r="T60" s="395"/>
      <c r="U60" s="91"/>
      <c r="V60" s="91"/>
      <c r="W60" s="91"/>
      <c r="X60" s="91"/>
      <c r="Y60" s="91"/>
      <c r="Z60" s="91"/>
      <c r="AA60" s="91"/>
      <c r="AB60" s="91"/>
      <c r="AK60" s="253" t="str">
        <f>IF(OR($AL60="",COUNTIF($AL$46:$AR$46,$AL$2)=0),"",MAX($AK$3:AK59)+1)</f>
        <v/>
      </c>
      <c r="AL60" s="253" t="s">
        <v>223</v>
      </c>
      <c r="AM60" s="68"/>
      <c r="AN60" s="68"/>
      <c r="AO60" s="68"/>
      <c r="AP60" s="68"/>
      <c r="AQ60" s="68"/>
      <c r="AR60" s="68"/>
    </row>
    <row r="61" spans="2:44">
      <c r="H61" s="165" t="s">
        <v>108</v>
      </c>
      <c r="I61" s="62">
        <f>HLOOKUP(H61,H62:K63,2,0)</f>
        <v>1</v>
      </c>
      <c r="S61" s="179"/>
      <c r="T61" s="395"/>
      <c r="U61" s="91"/>
      <c r="V61" s="91"/>
      <c r="W61" s="91"/>
      <c r="X61" s="91"/>
      <c r="Y61" s="91"/>
      <c r="Z61" s="91"/>
      <c r="AA61" s="91"/>
      <c r="AB61" s="91"/>
      <c r="AK61" s="253" t="str">
        <f>IF(OR($AL61="",COUNTIF($AL$46:$AR$46,$AL$2)=0),"",MAX($AK$3:AK60)+1)</f>
        <v/>
      </c>
      <c r="AL61" s="253" t="s">
        <v>224</v>
      </c>
      <c r="AM61" s="68"/>
      <c r="AN61" s="68"/>
      <c r="AO61" s="68"/>
      <c r="AP61" s="68"/>
      <c r="AQ61" s="68"/>
      <c r="AR61" s="68"/>
    </row>
    <row r="62" spans="2:44">
      <c r="H62" s="118" t="s">
        <v>109</v>
      </c>
      <c r="I62" s="118" t="s">
        <v>110</v>
      </c>
      <c r="J62" s="118" t="s">
        <v>111</v>
      </c>
      <c r="K62" s="118" t="s">
        <v>112</v>
      </c>
      <c r="S62" s="179"/>
      <c r="T62" s="395"/>
      <c r="U62" s="91"/>
      <c r="V62" s="91"/>
      <c r="W62" s="91"/>
      <c r="X62" s="91"/>
      <c r="Y62" s="91"/>
      <c r="Z62" s="91"/>
      <c r="AA62" s="91"/>
      <c r="AB62" s="91"/>
      <c r="AK62" s="253" t="str">
        <f>IF(OR($AL62="",COUNTIF($AL$46:$AR$46,$AL$2)=0),"",MAX($AK$3:AK61)+1)</f>
        <v/>
      </c>
      <c r="AL62" s="253" t="s">
        <v>225</v>
      </c>
      <c r="AM62" s="68"/>
      <c r="AN62" s="68"/>
      <c r="AO62" s="68"/>
      <c r="AP62" s="68"/>
      <c r="AQ62" s="68"/>
      <c r="AR62" s="68"/>
    </row>
    <row r="63" spans="2:44">
      <c r="H63" s="72">
        <v>1</v>
      </c>
      <c r="I63" s="72">
        <v>2</v>
      </c>
      <c r="J63" s="72">
        <v>3</v>
      </c>
      <c r="K63" s="72">
        <v>4</v>
      </c>
      <c r="S63" s="179"/>
      <c r="T63" s="395"/>
      <c r="U63" s="91"/>
      <c r="V63" s="91"/>
      <c r="W63" s="91"/>
      <c r="X63" s="91"/>
      <c r="Y63" s="91"/>
      <c r="Z63" s="91"/>
      <c r="AA63" s="91"/>
      <c r="AB63" s="91"/>
      <c r="AK63" s="253" t="str">
        <f>IF(OR($AL63="",COUNTIF($AL$46:$AR$46,$AL$2)=0),"",MAX($AK$3:AK62)+1)</f>
        <v/>
      </c>
      <c r="AL63" s="253" t="s">
        <v>226</v>
      </c>
      <c r="AM63" s="68"/>
      <c r="AN63" s="68"/>
      <c r="AO63" s="68"/>
      <c r="AP63" s="68"/>
      <c r="AQ63" s="68"/>
      <c r="AR63" s="68"/>
    </row>
    <row r="64" spans="2:44">
      <c r="B64" s="263" t="s">
        <v>250</v>
      </c>
      <c r="C64" s="264">
        <f>輸入頁!$J21</f>
        <v>50</v>
      </c>
      <c r="D64" s="265" t="str">
        <f>IF(ROUND($C$64,IF($C$21=2,1,0))&lt;&gt;$C$64,1,"")</f>
        <v/>
      </c>
      <c r="E64" s="265" t="str">
        <f>IF(D64=1,"保額輸入"&amp;C64&amp;"不符投保規則，請重新輸入","")</f>
        <v/>
      </c>
      <c r="I64" s="71" t="s">
        <v>113</v>
      </c>
      <c r="J64" s="71" t="s">
        <v>114</v>
      </c>
      <c r="K64" s="71" t="s">
        <v>115</v>
      </c>
      <c r="S64" s="179"/>
      <c r="T64" s="395"/>
      <c r="U64" s="91"/>
      <c r="V64" s="91"/>
      <c r="W64" s="91"/>
      <c r="X64" s="91"/>
      <c r="Y64" s="91"/>
      <c r="Z64" s="91"/>
      <c r="AA64" s="91"/>
      <c r="AB64" s="91"/>
      <c r="AK64" s="253" t="str">
        <f>IF(OR($AL64="",COUNTIF($AL$46:$AR$46,$AL$2)=0),"",MAX($AK$3:AK63)+1)</f>
        <v/>
      </c>
      <c r="AL64" s="253" t="s">
        <v>243</v>
      </c>
      <c r="AM64" s="68"/>
      <c r="AN64" s="68"/>
      <c r="AO64" s="68"/>
      <c r="AP64" s="68"/>
      <c r="AQ64" s="68"/>
      <c r="AR64" s="68"/>
    </row>
    <row r="65" spans="2:49">
      <c r="H65" s="118">
        <v>1</v>
      </c>
      <c r="I65" s="166">
        <v>20</v>
      </c>
      <c r="J65" s="166">
        <v>45</v>
      </c>
      <c r="K65" s="166">
        <f ca="1">IF($D$5&lt;=15,200,200)</f>
        <v>200</v>
      </c>
      <c r="L65" s="166"/>
      <c r="M65" s="72"/>
      <c r="N65" s="72"/>
      <c r="O65" s="72"/>
      <c r="P65" s="72"/>
      <c r="Q65" s="72"/>
      <c r="S65" s="179"/>
      <c r="T65" s="91"/>
      <c r="U65" s="91"/>
      <c r="V65" s="91"/>
      <c r="W65" s="91"/>
      <c r="X65" s="91"/>
      <c r="Y65" s="91"/>
      <c r="Z65" s="91"/>
      <c r="AA65" s="91"/>
      <c r="AB65" s="91"/>
      <c r="AK65" s="253" t="str">
        <f>IF(OR($AL65="",COUNTIF($AL$46:$AR$46,$AL$2)=0),"",MAX($AK$3:AK64)+1)</f>
        <v/>
      </c>
      <c r="AL65" s="253" t="s">
        <v>229</v>
      </c>
      <c r="AM65" s="68"/>
      <c r="AN65" s="68"/>
      <c r="AO65" s="68"/>
      <c r="AP65" s="68"/>
      <c r="AQ65" s="68"/>
      <c r="AR65" s="68"/>
    </row>
    <row r="66" spans="2:49">
      <c r="H66" s="118">
        <v>2</v>
      </c>
      <c r="I66" s="166"/>
      <c r="J66" s="166"/>
      <c r="K66" s="166">
        <f ca="1">IF($D$5&lt;=15,200,200)</f>
        <v>200</v>
      </c>
      <c r="L66" s="167"/>
      <c r="M66" s="118"/>
      <c r="N66" s="118"/>
      <c r="O66" s="118"/>
      <c r="P66" s="118"/>
      <c r="Q66" s="118"/>
      <c r="S66" s="179"/>
      <c r="T66" s="91"/>
      <c r="U66" s="91"/>
      <c r="V66" s="91"/>
      <c r="W66" s="91"/>
      <c r="X66" s="91"/>
      <c r="Y66" s="91"/>
      <c r="Z66" s="91"/>
      <c r="AA66" s="91"/>
      <c r="AB66" s="91"/>
      <c r="AK66" s="253" t="str">
        <f>IF(OR($AL66="",COUNTIF($AL$46:$AR$46,$AL$2)=0),"",MAX($AK$3:AK65)+1)</f>
        <v/>
      </c>
      <c r="AL66" s="253" t="s">
        <v>230</v>
      </c>
      <c r="AM66" s="68"/>
      <c r="AN66" s="68"/>
      <c r="AO66" s="68"/>
      <c r="AP66" s="68"/>
      <c r="AQ66" s="68"/>
      <c r="AR66" s="68"/>
    </row>
    <row r="67" spans="2:49">
      <c r="H67" s="72">
        <v>3</v>
      </c>
      <c r="I67" s="166"/>
      <c r="J67" s="166"/>
      <c r="K67" s="166">
        <f ca="1">IF($D$5&lt;=15,200,200)</f>
        <v>200</v>
      </c>
      <c r="L67" s="72"/>
      <c r="M67" s="72"/>
      <c r="N67" s="72"/>
      <c r="O67" s="72"/>
      <c r="P67" s="72"/>
      <c r="Q67" s="72"/>
      <c r="S67" s="179"/>
      <c r="T67" s="91"/>
      <c r="U67" s="91"/>
      <c r="V67" s="91"/>
      <c r="W67" s="91"/>
      <c r="X67" s="91"/>
      <c r="Y67" s="91"/>
      <c r="Z67" s="91"/>
      <c r="AA67" s="91"/>
      <c r="AB67" s="91"/>
      <c r="AK67" s="253" t="str">
        <f>IF(OR($AL67="",COUNTIF($AL$46:$AR$46,$AL$2)=0),"",MAX($AK$3:AK66)+1)</f>
        <v/>
      </c>
      <c r="AL67" s="253" t="s">
        <v>231</v>
      </c>
      <c r="AM67" s="68"/>
      <c r="AN67" s="68"/>
      <c r="AO67" s="68"/>
      <c r="AP67" s="68"/>
      <c r="AQ67" s="68"/>
      <c r="AR67" s="68"/>
    </row>
    <row r="68" spans="2:49">
      <c r="H68" s="72">
        <v>4</v>
      </c>
      <c r="I68" s="118"/>
      <c r="J68" s="72"/>
      <c r="K68" s="166">
        <f ca="1">IF($D$5&lt;=15,200,200)</f>
        <v>200</v>
      </c>
      <c r="L68" s="72"/>
      <c r="M68" s="72"/>
      <c r="N68" s="72"/>
      <c r="O68" s="72"/>
      <c r="P68" s="72"/>
      <c r="Q68" s="72"/>
      <c r="S68" s="179"/>
      <c r="T68" s="91"/>
      <c r="U68" s="91"/>
      <c r="V68" s="91"/>
      <c r="W68" s="91"/>
      <c r="X68" s="91"/>
      <c r="Y68" s="91"/>
      <c r="Z68" s="91"/>
      <c r="AA68" s="91"/>
      <c r="AB68" s="91"/>
      <c r="AK68" s="253" t="str">
        <f>IF(OR($AL68="",COUNTIF($AL$46:$AR$46,$AL$2)=0),"",MAX($AK$3:AK67)+1)</f>
        <v/>
      </c>
      <c r="AL68" s="253" t="s">
        <v>232</v>
      </c>
      <c r="AM68" s="68"/>
      <c r="AN68" s="68"/>
      <c r="AO68" s="68"/>
      <c r="AP68" s="68"/>
      <c r="AQ68" s="68"/>
      <c r="AR68" s="68"/>
    </row>
    <row r="69" spans="2:49">
      <c r="B69" s="76" t="s">
        <v>117</v>
      </c>
      <c r="C69" s="168" t="s">
        <v>1094</v>
      </c>
      <c r="D69" s="68" t="s">
        <v>986</v>
      </c>
      <c r="E69" s="552"/>
      <c r="F69" s="68" t="s">
        <v>1005</v>
      </c>
      <c r="S69" s="179"/>
      <c r="T69" s="91"/>
      <c r="U69" s="91"/>
      <c r="V69" s="91"/>
      <c r="W69" s="91"/>
      <c r="X69" s="91"/>
      <c r="Y69" s="91"/>
      <c r="Z69" s="91"/>
      <c r="AA69" s="91"/>
      <c r="AB69" s="91"/>
      <c r="AK69" s="253" t="str">
        <f>IF(OR($AL69="",COUNTIF($AL$46:$AR$46,$AL$2)=0),"",MAX($AK$3:AK68)+1)</f>
        <v/>
      </c>
      <c r="AL69" s="253" t="s">
        <v>233</v>
      </c>
      <c r="AM69" s="68"/>
      <c r="AN69" s="68"/>
      <c r="AO69" s="68"/>
      <c r="AP69" s="68"/>
      <c r="AQ69" s="68"/>
      <c r="AR69" s="68"/>
    </row>
    <row r="70" spans="2:49" s="175" customFormat="1">
      <c r="B70" s="95"/>
      <c r="C70" s="95"/>
      <c r="L70" s="176"/>
      <c r="S70" s="101"/>
      <c r="T70" s="101"/>
      <c r="U70" s="101"/>
      <c r="V70" s="101"/>
      <c r="W70" s="101"/>
      <c r="X70" s="101"/>
      <c r="Y70" s="101"/>
      <c r="Z70" s="101"/>
      <c r="AA70" s="101"/>
      <c r="AB70" s="101"/>
      <c r="AF70" s="101"/>
      <c r="AG70" s="101"/>
      <c r="AH70" s="101"/>
      <c r="AI70" s="101"/>
      <c r="AJ70" s="101"/>
      <c r="AK70" s="253" t="str">
        <f>IF(OR($AL70="",COUNTIF($AL$46:$AR$46,$AL$2)=0),"",MAX($AK$3:AK69)+1)</f>
        <v/>
      </c>
      <c r="AL70" s="253" t="s">
        <v>234</v>
      </c>
      <c r="AS70" s="101"/>
      <c r="AT70" s="101"/>
      <c r="AU70" s="101"/>
      <c r="AV70" s="101"/>
      <c r="AW70" s="101"/>
    </row>
    <row r="71" spans="2:49">
      <c r="B71" s="141"/>
      <c r="C71" s="141"/>
      <c r="AK71" s="253" t="str">
        <f>IF(OR($AL71="",COUNTIF($AL$46:$AR$46,$AL$2)=0),"",MAX($AK$3:AK70)+1)</f>
        <v/>
      </c>
      <c r="AL71" s="253" t="s">
        <v>235</v>
      </c>
      <c r="AM71" s="175"/>
      <c r="AN71" s="175"/>
      <c r="AO71" s="175"/>
      <c r="AP71" s="175"/>
      <c r="AQ71" s="175"/>
      <c r="AR71" s="175"/>
    </row>
    <row r="72" spans="2:49">
      <c r="B72"/>
      <c r="C72" s="152"/>
      <c r="H72" s="72">
        <v>15</v>
      </c>
      <c r="I72" s="72">
        <v>200</v>
      </c>
      <c r="AK72" s="253" t="str">
        <f>IF(OR($AL72="",COUNTIF($AL$46:$AR$46,$AL$2)=0),"",MAX($AK$3:AK71)+1)</f>
        <v/>
      </c>
      <c r="AL72" s="253" t="s">
        <v>236</v>
      </c>
      <c r="AM72" s="68"/>
      <c r="AN72" s="68"/>
      <c r="AO72" s="68"/>
      <c r="AP72" s="68"/>
      <c r="AQ72" s="68"/>
      <c r="AR72" s="68"/>
    </row>
    <row r="73" spans="2:49">
      <c r="B73"/>
      <c r="C73" s="152"/>
      <c r="H73" s="72">
        <v>16</v>
      </c>
      <c r="I73" s="72">
        <v>200</v>
      </c>
      <c r="AK73" s="253" t="str">
        <f>IF(OR($AL73="",COUNTIF($AL$46:$AR$46,$AL$2)=0),"",MAX($AK$3:AK72)+1)</f>
        <v/>
      </c>
      <c r="AL73" s="253" t="s">
        <v>237</v>
      </c>
      <c r="AM73" s="68"/>
      <c r="AN73" s="68"/>
      <c r="AO73" s="68"/>
      <c r="AP73" s="68"/>
      <c r="AQ73" s="68"/>
      <c r="AR73" s="68"/>
    </row>
    <row r="74" spans="2:49">
      <c r="B74"/>
      <c r="C74" s="152"/>
      <c r="H74" s="72">
        <v>17</v>
      </c>
      <c r="I74" s="72">
        <v>200</v>
      </c>
      <c r="AK74" s="253" t="str">
        <f>IF(OR($AL74="",COUNTIF($AL$46:$AR$46,$AL$2)=0),"",MAX($AK$3:AK73)+1)</f>
        <v/>
      </c>
      <c r="AL74" s="253" t="s">
        <v>238</v>
      </c>
      <c r="AM74" s="68"/>
      <c r="AN74" s="68"/>
      <c r="AO74" s="68"/>
      <c r="AP74" s="68"/>
      <c r="AQ74" s="68"/>
      <c r="AR74" s="68"/>
    </row>
    <row r="75" spans="2:49">
      <c r="B75"/>
      <c r="C75" s="152"/>
      <c r="H75" s="72">
        <v>18</v>
      </c>
      <c r="I75" s="72">
        <v>200</v>
      </c>
      <c r="AK75" s="253" t="str">
        <f>IF(OR($AL75="",COUNTIF($AL$46:$AR$46,$AL$2)=0),"",MAX($AK$3:AK74)+1)</f>
        <v/>
      </c>
      <c r="AL75" s="253" t="s">
        <v>239</v>
      </c>
      <c r="AM75" s="68"/>
      <c r="AN75" s="68"/>
      <c r="AO75" s="68"/>
      <c r="AP75" s="68"/>
      <c r="AQ75" s="68"/>
      <c r="AR75" s="68"/>
    </row>
    <row r="76" spans="2:49">
      <c r="B76"/>
      <c r="C76" s="152"/>
      <c r="H76" s="72">
        <v>19</v>
      </c>
      <c r="I76" s="72">
        <v>200</v>
      </c>
      <c r="AK76" s="253" t="str">
        <f>IF(OR($AL76="",COUNTIF($AL$46:$AR$46,$AL$2)=0),"",MAX($AK$3:AK75)+1)</f>
        <v/>
      </c>
      <c r="AL76" s="253" t="s">
        <v>240</v>
      </c>
      <c r="AM76" s="68"/>
      <c r="AN76" s="68"/>
      <c r="AO76" s="68"/>
      <c r="AP76" s="68"/>
      <c r="AQ76" s="68"/>
      <c r="AR76" s="68"/>
    </row>
    <row r="77" spans="2:49">
      <c r="B77"/>
      <c r="C77" s="152"/>
      <c r="H77" s="72">
        <v>20</v>
      </c>
      <c r="I77" s="72">
        <v>200</v>
      </c>
      <c r="AK77" s="253" t="str">
        <f>IF(OR($AL77="",COUNTIF($AL$46:$AR$46,$AL$2)=0),"",MAX($AK$3:AK76)+1)</f>
        <v/>
      </c>
      <c r="AL77" s="253" t="s">
        <v>241</v>
      </c>
      <c r="AM77" s="68"/>
      <c r="AN77" s="68"/>
      <c r="AO77" s="68"/>
      <c r="AP77" s="68"/>
      <c r="AQ77" s="68"/>
      <c r="AR77" s="68"/>
    </row>
    <row r="78" spans="2:49">
      <c r="B78"/>
      <c r="C78" s="152"/>
      <c r="H78" s="72">
        <v>21</v>
      </c>
      <c r="I78" s="72">
        <v>200</v>
      </c>
      <c r="AK78" s="253" t="str">
        <f>IF(OR($AL78="",COUNTIF($AL$46:$AR$46,$AL$2)=0),"",MAX($AK$3:AK77)+1)</f>
        <v/>
      </c>
      <c r="AL78" s="253" t="s">
        <v>242</v>
      </c>
      <c r="AM78" s="68"/>
      <c r="AN78" s="68"/>
      <c r="AO78" s="68"/>
      <c r="AP78" s="68"/>
      <c r="AQ78" s="68"/>
      <c r="AR78" s="68"/>
    </row>
    <row r="79" spans="2:49">
      <c r="B79"/>
      <c r="C79" s="152"/>
      <c r="H79" s="72">
        <v>22</v>
      </c>
      <c r="I79" s="72">
        <v>200</v>
      </c>
      <c r="AK79" s="253" t="str">
        <f>IF(OR($AL79="",COUNTIF($AL$46:$AR$46,$AL$2)=0),"",MAX($AK$3:AK78)+1)</f>
        <v/>
      </c>
      <c r="AL79" s="253"/>
      <c r="AM79" s="68"/>
      <c r="AN79" s="68"/>
      <c r="AO79" s="68"/>
      <c r="AP79" s="68"/>
      <c r="AQ79" s="68"/>
      <c r="AR79" s="68"/>
    </row>
    <row r="80" spans="2:49">
      <c r="B80"/>
      <c r="C80" s="152"/>
      <c r="H80" s="72">
        <v>23</v>
      </c>
      <c r="I80" s="72">
        <v>200</v>
      </c>
      <c r="AK80" s="253" t="str">
        <f>IF(OR($AL80="",COUNTIF($AL$46:$AR$46,$AL$2)=0),"",MAX($AK$3:AK79)+1)</f>
        <v/>
      </c>
      <c r="AL80" s="253"/>
      <c r="AM80" s="68"/>
      <c r="AN80" s="68"/>
      <c r="AO80" s="68"/>
      <c r="AP80" s="68"/>
      <c r="AQ80" s="68"/>
      <c r="AR80" s="68"/>
    </row>
    <row r="81" spans="2:44">
      <c r="B81"/>
      <c r="C81" s="152"/>
      <c r="H81" s="72">
        <v>24</v>
      </c>
      <c r="I81" s="72">
        <v>200</v>
      </c>
      <c r="AK81" s="253" t="str">
        <f>IF(OR($AL81="",COUNTIF($AL$46:$AR$46,$AL$2)=0),"",MAX($AK$3:AK80)+1)</f>
        <v/>
      </c>
      <c r="AL81" s="253"/>
      <c r="AM81" s="68"/>
      <c r="AN81" s="68"/>
      <c r="AO81" s="68"/>
      <c r="AP81" s="68"/>
      <c r="AQ81" s="68"/>
      <c r="AR81" s="68"/>
    </row>
    <row r="82" spans="2:44">
      <c r="B82"/>
      <c r="C82" s="152"/>
      <c r="H82" s="72">
        <v>25</v>
      </c>
      <c r="I82" s="72">
        <v>200</v>
      </c>
      <c r="AK82" s="253" t="str">
        <f>IF(OR($AL82="",COUNTIF($AL$46:$AR$46,$AL$2)=0),"",MAX($AK$3:AK81)+1)</f>
        <v/>
      </c>
      <c r="AL82" s="253"/>
      <c r="AM82" s="68"/>
      <c r="AN82" s="68"/>
      <c r="AO82" s="68"/>
      <c r="AP82" s="68"/>
      <c r="AQ82" s="68"/>
      <c r="AR82" s="68"/>
    </row>
    <row r="83" spans="2:44">
      <c r="B83"/>
      <c r="C83" s="152"/>
      <c r="H83" s="72">
        <v>26</v>
      </c>
      <c r="I83" s="72">
        <v>200</v>
      </c>
      <c r="AK83" s="253" t="str">
        <f>IF(OR($AL83="",COUNTIF($AL$46:$AR$46,$AL$2)=0),"",MAX($AK$3:AK82)+1)</f>
        <v/>
      </c>
      <c r="AL83" s="253"/>
      <c r="AM83" s="68"/>
      <c r="AN83" s="68"/>
      <c r="AO83" s="68"/>
      <c r="AP83" s="68"/>
      <c r="AQ83" s="68"/>
      <c r="AR83" s="68"/>
    </row>
    <row r="84" spans="2:44">
      <c r="B84"/>
      <c r="C84" s="152"/>
      <c r="H84" s="72">
        <v>27</v>
      </c>
      <c r="I84" s="72">
        <v>200</v>
      </c>
      <c r="AK84" s="253" t="str">
        <f>IF(OR($AL84="",COUNTIF($AL$46:$AR$46,$AL$2)=0),"",MAX($AK$3:AK83)+1)</f>
        <v/>
      </c>
      <c r="AL84" s="253"/>
      <c r="AM84" s="68"/>
      <c r="AN84" s="68"/>
      <c r="AO84" s="68"/>
      <c r="AP84" s="68"/>
      <c r="AQ84" s="68"/>
      <c r="AR84" s="68"/>
    </row>
    <row r="85" spans="2:44">
      <c r="B85"/>
      <c r="C85" s="152"/>
      <c r="H85" s="72">
        <v>28</v>
      </c>
      <c r="I85" s="72">
        <v>200</v>
      </c>
      <c r="AK85" s="253" t="str">
        <f>IF(OR($AL85="",COUNTIF($AL$46:$AR$46,$AL$2)=0),"",MAX($AK$3:AK84)+1)</f>
        <v/>
      </c>
      <c r="AL85" s="253"/>
      <c r="AM85" s="68"/>
      <c r="AN85" s="68"/>
      <c r="AO85" s="68"/>
      <c r="AP85" s="68"/>
      <c r="AQ85" s="68"/>
      <c r="AR85" s="68"/>
    </row>
    <row r="86" spans="2:44">
      <c r="B86"/>
      <c r="C86" s="152"/>
      <c r="H86" s="72">
        <v>29</v>
      </c>
      <c r="I86" s="72">
        <v>200</v>
      </c>
      <c r="AK86" s="253" t="str">
        <f>IF(OR($AL86="",COUNTIF($AL$46:$AR$46,$AL$2)=0),"",MAX($AK$3:AK85)+1)</f>
        <v/>
      </c>
      <c r="AL86" s="253"/>
      <c r="AM86" s="68"/>
      <c r="AN86" s="68"/>
      <c r="AO86" s="68"/>
      <c r="AP86" s="68"/>
      <c r="AQ86" s="68"/>
      <c r="AR86" s="68"/>
    </row>
    <row r="87" spans="2:44">
      <c r="B87"/>
      <c r="C87" s="152"/>
      <c r="H87" s="72">
        <v>30</v>
      </c>
      <c r="I87" s="72">
        <v>200</v>
      </c>
      <c r="AK87" s="253" t="str">
        <f>IF(OR($AL87="",COUNTIF($AL$46:$AR$46,$AL$2)=0),"",MAX($AK$3:AK86)+1)</f>
        <v/>
      </c>
      <c r="AL87" s="253"/>
      <c r="AM87" s="68"/>
      <c r="AN87" s="68"/>
      <c r="AO87" s="68"/>
      <c r="AP87" s="68"/>
      <c r="AQ87" s="68"/>
      <c r="AR87" s="68"/>
    </row>
    <row r="88" spans="2:44">
      <c r="B88"/>
      <c r="C88" s="152"/>
      <c r="H88" s="72">
        <v>31</v>
      </c>
      <c r="I88" s="72">
        <v>200</v>
      </c>
      <c r="AK88" s="253" t="str">
        <f>IF(OR($AL88="",COUNTIF($AL$46:$AR$46,$AL$2)=0),"",MAX($AK$3:AK87)+1)</f>
        <v/>
      </c>
      <c r="AL88" s="253"/>
      <c r="AM88" s="68"/>
      <c r="AN88" s="68"/>
      <c r="AO88" s="68"/>
      <c r="AP88" s="68"/>
      <c r="AQ88" s="68"/>
      <c r="AR88" s="68"/>
    </row>
    <row r="89" spans="2:44">
      <c r="B89"/>
      <c r="C89" s="152"/>
      <c r="H89" s="72">
        <v>32</v>
      </c>
      <c r="I89" s="72">
        <v>200</v>
      </c>
      <c r="AK89" s="253" t="str">
        <f>IF(OR($AL89="",COUNTIF($AL$46:$AR$46,$AL$2)=0),"",MAX($AK$3:AK88)+1)</f>
        <v/>
      </c>
      <c r="AL89" s="253"/>
      <c r="AM89" s="68"/>
      <c r="AN89" s="68"/>
      <c r="AO89" s="68"/>
      <c r="AP89" s="68"/>
      <c r="AQ89" s="68"/>
      <c r="AR89" s="68"/>
    </row>
    <row r="90" spans="2:44">
      <c r="B90"/>
      <c r="C90" s="152"/>
      <c r="H90" s="72">
        <v>33</v>
      </c>
      <c r="I90" s="72">
        <v>200</v>
      </c>
      <c r="AK90" s="253" t="str">
        <f>IF(OR($AL90="",COUNTIF($AL$46:$AR$46,$AL$2)=0),"",MAX($AK$3:AK89)+1)</f>
        <v/>
      </c>
      <c r="AL90" s="253"/>
      <c r="AM90" s="68"/>
      <c r="AN90" s="68"/>
      <c r="AO90" s="68"/>
      <c r="AP90" s="68"/>
      <c r="AQ90" s="68"/>
      <c r="AR90" s="68"/>
    </row>
    <row r="91" spans="2:44">
      <c r="B91"/>
      <c r="C91" s="152"/>
      <c r="H91" s="72">
        <v>34</v>
      </c>
      <c r="I91" s="72">
        <v>200</v>
      </c>
      <c r="AK91" s="254"/>
      <c r="AL91" s="254"/>
      <c r="AM91" s="254"/>
      <c r="AN91" s="254"/>
      <c r="AO91" s="254"/>
      <c r="AP91" s="254"/>
      <c r="AQ91" s="254"/>
      <c r="AR91" s="254"/>
    </row>
    <row r="92" spans="2:44">
      <c r="B92"/>
      <c r="C92" s="152"/>
      <c r="H92" s="72">
        <v>35</v>
      </c>
      <c r="I92" s="72">
        <v>200</v>
      </c>
    </row>
    <row r="93" spans="2:44">
      <c r="B93"/>
      <c r="C93" s="152"/>
      <c r="H93" s="72">
        <v>36</v>
      </c>
      <c r="I93" s="72">
        <v>200</v>
      </c>
    </row>
    <row r="94" spans="2:44">
      <c r="B94"/>
      <c r="C94" s="152"/>
      <c r="H94" s="72">
        <v>37</v>
      </c>
      <c r="I94" s="72">
        <v>200</v>
      </c>
    </row>
    <row r="95" spans="2:44">
      <c r="B95"/>
      <c r="C95" s="152"/>
      <c r="H95" s="72">
        <v>38</v>
      </c>
      <c r="I95" s="72">
        <v>200</v>
      </c>
    </row>
    <row r="96" spans="2:44">
      <c r="B96"/>
      <c r="C96" s="152"/>
      <c r="H96" s="72">
        <v>39</v>
      </c>
      <c r="I96" s="72">
        <v>200</v>
      </c>
    </row>
    <row r="97" spans="2:9">
      <c r="B97"/>
      <c r="C97" s="152"/>
      <c r="H97" s="72">
        <v>40</v>
      </c>
      <c r="I97" s="72">
        <v>200</v>
      </c>
    </row>
    <row r="98" spans="2:9">
      <c r="B98"/>
      <c r="C98" s="152"/>
      <c r="H98" s="72">
        <v>41</v>
      </c>
      <c r="I98" s="72">
        <v>200</v>
      </c>
    </row>
    <row r="99" spans="2:9">
      <c r="B99"/>
      <c r="C99" s="152"/>
      <c r="H99" s="72">
        <v>42</v>
      </c>
      <c r="I99" s="72">
        <v>200</v>
      </c>
    </row>
    <row r="100" spans="2:9">
      <c r="B100"/>
      <c r="C100" s="152"/>
      <c r="H100" s="72">
        <v>43</v>
      </c>
      <c r="I100" s="72">
        <v>200</v>
      </c>
    </row>
    <row r="101" spans="2:9">
      <c r="B101"/>
      <c r="C101" s="152"/>
      <c r="H101" s="72">
        <v>44</v>
      </c>
      <c r="I101" s="72">
        <v>200</v>
      </c>
    </row>
    <row r="102" spans="2:9">
      <c r="B102"/>
      <c r="C102" s="152"/>
      <c r="H102" s="72">
        <v>45</v>
      </c>
      <c r="I102" s="72">
        <v>200</v>
      </c>
    </row>
    <row r="103" spans="2:9">
      <c r="B103"/>
      <c r="C103" s="152"/>
      <c r="H103" s="72">
        <v>46</v>
      </c>
      <c r="I103" s="72">
        <v>200</v>
      </c>
    </row>
    <row r="104" spans="2:9">
      <c r="B104"/>
      <c r="C104" s="152"/>
      <c r="H104" s="72">
        <v>47</v>
      </c>
      <c r="I104" s="72">
        <v>200</v>
      </c>
    </row>
    <row r="105" spans="2:9">
      <c r="B105"/>
      <c r="C105" s="152"/>
      <c r="H105" s="72">
        <v>48</v>
      </c>
      <c r="I105" s="72">
        <v>200</v>
      </c>
    </row>
    <row r="106" spans="2:9">
      <c r="B106"/>
      <c r="C106" s="152"/>
      <c r="H106" s="72">
        <v>49</v>
      </c>
      <c r="I106" s="72">
        <v>200</v>
      </c>
    </row>
    <row r="107" spans="2:9">
      <c r="B107"/>
      <c r="C107" s="152"/>
      <c r="H107" s="72">
        <v>50</v>
      </c>
      <c r="I107" s="72">
        <v>200</v>
      </c>
    </row>
    <row r="108" spans="2:9">
      <c r="B108"/>
      <c r="C108" s="152"/>
      <c r="H108" s="72">
        <v>51</v>
      </c>
      <c r="I108" s="72">
        <v>200</v>
      </c>
    </row>
    <row r="109" spans="2:9">
      <c r="B109"/>
      <c r="C109" s="152"/>
      <c r="H109" s="72">
        <v>52</v>
      </c>
      <c r="I109" s="72">
        <v>200</v>
      </c>
    </row>
    <row r="110" spans="2:9">
      <c r="B110"/>
      <c r="C110" s="152"/>
      <c r="H110" s="72">
        <v>53</v>
      </c>
      <c r="I110" s="72">
        <v>200</v>
      </c>
    </row>
    <row r="111" spans="2:9">
      <c r="B111"/>
      <c r="C111" s="152"/>
      <c r="H111" s="72">
        <v>54</v>
      </c>
      <c r="I111" s="72">
        <v>200</v>
      </c>
    </row>
    <row r="112" spans="2:9">
      <c r="B112"/>
      <c r="C112" s="152"/>
      <c r="H112" s="72">
        <v>55</v>
      </c>
      <c r="I112" s="72">
        <v>200</v>
      </c>
    </row>
    <row r="113" spans="2:9">
      <c r="B113"/>
      <c r="C113" s="152"/>
      <c r="H113" s="72">
        <v>56</v>
      </c>
      <c r="I113" s="72">
        <v>200</v>
      </c>
    </row>
    <row r="114" spans="2:9">
      <c r="B114"/>
      <c r="C114" s="152"/>
      <c r="H114" s="72">
        <v>57</v>
      </c>
      <c r="I114" s="72">
        <v>200</v>
      </c>
    </row>
    <row r="115" spans="2:9">
      <c r="B115"/>
      <c r="C115" s="152"/>
      <c r="H115" s="72">
        <v>58</v>
      </c>
      <c r="I115" s="72">
        <v>200</v>
      </c>
    </row>
    <row r="116" spans="2:9">
      <c r="B116"/>
      <c r="C116" s="152"/>
      <c r="H116" s="72">
        <v>59</v>
      </c>
      <c r="I116" s="72">
        <v>200</v>
      </c>
    </row>
    <row r="117" spans="2:9">
      <c r="B117"/>
      <c r="C117" s="152"/>
      <c r="H117" s="72">
        <v>60</v>
      </c>
      <c r="I117" s="72">
        <v>200</v>
      </c>
    </row>
    <row r="118" spans="2:9">
      <c r="B118"/>
      <c r="C118" s="152"/>
      <c r="H118" s="72">
        <v>61</v>
      </c>
      <c r="I118" s="72">
        <v>200</v>
      </c>
    </row>
    <row r="119" spans="2:9">
      <c r="B119"/>
      <c r="C119" s="152"/>
      <c r="H119" s="72">
        <v>62</v>
      </c>
      <c r="I119" s="72">
        <v>200</v>
      </c>
    </row>
    <row r="120" spans="2:9">
      <c r="B120"/>
      <c r="C120" s="152"/>
      <c r="H120" s="72">
        <v>63</v>
      </c>
      <c r="I120" s="72">
        <v>200</v>
      </c>
    </row>
    <row r="121" spans="2:9">
      <c r="B121"/>
      <c r="C121" s="152"/>
      <c r="H121" s="72">
        <v>64</v>
      </c>
      <c r="I121" s="72">
        <v>200</v>
      </c>
    </row>
    <row r="122" spans="2:9">
      <c r="B122"/>
      <c r="C122" s="152"/>
      <c r="H122" s="72">
        <v>65</v>
      </c>
      <c r="I122" s="72">
        <v>200</v>
      </c>
    </row>
    <row r="123" spans="2:9">
      <c r="B123"/>
      <c r="C123" s="152"/>
      <c r="H123" s="72">
        <v>66</v>
      </c>
      <c r="I123" s="72">
        <v>200</v>
      </c>
    </row>
    <row r="124" spans="2:9">
      <c r="B124"/>
      <c r="C124" s="152"/>
      <c r="H124" s="72">
        <v>67</v>
      </c>
      <c r="I124" s="72">
        <v>200</v>
      </c>
    </row>
    <row r="125" spans="2:9">
      <c r="B125"/>
      <c r="C125" s="152"/>
      <c r="H125" s="72">
        <v>68</v>
      </c>
      <c r="I125" s="72">
        <v>200</v>
      </c>
    </row>
    <row r="126" spans="2:9">
      <c r="B126"/>
      <c r="C126" s="152"/>
      <c r="H126" s="72">
        <v>69</v>
      </c>
      <c r="I126" s="72">
        <v>200</v>
      </c>
    </row>
    <row r="127" spans="2:9">
      <c r="B127"/>
      <c r="C127" s="152"/>
      <c r="H127" s="72">
        <v>70</v>
      </c>
      <c r="I127" s="72">
        <v>200</v>
      </c>
    </row>
    <row r="128" spans="2:9">
      <c r="B128"/>
      <c r="C128" s="152"/>
      <c r="H128" s="72"/>
      <c r="I128" s="72"/>
    </row>
    <row r="129" spans="2:9">
      <c r="B129"/>
      <c r="C129" s="152"/>
      <c r="H129" s="72"/>
      <c r="I129" s="72"/>
    </row>
    <row r="130" spans="2:9">
      <c r="B130"/>
      <c r="C130" s="152"/>
      <c r="H130" s="72"/>
      <c r="I130" s="72"/>
    </row>
    <row r="131" spans="2:9">
      <c r="B131"/>
      <c r="C131" s="152"/>
      <c r="H131" s="72"/>
      <c r="I131" s="72"/>
    </row>
    <row r="132" spans="2:9">
      <c r="B132"/>
      <c r="C132" s="152"/>
    </row>
    <row r="133" spans="2:9">
      <c r="B133"/>
      <c r="C133" s="152"/>
    </row>
    <row r="134" spans="2:9">
      <c r="B134"/>
      <c r="C134" s="152"/>
    </row>
    <row r="135" spans="2:9">
      <c r="B135"/>
      <c r="C135" s="152"/>
    </row>
    <row r="136" spans="2:9">
      <c r="B136"/>
      <c r="C136" s="152"/>
    </row>
    <row r="137" spans="2:9">
      <c r="B137"/>
      <c r="C137" s="152"/>
    </row>
    <row r="138" spans="2:9">
      <c r="B138"/>
      <c r="C138" s="152"/>
    </row>
    <row r="139" spans="2:9">
      <c r="B139"/>
      <c r="C139" s="152"/>
    </row>
    <row r="140" spans="2:9">
      <c r="B140"/>
      <c r="C140" s="152"/>
    </row>
    <row r="141" spans="2:9">
      <c r="B141"/>
      <c r="C141" s="152"/>
    </row>
    <row r="142" spans="2:9">
      <c r="B142"/>
      <c r="C142" s="152"/>
    </row>
    <row r="143" spans="2:9">
      <c r="B143"/>
      <c r="C143" s="152"/>
    </row>
    <row r="144" spans="2:9">
      <c r="B144"/>
      <c r="C144" s="152"/>
    </row>
    <row r="145" spans="2:5">
      <c r="B145"/>
      <c r="C145" s="152"/>
    </row>
    <row r="146" spans="2:5">
      <c r="B146"/>
      <c r="C146" s="152"/>
    </row>
    <row r="147" spans="2:5">
      <c r="B147"/>
      <c r="C147" s="152"/>
    </row>
    <row r="148" spans="2:5">
      <c r="B148"/>
      <c r="C148" s="152"/>
    </row>
    <row r="149" spans="2:5">
      <c r="B149"/>
      <c r="C149" s="152"/>
    </row>
    <row r="150" spans="2:5">
      <c r="B150" s="535" t="s">
        <v>989</v>
      </c>
      <c r="C150" s="536">
        <f>IF($E$150="同被保險人",$C$73,輸入頁!$E$13)</f>
        <v>0</v>
      </c>
      <c r="E150" s="537" t="str">
        <f>輸入頁!$E$12</f>
        <v>與被保險人不同</v>
      </c>
    </row>
    <row r="151" spans="2:5">
      <c r="B151" s="76" t="s">
        <v>990</v>
      </c>
      <c r="C151" s="76" t="s">
        <v>991</v>
      </c>
      <c r="D151" s="76" t="s">
        <v>29</v>
      </c>
      <c r="E151" s="76" t="s">
        <v>992</v>
      </c>
    </row>
    <row r="152" spans="2:5">
      <c r="B152" s="76">
        <f>IF(C153=0,0,VALUE(MID(C153,IF(LEN(C153)=7,4,3),2)))</f>
        <v>0</v>
      </c>
      <c r="C152" s="538">
        <f ca="1">$C$3</f>
        <v>44835</v>
      </c>
      <c r="D152" s="538">
        <f>IF(C153=0,0,DATE(LEFT(C153,IF(LEN(C153)=7,3,2))+1911,MID(C153,IF(LEN(C153)=7,4,3),2),RIGHT(C153,2)))</f>
        <v>0</v>
      </c>
      <c r="E152" s="539">
        <f>IF(E153=1,0,IF(OR(B152=1,B152=3,B152=5,B152=7,B152=8,B152=10,B152=12),31,IF(OR(B152=4,B152=6,B152=9,B152=11),30,IF(AND(B152=2,YEAR(D152)/4=INT(YEAR(D152)/4),YEAR(D152)/400&lt;&gt;INT(YEAR(D152)/400)),29,28))))</f>
        <v>0</v>
      </c>
    </row>
    <row r="153" spans="2:5">
      <c r="B153" s="76" t="s">
        <v>993</v>
      </c>
      <c r="C153" s="540">
        <f>IF(輸入頁!$E$12="同被保險人",$C$10,輸入頁!$E$14)</f>
        <v>0</v>
      </c>
      <c r="D153" s="541"/>
      <c r="E153" s="76">
        <f>IF(OR(B152&lt;1,B152&gt;12),1,"")</f>
        <v>1</v>
      </c>
    </row>
    <row r="154" spans="2:5">
      <c r="B154" s="76" t="s">
        <v>994</v>
      </c>
      <c r="C154" s="165" t="s">
        <v>995</v>
      </c>
      <c r="D154" s="165">
        <f>IF(SUM(E155)&gt;=1,0,IF(D152&gt;C152,0,IF(MONTH(C152)&lt;B152,IF(OR(MONTH(C152)+12-B152&gt;6,AND(MONTH(C152)+12-B152=6,DAY(C152)&gt;DAY(D152))),YEAR(C152)-1-YEAR(D152)+1,IF(OR(MONTH(C152)+12-B152&lt;6,AND(MONTH(C152)+12-B152=6,DAY(C152)&lt;=DAY(D152))),YEAR(C152)-1-YEAR(D152))),IF(OR(MONTH(C152)-B152&gt;6,AND(MONTH(C152)-B152=6,DAY(C152)&gt;DAY(D152))),YEAR(C152)-YEAR(D152)+1,IF(OR(MONTH(C152)-B152&lt;=6,AND(MONTH(C152)-B152=6,DAY(C152)&lt;=DAY(D152))),YEAR(C152)-YEAR(D152),)))))</f>
        <v>0</v>
      </c>
      <c r="E154" s="76">
        <f>IF(OR(VALUE(RIGHT(C153,2))&lt;1,VALUE(RIGHT(C153,2))&gt;E152),1,"")</f>
        <v>1</v>
      </c>
    </row>
    <row r="155" spans="2:5">
      <c r="B155" s="542" t="str">
        <f ca="1">IF(OR(AND($E$155&lt;&gt;1,$D$154&gt;=$B$156+1),AND($E$6&lt;&gt;1,$D$5&gt;=$B$156+1),$D$159=1),"本件需請要保人進行錄音","")&amp;$B$157&amp;$B$158</f>
        <v/>
      </c>
      <c r="C155" s="165" t="s">
        <v>996</v>
      </c>
      <c r="D155" s="165" t="str">
        <f>IF(SUM(E155)&gt;=1,"生日格式錯誤",IF(D152&gt;C152,"被保險人未出生",DATEDIF(D152,C152,"y")))</f>
        <v>生日格式錯誤</v>
      </c>
      <c r="E155" s="543">
        <f>IF(OR(E153=1,E154=1),1,"")</f>
        <v>1</v>
      </c>
    </row>
    <row r="156" spans="2:5">
      <c r="B156" s="544">
        <f>IF(D158=0,100,69)</f>
        <v>100</v>
      </c>
      <c r="C156" s="545">
        <f>IF($D$158=0,0,((LEFT(TEXT(DATE(YEAR($C$3)-$B$156,MONTH($C$3)-6,DAY($C$3)-1),"yyyymmdd"),4)*1)-IF(LEN($C$10)=8,0,1911)&amp;TEXT(MID(TEXT(DATE(YEAR($C$3)-$B$156,MONTH($C$3)-6,DAY($C$3)-1),"yyyymmdd"),5,2),"00")&amp;TEXT(RIGHT(TEXT(DATE(YEAR($C$3)-$B$156,MONTH($C$3)-6,DAY($C$3)-1),"yyyymmdd"),2),"00"))*1)</f>
        <v>0</v>
      </c>
      <c r="D156" s="546" t="str">
        <f ca="1">TEXT(DATE(YEAR($C$3)-$B$156,MONTH($C$3)-6,DAY($C$3)),"yyyy/m/d")</f>
        <v>1922/4/1</v>
      </c>
      <c r="E156" s="265" t="str">
        <f>IF($E$69="一銀",IF(OR(AND($E$155&lt;&gt;1,$D$154&gt;=$B$156+1),AND($E$6&lt;&gt;1,$D$5&gt;=$B$156+1),$D$159=1),1,""),"")</f>
        <v/>
      </c>
    </row>
    <row r="157" spans="2:5">
      <c r="B157" s="62" t="str">
        <f ca="1">IF(AND(C153&gt;$C$156,$C$153&lt;=$E$157),"*請注意要保人將於"&amp;D152-D156+1&amp;"天後達70歲*","")</f>
        <v/>
      </c>
      <c r="C157" s="74" t="s">
        <v>997</v>
      </c>
      <c r="D157" s="74">
        <v>7</v>
      </c>
      <c r="E157" s="547">
        <f ca="1">((LEFT(TEXT(DATE(YEAR($C$3)-$B$156,MONTH($C$3)-6,DAY($C$3)+$D$157),"yyyymmdd"),4)*1)-IF(LEN($C$10)=8,0,1911)&amp;TEXT(MID(TEXT(DATE(YEAR($C$3)-$B$156,MONTH($C$3)-6,DAY($C$3)+$D$157),"yyyymmdd"),5,2),"00")&amp;TEXT(RIGHT(TEXT(DATE(YEAR($C$3)-$B$156,MONTH($C$3)-6,DAY($C$3)+$D$157),"yyyymmdd"),2),"00"))*1</f>
        <v>110408</v>
      </c>
    </row>
    <row r="158" spans="2:5">
      <c r="B158" s="62" t="str">
        <f ca="1">IF(AND($C$4&gt;$C$156,$C$4&lt;=$E$157),"*請注意被保人將於"&amp;$D$3-$D$156+1&amp;"天後達70歲*","")</f>
        <v/>
      </c>
      <c r="C158" s="74" t="s">
        <v>998</v>
      </c>
      <c r="D158" s="548">
        <f>IF($E$69&lt;&gt;"",1,0)</f>
        <v>0</v>
      </c>
      <c r="E158" s="166" t="s">
        <v>999</v>
      </c>
    </row>
    <row r="159" spans="2:5">
      <c r="B159" s="554" t="s">
        <v>1004</v>
      </c>
      <c r="C159" s="554">
        <f>輸入頁!$O$14</f>
        <v>0</v>
      </c>
      <c r="D159" s="555" t="str">
        <f>IF(OR($D$158=0,$C$159=0,$C$159=""),"",IF($C$159*1&lt;=$C$156*1,1,""))</f>
        <v/>
      </c>
    </row>
    <row r="160" spans="2:5">
      <c r="B160" s="76" t="s">
        <v>1015</v>
      </c>
      <c r="C160" s="563" t="s">
        <v>108</v>
      </c>
    </row>
    <row r="161" spans="2:3">
      <c r="B161"/>
      <c r="C161" s="152"/>
    </row>
    <row r="162" spans="2:3">
      <c r="B162"/>
      <c r="C162" s="152"/>
    </row>
    <row r="163" spans="2:3">
      <c r="B163"/>
      <c r="C163" s="152"/>
    </row>
    <row r="164" spans="2:3">
      <c r="B164"/>
      <c r="C164" s="152"/>
    </row>
    <row r="165" spans="2:3">
      <c r="B165"/>
      <c r="C165" s="152"/>
    </row>
    <row r="166" spans="2:3">
      <c r="B166"/>
      <c r="C166" s="152"/>
    </row>
    <row r="167" spans="2:3">
      <c r="B167"/>
      <c r="C167" s="152"/>
    </row>
    <row r="168" spans="2:3">
      <c r="B168"/>
      <c r="C168" s="152"/>
    </row>
    <row r="169" spans="2:3">
      <c r="B169"/>
      <c r="C169" s="152"/>
    </row>
    <row r="170" spans="2:3">
      <c r="B170"/>
      <c r="C170" s="152"/>
    </row>
    <row r="171" spans="2:3">
      <c r="B171"/>
      <c r="C171" s="152"/>
    </row>
    <row r="172" spans="2:3">
      <c r="B172"/>
      <c r="C172" s="152"/>
    </row>
    <row r="173" spans="2:3">
      <c r="B173"/>
      <c r="C173" s="152"/>
    </row>
    <row r="174" spans="2:3">
      <c r="B174"/>
      <c r="C174" s="152"/>
    </row>
    <row r="175" spans="2:3">
      <c r="B175"/>
      <c r="C175" s="152"/>
    </row>
    <row r="176" spans="2:3">
      <c r="B176"/>
      <c r="C176" s="152"/>
    </row>
    <row r="177" spans="2:3">
      <c r="B177"/>
      <c r="C177" s="152"/>
    </row>
    <row r="178" spans="2:3">
      <c r="B178"/>
      <c r="C178" s="152"/>
    </row>
    <row r="179" spans="2:3">
      <c r="B179"/>
      <c r="C179" s="152"/>
    </row>
    <row r="180" spans="2:3">
      <c r="B180"/>
      <c r="C180" s="152"/>
    </row>
    <row r="181" spans="2:3">
      <c r="B181"/>
      <c r="C181" s="152"/>
    </row>
    <row r="182" spans="2:3">
      <c r="B182"/>
      <c r="C182" s="152"/>
    </row>
  </sheetData>
  <sheetProtection algorithmName="SHA-512" hashValue="bycyzpEO4ra8lDoutgCFR0JdCTJRQpgo7BPD5ShD7sSjzOJK96vUufiyAKmGj/pZZqk4haZLZGG8X8EU40nRCQ==" saltValue="mfz9zFlRbLrGB0k1SFWuNQ==" spinCount="100000" sheet="1" objects="1" scenarios="1"/>
  <phoneticPr fontId="7" type="noConversion"/>
  <conditionalFormatting sqref="O2">
    <cfRule type="expression" dxfId="67" priority="2" stopIfTrue="1">
      <formula>$A$50=1</formula>
    </cfRule>
  </conditionalFormatting>
  <conditionalFormatting sqref="O3 O5">
    <cfRule type="expression" dxfId="66" priority="3" stopIfTrue="1">
      <formula>#REF!=1</formula>
    </cfRule>
  </conditionalFormatting>
  <conditionalFormatting sqref="B150 B155">
    <cfRule type="expression" dxfId="65" priority="1" stopIfTrue="1">
      <formula>$A$46=1</formula>
    </cfRule>
  </conditionalFormatting>
  <dataValidations count="9">
    <dataValidation type="list" allowBlank="1" showInputMessage="1" showErrorMessage="1" sqref="E16">
      <formula1>"1,2"</formula1>
    </dataValidation>
    <dataValidation type="list" allowBlank="1" showInputMessage="1" showErrorMessage="1" sqref="C69">
      <formula1>"業務、服展、北富銀,保經代"</formula1>
    </dataValidation>
    <dataValidation allowBlank="1" showInputMessage="1" showErrorMessage="1" prompt="日驗證" sqref="E154"/>
    <dataValidation allowBlank="1" showInputMessage="1" showErrorMessage="1" prompt="月驗證" sqref="E153"/>
    <dataValidation allowBlank="1" showInputMessage="1" showErrorMessage="1" prompt="生日月份最終日" sqref="E152"/>
    <dataValidation allowBlank="1" showInputMessage="1" showErrorMessage="1" prompt="生日-月" sqref="B152"/>
    <dataValidation type="list" allowBlank="1" showInputMessage="1" showErrorMessage="1" sqref="E21">
      <formula1>"新臺幣,美元,澳幣,人民幣"</formula1>
    </dataValidation>
    <dataValidation type="list" allowBlank="1" showInputMessage="1" showErrorMessage="1" sqref="E69">
      <formula1>"銀保通路,一銀,花旗"</formula1>
    </dataValidation>
    <dataValidation type="list" allowBlank="1" showInputMessage="1" showErrorMessage="1" sqref="C160">
      <formula1>"公版,兆豐,台新"</formula1>
    </dataValidation>
  </dataValidations>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S175"/>
  <sheetViews>
    <sheetView showGridLines="0" showRowColHeaders="0" tabSelected="1" workbookViewId="0">
      <selection activeCell="E5" sqref="E5:H5"/>
    </sheetView>
  </sheetViews>
  <sheetFormatPr defaultColWidth="0" defaultRowHeight="16.5" zeroHeight="1"/>
  <cols>
    <col min="1" max="1" width="2.33203125" style="2" customWidth="1"/>
    <col min="2" max="2" width="6.83203125" style="3" customWidth="1"/>
    <col min="3" max="3" width="10.1640625" style="3" customWidth="1"/>
    <col min="4" max="4" width="13.6640625" style="3" customWidth="1"/>
    <col min="5" max="5" width="5.83203125" style="3" customWidth="1"/>
    <col min="6" max="6" width="4.33203125" style="3" customWidth="1"/>
    <col min="7" max="11" width="5.83203125" style="3" customWidth="1"/>
    <col min="12" max="12" width="8.83203125" style="2" customWidth="1"/>
    <col min="13" max="13" width="15.83203125" style="2" customWidth="1"/>
    <col min="14" max="18" width="15.83203125" style="3" customWidth="1"/>
    <col min="19" max="19" width="3.1640625" style="3" customWidth="1"/>
    <col min="20" max="20" width="2.33203125" style="3" customWidth="1"/>
    <col min="21" max="239" width="3.1640625" style="3" hidden="1" customWidth="1"/>
    <col min="240" max="16384" width="3.1640625" style="3" hidden="1"/>
  </cols>
  <sheetData>
    <row r="1" spans="1:45" ht="6" customHeight="1" thickBot="1">
      <c r="B1" s="2"/>
      <c r="C1" s="2"/>
      <c r="D1" s="2"/>
      <c r="E1" s="2"/>
      <c r="F1" s="2"/>
      <c r="G1" s="2"/>
      <c r="H1" s="2"/>
      <c r="I1" s="2"/>
      <c r="J1" s="2"/>
      <c r="K1" s="2"/>
      <c r="AS1" s="153">
        <v>0</v>
      </c>
    </row>
    <row r="2" spans="1:45" ht="33" thickBot="1">
      <c r="A2" s="354" t="str">
        <f ca="1">Total!$D$4</f>
        <v/>
      </c>
      <c r="B2" s="687" t="s">
        <v>810</v>
      </c>
      <c r="C2" s="688"/>
      <c r="D2" s="688"/>
      <c r="E2" s="688"/>
      <c r="F2" s="688"/>
      <c r="G2" s="688"/>
      <c r="H2" s="688"/>
      <c r="I2" s="688"/>
      <c r="J2" s="688"/>
      <c r="K2" s="688"/>
      <c r="L2" s="688"/>
      <c r="M2" s="688"/>
      <c r="N2" s="688"/>
      <c r="O2" s="688"/>
      <c r="P2" s="688"/>
      <c r="Q2" s="688"/>
      <c r="R2" s="688"/>
      <c r="S2" s="689"/>
    </row>
    <row r="3" spans="1:45" ht="23.1" customHeight="1">
      <c r="A3" s="354"/>
      <c r="B3" s="434" t="s">
        <v>836</v>
      </c>
      <c r="C3" s="432"/>
      <c r="D3" s="432"/>
      <c r="E3" s="432"/>
      <c r="F3" s="432"/>
      <c r="G3" s="432"/>
      <c r="H3" s="432"/>
      <c r="I3" s="432"/>
      <c r="J3" s="432"/>
      <c r="K3" s="432"/>
      <c r="L3" s="432"/>
      <c r="M3" s="432"/>
      <c r="N3" s="432"/>
      <c r="O3" s="432"/>
      <c r="P3" s="432"/>
      <c r="Q3" s="432"/>
      <c r="R3" s="432"/>
      <c r="S3" s="433"/>
    </row>
    <row r="4" spans="1:45" ht="6" customHeight="1" thickBot="1">
      <c r="A4" s="354"/>
      <c r="B4" s="435"/>
      <c r="C4" s="431"/>
      <c r="D4" s="431"/>
      <c r="E4" s="431"/>
      <c r="F4" s="431"/>
      <c r="G4" s="431"/>
      <c r="H4" s="431"/>
      <c r="I4" s="431"/>
      <c r="J4" s="431"/>
      <c r="K4" s="431"/>
      <c r="L4" s="431"/>
      <c r="M4" s="431"/>
      <c r="N4" s="431"/>
      <c r="O4" s="431"/>
      <c r="P4" s="431"/>
      <c r="Q4" s="431"/>
      <c r="R4" s="431"/>
      <c r="S4" s="436"/>
    </row>
    <row r="5" spans="1:45" ht="17.25" customHeight="1" thickBot="1">
      <c r="A5" s="354"/>
      <c r="B5" s="695" t="s">
        <v>5</v>
      </c>
      <c r="C5" s="696"/>
      <c r="D5" s="31" t="s">
        <v>6</v>
      </c>
      <c r="E5" s="692" t="s">
        <v>1013</v>
      </c>
      <c r="F5" s="693"/>
      <c r="G5" s="693"/>
      <c r="H5" s="694"/>
      <c r="I5" s="32"/>
      <c r="J5" s="521" t="s">
        <v>7</v>
      </c>
      <c r="K5" s="692" t="s">
        <v>189</v>
      </c>
      <c r="L5" s="694"/>
      <c r="M5" s="14"/>
      <c r="N5" s="154" t="s">
        <v>625</v>
      </c>
      <c r="O5" s="690" t="str">
        <f ca="1">IF(OR(K5="",D17="",Q17=""),"",OP!$C$16&amp;" 足歲  ~  "&amp;OP!$C$15&amp;"歲 "&amp;"("&amp;OP!F7&amp;")")</f>
        <v>15 足歲  ~  61歲 (500401)</v>
      </c>
      <c r="P5" s="691"/>
      <c r="Q5" s="69"/>
      <c r="R5" s="466" t="s">
        <v>837</v>
      </c>
      <c r="S5" s="437"/>
      <c r="T5" s="2"/>
    </row>
    <row r="6" spans="1:45" ht="6" customHeight="1" thickBot="1">
      <c r="A6" s="354"/>
      <c r="B6" s="697"/>
      <c r="C6" s="696"/>
      <c r="D6" s="524"/>
      <c r="E6" s="524"/>
      <c r="F6" s="524"/>
      <c r="G6" s="524"/>
      <c r="H6" s="524"/>
      <c r="I6" s="524"/>
      <c r="J6" s="524"/>
      <c r="K6" s="524"/>
      <c r="L6" s="524"/>
      <c r="M6" s="524"/>
      <c r="N6" s="524"/>
      <c r="O6" s="524"/>
      <c r="P6" s="524"/>
      <c r="Q6" s="524"/>
      <c r="R6" s="524"/>
      <c r="S6" s="438"/>
      <c r="T6" s="2"/>
    </row>
    <row r="7" spans="1:45" ht="17.25" customHeight="1" thickBot="1">
      <c r="A7" s="354" t="str">
        <f>OP!$E$6</f>
        <v/>
      </c>
      <c r="B7" s="697"/>
      <c r="C7" s="696"/>
      <c r="D7" s="31" t="s">
        <v>8</v>
      </c>
      <c r="E7" s="684">
        <v>800101</v>
      </c>
      <c r="F7" s="685"/>
      <c r="G7" s="685"/>
      <c r="H7" s="686"/>
      <c r="I7" s="683" t="str">
        <f ca="1">IF(OP!$E$6=1,"生日日期錯誤",OP!$D$17)</f>
        <v/>
      </c>
      <c r="J7" s="683"/>
      <c r="K7" s="683"/>
      <c r="L7" s="683"/>
      <c r="M7" s="683"/>
      <c r="N7" s="521" t="s">
        <v>9</v>
      </c>
      <c r="O7" s="126">
        <f ca="1">IF(OR(K5="",E7="",D17="",Q17=""),"",OP!$D$5)</f>
        <v>32</v>
      </c>
      <c r="P7" s="33"/>
      <c r="Q7" s="31" t="s">
        <v>10</v>
      </c>
      <c r="R7" s="57">
        <f ca="1">IF(OP!$E$6=1,"",OP!$D$6)</f>
        <v>31</v>
      </c>
      <c r="S7" s="438"/>
      <c r="T7" s="2"/>
    </row>
    <row r="8" spans="1:45" ht="17.25" customHeight="1" thickBot="1">
      <c r="A8" s="354"/>
      <c r="B8" s="439"/>
      <c r="C8" s="36"/>
      <c r="D8" s="31"/>
      <c r="E8" s="32"/>
      <c r="F8" s="32"/>
      <c r="G8" s="32"/>
      <c r="H8" s="32"/>
      <c r="I8" s="523"/>
      <c r="J8" s="523"/>
      <c r="K8" s="523"/>
      <c r="L8" s="523"/>
      <c r="M8" s="523"/>
      <c r="N8" s="31"/>
      <c r="O8" s="33"/>
      <c r="P8" s="33"/>
      <c r="Q8" s="31"/>
      <c r="R8" s="38"/>
      <c r="S8" s="438"/>
      <c r="T8" s="2"/>
    </row>
    <row r="9" spans="1:45" ht="17.25" customHeight="1" thickBot="1">
      <c r="A9" s="354"/>
      <c r="B9" s="440"/>
      <c r="C9" s="219"/>
      <c r="D9" s="262" t="s">
        <v>182</v>
      </c>
      <c r="E9" s="665">
        <v>1</v>
      </c>
      <c r="F9" s="666"/>
      <c r="G9" s="219"/>
      <c r="H9" s="312" t="str">
        <f>IF(OR(E9&lt;1,E9&gt;6,E9=""),"請確實確認職業等級","")</f>
        <v/>
      </c>
      <c r="I9" s="524"/>
      <c r="J9" s="524"/>
      <c r="K9" s="524"/>
      <c r="L9" s="39"/>
      <c r="M9" s="39"/>
      <c r="N9" s="262" t="s">
        <v>799</v>
      </c>
      <c r="O9" s="665" t="s">
        <v>800</v>
      </c>
      <c r="P9" s="666"/>
      <c r="Q9" s="246" t="str">
        <f>IF(O9="","請確實確認身分別","")</f>
        <v/>
      </c>
      <c r="R9" s="39"/>
      <c r="S9" s="441"/>
      <c r="T9" s="2"/>
    </row>
    <row r="10" spans="1:45" s="528" customFormat="1" ht="6" hidden="1" customHeight="1">
      <c r="A10" s="4"/>
      <c r="B10" s="440"/>
      <c r="C10" s="219"/>
      <c r="D10" s="525"/>
      <c r="E10" s="4">
        <f>IF(OP!$C$9=1,OP!$C$7,OP!$F$4)</f>
        <v>0</v>
      </c>
      <c r="F10" s="4">
        <f>IF(OP!$C$9=1,OP!$E$7,OP!$F$3)</f>
        <v>0</v>
      </c>
      <c r="G10" s="4"/>
      <c r="H10" s="4"/>
      <c r="I10" s="526"/>
      <c r="J10" s="526">
        <f>OP!E3</f>
        <v>31</v>
      </c>
      <c r="K10" s="526"/>
      <c r="L10" s="39"/>
      <c r="M10" s="39"/>
      <c r="N10" s="48"/>
      <c r="O10" s="523"/>
      <c r="P10" s="39"/>
      <c r="Q10" s="527"/>
      <c r="R10" s="39"/>
      <c r="S10" s="441"/>
      <c r="T10" s="2"/>
    </row>
    <row r="11" spans="1:45" s="528" customFormat="1" ht="6" hidden="1" customHeight="1" thickBot="1">
      <c r="A11" s="4"/>
      <c r="B11" s="442"/>
      <c r="C11" s="529"/>
      <c r="D11" s="529"/>
      <c r="E11" s="529"/>
      <c r="F11" s="529"/>
      <c r="G11" s="529"/>
      <c r="H11" s="529"/>
      <c r="I11" s="529"/>
      <c r="J11" s="529"/>
      <c r="K11" s="529"/>
      <c r="L11" s="529"/>
      <c r="M11" s="529"/>
      <c r="N11" s="529"/>
      <c r="O11" s="529"/>
      <c r="P11" s="529"/>
      <c r="Q11" s="529"/>
      <c r="R11" s="529"/>
      <c r="S11" s="438"/>
      <c r="T11" s="2"/>
    </row>
    <row r="12" spans="1:45" s="528" customFormat="1" ht="16.5" hidden="1" customHeight="1" thickBot="1">
      <c r="A12" s="4"/>
      <c r="B12" s="522"/>
      <c r="C12" s="521"/>
      <c r="D12" s="45" t="s">
        <v>987</v>
      </c>
      <c r="E12" s="716" t="s">
        <v>1125</v>
      </c>
      <c r="F12" s="717"/>
      <c r="G12" s="717"/>
      <c r="H12" s="718"/>
      <c r="I12" s="524"/>
      <c r="J12" s="32"/>
      <c r="K12" s="706"/>
      <c r="L12" s="707"/>
      <c r="M12" s="14"/>
      <c r="N12" s="45" t="s">
        <v>1002</v>
      </c>
      <c r="O12" s="708"/>
      <c r="P12" s="709"/>
      <c r="Q12" s="710"/>
      <c r="R12" s="710"/>
      <c r="S12" s="438"/>
      <c r="T12" s="2"/>
    </row>
    <row r="13" spans="1:45" s="528" customFormat="1" ht="16.5" hidden="1" customHeight="1" thickBot="1">
      <c r="A13" s="4"/>
      <c r="B13" s="443"/>
      <c r="C13" s="59"/>
      <c r="D13" s="550" t="str">
        <f>IF($E$12="同被保險人","","要保人姓名：")</f>
        <v>要保人姓名：</v>
      </c>
      <c r="E13" s="640"/>
      <c r="F13" s="641"/>
      <c r="G13" s="641"/>
      <c r="H13" s="642"/>
      <c r="I13" s="524"/>
      <c r="J13" s="524"/>
      <c r="K13" s="524"/>
      <c r="L13" s="524"/>
      <c r="M13" s="524"/>
      <c r="N13" s="524"/>
      <c r="O13" s="246" t="str">
        <f>IF($O$12="與要被保人不同","【須檢附「繳款服務單_首期保費專用」】","")</f>
        <v/>
      </c>
      <c r="P13" s="524"/>
      <c r="Q13" s="524"/>
      <c r="R13" s="524"/>
      <c r="S13" s="438"/>
      <c r="T13" s="2"/>
    </row>
    <row r="14" spans="1:45" s="528" customFormat="1" ht="16.5" hidden="1" customHeight="1" thickBot="1">
      <c r="A14" s="4"/>
      <c r="B14" s="551"/>
      <c r="C14" s="550"/>
      <c r="D14" s="521" t="s">
        <v>1001</v>
      </c>
      <c r="E14" s="684"/>
      <c r="F14" s="685"/>
      <c r="G14" s="685"/>
      <c r="H14" s="686"/>
      <c r="I14" s="711" t="str">
        <f>IF(OR($E$14=""),"","保險年齡："&amp;OP!$D$154&amp;"歲")</f>
        <v/>
      </c>
      <c r="J14" s="711"/>
      <c r="K14" s="711"/>
      <c r="L14" s="711"/>
      <c r="M14" s="531"/>
      <c r="N14" s="550" t="s">
        <v>1003</v>
      </c>
      <c r="O14" s="643"/>
      <c r="P14" s="644"/>
      <c r="Q14" s="523" t="s">
        <v>988</v>
      </c>
      <c r="R14" s="32"/>
      <c r="S14" s="438"/>
      <c r="T14" s="2"/>
    </row>
    <row r="15" spans="1:45" s="528" customFormat="1" ht="16.5" hidden="1" customHeight="1" thickBot="1">
      <c r="A15" s="4"/>
      <c r="B15" s="442"/>
      <c r="C15" s="304"/>
      <c r="D15" s="530"/>
      <c r="E15" s="595" t="str">
        <f ca="1">IF(AND($E$14&lt;&gt;"",OP!$E$155=1),"要保人生日日期錯誤","")&amp;OP!$B$155</f>
        <v/>
      </c>
      <c r="F15" s="304"/>
      <c r="G15" s="304"/>
      <c r="H15" s="304"/>
      <c r="I15" s="304"/>
      <c r="J15" s="304"/>
      <c r="K15" s="304"/>
      <c r="L15" s="304"/>
      <c r="M15" s="304"/>
      <c r="N15" s="304"/>
      <c r="O15" s="553" t="str">
        <f>IF(AND($O$14&lt;&gt;"",OP!$D$159=1),"繳款人保險年齡達70歲以上","")</f>
        <v/>
      </c>
      <c r="P15" s="304"/>
      <c r="Q15" s="304"/>
      <c r="R15" s="304"/>
      <c r="S15" s="532"/>
      <c r="T15" s="2"/>
    </row>
    <row r="16" spans="1:45" ht="16.5" customHeight="1" thickBot="1">
      <c r="A16" s="354"/>
      <c r="B16" s="442"/>
      <c r="C16" s="524"/>
      <c r="D16" s="524"/>
      <c r="E16" s="524"/>
      <c r="F16" s="524"/>
      <c r="G16" s="524"/>
      <c r="H16" s="524"/>
      <c r="I16" s="524"/>
      <c r="J16" s="524"/>
      <c r="K16" s="524"/>
      <c r="L16" s="524"/>
      <c r="M16" s="133"/>
      <c r="N16" s="524"/>
      <c r="O16" s="524"/>
      <c r="P16" s="524"/>
      <c r="Q16" s="524"/>
      <c r="R16" s="524"/>
      <c r="S16" s="438"/>
      <c r="T16" s="2"/>
    </row>
    <row r="17" spans="1:20" ht="17.25" customHeight="1" thickBot="1">
      <c r="A17" s="354"/>
      <c r="B17" s="655" t="s">
        <v>100</v>
      </c>
      <c r="C17" s="702"/>
      <c r="D17" s="703" t="s">
        <v>1061</v>
      </c>
      <c r="E17" s="704"/>
      <c r="F17" s="705"/>
      <c r="G17" s="257"/>
      <c r="H17" s="672"/>
      <c r="I17" s="672"/>
      <c r="J17" s="672"/>
      <c r="K17" s="672"/>
      <c r="L17" s="672"/>
      <c r="M17" s="672"/>
      <c r="N17" s="672"/>
      <c r="O17" s="594" t="s">
        <v>101</v>
      </c>
      <c r="P17" s="594" t="s">
        <v>18</v>
      </c>
      <c r="Q17" s="673" t="s">
        <v>795</v>
      </c>
      <c r="R17" s="674"/>
      <c r="S17" s="445"/>
      <c r="T17" s="2"/>
    </row>
    <row r="18" spans="1:20" ht="4.5" customHeight="1" thickBot="1">
      <c r="A18" s="354"/>
      <c r="B18" s="591"/>
      <c r="C18" s="592"/>
      <c r="D18" s="32"/>
      <c r="E18" s="31"/>
      <c r="F18" s="31"/>
      <c r="G18" s="31"/>
      <c r="H18" s="523"/>
      <c r="I18" s="523"/>
      <c r="J18" s="523"/>
      <c r="K18" s="523"/>
      <c r="L18" s="523"/>
      <c r="M18" s="523"/>
      <c r="N18" s="48"/>
      <c r="O18" s="31"/>
      <c r="P18" s="594"/>
      <c r="Q18" s="51"/>
      <c r="R18" s="51"/>
      <c r="S18" s="445"/>
      <c r="T18" s="2"/>
    </row>
    <row r="19" spans="1:20" ht="17.25" customHeight="1" thickBot="1">
      <c r="A19" s="354"/>
      <c r="B19" s="593"/>
      <c r="C19" s="45" t="s">
        <v>11</v>
      </c>
      <c r="D19" s="698" t="s">
        <v>15</v>
      </c>
      <c r="E19" s="699"/>
      <c r="F19" s="699"/>
      <c r="G19" s="172"/>
      <c r="H19" s="172"/>
      <c r="I19" s="172" t="str">
        <f ca="1">IF($A$2=1,"",OP!K12&amp;OP!K13)</f>
        <v/>
      </c>
      <c r="J19" s="172"/>
      <c r="K19" s="172"/>
      <c r="L19" s="172"/>
      <c r="M19" s="147"/>
      <c r="N19" s="172"/>
      <c r="O19" s="34"/>
      <c r="P19" s="40" t="s">
        <v>19</v>
      </c>
      <c r="Q19" s="673" t="s">
        <v>981</v>
      </c>
      <c r="R19" s="674"/>
      <c r="S19" s="445"/>
      <c r="T19" s="2"/>
    </row>
    <row r="20" spans="1:20" ht="6" customHeight="1" thickBot="1">
      <c r="A20" s="354"/>
      <c r="B20" s="593"/>
      <c r="C20" s="247"/>
      <c r="D20" s="163"/>
      <c r="E20" s="163"/>
      <c r="F20" s="163"/>
      <c r="G20" s="163"/>
      <c r="H20" s="163"/>
      <c r="I20" s="163"/>
      <c r="J20" s="163"/>
      <c r="K20" s="163"/>
      <c r="L20" s="163"/>
      <c r="M20" s="163"/>
      <c r="N20" s="163"/>
      <c r="O20" s="34"/>
      <c r="P20" s="40"/>
      <c r="Q20" s="51"/>
      <c r="R20" s="51"/>
      <c r="S20" s="445"/>
      <c r="T20" s="2"/>
    </row>
    <row r="21" spans="1:20" ht="17.25" customHeight="1" thickBot="1">
      <c r="A21" s="354" t="str">
        <f ca="1">IF(OR(INS&lt;J22,INS&gt;K22),1,"")</f>
        <v/>
      </c>
      <c r="B21" s="655" t="s">
        <v>662</v>
      </c>
      <c r="C21" s="678"/>
      <c r="D21" s="639" t="s">
        <v>245</v>
      </c>
      <c r="E21" s="639"/>
      <c r="F21" s="639"/>
      <c r="G21" s="653" t="s">
        <v>13</v>
      </c>
      <c r="H21" s="654"/>
      <c r="I21" s="654"/>
      <c r="J21" s="659">
        <v>50</v>
      </c>
      <c r="K21" s="660"/>
      <c r="L21" s="661"/>
      <c r="M21" s="667" t="str">
        <f ca="1">IF(OR(D21="",K22&lt;J22,$A$23=1),"",J22&amp;"萬 ~ "&amp;TEXT(K22,"#,##0 萬"))</f>
        <v>50萬 ~ 200 萬</v>
      </c>
      <c r="N21" s="668"/>
      <c r="O21" s="675" t="str">
        <f ca="1">IF(OP!$D$53=1,"",IF(OR(OP!$C$42&gt;0,OP!$C$44&gt;0),"本保件如符合本公司保費折扣條件，","")&amp;IF(AND(OP!$C$42&gt;0,OP!$C$44&gt;0),"首、續期享有1%保費折扣",IF(AND(OP!$C$42=0,OP!$C$44&gt;0),"續期享有1%保費折扣",IF(AND(OP!$C$42&gt;0,OP!$C$44=0),"首期享有1%保費折扣",""))))</f>
        <v>本保件如符合本公司保費折扣條件，首、續期享有1%保費折扣</v>
      </c>
      <c r="P21" s="676"/>
      <c r="Q21" s="676"/>
      <c r="R21" s="676"/>
      <c r="S21" s="446"/>
      <c r="T21" s="2"/>
    </row>
    <row r="22" spans="1:20" ht="6" customHeight="1">
      <c r="A22" s="354"/>
      <c r="B22" s="442"/>
      <c r="C22" s="524"/>
      <c r="D22" s="524"/>
      <c r="E22" s="524"/>
      <c r="F22" s="524"/>
      <c r="G22" s="524"/>
      <c r="H22" s="524"/>
      <c r="I22" s="524"/>
      <c r="J22" s="44">
        <f>OP!$C$26</f>
        <v>50</v>
      </c>
      <c r="K22" s="14">
        <f ca="1">OP!$C$27</f>
        <v>200</v>
      </c>
      <c r="L22" s="524"/>
      <c r="M22" s="524"/>
      <c r="N22" s="34"/>
      <c r="O22" s="34"/>
      <c r="P22" s="34"/>
      <c r="Q22" s="34"/>
      <c r="R22" s="34"/>
      <c r="S22" s="447"/>
      <c r="T22" s="2"/>
    </row>
    <row r="23" spans="1:20" ht="17.25" customHeight="1">
      <c r="A23" s="354" t="str">
        <f>OP!$D$59</f>
        <v/>
      </c>
      <c r="B23" s="448"/>
      <c r="C23" s="312" t="str">
        <f>OP!$E$59</f>
        <v/>
      </c>
      <c r="D23" s="219"/>
      <c r="E23" s="219"/>
      <c r="F23" s="219"/>
      <c r="G23" s="219"/>
      <c r="H23" s="219"/>
      <c r="I23" s="219"/>
      <c r="J23" s="657" t="str">
        <f>IF(OP!$D$64=1,OP!$E$64,IF(OP!$C$37&gt;0,"主契約享有 "&amp;TEXT(OP!$C$37,"0.0%")&amp;OP!$B$37,""))</f>
        <v/>
      </c>
      <c r="K23" s="657"/>
      <c r="L23" s="657"/>
      <c r="M23" s="657"/>
      <c r="N23" s="657"/>
      <c r="O23" s="700"/>
      <c r="P23" s="653" t="str">
        <f>OP!$C$32&amp;"保費："</f>
        <v>年繳保費：</v>
      </c>
      <c r="Q23" s="653"/>
      <c r="R23" s="164">
        <f ca="1">IF(OR(OP!$D$53=1,$A$23=1),"",OP!$C$35)</f>
        <v>3550</v>
      </c>
      <c r="S23" s="438"/>
      <c r="T23" s="2"/>
    </row>
    <row r="24" spans="1:20" ht="6" customHeight="1">
      <c r="A24" s="354"/>
      <c r="B24" s="448"/>
      <c r="C24" s="46"/>
      <c r="D24" s="524"/>
      <c r="E24" s="524"/>
      <c r="F24" s="524"/>
      <c r="G24" s="524"/>
      <c r="H24" s="524"/>
      <c r="I24" s="524"/>
      <c r="J24" s="524"/>
      <c r="K24" s="42"/>
      <c r="L24" s="524"/>
      <c r="M24" s="524"/>
      <c r="N24" s="34"/>
      <c r="O24" s="34"/>
      <c r="P24" s="34"/>
      <c r="Q24" s="34"/>
      <c r="R24" s="34"/>
      <c r="S24" s="438"/>
      <c r="T24" s="2"/>
    </row>
    <row r="25" spans="1:20" ht="17.25" customHeight="1">
      <c r="A25" s="354"/>
      <c r="B25" s="440"/>
      <c r="C25" s="520" t="str">
        <f ca="1">IF(OR(O7&gt;O5,D21="",M21="保額超過限制，請修正"),"","保障年期：")</f>
        <v>保障年期：</v>
      </c>
      <c r="D25" s="701" t="str">
        <f ca="1">IF(OR(O7&gt;O5,D21="",M21="保額超過限制，請修正"),"","10年")</f>
        <v>10年</v>
      </c>
      <c r="E25" s="701"/>
      <c r="F25" s="701"/>
      <c r="G25" s="701"/>
      <c r="H25" s="701"/>
      <c r="I25" s="701"/>
      <c r="J25" s="701"/>
      <c r="K25" s="701"/>
      <c r="L25" s="701"/>
      <c r="N25" s="219"/>
      <c r="O25" s="649" t="str">
        <f>IF(OP!$C$46&gt;0,"折扣後","")&amp;OP!$C$32&amp;"首期保費："</f>
        <v>折扣後年繳首期保費：</v>
      </c>
      <c r="P25" s="649"/>
      <c r="Q25" s="649"/>
      <c r="R25" s="164">
        <f ca="1">IF(OR(OP!$D$53=1,$A$23=1),"",OP!$C$48)</f>
        <v>3515</v>
      </c>
      <c r="S25" s="449"/>
      <c r="T25" s="2"/>
    </row>
    <row r="26" spans="1:20" ht="6" customHeight="1">
      <c r="A26" s="354"/>
      <c r="B26" s="448"/>
      <c r="C26" s="46"/>
      <c r="D26" s="524"/>
      <c r="E26" s="524"/>
      <c r="F26" s="524"/>
      <c r="G26" s="43"/>
      <c r="H26" s="43"/>
      <c r="I26" s="43"/>
      <c r="J26" s="219"/>
      <c r="K26" s="219"/>
      <c r="L26" s="43"/>
      <c r="M26" s="34"/>
      <c r="N26" s="34"/>
      <c r="O26" s="34"/>
      <c r="P26" s="34"/>
      <c r="Q26" s="34"/>
      <c r="R26" s="34"/>
      <c r="S26" s="438"/>
      <c r="T26" s="2"/>
    </row>
    <row r="27" spans="1:20" s="5" customFormat="1" ht="17.25" customHeight="1">
      <c r="A27" s="354"/>
      <c r="B27" s="444" t="s">
        <v>249</v>
      </c>
      <c r="C27" s="4"/>
      <c r="D27" s="4"/>
      <c r="E27" s="4"/>
      <c r="F27" s="4"/>
      <c r="G27" s="4"/>
      <c r="H27" s="4"/>
      <c r="I27" s="4"/>
      <c r="J27" s="4"/>
      <c r="K27" s="4"/>
      <c r="L27" s="4"/>
      <c r="M27" s="524"/>
      <c r="N27" s="34"/>
      <c r="O27" s="649" t="str">
        <f>IF(OP!$C$47&gt;0,"折扣後","")&amp;OP!$C$32&amp;"續期保費："</f>
        <v>折扣後年繳續期保費：</v>
      </c>
      <c r="P27" s="649"/>
      <c r="Q27" s="649"/>
      <c r="R27" s="164">
        <f ca="1">IF(OR(OP!$D$53=1,$A$23=1),"",OP!$C$49)</f>
        <v>3515</v>
      </c>
      <c r="S27" s="438"/>
    </row>
    <row r="28" spans="1:20" s="5" customFormat="1" ht="6" customHeight="1" thickBot="1">
      <c r="A28" s="354"/>
      <c r="B28" s="442"/>
      <c r="C28" s="32"/>
      <c r="D28" s="39"/>
      <c r="E28" s="39"/>
      <c r="F28" s="39"/>
      <c r="G28" s="524"/>
      <c r="H28" s="524"/>
      <c r="I28" s="524"/>
      <c r="J28" s="524"/>
      <c r="K28" s="42"/>
      <c r="L28" s="524"/>
      <c r="M28" s="524"/>
      <c r="N28" s="34"/>
      <c r="O28" s="4"/>
      <c r="P28" s="4"/>
      <c r="Q28" s="4"/>
      <c r="R28" s="4"/>
      <c r="S28" s="438"/>
    </row>
    <row r="29" spans="1:20" s="5" customFormat="1" ht="6" customHeight="1" thickBot="1">
      <c r="A29" s="354"/>
      <c r="B29" s="442"/>
      <c r="C29" s="258"/>
      <c r="D29" s="258"/>
      <c r="E29" s="258"/>
      <c r="F29" s="258"/>
      <c r="G29" s="258"/>
      <c r="H29" s="258"/>
      <c r="I29" s="258"/>
      <c r="J29" s="258"/>
      <c r="K29" s="258"/>
      <c r="L29" s="258"/>
      <c r="M29" s="259"/>
      <c r="N29" s="258"/>
      <c r="O29" s="258"/>
      <c r="P29" s="258"/>
      <c r="Q29" s="258"/>
      <c r="R29" s="258"/>
      <c r="S29" s="450"/>
    </row>
    <row r="30" spans="1:20" s="5" customFormat="1" ht="17.25" customHeight="1" thickBot="1">
      <c r="A30" s="354"/>
      <c r="B30" s="655" t="s">
        <v>100</v>
      </c>
      <c r="C30" s="702"/>
      <c r="D30" s="712" t="s">
        <v>1061</v>
      </c>
      <c r="E30" s="713"/>
      <c r="F30" s="713"/>
      <c r="G30" s="257"/>
      <c r="H30" s="672"/>
      <c r="I30" s="672"/>
      <c r="J30" s="672"/>
      <c r="K30" s="672"/>
      <c r="L30" s="672"/>
      <c r="M30" s="672"/>
      <c r="N30" s="672"/>
      <c r="O30" s="594" t="s">
        <v>101</v>
      </c>
      <c r="P30" s="594" t="s">
        <v>18</v>
      </c>
      <c r="Q30" s="673" t="s">
        <v>795</v>
      </c>
      <c r="R30" s="674"/>
      <c r="S30" s="445"/>
    </row>
    <row r="31" spans="1:20" s="5" customFormat="1" ht="6" customHeight="1" thickBot="1">
      <c r="A31" s="354"/>
      <c r="B31" s="591"/>
      <c r="C31" s="592"/>
      <c r="D31" s="32"/>
      <c r="E31" s="31"/>
      <c r="F31" s="31"/>
      <c r="G31" s="31"/>
      <c r="H31" s="523"/>
      <c r="I31" s="523"/>
      <c r="J31" s="523"/>
      <c r="K31" s="523"/>
      <c r="L31" s="523"/>
      <c r="M31" s="523"/>
      <c r="N31" s="48"/>
      <c r="O31" s="31"/>
      <c r="P31" s="594"/>
      <c r="Q31" s="51"/>
      <c r="R31" s="51"/>
      <c r="S31" s="445"/>
    </row>
    <row r="32" spans="1:20" s="5" customFormat="1" ht="17.25" customHeight="1" thickBot="1">
      <c r="A32" s="354"/>
      <c r="B32" s="593"/>
      <c r="C32" s="45" t="s">
        <v>11</v>
      </c>
      <c r="D32" s="698" t="s">
        <v>15</v>
      </c>
      <c r="E32" s="699"/>
      <c r="F32" s="699"/>
      <c r="G32" s="172"/>
      <c r="H32" s="172"/>
      <c r="I32" s="172" t="str">
        <f ca="1">IF($A$2=1,"",'OP1'!K12&amp;'OP1'!K13)</f>
        <v/>
      </c>
      <c r="J32" s="172"/>
      <c r="K32" s="172"/>
      <c r="L32" s="172"/>
      <c r="M32" s="147"/>
      <c r="N32" s="172"/>
      <c r="O32" s="34"/>
      <c r="P32" s="40" t="s">
        <v>19</v>
      </c>
      <c r="Q32" s="673" t="s">
        <v>981</v>
      </c>
      <c r="R32" s="674"/>
      <c r="S32" s="445"/>
    </row>
    <row r="33" spans="1:19" s="5" customFormat="1" ht="6" customHeight="1" thickBot="1">
      <c r="A33" s="354"/>
      <c r="B33" s="593"/>
      <c r="C33" s="247"/>
      <c r="D33" s="163"/>
      <c r="E33" s="163"/>
      <c r="F33" s="163"/>
      <c r="G33" s="163"/>
      <c r="H33" s="163"/>
      <c r="I33" s="163"/>
      <c r="J33" s="163"/>
      <c r="K33" s="163"/>
      <c r="L33" s="163"/>
      <c r="M33" s="163"/>
      <c r="N33" s="163"/>
      <c r="O33" s="34"/>
      <c r="P33" s="40"/>
      <c r="Q33" s="51"/>
      <c r="R33" s="51"/>
      <c r="S33" s="445"/>
    </row>
    <row r="34" spans="1:19" s="5" customFormat="1" ht="17.25" customHeight="1" thickBot="1">
      <c r="A34" s="354" t="str">
        <f>IF(OR(_INS1&lt;J35,_INS1&gt;K35),1,"")</f>
        <v/>
      </c>
      <c r="B34" s="655" t="s">
        <v>17</v>
      </c>
      <c r="C34" s="678"/>
      <c r="D34" s="639" t="s">
        <v>1103</v>
      </c>
      <c r="E34" s="639"/>
      <c r="F34" s="639"/>
      <c r="G34" s="653" t="s">
        <v>13</v>
      </c>
      <c r="H34" s="654"/>
      <c r="I34" s="654"/>
      <c r="J34" s="659">
        <v>50</v>
      </c>
      <c r="K34" s="660"/>
      <c r="L34" s="661"/>
      <c r="M34" s="667" t="str">
        <f>IF(OR(D34="",K35&lt;J35),"",J35&amp;"萬 ~ "&amp;TEXT(K35,"#,##0 萬"))</f>
        <v>50萬 ~ 50 萬</v>
      </c>
      <c r="N34" s="668"/>
      <c r="O34" s="675" t="str">
        <f ca="1">IF('OP1'!$D$53=1,"",IF(OR('OP1'!$C$42&gt;0,'OP1'!$C$44&gt;0),"本保件如符合本公司保費折扣條件，","")&amp;IF(AND('OP1'!$C$42&gt;0,'OP1'!$C$44&gt;0),"首、續期享有1%保費折扣",IF(AND('OP1'!$C$42=0,'OP1'!$C$44&gt;0),"續期享有1%保費折扣",IF(AND('OP1'!$C$42&gt;0,'OP1'!$C$44=0),"首期享有1%保費折扣",""))))</f>
        <v>本保件如符合本公司保費折扣條件，首、續期享有1%保費折扣</v>
      </c>
      <c r="P34" s="676"/>
      <c r="Q34" s="676"/>
      <c r="R34" s="676"/>
      <c r="S34" s="446"/>
    </row>
    <row r="35" spans="1:19" s="5" customFormat="1" ht="6" customHeight="1">
      <c r="A35" s="354"/>
      <c r="B35" s="442"/>
      <c r="C35" s="524"/>
      <c r="D35" s="524"/>
      <c r="E35" s="524"/>
      <c r="F35" s="524"/>
      <c r="G35" s="524"/>
      <c r="H35" s="524"/>
      <c r="I35" s="524"/>
      <c r="J35" s="260">
        <f>'OP1'!$C$26</f>
        <v>50</v>
      </c>
      <c r="K35" s="261">
        <f>'OP1'!$C$27</f>
        <v>50</v>
      </c>
      <c r="L35" s="524"/>
      <c r="M35" s="524"/>
      <c r="N35" s="34"/>
      <c r="O35" s="34"/>
      <c r="P35" s="34"/>
      <c r="Q35" s="34"/>
      <c r="R35" s="34"/>
      <c r="S35" s="447"/>
    </row>
    <row r="36" spans="1:19" s="5" customFormat="1" ht="17.25" customHeight="1">
      <c r="A36" s="354"/>
      <c r="B36" s="448"/>
      <c r="C36" s="468"/>
      <c r="E36" s="4"/>
      <c r="F36" s="4"/>
      <c r="G36" s="4"/>
      <c r="H36" s="219"/>
      <c r="I36" s="219"/>
      <c r="J36" s="657" t="str">
        <f>IF('OP1'!$D$64=1,'OP1'!$E$64,IF('OP1'!$C$37&gt;0,"主契約享有 "&amp;TEXT('OP1'!$C$37,"0.0%")&amp;'OP1'!$B$37,""))</f>
        <v/>
      </c>
      <c r="K36" s="657"/>
      <c r="L36" s="657"/>
      <c r="M36" s="657"/>
      <c r="N36" s="657"/>
      <c r="O36" s="700"/>
      <c r="P36" s="653" t="str">
        <f>'OP1'!$C$32&amp;"保費："</f>
        <v>年繳保費：</v>
      </c>
      <c r="Q36" s="653"/>
      <c r="R36" s="164">
        <f ca="1">IF('OP1'!$D$53=1,"",'OP1'!$C$35)</f>
        <v>5300</v>
      </c>
      <c r="S36" s="438"/>
    </row>
    <row r="37" spans="1:19" s="5" customFormat="1" ht="6" customHeight="1">
      <c r="A37" s="354"/>
      <c r="B37" s="448"/>
      <c r="C37" s="46"/>
      <c r="D37" s="524"/>
      <c r="E37" s="524"/>
      <c r="F37" s="524"/>
      <c r="G37" s="524"/>
      <c r="H37" s="524"/>
      <c r="I37" s="524"/>
      <c r="J37" s="524"/>
      <c r="K37" s="42"/>
      <c r="L37" s="524"/>
      <c r="M37" s="524"/>
      <c r="N37" s="34"/>
      <c r="O37" s="34"/>
      <c r="P37" s="34"/>
      <c r="Q37" s="34"/>
      <c r="R37" s="34"/>
      <c r="S37" s="438"/>
    </row>
    <row r="38" spans="1:19" s="5" customFormat="1" ht="17.25" customHeight="1">
      <c r="A38" s="354"/>
      <c r="B38" s="440"/>
      <c r="C38" s="45" t="str">
        <f ca="1">IF(OR(O7&gt;O5,D34="",M34="保額超過限制，請修正"),"","保障年期：")</f>
        <v>保障年期：</v>
      </c>
      <c r="D38" s="701" t="str">
        <f ca="1">IF(OR(O7&gt;O5,D34="",M34="保額超過限制，請修正"),"","10年")</f>
        <v>10年</v>
      </c>
      <c r="E38" s="701"/>
      <c r="F38" s="701"/>
      <c r="G38" s="701"/>
      <c r="H38" s="701"/>
      <c r="I38" s="701"/>
      <c r="J38" s="701"/>
      <c r="K38" s="701"/>
      <c r="L38" s="701"/>
      <c r="M38" s="2"/>
      <c r="N38" s="219"/>
      <c r="O38" s="649" t="str">
        <f>IF('OP1'!$C$46&gt;0,"折扣後","")&amp;'OP1'!$C$32&amp;"首期保費："</f>
        <v>折扣後年繳首期保費：</v>
      </c>
      <c r="P38" s="649"/>
      <c r="Q38" s="649"/>
      <c r="R38" s="164">
        <f ca="1">IF('OP1'!$D$53=1,"",'OP1'!$C$48)</f>
        <v>5247</v>
      </c>
      <c r="S38" s="449"/>
    </row>
    <row r="39" spans="1:19" s="5" customFormat="1" ht="6" customHeight="1">
      <c r="A39" s="354"/>
      <c r="B39" s="448"/>
      <c r="C39" s="46"/>
      <c r="D39" s="524"/>
      <c r="E39" s="524"/>
      <c r="F39" s="524"/>
      <c r="G39" s="43"/>
      <c r="H39" s="43"/>
      <c r="I39" s="43"/>
      <c r="J39" s="219"/>
      <c r="K39" s="219"/>
      <c r="L39" s="43"/>
      <c r="M39" s="34"/>
      <c r="N39" s="34"/>
      <c r="O39" s="34"/>
      <c r="P39" s="34"/>
      <c r="Q39" s="34"/>
      <c r="R39" s="34"/>
      <c r="S39" s="438"/>
    </row>
    <row r="40" spans="1:19" s="5" customFormat="1" ht="17.25" customHeight="1" thickBot="1">
      <c r="A40" s="354"/>
      <c r="B40" s="533" t="s">
        <v>1108</v>
      </c>
      <c r="C40" s="534"/>
      <c r="D40" s="534"/>
      <c r="E40" s="534"/>
      <c r="F40" s="534"/>
      <c r="G40" s="534"/>
      <c r="H40" s="534"/>
      <c r="I40" s="534"/>
      <c r="J40" s="534"/>
      <c r="K40" s="534"/>
      <c r="L40" s="534"/>
      <c r="M40" s="304"/>
      <c r="N40" s="306"/>
      <c r="O40" s="677" t="str">
        <f>IF('OP1'!$C$47&gt;0,"折扣後","")&amp;'OP1'!$C$32&amp;"續期保費："</f>
        <v>折扣後年繳續期保費：</v>
      </c>
      <c r="P40" s="677"/>
      <c r="Q40" s="677"/>
      <c r="R40" s="307">
        <f ca="1">IF('OP1'!$D$53=1,"",'OP1'!$C$49)</f>
        <v>5247</v>
      </c>
      <c r="S40" s="532"/>
    </row>
    <row r="41" spans="1:19" s="5" customFormat="1" ht="24" customHeight="1" thickBot="1">
      <c r="A41" s="354">
        <f ca="1">Total!$AA$9</f>
        <v>0</v>
      </c>
      <c r="B41" s="669" t="str">
        <f ca="1">Total!$AB$9</f>
        <v/>
      </c>
      <c r="C41" s="670"/>
      <c r="D41" s="670"/>
      <c r="E41" s="670"/>
      <c r="F41" s="670"/>
      <c r="G41" s="670"/>
      <c r="H41" s="670"/>
      <c r="I41" s="670"/>
      <c r="J41" s="670"/>
      <c r="K41" s="670"/>
      <c r="L41" s="670"/>
      <c r="M41" s="670"/>
      <c r="N41" s="670"/>
      <c r="O41" s="670"/>
      <c r="P41" s="670"/>
      <c r="Q41" s="670"/>
      <c r="R41" s="670"/>
      <c r="S41" s="671"/>
    </row>
    <row r="42" spans="1:19" s="5" customFormat="1" ht="6" customHeight="1" thickTop="1" thickBot="1">
      <c r="A42" s="354"/>
      <c r="B42" s="442"/>
      <c r="C42" s="211"/>
      <c r="D42" s="212"/>
      <c r="E42" s="212"/>
      <c r="F42" s="212"/>
      <c r="G42" s="213"/>
      <c r="H42" s="213"/>
      <c r="I42" s="213"/>
      <c r="J42" s="213"/>
      <c r="K42" s="214"/>
      <c r="L42" s="213"/>
      <c r="M42" s="213"/>
      <c r="N42" s="215"/>
      <c r="O42" s="216"/>
      <c r="P42" s="216"/>
      <c r="Q42" s="216"/>
      <c r="R42" s="217"/>
      <c r="S42" s="438"/>
    </row>
    <row r="43" spans="1:19" s="5" customFormat="1" ht="17.25" customHeight="1" thickBot="1">
      <c r="A43" s="354">
        <f ca="1">ROP!$C$33</f>
        <v>1</v>
      </c>
      <c r="B43" s="442"/>
      <c r="C43" s="45"/>
      <c r="D43" s="45" t="s">
        <v>621</v>
      </c>
      <c r="E43" s="662" t="s">
        <v>1060</v>
      </c>
      <c r="F43" s="663"/>
      <c r="G43" s="663"/>
      <c r="H43" s="664"/>
      <c r="I43" s="37"/>
      <c r="J43" s="37"/>
      <c r="K43" s="42"/>
      <c r="L43" s="37"/>
      <c r="M43" s="154"/>
      <c r="N43" s="228"/>
      <c r="O43" s="149"/>
      <c r="P43" s="149"/>
      <c r="Q43" s="149"/>
      <c r="R43" s="164"/>
      <c r="S43" s="438"/>
    </row>
    <row r="44" spans="1:19" s="5" customFormat="1" ht="6" customHeight="1">
      <c r="A44" s="354"/>
      <c r="B44" s="442"/>
      <c r="C44" s="32"/>
      <c r="D44" s="39"/>
      <c r="E44" s="39"/>
      <c r="F44" s="39"/>
      <c r="G44" s="37"/>
      <c r="H44" s="37"/>
      <c r="I44" s="37"/>
      <c r="J44" s="37"/>
      <c r="K44" s="42"/>
      <c r="L44" s="37"/>
      <c r="M44" s="37"/>
      <c r="N44" s="34"/>
      <c r="O44" s="34"/>
      <c r="P44" s="31"/>
      <c r="Q44" s="31"/>
      <c r="R44" s="49"/>
      <c r="S44" s="438"/>
    </row>
    <row r="45" spans="1:19" s="5" customFormat="1" ht="17.25" customHeight="1">
      <c r="A45" s="355" t="str">
        <f>ROP!$C$32</f>
        <v/>
      </c>
      <c r="B45" s="448"/>
      <c r="C45" s="45" t="s">
        <v>179</v>
      </c>
      <c r="D45" s="208" t="s">
        <v>968</v>
      </c>
      <c r="E45" s="207"/>
      <c r="F45" s="207"/>
      <c r="G45" s="206"/>
      <c r="H45" s="206"/>
      <c r="I45" s="206"/>
      <c r="J45" s="206"/>
      <c r="K45" s="206"/>
      <c r="L45" s="312" t="str">
        <f>IF($A$45=1,"AOR限職業等級1~4級承保","")</f>
        <v/>
      </c>
      <c r="M45" s="4"/>
      <c r="N45" s="41"/>
      <c r="O45" s="48"/>
      <c r="P45" s="653" t="str">
        <f ca="1">ROP!$C$42&amp;"保費："</f>
        <v>保費：</v>
      </c>
      <c r="Q45" s="653"/>
      <c r="R45" s="164" t="str">
        <f ca="1">IF(OR($A$2=1,$A$43=1),"",ROP!$C$44)</f>
        <v/>
      </c>
      <c r="S45" s="438"/>
    </row>
    <row r="46" spans="1:19" s="5" customFormat="1" ht="6" customHeight="1" thickBot="1">
      <c r="A46" s="354"/>
      <c r="B46" s="448"/>
      <c r="C46" s="46"/>
      <c r="D46" s="37"/>
      <c r="E46" s="37"/>
      <c r="F46" s="37"/>
      <c r="G46" s="37"/>
      <c r="H46" s="37"/>
      <c r="I46" s="37"/>
      <c r="J46" s="37"/>
      <c r="K46" s="42"/>
      <c r="L46" s="37"/>
      <c r="M46" s="37"/>
      <c r="N46" s="34"/>
      <c r="O46" s="34"/>
      <c r="P46" s="34"/>
      <c r="Q46" s="34"/>
      <c r="R46" s="34"/>
      <c r="S46" s="438"/>
    </row>
    <row r="47" spans="1:19" s="5" customFormat="1" ht="17.25" customHeight="1" thickBot="1">
      <c r="A47" s="354"/>
      <c r="B47" s="655" t="s">
        <v>180</v>
      </c>
      <c r="C47" s="656"/>
      <c r="D47" s="639" t="s">
        <v>624</v>
      </c>
      <c r="E47" s="639"/>
      <c r="F47" s="639"/>
      <c r="G47" s="653" t="s">
        <v>664</v>
      </c>
      <c r="H47" s="654"/>
      <c r="I47" s="654"/>
      <c r="J47" s="659"/>
      <c r="K47" s="660"/>
      <c r="L47" s="661"/>
      <c r="M47" s="667" t="str">
        <f ca="1">IF(OR(ROP!$C$24=1,ROP!$C$27),"",IF(OR(D47="",K48&lt;J48),"",J48&amp;"萬 ~ "&amp;TEXT(K48,"#,##0 萬")))</f>
        <v/>
      </c>
      <c r="N47" s="668"/>
      <c r="O47" s="657" t="str">
        <f>IF(ROP!C31=1,"",IF(OR(J47&lt;J48,J47&gt;K48),"附約保額錯誤",""))</f>
        <v/>
      </c>
      <c r="P47" s="657"/>
      <c r="Q47" s="657"/>
      <c r="R47" s="657"/>
      <c r="S47" s="658"/>
    </row>
    <row r="48" spans="1:19" s="5" customFormat="1" ht="6" customHeight="1">
      <c r="A48" s="354"/>
      <c r="B48" s="448"/>
      <c r="C48" s="46"/>
      <c r="D48" s="37"/>
      <c r="E48" s="37"/>
      <c r="F48" s="37"/>
      <c r="G48" s="43"/>
      <c r="H48" s="43"/>
      <c r="I48" s="43"/>
      <c r="J48" s="44">
        <f>ROP!$C$29</f>
        <v>100</v>
      </c>
      <c r="K48" s="14">
        <f>ROP!$C$28</f>
        <v>300</v>
      </c>
      <c r="L48" s="43"/>
      <c r="M48" s="34"/>
      <c r="N48" s="34"/>
      <c r="O48" s="34"/>
      <c r="P48" s="34"/>
      <c r="Q48" s="34"/>
      <c r="R48" s="34"/>
      <c r="S48" s="438"/>
    </row>
    <row r="49" spans="1:19" s="5" customFormat="1" ht="17.25" customHeight="1">
      <c r="A49" s="354"/>
      <c r="B49" s="448"/>
      <c r="C49" s="45" t="str">
        <f ca="1">IF(OR(O7&gt;O5,D47="",M47="保額超過限制，請修正"),"","保障年期：")</f>
        <v>保障年期：</v>
      </c>
      <c r="D49" s="299" t="s">
        <v>645</v>
      </c>
      <c r="E49" s="637" t="str">
        <f>ROP!O55</f>
        <v/>
      </c>
      <c r="F49" s="679"/>
      <c r="G49" s="679"/>
      <c r="H49" s="679"/>
      <c r="I49" s="679"/>
      <c r="J49" s="679"/>
      <c r="K49" s="679"/>
      <c r="L49" s="679"/>
      <c r="M49" s="679"/>
      <c r="N49" s="679"/>
      <c r="O49" s="649" t="str">
        <f ca="1">IF(ROP!$C$47&gt;0,"折扣後","")&amp;ROP!$C$42&amp;"首期保費："</f>
        <v>首期保費：</v>
      </c>
      <c r="P49" s="649"/>
      <c r="Q49" s="649"/>
      <c r="R49" s="164" t="str">
        <f ca="1">IF(OR($A$2=1,$A$43=1),"",ROP!$C$49)</f>
        <v/>
      </c>
      <c r="S49" s="438"/>
    </row>
    <row r="50" spans="1:19" s="5" customFormat="1" ht="6" customHeight="1">
      <c r="A50" s="354"/>
      <c r="B50" s="442"/>
      <c r="C50" s="32"/>
      <c r="D50" s="39"/>
      <c r="E50" s="39"/>
      <c r="F50" s="39"/>
      <c r="G50" s="37"/>
      <c r="H50" s="37"/>
      <c r="I50" s="37"/>
      <c r="J50" s="37"/>
      <c r="K50" s="42"/>
      <c r="L50" s="37"/>
      <c r="M50" s="37"/>
      <c r="N50" s="34"/>
      <c r="O50" s="4"/>
      <c r="P50" s="4"/>
      <c r="Q50" s="4"/>
      <c r="R50" s="4"/>
      <c r="S50" s="438"/>
    </row>
    <row r="51" spans="1:19" s="5" customFormat="1" ht="17.25" customHeight="1" thickBot="1">
      <c r="A51" s="356"/>
      <c r="B51" s="442"/>
      <c r="C51" s="4"/>
      <c r="D51" s="303"/>
      <c r="E51" s="303"/>
      <c r="F51" s="303"/>
      <c r="G51" s="304"/>
      <c r="H51" s="304"/>
      <c r="I51" s="304"/>
      <c r="J51" s="304"/>
      <c r="K51" s="305"/>
      <c r="L51" s="304"/>
      <c r="M51" s="304"/>
      <c r="N51" s="306"/>
      <c r="O51" s="677" t="str">
        <f ca="1">IF(ROP!$C$48&gt;0,"折扣後","")&amp;ROP!$C$42&amp;"續期保費："</f>
        <v>續期保費：</v>
      </c>
      <c r="P51" s="677"/>
      <c r="Q51" s="677"/>
      <c r="R51" s="307" t="str">
        <f ca="1">IF(OR($A$2=1,$A$43=1),"",ROP!$C$50)</f>
        <v/>
      </c>
      <c r="S51" s="438"/>
    </row>
    <row r="52" spans="1:19" s="5" customFormat="1" ht="6" customHeight="1" thickBot="1">
      <c r="A52" s="354"/>
      <c r="B52" s="442"/>
      <c r="C52" s="313"/>
      <c r="D52" s="39"/>
      <c r="E52" s="39"/>
      <c r="F52" s="39"/>
      <c r="G52" s="37"/>
      <c r="H52" s="37"/>
      <c r="I52" s="37"/>
      <c r="J52" s="37"/>
      <c r="K52" s="42"/>
      <c r="L52" s="37"/>
      <c r="M52" s="37"/>
      <c r="N52" s="34"/>
      <c r="O52" s="34"/>
      <c r="P52" s="31"/>
      <c r="Q52" s="31"/>
      <c r="R52" s="49"/>
      <c r="S52" s="438"/>
    </row>
    <row r="53" spans="1:19" s="5" customFormat="1" ht="17.25" customHeight="1" thickBot="1">
      <c r="A53" s="354">
        <f ca="1">ROP!$D$33</f>
        <v>1</v>
      </c>
      <c r="B53" s="442"/>
      <c r="C53" s="4"/>
      <c r="D53" s="45" t="s">
        <v>621</v>
      </c>
      <c r="E53" s="662" t="s">
        <v>1060</v>
      </c>
      <c r="F53" s="663"/>
      <c r="G53" s="663"/>
      <c r="H53" s="664"/>
      <c r="I53" s="37"/>
      <c r="J53" s="37"/>
      <c r="K53" s="42"/>
      <c r="L53" s="37"/>
      <c r="M53" s="154"/>
      <c r="N53" s="228"/>
      <c r="O53" s="229"/>
      <c r="P53" s="31"/>
      <c r="Q53" s="31"/>
      <c r="R53" s="49"/>
      <c r="S53" s="438"/>
    </row>
    <row r="54" spans="1:19" s="5" customFormat="1" ht="6" customHeight="1">
      <c r="A54" s="354"/>
      <c r="B54" s="442"/>
      <c r="C54" s="32"/>
      <c r="D54" s="39"/>
      <c r="E54" s="39"/>
      <c r="F54" s="39"/>
      <c r="G54" s="37"/>
      <c r="H54" s="37"/>
      <c r="I54" s="37"/>
      <c r="J54" s="37"/>
      <c r="K54" s="42"/>
      <c r="L54" s="37"/>
      <c r="M54" s="37"/>
      <c r="N54" s="34"/>
      <c r="O54" s="34"/>
      <c r="P54" s="31"/>
      <c r="Q54" s="31"/>
      <c r="R54" s="49"/>
      <c r="S54" s="438"/>
    </row>
    <row r="55" spans="1:19" s="5" customFormat="1" ht="17.25" customHeight="1">
      <c r="A55" s="354"/>
      <c r="B55" s="448"/>
      <c r="C55" s="45" t="s">
        <v>179</v>
      </c>
      <c r="D55" s="208" t="s">
        <v>647</v>
      </c>
      <c r="E55" s="207"/>
      <c r="F55" s="207"/>
      <c r="G55" s="206"/>
      <c r="H55" s="206"/>
      <c r="I55" s="206"/>
      <c r="J55" s="206"/>
      <c r="K55" s="206"/>
      <c r="L55" s="206"/>
      <c r="M55" s="247" t="str">
        <f>IF(OR(VLOOKUP(D57,ROP!K18:L22,2,0)=""),"職業等級限制無法附加"&amp;輸入頁!D57,"")</f>
        <v/>
      </c>
      <c r="N55" s="41"/>
      <c r="O55" s="48"/>
      <c r="P55" s="653" t="str">
        <f ca="1">ROP!$D$42&amp;"保費："</f>
        <v>保費：</v>
      </c>
      <c r="Q55" s="653"/>
      <c r="R55" s="164" t="str">
        <f ca="1">IF(OR($A$2=1,$A$53=1),"",ROP!$D$44)</f>
        <v/>
      </c>
      <c r="S55" s="438"/>
    </row>
    <row r="56" spans="1:19" s="5" customFormat="1" ht="6" customHeight="1" thickBot="1">
      <c r="A56" s="354"/>
      <c r="B56" s="448"/>
      <c r="C56" s="46"/>
      <c r="D56" s="37"/>
      <c r="E56" s="37"/>
      <c r="F56" s="37"/>
      <c r="G56" s="37"/>
      <c r="H56" s="37"/>
      <c r="I56" s="37"/>
      <c r="J56" s="37"/>
      <c r="K56" s="42"/>
      <c r="L56" s="37"/>
      <c r="M56" s="37"/>
      <c r="N56" s="34"/>
      <c r="O56" s="34"/>
      <c r="P56" s="34"/>
      <c r="Q56" s="34"/>
      <c r="R56" s="34"/>
      <c r="S56" s="438"/>
    </row>
    <row r="57" spans="1:19" s="5" customFormat="1" ht="17.25" customHeight="1" thickBot="1">
      <c r="A57" s="354"/>
      <c r="B57" s="655" t="s">
        <v>181</v>
      </c>
      <c r="C57" s="656"/>
      <c r="D57" s="680" t="s">
        <v>739</v>
      </c>
      <c r="E57" s="681"/>
      <c r="F57" s="682"/>
      <c r="G57" s="209"/>
      <c r="H57" s="210"/>
      <c r="I57" s="4"/>
      <c r="J57" s="250"/>
      <c r="K57" s="250"/>
      <c r="L57" s="236" t="s">
        <v>183</v>
      </c>
      <c r="M57" s="714" t="str">
        <f ca="1">IF($A$53=1,"",HLOOKUP(ROP!$D$30,ROP!$D$55:$H$56,2,0))</f>
        <v/>
      </c>
      <c r="N57" s="715"/>
      <c r="O57" s="227" t="str">
        <f>IF(OP!$C$37&gt;0,"本保件享有 "&amp;TEXT(OP!$C$37,"0.0%")&amp;OP!$B$37,"")</f>
        <v/>
      </c>
      <c r="P57" s="227"/>
      <c r="Q57" s="227"/>
      <c r="R57" s="227"/>
      <c r="S57" s="451"/>
    </row>
    <row r="58" spans="1:19" s="5" customFormat="1" ht="6" customHeight="1">
      <c r="A58" s="354"/>
      <c r="B58" s="448"/>
      <c r="C58" s="46"/>
      <c r="D58" s="37"/>
      <c r="E58" s="37"/>
      <c r="F58" s="37"/>
      <c r="G58" s="43"/>
      <c r="H58" s="43"/>
      <c r="I58" s="43"/>
      <c r="J58" s="44"/>
      <c r="K58" s="14"/>
      <c r="L58" s="43"/>
      <c r="M58" s="34"/>
      <c r="N58" s="34"/>
      <c r="O58" s="34"/>
      <c r="P58" s="34"/>
      <c r="Q58" s="34"/>
      <c r="R58" s="34"/>
      <c r="S58" s="438"/>
    </row>
    <row r="59" spans="1:19" s="5" customFormat="1" ht="17.25" customHeight="1">
      <c r="A59" s="354"/>
      <c r="B59" s="448"/>
      <c r="C59" s="45" t="str">
        <f ca="1">IF(OR(O7&gt;O5,D57="",M57="保額超過限制，請修正"),"","保障年期：")</f>
        <v>保障年期：</v>
      </c>
      <c r="D59" s="208" t="s">
        <v>646</v>
      </c>
      <c r="E59" s="218"/>
      <c r="F59" s="218"/>
      <c r="G59" s="218"/>
      <c r="H59" s="218"/>
      <c r="I59" s="218"/>
      <c r="J59" s="218"/>
      <c r="K59" s="218"/>
      <c r="L59" s="218"/>
      <c r="M59" s="37"/>
      <c r="N59" s="34"/>
      <c r="O59" s="649" t="str">
        <f ca="1">IF(ROP!$D$47&gt;0,"折扣後","")&amp;ROP!$D$42&amp;"首期保費："</f>
        <v>首期保費：</v>
      </c>
      <c r="P59" s="649"/>
      <c r="Q59" s="649"/>
      <c r="R59" s="164" t="str">
        <f ca="1">IF(OR($A$2=1,$A$53=1),"",ROP!$D$49)</f>
        <v/>
      </c>
      <c r="S59" s="438"/>
    </row>
    <row r="60" spans="1:19" s="5" customFormat="1" ht="6" customHeight="1">
      <c r="A60" s="354"/>
      <c r="B60" s="442"/>
      <c r="C60" s="32"/>
      <c r="D60" s="39"/>
      <c r="E60" s="39"/>
      <c r="F60" s="39"/>
      <c r="G60" s="37"/>
      <c r="H60" s="37"/>
      <c r="I60" s="37"/>
      <c r="J60" s="37"/>
      <c r="K60" s="42"/>
      <c r="L60" s="37"/>
      <c r="M60" s="37"/>
      <c r="N60" s="34"/>
      <c r="O60" s="4"/>
      <c r="P60" s="4"/>
      <c r="Q60" s="4"/>
      <c r="R60" s="4"/>
      <c r="S60" s="438"/>
    </row>
    <row r="61" spans="1:19" s="5" customFormat="1" ht="17.25" customHeight="1" thickBot="1">
      <c r="A61" s="354"/>
      <c r="B61" s="442"/>
      <c r="C61" s="32"/>
      <c r="D61" s="39"/>
      <c r="E61" s="39"/>
      <c r="F61" s="39"/>
      <c r="G61" s="37"/>
      <c r="H61" s="37"/>
      <c r="I61" s="37"/>
      <c r="J61" s="37"/>
      <c r="K61" s="42"/>
      <c r="L61" s="37"/>
      <c r="M61" s="37"/>
      <c r="N61" s="34"/>
      <c r="O61" s="649" t="str">
        <f ca="1">IF(ROP!$D$48&gt;0,"折扣後","")&amp;ROP!$D$42&amp;"續期保費："</f>
        <v>續期保費：</v>
      </c>
      <c r="P61" s="649"/>
      <c r="Q61" s="649"/>
      <c r="R61" s="164" t="str">
        <f ca="1">IF(OR($A$2=1,$A$53=1),"",ROP!$D$50)</f>
        <v/>
      </c>
      <c r="S61" s="438"/>
    </row>
    <row r="62" spans="1:19" s="5" customFormat="1" ht="6" hidden="1" customHeight="1" thickBot="1">
      <c r="A62" s="354"/>
      <c r="B62" s="442"/>
      <c r="C62" s="211"/>
      <c r="D62" s="212"/>
      <c r="E62" s="212"/>
      <c r="F62" s="212"/>
      <c r="G62" s="213"/>
      <c r="H62" s="213"/>
      <c r="I62" s="213"/>
      <c r="J62" s="213"/>
      <c r="K62" s="214"/>
      <c r="L62" s="213"/>
      <c r="M62" s="213"/>
      <c r="N62" s="215"/>
      <c r="O62" s="216"/>
      <c r="P62" s="216"/>
      <c r="Q62" s="216"/>
      <c r="R62" s="217"/>
      <c r="S62" s="438"/>
    </row>
    <row r="63" spans="1:19" s="5" customFormat="1" ht="17.25" hidden="1" customHeight="1" thickBot="1">
      <c r="A63" s="354">
        <f ca="1">ROP!$E$33</f>
        <v>1</v>
      </c>
      <c r="B63" s="442"/>
      <c r="C63" s="45"/>
      <c r="D63" s="45" t="s">
        <v>621</v>
      </c>
      <c r="E63" s="662" t="s">
        <v>1060</v>
      </c>
      <c r="F63" s="663"/>
      <c r="G63" s="663"/>
      <c r="H63" s="664"/>
      <c r="I63" s="37"/>
      <c r="J63" s="37"/>
      <c r="K63" s="42"/>
      <c r="L63" s="37"/>
      <c r="M63" s="154"/>
      <c r="N63" s="228"/>
      <c r="O63" s="149"/>
      <c r="P63" s="149"/>
      <c r="Q63" s="149"/>
      <c r="R63" s="164"/>
      <c r="S63" s="438"/>
    </row>
    <row r="64" spans="1:19" s="5" customFormat="1" ht="6" hidden="1" customHeight="1">
      <c r="A64" s="354"/>
      <c r="B64" s="442"/>
      <c r="C64" s="32"/>
      <c r="D64" s="39"/>
      <c r="E64" s="39"/>
      <c r="F64" s="39"/>
      <c r="G64" s="37"/>
      <c r="H64" s="37"/>
      <c r="I64" s="37"/>
      <c r="J64" s="37"/>
      <c r="K64" s="42"/>
      <c r="L64" s="37"/>
      <c r="M64" s="37"/>
      <c r="N64" s="34"/>
      <c r="O64" s="34"/>
      <c r="P64" s="31"/>
      <c r="Q64" s="31"/>
      <c r="R64" s="49"/>
      <c r="S64" s="438"/>
    </row>
    <row r="65" spans="1:19" s="5" customFormat="1" ht="17.25" hidden="1" customHeight="1">
      <c r="A65" s="354"/>
      <c r="B65" s="448"/>
      <c r="C65" s="45" t="s">
        <v>179</v>
      </c>
      <c r="D65" s="208" t="s">
        <v>644</v>
      </c>
      <c r="E65" s="207"/>
      <c r="F65" s="207"/>
      <c r="G65" s="206"/>
      <c r="H65" s="206"/>
      <c r="I65" s="206"/>
      <c r="J65" s="206"/>
      <c r="K65" s="206"/>
      <c r="L65" s="206"/>
      <c r="M65" s="4"/>
      <c r="N65" s="147"/>
      <c r="O65" s="48"/>
      <c r="P65" s="653" t="str">
        <f ca="1">ROP!$E$42&amp;"保費："</f>
        <v>保費：</v>
      </c>
      <c r="Q65" s="653"/>
      <c r="R65" s="164" t="str">
        <f ca="1">IF(OR($A$2=1,$A$63=1),"",ROP!$E$44)</f>
        <v/>
      </c>
      <c r="S65" s="438"/>
    </row>
    <row r="66" spans="1:19" s="5" customFormat="1" ht="6" hidden="1" customHeight="1" thickBot="1">
      <c r="A66" s="354"/>
      <c r="B66" s="448"/>
      <c r="C66" s="46"/>
      <c r="D66" s="37"/>
      <c r="E66" s="37"/>
      <c r="F66" s="37"/>
      <c r="G66" s="37"/>
      <c r="H66" s="37"/>
      <c r="I66" s="37"/>
      <c r="J66" s="37"/>
      <c r="K66" s="42"/>
      <c r="L66" s="37"/>
      <c r="M66" s="37"/>
      <c r="N66" s="34"/>
      <c r="O66" s="34"/>
      <c r="P66" s="34"/>
      <c r="Q66" s="34"/>
      <c r="R66" s="34"/>
      <c r="S66" s="438"/>
    </row>
    <row r="67" spans="1:19" s="5" customFormat="1" ht="17.25" hidden="1" customHeight="1" thickBot="1">
      <c r="A67" s="354"/>
      <c r="B67" s="655" t="s">
        <v>180</v>
      </c>
      <c r="C67" s="656"/>
      <c r="D67" s="639" t="s">
        <v>643</v>
      </c>
      <c r="E67" s="639"/>
      <c r="F67" s="639"/>
      <c r="G67" s="653" t="s">
        <v>663</v>
      </c>
      <c r="H67" s="654"/>
      <c r="I67" s="654"/>
      <c r="J67" s="659"/>
      <c r="K67" s="660"/>
      <c r="L67" s="661"/>
      <c r="M67" s="667" t="str">
        <f ca="1">IF(OR(ROP!$E$24=1,ROP!$E$27),"",IF(OR(D67="",K68&lt;J68),"",J68&amp;"元 ~ "&amp;TEXT(K68,"#,##0 元")))</f>
        <v/>
      </c>
      <c r="N67" s="668"/>
      <c r="O67" s="657" t="str">
        <f ca="1">IF(ROP!E31=1,"",IF(OR(J67&lt;J68,J67&gt;K68),"附約保額錯誤",""))</f>
        <v/>
      </c>
      <c r="P67" s="657"/>
      <c r="Q67" s="657"/>
      <c r="R67" s="657"/>
      <c r="S67" s="658"/>
    </row>
    <row r="68" spans="1:19" s="5" customFormat="1" ht="6" hidden="1" customHeight="1">
      <c r="A68" s="354"/>
      <c r="B68" s="448"/>
      <c r="C68" s="46"/>
      <c r="D68" s="37"/>
      <c r="E68" s="37"/>
      <c r="F68" s="37"/>
      <c r="G68" s="43"/>
      <c r="H68" s="43"/>
      <c r="I68" s="43"/>
      <c r="J68" s="44">
        <f>ROP!$E$29</f>
        <v>500</v>
      </c>
      <c r="K68" s="14">
        <f>ROP!$E$28</f>
        <v>3000</v>
      </c>
      <c r="L68" s="43"/>
      <c r="M68" s="34"/>
      <c r="N68" s="34"/>
      <c r="O68" s="34"/>
      <c r="P68" s="34"/>
      <c r="Q68" s="34"/>
      <c r="R68" s="34"/>
      <c r="S68" s="438"/>
    </row>
    <row r="69" spans="1:19" s="5" customFormat="1" ht="17.25" hidden="1" customHeight="1">
      <c r="A69" s="354"/>
      <c r="B69" s="448"/>
      <c r="C69" s="45" t="str">
        <f ca="1">IF(OR(O7&gt;O5,D67="",M67="保額超過限制，請修正"),"","保障年期：")</f>
        <v>保障年期：</v>
      </c>
      <c r="D69" s="299" t="s">
        <v>645</v>
      </c>
      <c r="E69" s="637" t="str">
        <f>ROP!O57</f>
        <v/>
      </c>
      <c r="F69" s="638"/>
      <c r="G69" s="638"/>
      <c r="H69" s="638"/>
      <c r="I69" s="638"/>
      <c r="J69" s="638"/>
      <c r="K69" s="638"/>
      <c r="L69" s="638"/>
      <c r="M69" s="638"/>
      <c r="N69" s="638"/>
      <c r="O69" s="649" t="str">
        <f ca="1">IF(ROP!$E$47&gt;0,"折扣後","")&amp;ROP!$E$42&amp;"首期保費："</f>
        <v>首期保費：</v>
      </c>
      <c r="P69" s="649"/>
      <c r="Q69" s="649"/>
      <c r="R69" s="164" t="str">
        <f ca="1">IF(OR($A$2=1,$A$63=1),"",ROP!$E$49)</f>
        <v/>
      </c>
      <c r="S69" s="438"/>
    </row>
    <row r="70" spans="1:19" s="5" customFormat="1" ht="6" hidden="1" customHeight="1">
      <c r="A70" s="354"/>
      <c r="B70" s="442"/>
      <c r="C70" s="32"/>
      <c r="D70" s="39"/>
      <c r="E70" s="39"/>
      <c r="F70" s="39"/>
      <c r="G70" s="37"/>
      <c r="H70" s="37"/>
      <c r="I70" s="37"/>
      <c r="J70" s="37"/>
      <c r="K70" s="42"/>
      <c r="L70" s="37"/>
      <c r="M70" s="37"/>
      <c r="N70" s="34"/>
      <c r="O70" s="4"/>
      <c r="P70" s="4"/>
      <c r="Q70" s="4"/>
      <c r="R70" s="4"/>
      <c r="S70" s="438"/>
    </row>
    <row r="71" spans="1:19" s="5" customFormat="1" ht="17.25" hidden="1" customHeight="1" thickBot="1">
      <c r="A71" s="354"/>
      <c r="B71" s="442"/>
      <c r="C71" s="32"/>
      <c r="D71" s="39"/>
      <c r="E71" s="39"/>
      <c r="F71" s="39"/>
      <c r="G71" s="37"/>
      <c r="H71" s="37"/>
      <c r="I71" s="37"/>
      <c r="J71" s="37"/>
      <c r="K71" s="42"/>
      <c r="L71" s="37"/>
      <c r="M71" s="37"/>
      <c r="N71" s="34"/>
      <c r="O71" s="649" t="str">
        <f ca="1">IF(ROP!$E$48&gt;0,"折扣後","")&amp;ROP!$E$42&amp;"續期保費："</f>
        <v>續期保費：</v>
      </c>
      <c r="P71" s="649"/>
      <c r="Q71" s="649"/>
      <c r="R71" s="164" t="str">
        <f ca="1">IF(OR($A$2=1,$A$63=1),"",ROP!$E$50)</f>
        <v/>
      </c>
      <c r="S71" s="438"/>
    </row>
    <row r="72" spans="1:19" s="5" customFormat="1" ht="6" hidden="1" customHeight="1" thickBot="1">
      <c r="A72" s="354"/>
      <c r="B72" s="442"/>
      <c r="C72" s="220"/>
      <c r="D72" s="221"/>
      <c r="E72" s="221"/>
      <c r="F72" s="221"/>
      <c r="G72" s="222"/>
      <c r="H72" s="222"/>
      <c r="I72" s="222"/>
      <c r="J72" s="222"/>
      <c r="K72" s="223"/>
      <c r="L72" s="222"/>
      <c r="M72" s="222"/>
      <c r="N72" s="224"/>
      <c r="O72" s="225"/>
      <c r="P72" s="225"/>
      <c r="Q72" s="225"/>
      <c r="R72" s="226"/>
      <c r="S72" s="438"/>
    </row>
    <row r="73" spans="1:19" s="5" customFormat="1" ht="17.25" hidden="1" customHeight="1" thickBot="1">
      <c r="A73" s="354">
        <f ca="1">ROP!$F$33</f>
        <v>1</v>
      </c>
      <c r="B73" s="442"/>
      <c r="C73" s="45"/>
      <c r="D73" s="45" t="s">
        <v>621</v>
      </c>
      <c r="E73" s="662"/>
      <c r="F73" s="663"/>
      <c r="G73" s="663"/>
      <c r="H73" s="664"/>
      <c r="I73" s="630"/>
      <c r="K73" s="42"/>
      <c r="L73" s="37"/>
      <c r="M73" s="154"/>
      <c r="N73" s="228"/>
      <c r="O73" s="149"/>
      <c r="P73" s="149"/>
      <c r="Q73" s="149"/>
      <c r="R73" s="164"/>
      <c r="S73" s="438"/>
    </row>
    <row r="74" spans="1:19" s="5" customFormat="1" ht="6" hidden="1" customHeight="1">
      <c r="A74" s="354"/>
      <c r="B74" s="442"/>
      <c r="C74" s="32"/>
      <c r="D74" s="39"/>
      <c r="E74" s="39"/>
      <c r="F74" s="39"/>
      <c r="G74" s="37"/>
      <c r="H74" s="37"/>
      <c r="I74" s="37"/>
      <c r="J74" s="37"/>
      <c r="K74" s="42"/>
      <c r="L74" s="37"/>
      <c r="M74" s="37"/>
      <c r="N74" s="34"/>
      <c r="O74" s="149"/>
      <c r="P74" s="149"/>
      <c r="Q74" s="149"/>
      <c r="R74" s="164"/>
      <c r="S74" s="438"/>
    </row>
    <row r="75" spans="1:19" s="5" customFormat="1" ht="17.25" hidden="1" customHeight="1">
      <c r="A75" s="354"/>
      <c r="B75" s="448"/>
      <c r="C75" s="45" t="s">
        <v>179</v>
      </c>
      <c r="D75" s="208" t="s">
        <v>1056</v>
      </c>
      <c r="E75" s="207"/>
      <c r="F75" s="207"/>
      <c r="G75" s="206"/>
      <c r="H75" s="206"/>
      <c r="I75" s="206"/>
      <c r="J75" s="206"/>
      <c r="K75" s="206"/>
      <c r="L75" s="206"/>
      <c r="M75" s="246" t="str">
        <f ca="1">IF(OP!$C$3&gt;=DATE(2022,4,30),"本商品已停售","")</f>
        <v>本商品已停售</v>
      </c>
      <c r="N75" s="41"/>
      <c r="O75" s="48"/>
      <c r="P75" s="653" t="str">
        <f ca="1">ROP!$F$42&amp;"保費："</f>
        <v>保費：</v>
      </c>
      <c r="Q75" s="653"/>
      <c r="R75" s="164" t="str">
        <f ca="1">IF(OR($A$2=1,$A$73=1),"",ROP!$F$44)</f>
        <v/>
      </c>
      <c r="S75" s="438"/>
    </row>
    <row r="76" spans="1:19" s="5" customFormat="1" ht="6" hidden="1" customHeight="1" thickBot="1">
      <c r="A76" s="354"/>
      <c r="B76" s="448"/>
      <c r="C76" s="46"/>
      <c r="D76" s="37"/>
      <c r="E76" s="37"/>
      <c r="F76" s="37"/>
      <c r="G76" s="37"/>
      <c r="H76" s="37"/>
      <c r="I76" s="37"/>
      <c r="J76" s="37"/>
      <c r="K76" s="42"/>
      <c r="L76" s="37"/>
      <c r="M76" s="37"/>
      <c r="N76" s="34"/>
      <c r="O76" s="34"/>
      <c r="P76" s="34"/>
      <c r="Q76" s="34"/>
      <c r="R76" s="34"/>
      <c r="S76" s="438"/>
    </row>
    <row r="77" spans="1:19" s="5" customFormat="1" ht="17.25" hidden="1" customHeight="1" thickBot="1">
      <c r="A77" s="354"/>
      <c r="B77" s="655" t="s">
        <v>180</v>
      </c>
      <c r="C77" s="656"/>
      <c r="D77" s="639" t="s">
        <v>1021</v>
      </c>
      <c r="E77" s="639"/>
      <c r="F77" s="639"/>
      <c r="G77" s="653" t="s">
        <v>663</v>
      </c>
      <c r="H77" s="654"/>
      <c r="I77" s="654"/>
      <c r="J77" s="659"/>
      <c r="K77" s="660"/>
      <c r="L77" s="661"/>
      <c r="M77" s="667" t="str">
        <f ca="1">IF(OR(ROP!$F$24=1,ROP!$F$27),"",IF(OR(D77="",K78&lt;J78),"",J78&amp;"元 ~ "&amp;TEXT(K78,"#,##0 元")))</f>
        <v/>
      </c>
      <c r="N77" s="668"/>
      <c r="O77" s="657" t="str">
        <f>IF(ROP!F31=1,"",IF(OR(J77&lt;J78,J77&gt;K78),"附約保額錯誤",""))</f>
        <v/>
      </c>
      <c r="P77" s="657"/>
      <c r="Q77" s="657"/>
      <c r="R77" s="657"/>
      <c r="S77" s="658"/>
    </row>
    <row r="78" spans="1:19" s="5" customFormat="1" ht="6" hidden="1" customHeight="1">
      <c r="A78" s="354"/>
      <c r="B78" s="448"/>
      <c r="C78" s="46"/>
      <c r="D78" s="37"/>
      <c r="E78" s="37"/>
      <c r="F78" s="37"/>
      <c r="G78" s="43"/>
      <c r="H78" s="43"/>
      <c r="I78" s="43"/>
      <c r="J78" s="44">
        <f>ROP!$F$29</f>
        <v>500</v>
      </c>
      <c r="K78" s="14">
        <f>ROP!$F$28</f>
        <v>2000</v>
      </c>
      <c r="L78" s="43"/>
      <c r="M78" s="34"/>
      <c r="N78" s="34"/>
      <c r="O78" s="34"/>
      <c r="P78" s="34"/>
      <c r="Q78" s="34"/>
      <c r="R78" s="34"/>
      <c r="S78" s="438"/>
    </row>
    <row r="79" spans="1:19" s="5" customFormat="1" ht="17.25" hidden="1" customHeight="1">
      <c r="A79" s="354"/>
      <c r="B79" s="448"/>
      <c r="C79" s="45" t="str">
        <f ca="1">IF(OR(O7&gt;O5,D77="",M77="保額超過限制，請修正"),"","保障年期：")</f>
        <v>保障年期：</v>
      </c>
      <c r="D79" s="299" t="s">
        <v>645</v>
      </c>
      <c r="E79" s="637" t="str">
        <f>ROP!O58</f>
        <v/>
      </c>
      <c r="F79" s="638"/>
      <c r="G79" s="638"/>
      <c r="H79" s="638"/>
      <c r="I79" s="638"/>
      <c r="J79" s="638"/>
      <c r="K79" s="638"/>
      <c r="L79" s="638"/>
      <c r="M79" s="638"/>
      <c r="N79" s="638"/>
      <c r="O79" s="649" t="str">
        <f ca="1">IF(ROP!$F$47&gt;0,"折扣後","")&amp;ROP!$F$42&amp;"首期保費："</f>
        <v>首期保費：</v>
      </c>
      <c r="P79" s="649"/>
      <c r="Q79" s="649"/>
      <c r="R79" s="164" t="str">
        <f ca="1">IF(OR($A$2=1,,$A$73=1),"",ROP!$F$49)</f>
        <v/>
      </c>
      <c r="S79" s="438"/>
    </row>
    <row r="80" spans="1:19" s="5" customFormat="1" ht="6" hidden="1" customHeight="1">
      <c r="A80" s="354"/>
      <c r="B80" s="442"/>
      <c r="C80" s="32"/>
      <c r="D80" s="39"/>
      <c r="E80" s="39"/>
      <c r="F80" s="39"/>
      <c r="G80" s="37"/>
      <c r="H80" s="37"/>
      <c r="I80" s="37"/>
      <c r="J80" s="37"/>
      <c r="K80" s="42"/>
      <c r="L80" s="37"/>
      <c r="M80" s="37"/>
      <c r="N80" s="34"/>
      <c r="O80" s="4"/>
      <c r="P80" s="4"/>
      <c r="Q80" s="4"/>
      <c r="R80" s="4"/>
      <c r="S80" s="438"/>
    </row>
    <row r="81" spans="1:19" s="5" customFormat="1" ht="17.25" hidden="1" customHeight="1" thickBot="1">
      <c r="A81" s="354"/>
      <c r="B81" s="442"/>
      <c r="C81" s="32"/>
      <c r="D81" s="39"/>
      <c r="E81" s="39"/>
      <c r="F81" s="39"/>
      <c r="G81" s="37"/>
      <c r="H81" s="37"/>
      <c r="I81" s="37"/>
      <c r="J81" s="37"/>
      <c r="K81" s="42"/>
      <c r="L81" s="37"/>
      <c r="M81" s="37"/>
      <c r="N81" s="34"/>
      <c r="O81" s="649" t="str">
        <f ca="1">IF(ROP!$F$48&gt;0,"折扣後","")&amp;ROP!$F$42&amp;"續期保費："</f>
        <v>續期保費：</v>
      </c>
      <c r="P81" s="649"/>
      <c r="Q81" s="649"/>
      <c r="R81" s="164" t="str">
        <f ca="1">IF(OR($A$2=1,,$A$73=1),"",ROP!$F$50)</f>
        <v/>
      </c>
      <c r="S81" s="438"/>
    </row>
    <row r="82" spans="1:19" s="5" customFormat="1" ht="6" customHeight="1" thickBot="1">
      <c r="A82" s="354"/>
      <c r="B82" s="442"/>
      <c r="C82" s="220"/>
      <c r="D82" s="221"/>
      <c r="E82" s="221"/>
      <c r="F82" s="221"/>
      <c r="G82" s="222"/>
      <c r="H82" s="222"/>
      <c r="I82" s="222"/>
      <c r="J82" s="222"/>
      <c r="K82" s="223"/>
      <c r="L82" s="222"/>
      <c r="M82" s="222"/>
      <c r="N82" s="224"/>
      <c r="O82" s="225"/>
      <c r="P82" s="225"/>
      <c r="Q82" s="225"/>
      <c r="R82" s="226"/>
      <c r="S82" s="438"/>
    </row>
    <row r="83" spans="1:19" s="5" customFormat="1" ht="17.25" customHeight="1" thickBot="1">
      <c r="A83" s="354">
        <f ca="1">ROP!$G$33</f>
        <v>1</v>
      </c>
      <c r="B83" s="442"/>
      <c r="C83" s="45"/>
      <c r="D83" s="45" t="s">
        <v>621</v>
      </c>
      <c r="E83" s="662" t="s">
        <v>1060</v>
      </c>
      <c r="F83" s="663"/>
      <c r="G83" s="663"/>
      <c r="H83" s="664"/>
      <c r="I83" s="37"/>
      <c r="J83" s="37"/>
      <c r="K83" s="42"/>
      <c r="L83" s="246"/>
      <c r="M83" s="37"/>
      <c r="N83" s="34"/>
      <c r="O83" s="149"/>
      <c r="P83" s="149"/>
      <c r="Q83" s="149"/>
      <c r="R83" s="164"/>
      <c r="S83" s="438"/>
    </row>
    <row r="84" spans="1:19" s="5" customFormat="1" ht="6" customHeight="1">
      <c r="A84" s="354"/>
      <c r="B84" s="442"/>
      <c r="C84" s="32"/>
      <c r="D84" s="39"/>
      <c r="E84" s="39"/>
      <c r="F84" s="39"/>
      <c r="G84" s="37"/>
      <c r="H84" s="37"/>
      <c r="I84" s="37"/>
      <c r="J84" s="37"/>
      <c r="K84" s="42"/>
      <c r="L84" s="37"/>
      <c r="M84" s="4"/>
      <c r="N84" s="4"/>
      <c r="O84" s="149"/>
      <c r="P84" s="149"/>
      <c r="Q84" s="149"/>
      <c r="R84" s="164"/>
      <c r="S84" s="438"/>
    </row>
    <row r="85" spans="1:19" s="5" customFormat="1" ht="17.25" customHeight="1">
      <c r="A85" s="354"/>
      <c r="B85" s="448"/>
      <c r="C85" s="45" t="s">
        <v>179</v>
      </c>
      <c r="D85" s="452" t="s">
        <v>786</v>
      </c>
      <c r="E85" s="207"/>
      <c r="F85" s="207"/>
      <c r="G85" s="206"/>
      <c r="H85" s="206"/>
      <c r="I85" s="206"/>
      <c r="J85" s="206"/>
      <c r="K85" s="206"/>
      <c r="L85" s="206"/>
      <c r="M85" s="154"/>
      <c r="N85" s="228"/>
      <c r="O85" s="48"/>
      <c r="P85" s="653" t="str">
        <f ca="1">ROP!$G$42&amp;"保費："</f>
        <v>保費：</v>
      </c>
      <c r="Q85" s="653"/>
      <c r="R85" s="164" t="str">
        <f ca="1">IF(OR($A$2=1,$A$83=1),"",ROP!$G$44)</f>
        <v/>
      </c>
      <c r="S85" s="438"/>
    </row>
    <row r="86" spans="1:19" s="5" customFormat="1" ht="6" customHeight="1" thickBot="1">
      <c r="A86" s="354"/>
      <c r="B86" s="448"/>
      <c r="C86" s="46"/>
      <c r="D86" s="37"/>
      <c r="E86" s="37"/>
      <c r="F86" s="37"/>
      <c r="G86" s="37"/>
      <c r="H86" s="37"/>
      <c r="I86" s="37"/>
      <c r="J86" s="37"/>
      <c r="K86" s="42"/>
      <c r="L86" s="37"/>
      <c r="M86" s="37"/>
      <c r="N86" s="34"/>
      <c r="O86" s="34"/>
      <c r="P86" s="34"/>
      <c r="Q86" s="34"/>
      <c r="R86" s="34"/>
      <c r="S86" s="438"/>
    </row>
    <row r="87" spans="1:19" s="5" customFormat="1" ht="17.25" customHeight="1" thickBot="1">
      <c r="A87" s="354"/>
      <c r="B87" s="655" t="s">
        <v>180</v>
      </c>
      <c r="C87" s="656"/>
      <c r="D87" s="639" t="s">
        <v>660</v>
      </c>
      <c r="E87" s="639"/>
      <c r="F87" s="639"/>
      <c r="G87" s="653" t="s">
        <v>663</v>
      </c>
      <c r="H87" s="654"/>
      <c r="I87" s="654"/>
      <c r="J87" s="659"/>
      <c r="K87" s="660"/>
      <c r="L87" s="661"/>
      <c r="M87" s="667" t="str">
        <f ca="1">IF(OR(ROP!$G$24=1,ROP!$G$27),"",IF(OR(D87="",K88&lt;J88),"",TEXT(J88,"#,##0 元")&amp;" ~ "&amp;TEXT(K88,"#,##0 元")))</f>
        <v/>
      </c>
      <c r="N87" s="668"/>
      <c r="O87" s="657" t="str">
        <f>IF(ROP!G31=1,"",IF(OR(J87&lt;J88,J87&gt;K88),"附約保額錯誤",""))</f>
        <v/>
      </c>
      <c r="P87" s="657"/>
      <c r="Q87" s="657"/>
      <c r="R87" s="657"/>
      <c r="S87" s="658"/>
    </row>
    <row r="88" spans="1:19" s="5" customFormat="1" ht="6" customHeight="1">
      <c r="A88" s="354"/>
      <c r="B88" s="448"/>
      <c r="C88" s="46"/>
      <c r="D88" s="37"/>
      <c r="E88" s="37"/>
      <c r="F88" s="37"/>
      <c r="G88" s="43"/>
      <c r="H88" s="43"/>
      <c r="I88" s="43"/>
      <c r="J88" s="44">
        <f>ROP!$G$29</f>
        <v>1000</v>
      </c>
      <c r="K88" s="14">
        <f>ROP!$G$28</f>
        <v>3000</v>
      </c>
      <c r="L88" s="43"/>
      <c r="M88" s="34"/>
      <c r="N88" s="34"/>
      <c r="O88" s="34"/>
      <c r="P88" s="34"/>
      <c r="Q88" s="34"/>
      <c r="R88" s="34"/>
      <c r="S88" s="438"/>
    </row>
    <row r="89" spans="1:19" s="5" customFormat="1" ht="17.25" customHeight="1">
      <c r="A89" s="354"/>
      <c r="B89" s="448"/>
      <c r="C89" s="45" t="str">
        <f ca="1">IF(OR(O7&gt;O5,D87="",M87="保額超過限制，請修正"),"","保障年期：")</f>
        <v>保障年期：</v>
      </c>
      <c r="D89" s="299" t="s">
        <v>645</v>
      </c>
      <c r="E89" s="637" t="str">
        <f>ROP!O59</f>
        <v/>
      </c>
      <c r="F89" s="638"/>
      <c r="G89" s="638"/>
      <c r="H89" s="638"/>
      <c r="I89" s="638"/>
      <c r="J89" s="638"/>
      <c r="K89" s="638"/>
      <c r="L89" s="638"/>
      <c r="M89" s="638"/>
      <c r="N89" s="638"/>
      <c r="O89" s="649" t="str">
        <f ca="1">IF(ROP!$G$47&gt;0,"折扣後","")&amp;ROP!$G$42&amp;"首期保費："</f>
        <v>首期保費：</v>
      </c>
      <c r="P89" s="649"/>
      <c r="Q89" s="649"/>
      <c r="R89" s="164" t="str">
        <f ca="1">IF(OR($A$2=1,$A$83=1),"",ROP!$G$49)</f>
        <v/>
      </c>
      <c r="S89" s="438"/>
    </row>
    <row r="90" spans="1:19" s="5" customFormat="1" ht="6" customHeight="1">
      <c r="A90" s="354"/>
      <c r="B90" s="442"/>
      <c r="C90" s="32"/>
      <c r="D90" s="39"/>
      <c r="E90" s="39"/>
      <c r="F90" s="39"/>
      <c r="G90" s="37"/>
      <c r="H90" s="37"/>
      <c r="I90" s="37"/>
      <c r="J90" s="37"/>
      <c r="K90" s="42"/>
      <c r="L90" s="37"/>
      <c r="M90" s="37"/>
      <c r="N90" s="34"/>
      <c r="O90" s="4"/>
      <c r="P90" s="4"/>
      <c r="Q90" s="4"/>
      <c r="R90" s="4"/>
      <c r="S90" s="438"/>
    </row>
    <row r="91" spans="1:19" s="5" customFormat="1" ht="17.25" customHeight="1" thickBot="1">
      <c r="A91" s="354"/>
      <c r="B91" s="442"/>
      <c r="C91" s="32"/>
      <c r="D91" s="39"/>
      <c r="E91" s="39"/>
      <c r="F91" s="39"/>
      <c r="G91" s="37"/>
      <c r="H91" s="37"/>
      <c r="I91" s="37"/>
      <c r="J91" s="37"/>
      <c r="K91" s="42"/>
      <c r="L91" s="37"/>
      <c r="M91" s="37"/>
      <c r="N91" s="34"/>
      <c r="O91" s="649" t="str">
        <f ca="1">IF(ROP!$G$48&gt;0,"折扣後","")&amp;ROP!$G$42&amp;"續期保費："</f>
        <v>續期保費：</v>
      </c>
      <c r="P91" s="649"/>
      <c r="Q91" s="649"/>
      <c r="R91" s="164" t="str">
        <f ca="1">IF(OR($A$2=1,$A$83=1),"",ROP!$G$50)</f>
        <v/>
      </c>
      <c r="S91" s="438"/>
    </row>
    <row r="92" spans="1:19" s="5" customFormat="1" ht="6" customHeight="1">
      <c r="A92" s="354"/>
      <c r="B92" s="453"/>
      <c r="C92" s="220"/>
      <c r="D92" s="221"/>
      <c r="E92" s="221"/>
      <c r="F92" s="221"/>
      <c r="G92" s="222"/>
      <c r="H92" s="222"/>
      <c r="I92" s="222"/>
      <c r="J92" s="222"/>
      <c r="K92" s="223"/>
      <c r="L92" s="222"/>
      <c r="M92" s="222"/>
      <c r="N92" s="224"/>
      <c r="O92" s="225"/>
      <c r="P92" s="225"/>
      <c r="Q92" s="225"/>
      <c r="R92" s="226"/>
      <c r="S92" s="454"/>
    </row>
    <row r="93" spans="1:19" s="5" customFormat="1" ht="17.25" customHeight="1">
      <c r="A93" s="354">
        <v>1</v>
      </c>
      <c r="B93" s="455" t="str">
        <f ca="1">IF(OR($A$2=1,ISERROR(VLOOKUP($A93,Total!$B$7:$M$8,3,0))),"",VLOOKUP($A93,List,15,0))</f>
        <v>SWUC主約</v>
      </c>
      <c r="C93" s="4"/>
      <c r="D93" s="589"/>
      <c r="E93" s="234" t="str">
        <f ca="1">IF(OR($A$2=1,ISERROR(VLOOKUP($A93,List,7,0))),"",VLOOKUP($A93,List,7,0))</f>
        <v>年繳總保費：</v>
      </c>
      <c r="F93" s="648">
        <f ca="1">IF(OR($A$2=1,ISERROR(VLOOKUP($A93,List,8,0))),"",VLOOKUP($A93,List,8,0))</f>
        <v>5300</v>
      </c>
      <c r="G93" s="638"/>
      <c r="H93" s="638"/>
      <c r="I93" s="456"/>
      <c r="J93" s="37"/>
      <c r="K93" s="42"/>
      <c r="L93" s="37"/>
      <c r="M93" s="45" t="str">
        <f ca="1">IF(OR($A$2=1,ISERROR(VLOOKUP($A93,List,9,0))),"",VLOOKUP($A93,List,9,0))</f>
        <v>折扣後首期總保費：</v>
      </c>
      <c r="N93" s="235">
        <f ca="1">IF(OR($A$2=1,ISERROR(VLOOKUP($A93,List,10))),"",VLOOKUP($A93,List,10,0))</f>
        <v>5247</v>
      </c>
      <c r="O93" s="149"/>
      <c r="P93" s="149"/>
      <c r="Q93" s="149" t="str">
        <f ca="1">IF(OR($A$2=1,ISERROR(VLOOKUP($A93,List,11,0))),"",VLOOKUP($A93,List,11,0))</f>
        <v>折扣後續期總保費：</v>
      </c>
      <c r="R93" s="235">
        <f ca="1">IF(OR($A$2=1,ISERROR(VLOOKUP($A93,List,12,0))),"",VLOOKUP($A93,List,12,0))</f>
        <v>5247</v>
      </c>
      <c r="S93" s="438"/>
    </row>
    <row r="94" spans="1:19" s="5" customFormat="1" ht="6" customHeight="1">
      <c r="A94" s="354"/>
      <c r="B94" s="442"/>
      <c r="C94" s="32"/>
      <c r="D94" s="4"/>
      <c r="E94" s="4"/>
      <c r="F94" s="234"/>
      <c r="G94" s="235"/>
      <c r="H94" s="456"/>
      <c r="I94" s="456"/>
      <c r="J94" s="37"/>
      <c r="K94" s="42"/>
      <c r="L94" s="37"/>
      <c r="M94" s="47"/>
      <c r="N94" s="235"/>
      <c r="O94" s="149"/>
      <c r="P94" s="149"/>
      <c r="Q94" s="149"/>
      <c r="R94" s="235"/>
      <c r="S94" s="438"/>
    </row>
    <row r="95" spans="1:19" s="5" customFormat="1" ht="17.25" customHeight="1">
      <c r="A95" s="354">
        <v>2</v>
      </c>
      <c r="B95" s="455" t="str">
        <f ca="1">IF(OR($A$2=1,ISERROR(VLOOKUP($A95,Total!$B$7:$M$8,3,0))),"",VLOOKUP($A95,List,15,0))</f>
        <v>AIJ主約</v>
      </c>
      <c r="C95" s="4"/>
      <c r="D95" s="4"/>
      <c r="E95" s="234" t="str">
        <f ca="1">IF(OR($A$2=1,ISERROR(VLOOKUP($A95,List,7,0))),"",VLOOKUP($A95,List,7,0))</f>
        <v>年繳總保費：</v>
      </c>
      <c r="F95" s="648">
        <f ca="1">IF(OR($A$2=1,ISERROR(VLOOKUP($A95,List,8,0))),"",VLOOKUP($A95,List,8,0))</f>
        <v>3550</v>
      </c>
      <c r="G95" s="638"/>
      <c r="H95" s="638"/>
      <c r="I95" s="456"/>
      <c r="J95" s="37"/>
      <c r="K95" s="42"/>
      <c r="L95" s="37"/>
      <c r="M95" s="618" t="str">
        <f ca="1">IF(OR($A$2=1,ISERROR(VLOOKUP($A95,List,9,0))),"",VLOOKUP($A95,List,9,0))</f>
        <v>折扣後首期總保費：</v>
      </c>
      <c r="N95" s="235">
        <f ca="1">IF(OR($A$2=1,ISERROR(VLOOKUP($A95,List,10,0))),"",VLOOKUP($A95,List,10,0))</f>
        <v>3515</v>
      </c>
      <c r="O95" s="149"/>
      <c r="P95" s="149"/>
      <c r="Q95" s="149" t="str">
        <f ca="1">IF(OR($A$2=1,ISERROR(VLOOKUP($A95,List,11,0))),"",VLOOKUP($A95,List,11,0))</f>
        <v>折扣後續期總保費：</v>
      </c>
      <c r="R95" s="235">
        <f ca="1">IF(OR($A$2=1,ISERROR(VLOOKUP($A95,List,12,0))),"",VLOOKUP($A95,List,12,0))</f>
        <v>3515</v>
      </c>
      <c r="S95" s="438"/>
    </row>
    <row r="96" spans="1:19" s="5" customFormat="1" ht="6" customHeight="1">
      <c r="A96" s="354"/>
      <c r="B96" s="442"/>
      <c r="C96" s="32"/>
      <c r="D96" s="39"/>
      <c r="E96" s="39"/>
      <c r="F96" s="39"/>
      <c r="G96" s="37"/>
      <c r="H96" s="37"/>
      <c r="I96" s="37"/>
      <c r="J96" s="37"/>
      <c r="K96" s="42"/>
      <c r="L96" s="37"/>
      <c r="M96" s="37"/>
      <c r="N96" s="34"/>
      <c r="O96" s="149"/>
      <c r="P96" s="149"/>
      <c r="Q96" s="149"/>
      <c r="R96" s="164"/>
      <c r="S96" s="438"/>
    </row>
    <row r="97" spans="1:19" s="5" customFormat="1" ht="17.25" hidden="1" customHeight="1">
      <c r="A97" s="354"/>
      <c r="B97" s="442"/>
      <c r="C97" s="32"/>
      <c r="D97" s="39"/>
      <c r="E97" s="39"/>
      <c r="F97" s="39"/>
      <c r="G97" s="37"/>
      <c r="H97" s="37"/>
      <c r="I97" s="37"/>
      <c r="J97" s="37"/>
      <c r="K97" s="42"/>
      <c r="L97" s="37"/>
      <c r="M97" s="37"/>
      <c r="N97" s="34"/>
      <c r="O97" s="149"/>
      <c r="P97" s="149"/>
      <c r="Q97" s="149"/>
      <c r="R97" s="164"/>
      <c r="S97" s="438"/>
    </row>
    <row r="98" spans="1:19" s="5" customFormat="1" ht="17.25" hidden="1" customHeight="1">
      <c r="A98" s="354"/>
      <c r="B98" s="442"/>
      <c r="C98" s="32"/>
      <c r="D98" s="39"/>
      <c r="E98" s="39"/>
      <c r="F98" s="39"/>
      <c r="G98" s="37"/>
      <c r="H98" s="37"/>
      <c r="I98" s="37"/>
      <c r="J98" s="37"/>
      <c r="K98" s="42"/>
      <c r="L98" s="37"/>
      <c r="M98" s="37"/>
      <c r="N98" s="34"/>
      <c r="O98" s="34"/>
      <c r="P98" s="31"/>
      <c r="Q98" s="31"/>
      <c r="R98" s="49"/>
      <c r="S98" s="438"/>
    </row>
    <row r="99" spans="1:19" s="5" customFormat="1" ht="17.25" hidden="1" customHeight="1">
      <c r="A99" s="354"/>
      <c r="B99" s="442"/>
      <c r="C99" s="32"/>
      <c r="D99" s="39"/>
      <c r="E99" s="39"/>
      <c r="F99" s="39"/>
      <c r="G99" s="37"/>
      <c r="H99" s="37"/>
      <c r="I99" s="37"/>
      <c r="J99" s="37"/>
      <c r="K99" s="42"/>
      <c r="L99" s="37"/>
      <c r="M99" s="37"/>
      <c r="N99" s="34"/>
      <c r="O99" s="34"/>
      <c r="P99" s="31"/>
      <c r="Q99" s="31"/>
      <c r="R99" s="49"/>
      <c r="S99" s="438"/>
    </row>
    <row r="100" spans="1:19" s="5" customFormat="1" ht="17.25" customHeight="1">
      <c r="A100" s="354">
        <v>2</v>
      </c>
      <c r="B100" s="444"/>
      <c r="C100" s="380"/>
      <c r="D100" s="380"/>
      <c r="E100" s="380"/>
      <c r="F100" s="380"/>
      <c r="G100" s="380"/>
      <c r="H100" s="380"/>
      <c r="I100" s="380"/>
      <c r="J100" s="247"/>
      <c r="K100" s="380"/>
      <c r="L100" s="380"/>
      <c r="M100" s="247" t="str">
        <f ca="1">IF(OR(AND(OP!$D$53="",OP!$C$50=12),AND('OP1'!$D$53="",'OP1'!$C$50=12)),"月繳首期須繳 2個月","")</f>
        <v/>
      </c>
      <c r="N100" s="380"/>
      <c r="O100" s="380"/>
      <c r="P100" s="380"/>
      <c r="Q100" s="380"/>
      <c r="R100" s="380"/>
      <c r="S100" s="457"/>
    </row>
    <row r="101" spans="1:19" s="5" customFormat="1" ht="17.25" customHeight="1" thickBot="1">
      <c r="A101" s="354"/>
      <c r="B101" s="458" t="str">
        <f ca="1">IF(OP!D6&lt;15,"※未滿15足歲同一被保險人累計本公司及產、壽險同業之壽險及傷害險最高總保額為1,200萬。","")</f>
        <v/>
      </c>
      <c r="C101" s="381"/>
      <c r="D101" s="381"/>
      <c r="E101" s="381"/>
      <c r="F101" s="381"/>
      <c r="G101" s="381"/>
      <c r="H101" s="381"/>
      <c r="I101" s="381"/>
      <c r="J101" s="381"/>
      <c r="K101" s="381"/>
      <c r="L101" s="381"/>
      <c r="M101" s="381"/>
      <c r="N101" s="381"/>
      <c r="O101" s="381"/>
      <c r="P101" s="381"/>
      <c r="Q101" s="381"/>
      <c r="R101" s="381"/>
      <c r="S101" s="459"/>
    </row>
    <row r="102" spans="1:19" ht="17.25" customHeight="1" thickTop="1">
      <c r="A102" s="354"/>
      <c r="B102" s="460"/>
      <c r="C102" s="60"/>
      <c r="D102" s="60"/>
      <c r="E102" s="60"/>
      <c r="F102" s="60"/>
      <c r="G102" s="60"/>
      <c r="H102" s="60"/>
      <c r="I102" s="60"/>
      <c r="J102" s="60"/>
      <c r="K102" s="61"/>
      <c r="L102" s="61"/>
      <c r="M102" s="61"/>
      <c r="N102" s="60"/>
      <c r="O102" s="60"/>
      <c r="P102" s="60"/>
      <c r="Q102" s="61"/>
      <c r="R102" s="61"/>
      <c r="S102" s="461"/>
    </row>
    <row r="103" spans="1:19" ht="21" customHeight="1" thickBot="1">
      <c r="A103" s="354"/>
      <c r="B103" s="650" t="str">
        <f>OP!$C$54</f>
        <v>V3.0A-1111001</v>
      </c>
      <c r="C103" s="651"/>
      <c r="D103" s="652"/>
      <c r="E103" s="462"/>
      <c r="F103" s="462"/>
      <c r="G103" s="462"/>
      <c r="H103" s="462"/>
      <c r="I103" s="463"/>
      <c r="J103" s="463"/>
      <c r="K103" s="463"/>
      <c r="L103" s="463"/>
      <c r="M103" s="463"/>
      <c r="N103" s="463"/>
      <c r="O103" s="590" t="str">
        <f>OP!B69&amp;OP!C69</f>
        <v>適用通路：業務、服展、北富銀</v>
      </c>
      <c r="P103" s="464"/>
      <c r="Q103" s="647" t="str">
        <f ca="1">" 試算日："&amp;TEXT(YEAR(OP!$C$3)-1911,"000")&amp;TEXT(MONTH(OP!$C$3),"00")&amp;TEXT(DAY(OP!$C$3),"00")</f>
        <v xml:space="preserve"> 試算日：1111001</v>
      </c>
      <c r="R103" s="647"/>
      <c r="S103" s="465"/>
    </row>
    <row r="104" spans="1:19" ht="42" customHeight="1">
      <c r="B104" s="645" t="str">
        <f ca="1">IF($A$2=1,"",IF(O7&gt;=71,"保險年齡71歲(含)以上，須請保戶配合完成普通體檢或自行提供最近一年之健康檢查報告，
如保戶無法配合將由公司派人親訪保戶，以瞭解保戶之身體健康狀況。",""))</f>
        <v/>
      </c>
      <c r="C104" s="646"/>
      <c r="D104" s="646"/>
      <c r="E104" s="646"/>
      <c r="F104" s="646"/>
      <c r="G104" s="646"/>
      <c r="H104" s="646"/>
      <c r="I104" s="646"/>
      <c r="J104" s="646"/>
      <c r="K104" s="646"/>
      <c r="L104" s="646"/>
      <c r="M104" s="646"/>
      <c r="N104" s="646"/>
      <c r="O104" s="646"/>
      <c r="P104" s="646"/>
      <c r="Q104" s="646"/>
      <c r="R104" s="646"/>
      <c r="S104" s="646"/>
    </row>
    <row r="105" spans="1:19" hidden="1">
      <c r="B105" s="5"/>
      <c r="C105" s="5"/>
      <c r="D105" s="5"/>
      <c r="E105" s="6"/>
      <c r="F105" s="5"/>
      <c r="G105" s="5"/>
      <c r="H105" s="5"/>
      <c r="I105" s="5"/>
      <c r="J105" s="5"/>
      <c r="K105" s="5"/>
    </row>
    <row r="106" spans="1:19" hidden="1">
      <c r="B106" s="5"/>
      <c r="C106" s="5"/>
      <c r="D106" s="5"/>
      <c r="E106" s="6"/>
      <c r="F106" s="5"/>
      <c r="G106" s="5"/>
      <c r="H106" s="5"/>
      <c r="I106" s="5"/>
      <c r="J106" s="5"/>
      <c r="K106" s="5"/>
    </row>
    <row r="107" spans="1:19" hidden="1">
      <c r="B107" s="5"/>
      <c r="C107" s="5"/>
      <c r="D107" s="5"/>
      <c r="E107" s="5"/>
      <c r="F107" s="5"/>
      <c r="G107" s="5"/>
      <c r="H107" s="5"/>
      <c r="I107" s="5"/>
      <c r="J107" s="5"/>
      <c r="K107" s="5"/>
    </row>
    <row r="108" spans="1:19" hidden="1">
      <c r="B108" s="5"/>
      <c r="C108" s="5"/>
      <c r="D108" s="5"/>
      <c r="E108" s="5"/>
      <c r="F108" s="5"/>
      <c r="G108" s="5"/>
      <c r="H108" s="5"/>
      <c r="I108" s="5"/>
      <c r="J108" s="5"/>
      <c r="K108" s="5"/>
    </row>
    <row r="109" spans="1:19" hidden="1">
      <c r="B109" s="5"/>
      <c r="C109" s="5"/>
      <c r="D109" s="5"/>
      <c r="E109" s="5"/>
      <c r="F109" s="5"/>
      <c r="G109" s="5"/>
      <c r="H109" s="5"/>
      <c r="I109" s="5"/>
      <c r="J109" s="5"/>
      <c r="K109" s="5"/>
    </row>
    <row r="110" spans="1:19" hidden="1"/>
    <row r="111" spans="1:19" hidden="1"/>
    <row r="112" spans="1:19"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sheetData>
  <sheetProtection algorithmName="SHA-512" hashValue="wJ49yuZr6V9ILTnxJ3XO24Hcvl9Q4vyiaDNOo8qLuL6HQcHp01YzOni+75Mq/2696QnhiFVhd/hD6rLU+3zmUg==" saltValue="VOcHUhhFyMhwJ32Y9ThmUA==" spinCount="100000" sheet="1" objects="1" scenarios="1" selectLockedCells="1"/>
  <dataConsolidate/>
  <mergeCells count="108">
    <mergeCell ref="B67:C67"/>
    <mergeCell ref="B77:C77"/>
    <mergeCell ref="E69:N69"/>
    <mergeCell ref="O9:P9"/>
    <mergeCell ref="O27:Q27"/>
    <mergeCell ref="J34:L34"/>
    <mergeCell ref="J36:O36"/>
    <mergeCell ref="P36:Q36"/>
    <mergeCell ref="M34:N34"/>
    <mergeCell ref="O34:R34"/>
    <mergeCell ref="B30:C30"/>
    <mergeCell ref="D30:F30"/>
    <mergeCell ref="H30:N30"/>
    <mergeCell ref="Q30:R30"/>
    <mergeCell ref="B57:C57"/>
    <mergeCell ref="O67:S67"/>
    <mergeCell ref="P65:Q65"/>
    <mergeCell ref="O38:Q38"/>
    <mergeCell ref="M47:N47"/>
    <mergeCell ref="D38:L38"/>
    <mergeCell ref="M57:N57"/>
    <mergeCell ref="O61:Q61"/>
    <mergeCell ref="O47:S47"/>
    <mergeCell ref="E12:H12"/>
    <mergeCell ref="B2:S2"/>
    <mergeCell ref="O5:P5"/>
    <mergeCell ref="E5:H5"/>
    <mergeCell ref="B5:C7"/>
    <mergeCell ref="K5:L5"/>
    <mergeCell ref="D32:F32"/>
    <mergeCell ref="J21:L21"/>
    <mergeCell ref="P23:Q23"/>
    <mergeCell ref="D19:F19"/>
    <mergeCell ref="D21:F21"/>
    <mergeCell ref="B21:C21"/>
    <mergeCell ref="J23:O23"/>
    <mergeCell ref="D25:L25"/>
    <mergeCell ref="B17:C17"/>
    <mergeCell ref="D17:F17"/>
    <mergeCell ref="M21:N21"/>
    <mergeCell ref="K12:L12"/>
    <mergeCell ref="O12:P12"/>
    <mergeCell ref="Q12:R12"/>
    <mergeCell ref="E14:H14"/>
    <mergeCell ref="I14:L14"/>
    <mergeCell ref="E49:N49"/>
    <mergeCell ref="J77:L77"/>
    <mergeCell ref="M77:N77"/>
    <mergeCell ref="M67:N67"/>
    <mergeCell ref="E43:H43"/>
    <mergeCell ref="D57:F57"/>
    <mergeCell ref="I7:M7"/>
    <mergeCell ref="E7:H7"/>
    <mergeCell ref="Q32:R32"/>
    <mergeCell ref="D67:F67"/>
    <mergeCell ref="G67:I67"/>
    <mergeCell ref="J67:L67"/>
    <mergeCell ref="E73:H73"/>
    <mergeCell ref="G34:I34"/>
    <mergeCell ref="E63:H63"/>
    <mergeCell ref="E83:H83"/>
    <mergeCell ref="E9:F9"/>
    <mergeCell ref="M87:N87"/>
    <mergeCell ref="B41:S41"/>
    <mergeCell ref="G47:I47"/>
    <mergeCell ref="J47:L47"/>
    <mergeCell ref="H17:N17"/>
    <mergeCell ref="Q17:R17"/>
    <mergeCell ref="D47:F47"/>
    <mergeCell ref="O25:Q25"/>
    <mergeCell ref="O21:R21"/>
    <mergeCell ref="G21:I21"/>
    <mergeCell ref="Q19:R19"/>
    <mergeCell ref="P45:Q45"/>
    <mergeCell ref="E53:H53"/>
    <mergeCell ref="P55:Q55"/>
    <mergeCell ref="B47:C47"/>
    <mergeCell ref="O40:Q40"/>
    <mergeCell ref="B34:C34"/>
    <mergeCell ref="D34:F34"/>
    <mergeCell ref="O49:Q49"/>
    <mergeCell ref="O51:Q51"/>
    <mergeCell ref="O69:Q69"/>
    <mergeCell ref="O59:Q59"/>
    <mergeCell ref="E79:N79"/>
    <mergeCell ref="D77:F77"/>
    <mergeCell ref="E13:H13"/>
    <mergeCell ref="O14:P14"/>
    <mergeCell ref="B104:S104"/>
    <mergeCell ref="Q103:R103"/>
    <mergeCell ref="F95:H95"/>
    <mergeCell ref="O91:Q91"/>
    <mergeCell ref="F93:H93"/>
    <mergeCell ref="B103:D103"/>
    <mergeCell ref="O89:Q89"/>
    <mergeCell ref="O71:Q71"/>
    <mergeCell ref="G77:I77"/>
    <mergeCell ref="B87:C87"/>
    <mergeCell ref="D87:F87"/>
    <mergeCell ref="P75:Q75"/>
    <mergeCell ref="O87:S87"/>
    <mergeCell ref="E89:N89"/>
    <mergeCell ref="G87:I87"/>
    <mergeCell ref="J87:L87"/>
    <mergeCell ref="P85:Q85"/>
    <mergeCell ref="O79:Q79"/>
    <mergeCell ref="O81:Q81"/>
    <mergeCell ref="O77:S77"/>
  </mergeCells>
  <phoneticPr fontId="7" type="noConversion"/>
  <conditionalFormatting sqref="S9">
    <cfRule type="expression" dxfId="64" priority="59" stopIfTrue="1">
      <formula>#REF!&lt;14</formula>
    </cfRule>
  </conditionalFormatting>
  <conditionalFormatting sqref="D21:F21 Q17:R17 Q19:R19">
    <cfRule type="cellIs" dxfId="63" priority="64" stopIfTrue="1" operator="equal">
      <formula>""</formula>
    </cfRule>
  </conditionalFormatting>
  <conditionalFormatting sqref="E5:H5">
    <cfRule type="cellIs" dxfId="62" priority="65" stopIfTrue="1" operator="equal">
      <formula>""</formula>
    </cfRule>
  </conditionalFormatting>
  <conditionalFormatting sqref="K5:L5">
    <cfRule type="expression" dxfId="61" priority="68" stopIfTrue="1">
      <formula>$A$5=1</formula>
    </cfRule>
    <cfRule type="cellIs" dxfId="60" priority="69" stopIfTrue="1" operator="equal">
      <formula>""</formula>
    </cfRule>
  </conditionalFormatting>
  <conditionalFormatting sqref="D17">
    <cfRule type="expression" dxfId="59" priority="70" stopIfTrue="1">
      <formula>$A$17=1</formula>
    </cfRule>
    <cfRule type="cellIs" dxfId="58" priority="71" stopIfTrue="1" operator="equal">
      <formula>""</formula>
    </cfRule>
  </conditionalFormatting>
  <conditionalFormatting sqref="D57:F57">
    <cfRule type="expression" dxfId="57" priority="55" stopIfTrue="1">
      <formula>AND($E$53&lt;&gt;"不附加",$A$53=1)</formula>
    </cfRule>
  </conditionalFormatting>
  <conditionalFormatting sqref="D67:F67">
    <cfRule type="cellIs" dxfId="56" priority="52" stopIfTrue="1" operator="equal">
      <formula>""</formula>
    </cfRule>
  </conditionalFormatting>
  <conditionalFormatting sqref="D77:F77">
    <cfRule type="cellIs" dxfId="55" priority="49" stopIfTrue="1" operator="equal">
      <formula>""</formula>
    </cfRule>
  </conditionalFormatting>
  <conditionalFormatting sqref="D87:F87">
    <cfRule type="cellIs" dxfId="54" priority="46" stopIfTrue="1" operator="equal">
      <formula>""</formula>
    </cfRule>
  </conditionalFormatting>
  <conditionalFormatting sqref="D34:F34 Q30:R30">
    <cfRule type="cellIs" dxfId="53" priority="38" stopIfTrue="1" operator="equal">
      <formula>""</formula>
    </cfRule>
  </conditionalFormatting>
  <conditionalFormatting sqref="D30">
    <cfRule type="expression" dxfId="52" priority="39" stopIfTrue="1">
      <formula>$A$17=1</formula>
    </cfRule>
    <cfRule type="cellIs" dxfId="51" priority="40" stopIfTrue="1" operator="equal">
      <formula>""</formula>
    </cfRule>
  </conditionalFormatting>
  <conditionalFormatting sqref="Q32:R32">
    <cfRule type="cellIs" dxfId="50" priority="37" stopIfTrue="1" operator="equal">
      <formula>""</formula>
    </cfRule>
  </conditionalFormatting>
  <conditionalFormatting sqref="D47:F47">
    <cfRule type="cellIs" dxfId="49" priority="36" stopIfTrue="1" operator="equal">
      <formula>""</formula>
    </cfRule>
  </conditionalFormatting>
  <conditionalFormatting sqref="J47:L47">
    <cfRule type="expression" dxfId="48" priority="85" stopIfTrue="1">
      <formula>AND($A$43=1,$J$47&lt;&gt;"")</formula>
    </cfRule>
  </conditionalFormatting>
  <conditionalFormatting sqref="E63:H63">
    <cfRule type="expression" dxfId="47" priority="22" stopIfTrue="1">
      <formula>OR(AND($J$21="",$E$63="AIJ"),AND($J$34="",$E$63="SWG"))</formula>
    </cfRule>
  </conditionalFormatting>
  <conditionalFormatting sqref="E43:H43">
    <cfRule type="expression" dxfId="46" priority="21" stopIfTrue="1">
      <formula>OR(AND($J$21="",$E$43="AIJ"),AND($J$34="",$E$43="SWG"))</formula>
    </cfRule>
  </conditionalFormatting>
  <conditionalFormatting sqref="E53:H53">
    <cfRule type="expression" dxfId="45" priority="20" stopIfTrue="1">
      <formula>OR(AND($J$21="",$E$53="AIJ"),AND($J$34="",$E$53="SWG"))</formula>
    </cfRule>
  </conditionalFormatting>
  <conditionalFormatting sqref="E73:H73">
    <cfRule type="expression" dxfId="44" priority="19" stopIfTrue="1">
      <formula>OR(AND($J$21="",$E$73="AIJ"),AND($J$34="",$E$73="SWG"))</formula>
    </cfRule>
  </conditionalFormatting>
  <conditionalFormatting sqref="E83:H83">
    <cfRule type="expression" dxfId="43" priority="18" stopIfTrue="1">
      <formula>OR(AND($J$21="",$E$83="AIJ"),AND($J$34="",$E$83="SWG"))</formula>
    </cfRule>
  </conditionalFormatting>
  <conditionalFormatting sqref="J67:L67">
    <cfRule type="expression" dxfId="42" priority="16" stopIfTrue="1">
      <formula>OR(AND($A$63=1,$J$67&lt;&gt;""),$A$41=1)</formula>
    </cfRule>
  </conditionalFormatting>
  <conditionalFormatting sqref="J77:L77">
    <cfRule type="expression" dxfId="41" priority="15" stopIfTrue="1">
      <formula>AND($A$73=1,$J$77&lt;&gt;"")</formula>
    </cfRule>
  </conditionalFormatting>
  <conditionalFormatting sqref="J87:L87">
    <cfRule type="expression" dxfId="40" priority="14" stopIfTrue="1">
      <formula>AND($A$83=1,$J$87&lt;&gt;"")</formula>
    </cfRule>
  </conditionalFormatting>
  <conditionalFormatting sqref="O9:P9">
    <cfRule type="expression" dxfId="39" priority="13" stopIfTrue="1">
      <formula>$O$9=""</formula>
    </cfRule>
  </conditionalFormatting>
  <conditionalFormatting sqref="B41:S41">
    <cfRule type="expression" dxfId="38" priority="12" stopIfTrue="1">
      <formula>$B$41&lt;&gt;""</formula>
    </cfRule>
  </conditionalFormatting>
  <conditionalFormatting sqref="S10">
    <cfRule type="expression" dxfId="37" priority="8" stopIfTrue="1">
      <formula>#REF!&lt;14</formula>
    </cfRule>
  </conditionalFormatting>
  <conditionalFormatting sqref="Q12:R12">
    <cfRule type="expression" dxfId="36" priority="9" stopIfTrue="1">
      <formula>#REF!="其他(請說明)"</formula>
    </cfRule>
  </conditionalFormatting>
  <conditionalFormatting sqref="E12:H12 K12:L12">
    <cfRule type="expression" dxfId="35" priority="10" stopIfTrue="1">
      <formula>$O$12="本人"</formula>
    </cfRule>
  </conditionalFormatting>
  <conditionalFormatting sqref="D12">
    <cfRule type="expression" dxfId="34" priority="11" stopIfTrue="1">
      <formula>$O$12="本人"</formula>
    </cfRule>
  </conditionalFormatting>
  <conditionalFormatting sqref="O14">
    <cfRule type="expression" dxfId="33" priority="7">
      <formula>$O$12="本人"</formula>
    </cfRule>
  </conditionalFormatting>
  <conditionalFormatting sqref="E14:H14">
    <cfRule type="expression" dxfId="32" priority="6">
      <formula>$O$12="本人"</formula>
    </cfRule>
  </conditionalFormatting>
  <conditionalFormatting sqref="E7">
    <cfRule type="expression" dxfId="31" priority="3" stopIfTrue="1">
      <formula>$A$7=1</formula>
    </cfRule>
  </conditionalFormatting>
  <conditionalFormatting sqref="E7:H7">
    <cfRule type="expression" dxfId="30" priority="2">
      <formula>$O$12="本人"</formula>
    </cfRule>
  </conditionalFormatting>
  <conditionalFormatting sqref="E13:H13">
    <cfRule type="expression" dxfId="29" priority="1" stopIfTrue="1">
      <formula>$E$12="同被保險人"</formula>
    </cfRule>
  </conditionalFormatting>
  <dataValidations xWindow="286" yWindow="286" count="16">
    <dataValidation type="whole" allowBlank="1" errorTitle="保額錯誤" error="請注意承保保額限制" sqref="J57:K57">
      <formula1>J58</formula1>
      <formula2>K58</formula2>
    </dataValidation>
    <dataValidation type="list" allowBlank="1" showInputMessage="1" showErrorMessage="1" errorTitle="性別" error="性別輸入錯誤" sqref="K5:L5">
      <formula1>"男,女"</formula1>
    </dataValidation>
    <dataValidation allowBlank="1" showInputMessage="1" showErrorMessage="1" errorTitle="性別" error="性別輸入錯誤" sqref="M5 K12:M12"/>
    <dataValidation allowBlank="1" showInputMessage="1" showErrorMessage="1" promptTitle="6位數輸入生日" prompt="請以六位數輸入生日_x000a_EX_x000a_52年5月28日_x000a_→520528_x000a_48年9月1日_x000a_→480901" sqref="E8:H8"/>
    <dataValidation type="list" allowBlank="1" showInputMessage="1" showErrorMessage="1" errorTitle="繳別" error="繳別錯誤" sqref="Q30:R30 Q17:R17">
      <formula1>"匯款,金融機構轉帳,一般信用卡,富邦信用卡"</formula1>
    </dataValidation>
    <dataValidation allowBlank="1" showInputMessage="1" showErrorMessage="1" errorTitle="繳別" error="繳別錯誤" sqref="Q20:R20 Q18:R18 Q31:R31 Q33:R33"/>
    <dataValidation allowBlank="1" showInputMessage="1" showErrorMessage="1" errorTitle="繳法" error="繳法錯誤" sqref="E18:G18 E31:G31 D30:F30"/>
    <dataValidation type="list" allowBlank="1" showInputMessage="1" showErrorMessage="1" sqref="D57:F57">
      <formula1>"HSGA,HSGB,HSGC,HSGD,HSGE"</formula1>
    </dataValidation>
    <dataValidation type="list" showInputMessage="1" showErrorMessage="1" sqref="E9:F9">
      <formula1>"1,2,3,4,5,6"</formula1>
    </dataValidation>
    <dataValidation type="whole" allowBlank="1" showInputMessage="1" showErrorMessage="1" errorTitle="保額錯誤" error="請注意承保保額限制" prompt="如不規劃請使用Delete清空內容，請勿輸入&quot;0&quot;" sqref="J87:L87 J21:L21 J34:L34 J47:L47 J67:L67 J77:L77">
      <formula1>J22</formula1>
      <formula2>K22</formula2>
    </dataValidation>
    <dataValidation type="list" allowBlank="1" showInputMessage="1" showErrorMessage="1" errorTitle="繳法" error="繳法錯誤" sqref="D17">
      <formula1>"年繳,半年繳,季繳,月繳"</formula1>
    </dataValidation>
    <dataValidation type="list" allowBlank="1" showInputMessage="1" showErrorMessage="1" errorTitle="繳別" error="繳別錯誤" sqref="Q32:R32 Q19:R19">
      <formula1>"金融機構轉帳,一般信用卡,富邦信用卡,自行繳費"</formula1>
    </dataValidation>
    <dataValidation type="list" allowBlank="1" showInputMessage="1" showErrorMessage="1" sqref="E83:H83 E63:H63 E73:H73 E53:H53 E43:H43">
      <formula1>SM</formula1>
    </dataValidation>
    <dataValidation type="list" allowBlank="1" showInputMessage="1" showErrorMessage="1" sqref="O9:P9">
      <formula1>"一般,孩童、學生,家管,退休人士,無業、待業"</formula1>
    </dataValidation>
    <dataValidation type="list" allowBlank="1" showInputMessage="1" showErrorMessage="1" sqref="E12:H12">
      <formula1>"與被保險人不同,同被保險人"</formula1>
    </dataValidation>
    <dataValidation type="list" allowBlank="1" showInputMessage="1" showErrorMessage="1" sqref="O12:P12">
      <formula1>"同要被保人,與要被保人不同"</formula1>
    </dataValidation>
  </dataValidations>
  <printOptions horizontalCentered="1"/>
  <pageMargins left="0.74803149606299213" right="0.74803149606299213" top="0.98425196850393704" bottom="0.98425196850393704" header="0.51181102362204722" footer="0.51181102362204722"/>
  <pageSetup paperSize="9" scale="57" orientation="portrait" horizontalDpi="1200" verticalDpi="1200" r:id="rId1"/>
  <headerFooter alignWithMargins="0"/>
  <legacyDrawingHF r:id="rId2"/>
  <extLst>
    <ext xmlns:x14="http://schemas.microsoft.com/office/spreadsheetml/2009/9/main" uri="{CCE6A557-97BC-4b89-ADB6-D9C93CAAB3DF}">
      <x14:dataValidations xmlns:xm="http://schemas.microsoft.com/office/excel/2006/main" xWindow="286" yWindow="286" count="3">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E7:H7</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E14:H14</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O14:P14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XFC1413"/>
  <sheetViews>
    <sheetView showGridLines="0" showRowColHeaders="0" view="pageBreakPreview" zoomScale="130" zoomScaleNormal="130" zoomScaleSheetLayoutView="130" workbookViewId="0">
      <selection activeCell="B5" sqref="B5:D5"/>
    </sheetView>
  </sheetViews>
  <sheetFormatPr defaultColWidth="0" defaultRowHeight="14.25" zeroHeight="1"/>
  <cols>
    <col min="1" max="1" width="1.6640625" style="7" customWidth="1"/>
    <col min="2" max="3" width="5.33203125" style="7" customWidth="1"/>
    <col min="4" max="19" width="5.83203125" style="7" customWidth="1"/>
    <col min="20" max="21" width="6.83203125" style="7" customWidth="1"/>
    <col min="22" max="22" width="1.1640625" style="366" customWidth="1"/>
    <col min="23" max="255" width="0" style="7" hidden="1" customWidth="1"/>
    <col min="256" max="16383" width="1.5" style="7" hidden="1"/>
    <col min="16384" max="16384" width="2.83203125" style="7" hidden="1" customWidth="1"/>
  </cols>
  <sheetData>
    <row r="1" spans="1:22" ht="2.25" customHeight="1"/>
    <row r="2" spans="1:22" ht="15.95" customHeight="1">
      <c r="A2" s="383" t="str">
        <f ca="1">Total!$E$4</f>
        <v/>
      </c>
      <c r="B2" s="778" t="str">
        <f>輸入頁!B2</f>
        <v>十  在  好  漾  專  案  組  合  試  算  表</v>
      </c>
      <c r="C2" s="779"/>
      <c r="D2" s="779"/>
      <c r="E2" s="779"/>
      <c r="F2" s="779"/>
      <c r="G2" s="779"/>
      <c r="H2" s="779"/>
      <c r="I2" s="779"/>
      <c r="J2" s="779"/>
      <c r="K2" s="779"/>
      <c r="L2" s="779"/>
      <c r="M2" s="779"/>
      <c r="N2" s="779"/>
      <c r="O2" s="779"/>
      <c r="P2" s="779"/>
      <c r="Q2" s="779"/>
      <c r="R2" s="779"/>
      <c r="S2" s="779"/>
      <c r="T2" s="779"/>
      <c r="U2" s="780"/>
    </row>
    <row r="3" spans="1:22" ht="4.5" hidden="1" customHeight="1">
      <c r="A3" s="10"/>
    </row>
    <row r="4" spans="1:22" s="11" customFormat="1" ht="12" customHeight="1">
      <c r="A4" s="23"/>
      <c r="B4" s="781" t="s">
        <v>3</v>
      </c>
      <c r="C4" s="781"/>
      <c r="D4" s="384" t="str">
        <f>輸入頁!$E$5</f>
        <v>客戶</v>
      </c>
      <c r="E4" s="384"/>
      <c r="F4" s="384"/>
      <c r="G4" s="384" t="s">
        <v>809</v>
      </c>
      <c r="H4" s="384"/>
      <c r="I4" s="725">
        <f ca="1">輸入頁!O7</f>
        <v>32</v>
      </c>
      <c r="J4" s="726"/>
      <c r="L4" s="606" t="s">
        <v>799</v>
      </c>
      <c r="M4" s="723" t="str">
        <f>輸入頁!O9</f>
        <v>一般</v>
      </c>
      <c r="N4" s="724"/>
      <c r="P4" s="605" t="s">
        <v>1</v>
      </c>
      <c r="Q4" s="569" t="str">
        <f>輸入頁!K5</f>
        <v>男</v>
      </c>
      <c r="R4" s="721" t="str">
        <f ca="1">IF(OR(AND(OP!$D$53="",OP!$C$50=12),AND('OP1'!$D$53="",'OP1'!$C$50=12)),"月繳首期須繳 2個月","")</f>
        <v/>
      </c>
      <c r="S4" s="722"/>
      <c r="T4" s="722"/>
      <c r="U4" s="722"/>
      <c r="V4" s="367"/>
    </row>
    <row r="5" spans="1:22" ht="12" customHeight="1">
      <c r="A5" s="10"/>
      <c r="B5" s="782" t="s">
        <v>2</v>
      </c>
      <c r="C5" s="782"/>
      <c r="D5" s="782"/>
      <c r="E5" s="783" t="s">
        <v>4</v>
      </c>
      <c r="F5" s="784"/>
      <c r="G5" s="784"/>
      <c r="H5" s="784"/>
      <c r="I5" s="784"/>
      <c r="J5" s="784"/>
      <c r="K5" s="784"/>
      <c r="L5" s="784"/>
      <c r="M5" s="784"/>
      <c r="N5" s="782" t="s">
        <v>1014</v>
      </c>
      <c r="O5" s="785"/>
      <c r="P5" s="782" t="s">
        <v>12</v>
      </c>
      <c r="Q5" s="785"/>
      <c r="R5" s="782" t="s">
        <v>620</v>
      </c>
      <c r="S5" s="785"/>
      <c r="T5" s="782" t="s">
        <v>619</v>
      </c>
      <c r="U5" s="785"/>
    </row>
    <row r="6" spans="1:22" ht="12" customHeight="1">
      <c r="A6" s="10">
        <v>1</v>
      </c>
      <c r="B6" s="786" t="s">
        <v>615</v>
      </c>
      <c r="C6" s="786"/>
      <c r="D6" s="786"/>
      <c r="E6" s="788" t="str">
        <f ca="1">IF(OR($A$2=1,ISERROR(VLOOKUP($A6,List,2,0))),"",VLOOKUP($A6,List,2,0))</f>
        <v>富邦人壽家有醫寶重大傷病定期健康保險(V1)</v>
      </c>
      <c r="F6" s="784"/>
      <c r="G6" s="784"/>
      <c r="H6" s="784"/>
      <c r="I6" s="784"/>
      <c r="J6" s="784"/>
      <c r="K6" s="784"/>
      <c r="L6" s="784"/>
      <c r="M6" s="784"/>
      <c r="N6" s="730" t="str">
        <f ca="1">IF(OR($A$2=1,ISERROR(VLOOKUP($A6,List,3,0))),"",VLOOKUP($A6,List,3,0))</f>
        <v>SWUC</v>
      </c>
      <c r="O6" s="728"/>
      <c r="P6" s="731">
        <f ca="1">IF(OR($A$2=1,ISERROR(VLOOKUP($A6,List,4,0))),"",VLOOKUP($A6,List,4,0))</f>
        <v>50</v>
      </c>
      <c r="Q6" s="728"/>
      <c r="R6" s="727" t="str">
        <f ca="1">IF(OR($A$2=1,ISERROR(VLOOKUP($A6,List,5,0))),"",VLOOKUP($A6,List,5,0))</f>
        <v>年繳</v>
      </c>
      <c r="S6" s="728"/>
      <c r="T6" s="729">
        <f ca="1">IF(OR($A$2=1,ISERROR(VLOOKUP($A6,List,6,0))),"",VLOOKUP($A6,List,6,0))</f>
        <v>5300</v>
      </c>
      <c r="U6" s="728"/>
    </row>
    <row r="7" spans="1:22" ht="12" customHeight="1">
      <c r="A7" s="10">
        <v>2</v>
      </c>
      <c r="B7" s="787"/>
      <c r="C7" s="787"/>
      <c r="D7" s="787"/>
      <c r="E7" s="719" t="str">
        <f ca="1">IF(OR($A$2=1,ISERROR(VLOOKUP($A7,List,2,0))),"",VLOOKUP($A7,List,2,0))</f>
        <v>富邦人壽安心好漾定期保險</v>
      </c>
      <c r="F7" s="720"/>
      <c r="G7" s="720"/>
      <c r="H7" s="720"/>
      <c r="I7" s="720"/>
      <c r="J7" s="720"/>
      <c r="K7" s="720"/>
      <c r="L7" s="720"/>
      <c r="M7" s="720"/>
      <c r="N7" s="730" t="str">
        <f ca="1">IF(OR($A$2=1,ISERROR(VLOOKUP($A7,List,3,0))),"",VLOOKUP($A7,List,3,0))</f>
        <v>AIJ</v>
      </c>
      <c r="O7" s="728"/>
      <c r="P7" s="731">
        <f ca="1">IF(OR($A$2=1,ISERROR(VLOOKUP($A7,List,4,0))),"",VLOOKUP($A7,List,4,0))</f>
        <v>50</v>
      </c>
      <c r="Q7" s="728"/>
      <c r="R7" s="727" t="str">
        <f ca="1">IF(OR($A$2=1,ISERROR(VLOOKUP($A7,List,5,0))),"",VLOOKUP($A7,List,5,0))</f>
        <v>年繳</v>
      </c>
      <c r="S7" s="728"/>
      <c r="T7" s="729">
        <f ca="1">IF(OR($A$2=1,ISERROR(VLOOKUP($A7,List,6,0))),"",VLOOKUP($A7,List,6,0))</f>
        <v>3550</v>
      </c>
      <c r="U7" s="728"/>
    </row>
    <row r="8" spans="1:22" ht="12" customHeight="1">
      <c r="A8" s="10">
        <v>1</v>
      </c>
      <c r="B8" s="820" t="str">
        <f ca="1">IF(OR($A$2=1,ISERROR(VLOOKUP($A8,RList,8,0))),"",IF(VLOOKUP($A8,RList,8,0)="不附加","",VLOOKUP($A8,RList,8,0)&amp; "附加附約"))</f>
        <v/>
      </c>
      <c r="C8" s="821"/>
      <c r="D8" s="821"/>
      <c r="E8" s="719" t="str">
        <f ca="1">IF(OR($A$2=1,ISERROR(VLOOKUP($A8,RList,2,0))),"",VLOOKUP($A8,RList,2,0))</f>
        <v/>
      </c>
      <c r="F8" s="720"/>
      <c r="G8" s="720"/>
      <c r="H8" s="720"/>
      <c r="I8" s="720"/>
      <c r="J8" s="720"/>
      <c r="K8" s="720"/>
      <c r="L8" s="720"/>
      <c r="M8" s="720"/>
      <c r="N8" s="730" t="str">
        <f ca="1">IF(OR($A$2=1,ISERROR(VLOOKUP($A8,RList,4,0))),"",VLOOKUP($A8,RList,4,0))</f>
        <v/>
      </c>
      <c r="O8" s="728"/>
      <c r="P8" s="731" t="str">
        <f ca="1">IF(OR($A$2=1,ISERROR(VLOOKUP($A8,RList,5,0))),"",VLOOKUP($A8,RList,5,0))</f>
        <v/>
      </c>
      <c r="Q8" s="728"/>
      <c r="R8" s="727" t="str">
        <f ca="1">IF(OR($A$2=1,ISERROR(VLOOKUP($A8,RList,7,0))),"",VLOOKUP($A8,RList,7,0))</f>
        <v/>
      </c>
      <c r="S8" s="728"/>
      <c r="T8" s="729" t="str">
        <f ca="1">IF(OR($A$2=1,ISERROR(VLOOKUP($A8,RList,6,0))),"",VLOOKUP($A8,RList,6,0))</f>
        <v/>
      </c>
      <c r="U8" s="728"/>
    </row>
    <row r="9" spans="1:22" ht="12" customHeight="1">
      <c r="A9" s="10">
        <v>2</v>
      </c>
      <c r="B9" s="820" t="str">
        <f ca="1">IF(OR($A$2=1,ISERROR(VLOOKUP($A9,RList,8,0))),"",IF(VLOOKUP($A9,RList,8,0)="不附加","",VLOOKUP($A9,RList,8,0)&amp; "附加附約"))</f>
        <v/>
      </c>
      <c r="C9" s="821"/>
      <c r="D9" s="821"/>
      <c r="E9" s="719" t="str">
        <f ca="1">IF(OR($A$2=1,ISERROR(VLOOKUP($A9,RList,2,0))),"",VLOOKUP($A9,RList,2,0))</f>
        <v/>
      </c>
      <c r="F9" s="720"/>
      <c r="G9" s="720"/>
      <c r="H9" s="720"/>
      <c r="I9" s="720"/>
      <c r="J9" s="720"/>
      <c r="K9" s="720"/>
      <c r="L9" s="720"/>
      <c r="M9" s="720"/>
      <c r="N9" s="730" t="str">
        <f ca="1">IF(OR($A$2=1,ISERROR(VLOOKUP($A9,RList,4,0))),"",VLOOKUP($A9,RList,4,0))</f>
        <v/>
      </c>
      <c r="O9" s="728"/>
      <c r="P9" s="731" t="str">
        <f ca="1">IF(OR($A$2=1,ISERROR(VLOOKUP($A9,RList,5,0))),"",VLOOKUP($A9,RList,5,0))</f>
        <v/>
      </c>
      <c r="Q9" s="728"/>
      <c r="R9" s="727" t="str">
        <f ca="1">IF(OR($A$2=1,ISERROR(VLOOKUP($A9,RList,7,0))),"",VLOOKUP($A9,RList,7,0))</f>
        <v/>
      </c>
      <c r="S9" s="728"/>
      <c r="T9" s="729" t="str">
        <f ca="1">IF(OR($A$2=1,ISERROR(VLOOKUP($A9,RList,6,0))),"",VLOOKUP($A9,RList,6,0))</f>
        <v/>
      </c>
      <c r="U9" s="728"/>
    </row>
    <row r="10" spans="1:22" ht="12" customHeight="1">
      <c r="A10" s="10">
        <v>3</v>
      </c>
      <c r="B10" s="820" t="str">
        <f ca="1">IF(OR($A$2=1,ISERROR(VLOOKUP($A10,RList,8,0))),"",IF(VLOOKUP($A10,RList,8,0)="不附加","",VLOOKUP($A10,RList,8,0)&amp; "附加附約"))</f>
        <v/>
      </c>
      <c r="C10" s="821"/>
      <c r="D10" s="821"/>
      <c r="E10" s="719" t="str">
        <f ca="1">IF(OR($A$2=1,ISERROR(VLOOKUP($A10,RList,2,0))),"",VLOOKUP($A10,RList,2,0))</f>
        <v/>
      </c>
      <c r="F10" s="720"/>
      <c r="G10" s="720"/>
      <c r="H10" s="720"/>
      <c r="I10" s="720"/>
      <c r="J10" s="720"/>
      <c r="K10" s="720"/>
      <c r="L10" s="720"/>
      <c r="M10" s="720"/>
      <c r="N10" s="730" t="str">
        <f ca="1">IF(OR($A$2=1,ISERROR(VLOOKUP($A10,RList,4,0))),"",VLOOKUP($A10,RList,4,0))</f>
        <v/>
      </c>
      <c r="O10" s="728"/>
      <c r="P10" s="731" t="str">
        <f ca="1">IF(OR($A$2=1,ISERROR(VLOOKUP($A10,RList,5,0))),"",VLOOKUP($A10,RList,5,0))</f>
        <v/>
      </c>
      <c r="Q10" s="728"/>
      <c r="R10" s="727" t="str">
        <f ca="1">IF(OR($A$2=1,ISERROR(VLOOKUP($A10,RList,7,0))),"",VLOOKUP($A10,RList,7,0))</f>
        <v/>
      </c>
      <c r="S10" s="728"/>
      <c r="T10" s="729" t="str">
        <f ca="1">IF(OR($A$2=1,ISERROR(VLOOKUP($A10,RList,6,0))),"",VLOOKUP($A10,RList,6,0))</f>
        <v/>
      </c>
      <c r="U10" s="728"/>
    </row>
    <row r="11" spans="1:22" ht="12" customHeight="1">
      <c r="A11" s="10">
        <v>4</v>
      </c>
      <c r="B11" s="820" t="str">
        <f ca="1">IF(OR($A$2=1,ISERROR(VLOOKUP($A11,RList,8,0))),"",IF(VLOOKUP($A11,RList,8,0)="不附加","",VLOOKUP($A11,RList,8,0)&amp; "附加附約"))</f>
        <v/>
      </c>
      <c r="C11" s="821"/>
      <c r="D11" s="821"/>
      <c r="E11" s="719" t="str">
        <f ca="1">IF(OR($A$2=1,ISERROR(VLOOKUP($A11,RList,2,0))),"",VLOOKUP($A11,RList,2,0))</f>
        <v/>
      </c>
      <c r="F11" s="720"/>
      <c r="G11" s="720"/>
      <c r="H11" s="720"/>
      <c r="I11" s="720"/>
      <c r="J11" s="720"/>
      <c r="K11" s="720"/>
      <c r="L11" s="720"/>
      <c r="M11" s="720"/>
      <c r="N11" s="730" t="str">
        <f ca="1">IF(OR($A$2=1,ISERROR(VLOOKUP($A11,RList,4,0))),"",VLOOKUP($A11,RList,4,0))</f>
        <v/>
      </c>
      <c r="O11" s="728"/>
      <c r="P11" s="731" t="str">
        <f ca="1">IF(OR($A$2=1,ISERROR(VLOOKUP($A11,RList,5,0))),"",VLOOKUP($A11,RList,5,0))</f>
        <v/>
      </c>
      <c r="Q11" s="728"/>
      <c r="R11" s="727" t="str">
        <f ca="1">IF(OR($A$2=1,ISERROR(VLOOKUP($A11,RList,7,0))),"",VLOOKUP($A11,RList,7,0))</f>
        <v/>
      </c>
      <c r="S11" s="728"/>
      <c r="T11" s="729" t="str">
        <f ca="1">IF(OR($A$2=1,ISERROR(VLOOKUP($A11,RList,6,0))),"",VLOOKUP($A11,RList,6,0))</f>
        <v/>
      </c>
      <c r="U11" s="728"/>
    </row>
    <row r="12" spans="1:22" ht="12" customHeight="1">
      <c r="A12" s="10">
        <v>5</v>
      </c>
      <c r="B12" s="820" t="str">
        <f ca="1">IF(OR($A$2=1,ISERROR(VLOOKUP($A12,RList,8,0))),"",IF(VLOOKUP($A12,RList,8,0)="不附加","",VLOOKUP($A12,RList,8,0)&amp; "附加附約"))</f>
        <v/>
      </c>
      <c r="C12" s="821"/>
      <c r="D12" s="821"/>
      <c r="E12" s="719" t="str">
        <f ca="1">IF(OR($A$2=1,ISERROR(VLOOKUP($A12,RList,2,0))),"",VLOOKUP($A12,RList,2,0))</f>
        <v/>
      </c>
      <c r="F12" s="720"/>
      <c r="G12" s="720"/>
      <c r="H12" s="720"/>
      <c r="I12" s="720"/>
      <c r="J12" s="720"/>
      <c r="K12" s="720"/>
      <c r="L12" s="720"/>
      <c r="M12" s="720"/>
      <c r="N12" s="730" t="str">
        <f ca="1">IF(OR($A$2=1,ISERROR(VLOOKUP($A12,RList,4,0))),"",VLOOKUP($A12,RList,4,0))</f>
        <v/>
      </c>
      <c r="O12" s="728"/>
      <c r="P12" s="731" t="str">
        <f ca="1">IF(OR($A$2=1,ISERROR(VLOOKUP($A12,RList,5,0))),"",VLOOKUP($A12,RList,5,0))</f>
        <v/>
      </c>
      <c r="Q12" s="728"/>
      <c r="R12" s="727" t="str">
        <f ca="1">IF(OR($A$2=1,ISERROR(VLOOKUP($A12,RList,7,0))),"",VLOOKUP($A12,RList,7,0))</f>
        <v/>
      </c>
      <c r="S12" s="728"/>
      <c r="T12" s="729" t="str">
        <f ca="1">IF(OR($A$2=1,ISERROR(VLOOKUP($A12,RList,6,0))),"",VLOOKUP($A12,RList,6,0))</f>
        <v/>
      </c>
      <c r="U12" s="728"/>
    </row>
    <row r="13" spans="1:22" ht="12" customHeight="1">
      <c r="A13" s="10"/>
      <c r="B13" s="567" t="str">
        <f>"職業等級："&amp;輸入頁!$E$9 &amp; "級"&amp;" / "&amp;L4&amp;M4</f>
        <v>職業等級：1級 / 身分別：一般</v>
      </c>
      <c r="C13" s="568"/>
      <c r="D13" s="568"/>
      <c r="E13" s="426"/>
      <c r="F13" s="568"/>
      <c r="G13" s="568"/>
      <c r="H13" s="568"/>
      <c r="I13" s="568"/>
      <c r="J13" s="568"/>
      <c r="K13" s="568"/>
      <c r="L13" s="568"/>
      <c r="M13" s="427"/>
      <c r="N13" s="257"/>
      <c r="O13" s="428"/>
      <c r="P13" s="428"/>
      <c r="Q13" s="428"/>
      <c r="R13" s="428"/>
      <c r="S13" s="429"/>
      <c r="T13" s="429"/>
      <c r="U13" s="429"/>
    </row>
    <row r="14" spans="1:22" ht="12" customHeight="1">
      <c r="A14" s="10">
        <v>1</v>
      </c>
      <c r="B14" s="809" t="str">
        <f ca="1">IF(OR($A$2=1,ISERROR(VLOOKUP($A14,List,13,0))),"",VLOOKUP($A14,List,13,0))</f>
        <v>如符合本公司規定之保費折扣者：主約SWUC首、續期繳費方式 1%折扣。</v>
      </c>
      <c r="C14" s="810"/>
      <c r="D14" s="810"/>
      <c r="E14" s="810"/>
      <c r="F14" s="810"/>
      <c r="G14" s="810"/>
      <c r="H14" s="810"/>
      <c r="I14" s="810"/>
      <c r="J14" s="810"/>
      <c r="K14" s="810"/>
      <c r="L14" s="810"/>
      <c r="M14" s="810"/>
      <c r="N14" s="810"/>
      <c r="O14" s="810"/>
      <c r="P14" s="810"/>
      <c r="Q14" s="810"/>
      <c r="R14" s="810"/>
      <c r="S14" s="810"/>
      <c r="T14" s="810"/>
      <c r="U14" s="810"/>
    </row>
    <row r="15" spans="1:22" ht="12" customHeight="1">
      <c r="A15" s="10">
        <v>1</v>
      </c>
      <c r="B15" s="809" t="str">
        <f ca="1">IF(OR($A$2=1,ISERROR(VLOOKUP($A15,List,14,0))),"",VLOOKUP($A15,List,14,0))</f>
        <v>SWUC主約年繳總保費：5,300 元，折扣後首期總保費：5,247 元 ，折扣後續期總保費：5,247 元 。</v>
      </c>
      <c r="C15" s="810"/>
      <c r="D15" s="810"/>
      <c r="E15" s="810"/>
      <c r="F15" s="810"/>
      <c r="G15" s="810"/>
      <c r="H15" s="810"/>
      <c r="I15" s="810"/>
      <c r="J15" s="810"/>
      <c r="K15" s="810"/>
      <c r="L15" s="810"/>
      <c r="M15" s="810"/>
      <c r="N15" s="810"/>
      <c r="O15" s="810"/>
      <c r="P15" s="810"/>
      <c r="Q15" s="810"/>
      <c r="R15" s="810"/>
      <c r="S15" s="810"/>
      <c r="T15" s="810"/>
      <c r="U15" s="810"/>
    </row>
    <row r="16" spans="1:22" ht="12" customHeight="1">
      <c r="A16" s="10">
        <v>2</v>
      </c>
      <c r="B16" s="809" t="str">
        <f ca="1">IF(OR($A$2=1,ISERROR(VLOOKUP($A17,List,13,0))),"",VLOOKUP($A17,List,13,0))</f>
        <v>如符合本公司規定之保費折扣者：主約AIJ首、續期繳費方式 1%折扣。</v>
      </c>
      <c r="C16" s="810"/>
      <c r="D16" s="810"/>
      <c r="E16" s="810"/>
      <c r="F16" s="810"/>
      <c r="G16" s="810"/>
      <c r="H16" s="810"/>
      <c r="I16" s="810"/>
      <c r="J16" s="810"/>
      <c r="K16" s="810"/>
      <c r="L16" s="810"/>
      <c r="M16" s="810"/>
      <c r="N16" s="810"/>
      <c r="O16" s="810"/>
      <c r="P16" s="810"/>
      <c r="Q16" s="810"/>
      <c r="R16" s="810"/>
      <c r="S16" s="810"/>
      <c r="T16" s="810"/>
      <c r="U16" s="810"/>
    </row>
    <row r="17" spans="1:22" ht="12" customHeight="1">
      <c r="A17" s="10">
        <v>2</v>
      </c>
      <c r="B17" s="823" t="str">
        <f ca="1">IF(OR($A$2=1,ISERROR(VLOOKUP($A17,List,14,0))),"",VLOOKUP($A17,List,14,0))</f>
        <v>AIJ主約年繳總保費：3,550 元，折扣後首期總保費：3,515 元 ，折扣後續期總保費：3,515 元 。</v>
      </c>
      <c r="C17" s="824"/>
      <c r="D17" s="824"/>
      <c r="E17" s="824"/>
      <c r="F17" s="824"/>
      <c r="G17" s="824"/>
      <c r="H17" s="824"/>
      <c r="I17" s="824"/>
      <c r="J17" s="824"/>
      <c r="K17" s="824"/>
      <c r="L17" s="824"/>
      <c r="M17" s="824"/>
      <c r="N17" s="824"/>
      <c r="O17" s="824"/>
      <c r="P17" s="824"/>
      <c r="Q17" s="824"/>
      <c r="R17" s="824"/>
      <c r="S17" s="824"/>
      <c r="T17" s="824"/>
      <c r="U17" s="824"/>
    </row>
    <row r="18" spans="1:22" ht="5.0999999999999996" customHeight="1">
      <c r="A18" s="10"/>
      <c r="B18" s="597"/>
      <c r="C18" s="598"/>
      <c r="D18" s="598"/>
      <c r="E18" s="598"/>
      <c r="F18" s="598"/>
      <c r="G18" s="598"/>
      <c r="H18" s="598"/>
      <c r="I18" s="598"/>
      <c r="J18" s="598"/>
      <c r="K18" s="598"/>
      <c r="L18" s="598"/>
      <c r="M18" s="598"/>
      <c r="N18" s="598"/>
      <c r="O18" s="598"/>
      <c r="P18" s="598"/>
      <c r="Q18" s="598"/>
      <c r="R18" s="598"/>
      <c r="S18" s="598"/>
      <c r="T18" s="598"/>
      <c r="U18" s="598"/>
    </row>
    <row r="19" spans="1:22" ht="15.95" customHeight="1">
      <c r="A19" s="10"/>
      <c r="B19" s="825" t="str">
        <f ca="1">IF(OR($A$2=1,'OP1'!$D$53=1),"","SWUC第二至第十保單年度健康管理保險費折扣")</f>
        <v>SWUC第二至第十保單年度健康管理保險費折扣</v>
      </c>
      <c r="C19" s="825"/>
      <c r="D19" s="825"/>
      <c r="E19" s="825"/>
      <c r="F19" s="825"/>
      <c r="G19" s="825"/>
      <c r="H19" s="825"/>
      <c r="I19" s="825"/>
      <c r="J19" s="825"/>
      <c r="K19" s="825"/>
      <c r="L19" s="825"/>
      <c r="M19" s="825"/>
      <c r="N19" s="825"/>
      <c r="O19" s="825"/>
      <c r="P19" s="825"/>
      <c r="Q19" s="825"/>
      <c r="R19" s="825"/>
      <c r="S19" s="825"/>
      <c r="T19" s="825"/>
      <c r="U19" s="825"/>
    </row>
    <row r="20" spans="1:22" ht="3" customHeight="1">
      <c r="A20" s="10"/>
      <c r="B20" s="597"/>
      <c r="C20" s="598"/>
      <c r="D20" s="598"/>
      <c r="E20" s="598"/>
      <c r="F20" s="598"/>
      <c r="G20" s="598"/>
      <c r="H20" s="598"/>
      <c r="I20" s="598"/>
      <c r="J20" s="598"/>
      <c r="K20" s="598"/>
      <c r="L20" s="598"/>
      <c r="M20" s="598"/>
      <c r="N20" s="598"/>
      <c r="O20" s="598"/>
      <c r="P20" s="598"/>
      <c r="Q20" s="598"/>
      <c r="R20" s="598"/>
      <c r="S20" s="598"/>
      <c r="T20" s="598"/>
      <c r="U20" s="598"/>
    </row>
    <row r="21" spans="1:22" ht="12" customHeight="1">
      <c r="A21" s="10"/>
      <c r="B21" s="897" t="str">
        <f ca="1">IF(OR($A$2=1,'OP1'!$D$53=1),"",'OP1'!$H25)</f>
        <v>健康管理保險費折扣項目</v>
      </c>
      <c r="C21" s="898"/>
      <c r="D21" s="898"/>
      <c r="E21" s="898"/>
      <c r="F21" s="898"/>
      <c r="G21" s="817" t="str">
        <f ca="1">IF(OR($A$2=1,'OP1'!$D$53=1),"",'OP1'!$I25)</f>
        <v>SWUC折扣率</v>
      </c>
      <c r="H21" s="818"/>
      <c r="I21" s="818"/>
      <c r="J21" s="818"/>
      <c r="K21" s="818"/>
      <c r="L21" s="818"/>
      <c r="M21" s="817" t="str">
        <f ca="1">IF(OR($A$2=1,'OP1'!$D$53=1),"",'OP1'!$J25)</f>
        <v>SWUC續年度折扣後實繳保費(含續期繳費方式折扣1%)</v>
      </c>
      <c r="N21" s="818"/>
      <c r="O21" s="818"/>
      <c r="P21" s="818"/>
      <c r="Q21" s="818"/>
      <c r="R21" s="818"/>
      <c r="S21" s="818"/>
      <c r="T21" s="818"/>
      <c r="U21" s="818"/>
    </row>
    <row r="22" spans="1:22" ht="12" customHeight="1">
      <c r="A22" s="10"/>
      <c r="B22" s="897" t="str">
        <f ca="1">IF(OR($A$2=1,'OP1'!$D$53=1),"",'OP1'!$H26)</f>
        <v>指定疫苗接種</v>
      </c>
      <c r="C22" s="898"/>
      <c r="D22" s="898"/>
      <c r="E22" s="898"/>
      <c r="F22" s="898"/>
      <c r="G22" s="819">
        <f ca="1">IF(OR($A$2=1,'OP1'!$D$53=1),"",'OP1'!$I26)</f>
        <v>0.02</v>
      </c>
      <c r="H22" s="818"/>
      <c r="I22" s="818"/>
      <c r="J22" s="818"/>
      <c r="K22" s="818"/>
      <c r="L22" s="818"/>
      <c r="M22" s="826" t="str">
        <f ca="1">IF(OR($A$2=1,'OP1'!$D$53=1),"",TEXT('OP1'!$J26,"#,### 元"))</f>
        <v>5,141 元</v>
      </c>
      <c r="N22" s="827"/>
      <c r="O22" s="827"/>
      <c r="P22" s="827"/>
      <c r="Q22" s="827"/>
      <c r="R22" s="827"/>
      <c r="S22" s="827"/>
      <c r="T22" s="827"/>
      <c r="U22" s="827"/>
    </row>
    <row r="23" spans="1:22" ht="12" customHeight="1">
      <c r="A23" s="10"/>
      <c r="B23" s="897" t="str">
        <f ca="1">IF(OR($A$2=1,'OP1'!$D$53=1),"",'OP1'!$H27)</f>
        <v>健康檢查</v>
      </c>
      <c r="C23" s="898"/>
      <c r="D23" s="898"/>
      <c r="E23" s="898"/>
      <c r="F23" s="898"/>
      <c r="G23" s="819">
        <f ca="1">IF(OR($A$2=1,'OP1'!$D$53=1),"",'OP1'!$I27)</f>
        <v>0.03</v>
      </c>
      <c r="H23" s="818"/>
      <c r="I23" s="818"/>
      <c r="J23" s="818"/>
      <c r="K23" s="818"/>
      <c r="L23" s="818"/>
      <c r="M23" s="826" t="str">
        <f ca="1">IF(OR($A$2=1,'OP1'!$D$53=1),"",TEXT('OP1'!$J27,"#,### 元"))</f>
        <v>5,088 元</v>
      </c>
      <c r="N23" s="827"/>
      <c r="O23" s="827"/>
      <c r="P23" s="827"/>
      <c r="Q23" s="827"/>
      <c r="R23" s="827"/>
      <c r="S23" s="827"/>
      <c r="T23" s="827"/>
      <c r="U23" s="827"/>
    </row>
    <row r="24" spans="1:22" ht="12" customHeight="1">
      <c r="A24" s="10"/>
      <c r="B24" s="897" t="str">
        <f ca="1">IF(OR($A$2=1,'OP1'!$D$53=1),"",'OP1'!$H28)</f>
        <v>指定疫苗接種+健康檢查</v>
      </c>
      <c r="C24" s="898"/>
      <c r="D24" s="898"/>
      <c r="E24" s="898"/>
      <c r="F24" s="898"/>
      <c r="G24" s="819">
        <f ca="1">IF(OR($A$2=1,'OP1'!$D$53=1),"",'OP1'!$I28)</f>
        <v>0.05</v>
      </c>
      <c r="H24" s="818"/>
      <c r="I24" s="818"/>
      <c r="J24" s="818"/>
      <c r="K24" s="818"/>
      <c r="L24" s="818"/>
      <c r="M24" s="826" t="str">
        <f ca="1">IF(OR($A$2=1,'OP1'!$D$53=1),"",TEXT('OP1'!$J28,"#,### 元"))</f>
        <v>4,982 元</v>
      </c>
      <c r="N24" s="827"/>
      <c r="O24" s="827"/>
      <c r="P24" s="827"/>
      <c r="Q24" s="827"/>
      <c r="R24" s="827"/>
      <c r="S24" s="827"/>
      <c r="T24" s="827"/>
      <c r="U24" s="827"/>
    </row>
    <row r="25" spans="1:22" ht="12" customHeight="1">
      <c r="A25" s="10"/>
      <c r="B25" s="140" t="s">
        <v>1063</v>
      </c>
      <c r="C25" s="617"/>
      <c r="D25" s="617"/>
      <c r="E25" s="617"/>
      <c r="F25" s="617"/>
      <c r="G25" s="617"/>
      <c r="H25" s="617"/>
      <c r="I25" s="617"/>
      <c r="J25" s="617"/>
      <c r="K25" s="617"/>
      <c r="L25" s="617"/>
      <c r="M25" s="617"/>
      <c r="N25" s="617"/>
      <c r="O25" s="617"/>
      <c r="P25" s="617"/>
      <c r="Q25" s="617"/>
      <c r="R25" s="617"/>
      <c r="S25" s="617"/>
      <c r="T25" s="617"/>
      <c r="U25" s="617"/>
    </row>
    <row r="26" spans="1:22" ht="5.0999999999999996" customHeight="1">
      <c r="A26" s="10"/>
      <c r="B26" s="321"/>
      <c r="C26" s="322"/>
      <c r="D26" s="322"/>
      <c r="E26" s="322"/>
      <c r="F26" s="322"/>
      <c r="G26" s="322"/>
      <c r="H26" s="322"/>
      <c r="I26" s="322"/>
      <c r="J26" s="322"/>
      <c r="K26" s="322"/>
      <c r="L26" s="322"/>
      <c r="M26" s="322"/>
      <c r="N26" s="322"/>
      <c r="O26" s="322"/>
      <c r="P26" s="322"/>
      <c r="Q26" s="322"/>
      <c r="R26" s="322"/>
      <c r="S26" s="322"/>
      <c r="T26" s="322"/>
      <c r="U26" s="322"/>
    </row>
    <row r="27" spans="1:22" ht="15.95" customHeight="1">
      <c r="B27" s="825" t="s">
        <v>1126</v>
      </c>
      <c r="C27" s="825"/>
      <c r="D27" s="825"/>
      <c r="E27" s="825"/>
      <c r="F27" s="825"/>
      <c r="G27" s="825"/>
      <c r="H27" s="825"/>
      <c r="I27" s="825"/>
      <c r="J27" s="825"/>
      <c r="K27" s="825"/>
      <c r="L27" s="825"/>
      <c r="M27" s="825"/>
      <c r="N27" s="825"/>
      <c r="O27" s="825"/>
      <c r="P27" s="825"/>
      <c r="Q27" s="825"/>
      <c r="R27" s="825"/>
      <c r="S27" s="825"/>
      <c r="T27" s="825"/>
      <c r="U27" s="825"/>
      <c r="V27" s="368"/>
    </row>
    <row r="28" spans="1:22" ht="3" customHeight="1">
      <c r="B28" s="248"/>
      <c r="C28" s="237"/>
      <c r="D28" s="238"/>
      <c r="E28" s="238"/>
      <c r="F28" s="238"/>
      <c r="G28" s="238"/>
      <c r="H28" s="238"/>
      <c r="I28" s="238"/>
      <c r="J28" s="239"/>
      <c r="K28" s="239"/>
      <c r="L28" s="240"/>
      <c r="M28" s="240"/>
      <c r="N28" s="238"/>
      <c r="O28" s="238"/>
      <c r="P28" s="8"/>
      <c r="R28" s="9"/>
      <c r="S28" s="127"/>
      <c r="T28" s="325"/>
      <c r="V28" s="368"/>
    </row>
    <row r="29" spans="1:22" ht="12" customHeight="1">
      <c r="B29" s="18"/>
      <c r="C29" s="18"/>
      <c r="D29" s="19"/>
      <c r="E29" s="19"/>
      <c r="F29" s="18"/>
      <c r="G29" s="18"/>
      <c r="H29" s="19"/>
      <c r="I29" s="19"/>
      <c r="J29" s="20"/>
      <c r="K29" s="20"/>
      <c r="L29" s="16"/>
      <c r="M29" s="16"/>
      <c r="N29" s="17"/>
      <c r="O29" s="17"/>
      <c r="P29" s="8"/>
      <c r="R29" s="9"/>
      <c r="S29" s="467" t="str">
        <f>輸入頁!$R$5</f>
        <v xml:space="preserve"> </v>
      </c>
      <c r="T29" s="12"/>
      <c r="U29" s="326" t="s">
        <v>16</v>
      </c>
      <c r="V29" s="368"/>
    </row>
    <row r="30" spans="1:22" s="22" customFormat="1" ht="24.95" customHeight="1">
      <c r="B30" s="811" t="s">
        <v>1009</v>
      </c>
      <c r="C30" s="811" t="s">
        <v>201</v>
      </c>
      <c r="D30" s="813" t="str">
        <f ca="1">IF(OR($A$2=1),"","年度累積
實繳保費
" &amp; Total!$AC$2)</f>
        <v xml:space="preserve">年度累積
實繳保費
</v>
      </c>
      <c r="E30" s="814"/>
      <c r="F30" s="813" t="str">
        <f ca="1">IF(OR($A$2=1),"","身故/完全
失能保險金
" &amp; Total!$AA$2 &amp; "
(1)")</f>
        <v>身故/完全
失能保險金
(AIJ/SWUC)
(1)</v>
      </c>
      <c r="G30" s="814"/>
      <c r="H30" s="813" t="str">
        <f ca="1">IF(OR($A$2=1,OP!$D$53=1),"","一般意外傷害身故/一級
失能保險金
(AIJ)
(2)")</f>
        <v>一般意外傷害身故/一級
失能保險金
(AIJ)
(2)</v>
      </c>
      <c r="I30" s="814"/>
      <c r="J30" s="813" t="str">
        <f ca="1">IF(OR($A$2=1,OP!$D$53=1),"","交通工具
意外傷害
身故保險金
(AIJ)
(3)")</f>
        <v>交通工具
意外傷害
身故保險金
(AIJ)
(3)</v>
      </c>
      <c r="K30" s="814"/>
      <c r="L30" s="813" t="str">
        <f ca="1">IF(OR($A$2=1,OP!$D$53=1),"","海外停留
保障期間內
意外傷害
身故/一級
失能保險金
(AIJ)
(4)")</f>
        <v>海外停留
保障期間內
意外傷害
身故/一級
失能保險金
(AIJ)
(4)</v>
      </c>
      <c r="M30" s="814"/>
      <c r="N30" s="813" t="str">
        <f ca="1">IF(OR($A$2=1,'OP1'!$D$53=1),"","法定傳染病身故保險金
(SWUC)
(5)")</f>
        <v>法定傳染病身故保險金
(SWUC)
(5)</v>
      </c>
      <c r="O30" s="814"/>
      <c r="P30" s="828" t="str">
        <f ca="1">IF(OR($A$2=1,'OP1'!$D$53=1),"","重大傷病保險金
(SWUC)")</f>
        <v>重大傷病保險金
(SWUC)</v>
      </c>
      <c r="Q30" s="829"/>
      <c r="R30" s="829"/>
      <c r="S30" s="829"/>
      <c r="T30" s="813" t="str">
        <f ca="1">IF(OR($A$2=1),"","年度末
解約金
" &amp; Total!$AB$2)</f>
        <v>年度末
解約金
(AIJ/SWUC)</v>
      </c>
      <c r="U30" s="814"/>
      <c r="V30" s="369"/>
    </row>
    <row r="31" spans="1:22" s="22" customFormat="1" ht="54.95" customHeight="1">
      <c r="B31" s="812"/>
      <c r="C31" s="812"/>
      <c r="D31" s="815"/>
      <c r="E31" s="816"/>
      <c r="F31" s="815"/>
      <c r="G31" s="816"/>
      <c r="H31" s="815"/>
      <c r="I31" s="816"/>
      <c r="J31" s="815"/>
      <c r="K31" s="816"/>
      <c r="L31" s="815"/>
      <c r="M31" s="816"/>
      <c r="N31" s="815"/>
      <c r="O31" s="816"/>
      <c r="P31" s="828" t="str">
        <f ca="1">IF(OR($A$2=1,'OP1'!$D$53=1),"","慢性精神病
(SWUC)")</f>
        <v>慢性精神病
(SWUC)</v>
      </c>
      <c r="Q31" s="803"/>
      <c r="R31" s="828" t="str">
        <f ca="1">IF(OR($A$2=1,'OP1'!$D$53=1),"","除慢性
精神病以外
之重大傷病
(SWUC)")</f>
        <v>除慢性
精神病以外
之重大傷病
(SWUC)</v>
      </c>
      <c r="S31" s="803"/>
      <c r="T31" s="815"/>
      <c r="U31" s="816"/>
      <c r="V31" s="369"/>
    </row>
    <row r="32" spans="1:22" s="24" customFormat="1" ht="11.45" customHeight="1">
      <c r="B32" s="607">
        <v>1</v>
      </c>
      <c r="C32" s="607">
        <f ca="1">IF($A$2=1,"",輸入頁!O7)</f>
        <v>32</v>
      </c>
      <c r="D32" s="804">
        <f t="shared" ref="D32:D41" ca="1" si="0">IF(OR($A$2=1,B32="",VLOOKUP(B32,PAY,12,0)=0),"",VLOOKUP(B32,PAY,12,0))</f>
        <v>8762</v>
      </c>
      <c r="E32" s="768"/>
      <c r="F32" s="807">
        <f t="shared" ref="F32:F41" ca="1" si="1">IF(OR($A$2=1,B32="",VLOOKUP(B32,DINS,8,0)=0),"",VLOOKUP(B32,DINS,8,0))</f>
        <v>1000000</v>
      </c>
      <c r="G32" s="822"/>
      <c r="H32" s="804">
        <f ca="1">IF(OR($A$2=1,OP!$D$53=1,B32="",VLOOKUP(B32,DINS,9,0)=0),"",VLOOKUP(B32,DINS,9,0))</f>
        <v>500000</v>
      </c>
      <c r="I32" s="805"/>
      <c r="J32" s="804">
        <f ca="1">IF(OR($A$2=1,OP!$D$53=1,B32="",VLOOKUP(B32,DINS,10,0)=0),"",VLOOKUP(B32,DINS,10,0))</f>
        <v>1000000</v>
      </c>
      <c r="K32" s="805"/>
      <c r="L32" s="804">
        <f ca="1">IF(OR($A$2=1,OP!$D$53=1,B32="",VLOOKUP(B32,DINS,13,0)=0),"",VLOOKUP(B32,DINS,13,0))</f>
        <v>1000000</v>
      </c>
      <c r="M32" s="805"/>
      <c r="N32" s="807">
        <f ca="1">IF(OR($A$2=1,'OP1'!$D$53=1,B32="",VLOOKUP(B32,DINS,6,0)=0),"",VLOOKUP(B32,DINS,6,0))</f>
        <v>250000</v>
      </c>
      <c r="O32" s="808"/>
      <c r="P32" s="804">
        <f ca="1">IF(OR($A$2=1,'OP1'!$D$53=1,B32="",VLOOKUP(B32,DINS,16,0)=0),"",VLOOKUP(B32,DINS,16,0))</f>
        <v>5620</v>
      </c>
      <c r="Q32" s="805"/>
      <c r="R32" s="804">
        <f ca="1">IF(OR($A$2=1,'OP1'!$D$53=1,B32="",VLOOKUP(B32,DINS,17,0)=0),"",VLOOKUP(B32,DINS,17,0))</f>
        <v>5620</v>
      </c>
      <c r="S32" s="805"/>
      <c r="T32" s="804" t="str">
        <f t="shared" ref="T32:T41" ca="1" si="2">IF(OR($A$2=1,B32="",VLOOKUP(B32,DINS,15,0)=0),"",VLOOKUP(B32,DINS,15,0))</f>
        <v/>
      </c>
      <c r="U32" s="805"/>
      <c r="V32" s="370"/>
    </row>
    <row r="33" spans="1:22" s="24" customFormat="1" ht="11.45" customHeight="1">
      <c r="B33" s="607">
        <v>2</v>
      </c>
      <c r="C33" s="607">
        <f ca="1">IF(OR($A$2=1,MAX($C$32:C32)&gt;=110),"",C32+(B33-B32))</f>
        <v>33</v>
      </c>
      <c r="D33" s="804">
        <f t="shared" ca="1" si="0"/>
        <v>17524</v>
      </c>
      <c r="E33" s="768"/>
      <c r="F33" s="807">
        <f t="shared" ca="1" si="1"/>
        <v>1000000</v>
      </c>
      <c r="G33" s="822"/>
      <c r="H33" s="804">
        <f ca="1">IF(OR($A$2=1,OP!$D$53=1,B33="",VLOOKUP(B33,DINS,9,0)=0),"",VLOOKUP(B33,DINS,9,0))</f>
        <v>500000</v>
      </c>
      <c r="I33" s="805"/>
      <c r="J33" s="804">
        <f ca="1">IF(OR($A$2=1,OP!$D$53=1,B33="",VLOOKUP(B33,DINS,10,0)=0),"",VLOOKUP(B33,DINS,10,0))</f>
        <v>1000000</v>
      </c>
      <c r="K33" s="805"/>
      <c r="L33" s="804">
        <f ca="1">IF(OR($A$2=1,OP!$D$53=1,B33="",VLOOKUP(B33,DINS,13,0)=0),"",VLOOKUP(B33,DINS,13,0))</f>
        <v>1000000</v>
      </c>
      <c r="M33" s="805"/>
      <c r="N33" s="807">
        <f ca="1">IF(OR($A$2=1,'OP1'!$D$53=1,B33="",VLOOKUP(B33,DINS,6,0)=0),"",VLOOKUP(B33,DINS,6,0))</f>
        <v>250000</v>
      </c>
      <c r="O33" s="808"/>
      <c r="P33" s="804">
        <f ca="1">IF(OR($A$2=1,'OP1'!$D$53=1,B33="",VLOOKUP(B33,DINS,16,0)=0),"",VLOOKUP(B33,DINS,16,0))</f>
        <v>100000</v>
      </c>
      <c r="Q33" s="805"/>
      <c r="R33" s="804">
        <f ca="1">IF(OR($A$2=1,'OP1'!$D$53=1,B33="",VLOOKUP(B33,DINS,17,0)=0),"",VLOOKUP(B33,DINS,17,0))</f>
        <v>500000</v>
      </c>
      <c r="S33" s="805"/>
      <c r="T33" s="804">
        <f t="shared" ca="1" si="2"/>
        <v>850</v>
      </c>
      <c r="U33" s="805"/>
      <c r="V33" s="370"/>
    </row>
    <row r="34" spans="1:22" s="24" customFormat="1" ht="11.45" customHeight="1">
      <c r="B34" s="607">
        <v>3</v>
      </c>
      <c r="C34" s="607">
        <f ca="1">IF(OR($A$2=1,MAX($C$32:C33)&gt;=110),"",C33+(B34-B33))</f>
        <v>34</v>
      </c>
      <c r="D34" s="804">
        <f t="shared" ca="1" si="0"/>
        <v>26286</v>
      </c>
      <c r="E34" s="768"/>
      <c r="F34" s="807">
        <f t="shared" ca="1" si="1"/>
        <v>1000000</v>
      </c>
      <c r="G34" s="822"/>
      <c r="H34" s="804">
        <f ca="1">IF(OR($A$2=1,OP!$D$53=1,B34="",VLOOKUP(B34,DINS,9,0)=0),"",VLOOKUP(B34,DINS,9,0))</f>
        <v>500000</v>
      </c>
      <c r="I34" s="805"/>
      <c r="J34" s="804">
        <f ca="1">IF(OR($A$2=1,OP!$D$53=1,B34="",VLOOKUP(B34,DINS,10,0)=0),"",VLOOKUP(B34,DINS,10,0))</f>
        <v>1000000</v>
      </c>
      <c r="K34" s="805"/>
      <c r="L34" s="804">
        <f ca="1">IF(OR($A$2=1,OP!$D$53=1,B34="",VLOOKUP(B34,DINS,13,0)=0),"",VLOOKUP(B34,DINS,13,0))</f>
        <v>1000000</v>
      </c>
      <c r="M34" s="805"/>
      <c r="N34" s="807">
        <f ca="1">IF(OR($A$2=1,'OP1'!$D$53=1,B34="",VLOOKUP(B34,DINS,6,0)=0),"",VLOOKUP(B34,DINS,6,0))</f>
        <v>250000</v>
      </c>
      <c r="O34" s="808"/>
      <c r="P34" s="804">
        <f ca="1">IF(OR($A$2=1,'OP1'!$D$53=1,B34="",VLOOKUP(B34,DINS,16,0)=0),"",VLOOKUP(B34,DINS,16,0))</f>
        <v>100000</v>
      </c>
      <c r="Q34" s="805"/>
      <c r="R34" s="804">
        <f ca="1">IF(OR($A$2=1,'OP1'!$D$53=1,B34="",VLOOKUP(B34,DINS,17,0)=0),"",VLOOKUP(B34,DINS,17,0))</f>
        <v>500000</v>
      </c>
      <c r="S34" s="805"/>
      <c r="T34" s="804">
        <f t="shared" ca="1" si="2"/>
        <v>1800</v>
      </c>
      <c r="U34" s="805"/>
      <c r="V34" s="370"/>
    </row>
    <row r="35" spans="1:22" s="24" customFormat="1" ht="11.45" customHeight="1">
      <c r="B35" s="607">
        <v>4</v>
      </c>
      <c r="C35" s="607">
        <f ca="1">IF(OR($A$2=1,MAX($C$32:C34)&gt;=110),"",C34+(B35-B34))</f>
        <v>35</v>
      </c>
      <c r="D35" s="804">
        <f t="shared" ca="1" si="0"/>
        <v>35048</v>
      </c>
      <c r="E35" s="768"/>
      <c r="F35" s="807">
        <f t="shared" ca="1" si="1"/>
        <v>1000000</v>
      </c>
      <c r="G35" s="822"/>
      <c r="H35" s="804">
        <f ca="1">IF(OR($A$2=1,OP!$D$53=1,B35="",VLOOKUP(B35,DINS,9,0)=0),"",VLOOKUP(B35,DINS,9,0))</f>
        <v>500000</v>
      </c>
      <c r="I35" s="805"/>
      <c r="J35" s="804">
        <f ca="1">IF(OR($A$2=1,OP!$D$53=1,B35="",VLOOKUP(B35,DINS,10,0)=0),"",VLOOKUP(B35,DINS,10,0))</f>
        <v>1000000</v>
      </c>
      <c r="K35" s="805"/>
      <c r="L35" s="804">
        <f ca="1">IF(OR($A$2=1,OP!$D$53=1,B35="",VLOOKUP(B35,DINS,13,0)=0),"",VLOOKUP(B35,DINS,13,0))</f>
        <v>1000000</v>
      </c>
      <c r="M35" s="805"/>
      <c r="N35" s="807">
        <f ca="1">IF(OR($A$2=1,'OP1'!$D$53=1,B35="",VLOOKUP(B35,DINS,6,0)=0),"",VLOOKUP(B35,DINS,6,0))</f>
        <v>250000</v>
      </c>
      <c r="O35" s="808"/>
      <c r="P35" s="804">
        <f ca="1">IF(OR($A$2=1,'OP1'!$D$53=1,B35="",VLOOKUP(B35,DINS,16,0)=0),"",VLOOKUP(B35,DINS,16,0))</f>
        <v>100000</v>
      </c>
      <c r="Q35" s="805"/>
      <c r="R35" s="804">
        <f ca="1">IF(OR($A$2=1,'OP1'!$D$53=1,B35="",VLOOKUP(B35,DINS,17,0)=0),"",VLOOKUP(B35,DINS,17,0))</f>
        <v>500000</v>
      </c>
      <c r="S35" s="805"/>
      <c r="T35" s="804">
        <f t="shared" ca="1" si="2"/>
        <v>2550</v>
      </c>
      <c r="U35" s="805"/>
      <c r="V35" s="370"/>
    </row>
    <row r="36" spans="1:22" s="24" customFormat="1" ht="11.45" customHeight="1">
      <c r="B36" s="607">
        <v>5</v>
      </c>
      <c r="C36" s="607">
        <f ca="1">IF(OR($A$2=1,MAX($C$32:C35)&gt;=110),"",C35+(B36-B35))</f>
        <v>36</v>
      </c>
      <c r="D36" s="804">
        <f t="shared" ca="1" si="0"/>
        <v>43810</v>
      </c>
      <c r="E36" s="768"/>
      <c r="F36" s="807">
        <f t="shared" ca="1" si="1"/>
        <v>1000000</v>
      </c>
      <c r="G36" s="822"/>
      <c r="H36" s="804">
        <f ca="1">IF(OR($A$2=1,OP!$D$53=1,B36="",VLOOKUP(B36,DINS,9,0)=0),"",VLOOKUP(B36,DINS,9,0))</f>
        <v>500000</v>
      </c>
      <c r="I36" s="805"/>
      <c r="J36" s="804">
        <f ca="1">IF(OR($A$2=1,OP!$D$53=1,B36="",VLOOKUP(B36,DINS,10,0)=0),"",VLOOKUP(B36,DINS,10,0))</f>
        <v>1000000</v>
      </c>
      <c r="K36" s="805"/>
      <c r="L36" s="804">
        <f ca="1">IF(OR($A$2=1,OP!$D$53=1,B36="",VLOOKUP(B36,DINS,13,0)=0),"",VLOOKUP(B36,DINS,13,0))</f>
        <v>1000000</v>
      </c>
      <c r="M36" s="805"/>
      <c r="N36" s="807">
        <f ca="1">IF(OR($A$2=1,'OP1'!$D$53=1,B36="",VLOOKUP(B36,DINS,6,0)=0),"",VLOOKUP(B36,DINS,6,0))</f>
        <v>250000</v>
      </c>
      <c r="O36" s="808"/>
      <c r="P36" s="804">
        <f ca="1">IF(OR($A$2=1,'OP1'!$D$53=1,B36="",VLOOKUP(B36,DINS,16,0)=0),"",VLOOKUP(B36,DINS,16,0))</f>
        <v>100000</v>
      </c>
      <c r="Q36" s="805"/>
      <c r="R36" s="804">
        <f ca="1">IF(OR($A$2=1,'OP1'!$D$53=1,B36="",VLOOKUP(B36,DINS,17,0)=0),"",VLOOKUP(B36,DINS,17,0))</f>
        <v>500000</v>
      </c>
      <c r="S36" s="805"/>
      <c r="T36" s="804">
        <f t="shared" ca="1" si="2"/>
        <v>3450</v>
      </c>
      <c r="U36" s="805"/>
      <c r="V36" s="370"/>
    </row>
    <row r="37" spans="1:22" s="24" customFormat="1" ht="11.45" customHeight="1">
      <c r="B37" s="607">
        <v>6</v>
      </c>
      <c r="C37" s="607">
        <f ca="1">IF(OR($A$2=1,MAX($C$32:C36)&gt;=110),"",C36+(B37-B36))</f>
        <v>37</v>
      </c>
      <c r="D37" s="804">
        <f t="shared" ca="1" si="0"/>
        <v>52572</v>
      </c>
      <c r="E37" s="768"/>
      <c r="F37" s="807">
        <f t="shared" ca="1" si="1"/>
        <v>1000000</v>
      </c>
      <c r="G37" s="822"/>
      <c r="H37" s="804">
        <f ca="1">IF(OR($A$2=1,OP!$D$53=1,B37="",VLOOKUP(B37,DINS,9,0)=0),"",VLOOKUP(B37,DINS,9,0))</f>
        <v>500000</v>
      </c>
      <c r="I37" s="805"/>
      <c r="J37" s="804">
        <f ca="1">IF(OR($A$2=1,OP!$D$53=1,B37="",VLOOKUP(B37,DINS,10,0)=0),"",VLOOKUP(B37,DINS,10,0))</f>
        <v>1000000</v>
      </c>
      <c r="K37" s="805"/>
      <c r="L37" s="804">
        <f ca="1">IF(OR($A$2=1,OP!$D$53=1,B37="",VLOOKUP(B37,DINS,13,0)=0),"",VLOOKUP(B37,DINS,13,0))</f>
        <v>1000000</v>
      </c>
      <c r="M37" s="805"/>
      <c r="N37" s="807">
        <f ca="1">IF(OR($A$2=1,'OP1'!$D$53=1,B37="",VLOOKUP(B37,DINS,6,0)=0),"",VLOOKUP(B37,DINS,6,0))</f>
        <v>250000</v>
      </c>
      <c r="O37" s="808"/>
      <c r="P37" s="804">
        <f ca="1">IF(OR($A$2=1,'OP1'!$D$53=1,B37="",VLOOKUP(B37,DINS,16,0)=0),"",VLOOKUP(B37,DINS,16,0))</f>
        <v>100000</v>
      </c>
      <c r="Q37" s="805"/>
      <c r="R37" s="804">
        <f ca="1">IF(OR($A$2=1,'OP1'!$D$53=1,B37="",VLOOKUP(B37,DINS,17,0)=0),"",VLOOKUP(B37,DINS,17,0))</f>
        <v>500000</v>
      </c>
      <c r="S37" s="805"/>
      <c r="T37" s="804">
        <f t="shared" ca="1" si="2"/>
        <v>4350</v>
      </c>
      <c r="U37" s="805"/>
      <c r="V37" s="370"/>
    </row>
    <row r="38" spans="1:22" s="24" customFormat="1" ht="11.45" customHeight="1">
      <c r="B38" s="607">
        <v>7</v>
      </c>
      <c r="C38" s="607">
        <f ca="1">IF(OR($A$2=1,MAX($C$32:C37)&gt;=110),"",C37+(B38-B37))</f>
        <v>38</v>
      </c>
      <c r="D38" s="804">
        <f t="shared" ca="1" si="0"/>
        <v>61334</v>
      </c>
      <c r="E38" s="768"/>
      <c r="F38" s="807">
        <f t="shared" ca="1" si="1"/>
        <v>1000000</v>
      </c>
      <c r="G38" s="822"/>
      <c r="H38" s="804">
        <f ca="1">IF(OR($A$2=1,OP!$D$53=1,B38="",VLOOKUP(B38,DINS,9,0)=0),"",VLOOKUP(B38,DINS,9,0))</f>
        <v>500000</v>
      </c>
      <c r="I38" s="805"/>
      <c r="J38" s="804">
        <f ca="1">IF(OR($A$2=1,OP!$D$53=1,B38="",VLOOKUP(B38,DINS,10,0)=0),"",VLOOKUP(B38,DINS,10,0))</f>
        <v>1000000</v>
      </c>
      <c r="K38" s="805"/>
      <c r="L38" s="804">
        <f ca="1">IF(OR($A$2=1,OP!$D$53=1,B38="",VLOOKUP(B38,DINS,13,0)=0),"",VLOOKUP(B38,DINS,13,0))</f>
        <v>1000000</v>
      </c>
      <c r="M38" s="805"/>
      <c r="N38" s="807">
        <f ca="1">IF(OR($A$2=1,'OP1'!$D$53=1,B38="",VLOOKUP(B38,DINS,6,0)=0),"",VLOOKUP(B38,DINS,6,0))</f>
        <v>250000</v>
      </c>
      <c r="O38" s="808"/>
      <c r="P38" s="804">
        <f ca="1">IF(OR($A$2=1,'OP1'!$D$53=1,B38="",VLOOKUP(B38,DINS,16,0)=0),"",VLOOKUP(B38,DINS,16,0))</f>
        <v>100000</v>
      </c>
      <c r="Q38" s="805"/>
      <c r="R38" s="804">
        <f ca="1">IF(OR($A$2=1,'OP1'!$D$53=1,B38="",VLOOKUP(B38,DINS,17,0)=0),"",VLOOKUP(B38,DINS,17,0))</f>
        <v>500000</v>
      </c>
      <c r="S38" s="805"/>
      <c r="T38" s="804">
        <f t="shared" ca="1" si="2"/>
        <v>5250</v>
      </c>
      <c r="U38" s="805"/>
      <c r="V38" s="370"/>
    </row>
    <row r="39" spans="1:22" s="24" customFormat="1" ht="11.45" customHeight="1">
      <c r="B39" s="607">
        <v>8</v>
      </c>
      <c r="C39" s="607">
        <f ca="1">IF(OR($A$2=1,MAX($C$32:C38)&gt;=110),"",C38+(B39-B38))</f>
        <v>39</v>
      </c>
      <c r="D39" s="804">
        <f t="shared" ca="1" si="0"/>
        <v>70096</v>
      </c>
      <c r="E39" s="768"/>
      <c r="F39" s="807">
        <f t="shared" ca="1" si="1"/>
        <v>1000000</v>
      </c>
      <c r="G39" s="822"/>
      <c r="H39" s="804">
        <f ca="1">IF(OR($A$2=1,OP!$D$53=1,B39="",VLOOKUP(B39,DINS,9,0)=0),"",VLOOKUP(B39,DINS,9,0))</f>
        <v>500000</v>
      </c>
      <c r="I39" s="805"/>
      <c r="J39" s="804">
        <f ca="1">IF(OR($A$2=1,OP!$D$53=1,B39="",VLOOKUP(B39,DINS,10,0)=0),"",VLOOKUP(B39,DINS,10,0))</f>
        <v>1000000</v>
      </c>
      <c r="K39" s="805"/>
      <c r="L39" s="804">
        <f ca="1">IF(OR($A$2=1,OP!$D$53=1,B39="",VLOOKUP(B39,DINS,13,0)=0),"",VLOOKUP(B39,DINS,13,0))</f>
        <v>1000000</v>
      </c>
      <c r="M39" s="805"/>
      <c r="N39" s="807">
        <f ca="1">IF(OR($A$2=1,'OP1'!$D$53=1,B39="",VLOOKUP(B39,DINS,6,0)=0),"",VLOOKUP(B39,DINS,6,0))</f>
        <v>250000</v>
      </c>
      <c r="O39" s="808"/>
      <c r="P39" s="804">
        <f ca="1">IF(OR($A$2=1,'OP1'!$D$53=1,B39="",VLOOKUP(B39,DINS,16,0)=0),"",VLOOKUP(B39,DINS,16,0))</f>
        <v>100000</v>
      </c>
      <c r="Q39" s="805"/>
      <c r="R39" s="804">
        <f ca="1">IF(OR($A$2=1,'OP1'!$D$53=1,B39="",VLOOKUP(B39,DINS,17,0)=0),"",VLOOKUP(B39,DINS,17,0))</f>
        <v>500000</v>
      </c>
      <c r="S39" s="805"/>
      <c r="T39" s="804">
        <f t="shared" ca="1" si="2"/>
        <v>6250</v>
      </c>
      <c r="U39" s="805"/>
      <c r="V39" s="370"/>
    </row>
    <row r="40" spans="1:22" s="24" customFormat="1" ht="11.45" customHeight="1">
      <c r="B40" s="607">
        <v>9</v>
      </c>
      <c r="C40" s="607">
        <f ca="1">IF(OR($A$2=1,MAX($C$32:C39)&gt;=110),"",C39+(B40-B39))</f>
        <v>40</v>
      </c>
      <c r="D40" s="804">
        <f t="shared" ca="1" si="0"/>
        <v>78858</v>
      </c>
      <c r="E40" s="768"/>
      <c r="F40" s="807">
        <f t="shared" ca="1" si="1"/>
        <v>1000000</v>
      </c>
      <c r="G40" s="822"/>
      <c r="H40" s="804">
        <f ca="1">IF(OR($A$2=1,OP!$D$53=1,B40="",VLOOKUP(B40,DINS,9,0)=0),"",VLOOKUP(B40,DINS,9,0))</f>
        <v>500000</v>
      </c>
      <c r="I40" s="805"/>
      <c r="J40" s="804">
        <f ca="1">IF(OR($A$2=1,OP!$D$53=1,B40="",VLOOKUP(B40,DINS,10,0)=0),"",VLOOKUP(B40,DINS,10,0))</f>
        <v>1000000</v>
      </c>
      <c r="K40" s="805"/>
      <c r="L40" s="804">
        <f ca="1">IF(OR($A$2=1,OP!$D$53=1,B40="",VLOOKUP(B40,DINS,13,0)=0),"",VLOOKUP(B40,DINS,13,0))</f>
        <v>1000000</v>
      </c>
      <c r="M40" s="805"/>
      <c r="N40" s="807">
        <f ca="1">IF(OR($A$2=1,'OP1'!$D$53=1,B40="",VLOOKUP(B40,DINS,6,0)=0),"",VLOOKUP(B40,DINS,6,0))</f>
        <v>250000</v>
      </c>
      <c r="O40" s="808"/>
      <c r="P40" s="804">
        <f ca="1">IF(OR($A$2=1,'OP1'!$D$53=1,B40="",VLOOKUP(B40,DINS,16,0)=0),"",VLOOKUP(B40,DINS,16,0))</f>
        <v>100000</v>
      </c>
      <c r="Q40" s="805"/>
      <c r="R40" s="804">
        <f ca="1">IF(OR($A$2=1,'OP1'!$D$53=1,B40="",VLOOKUP(B40,DINS,17,0)=0),"",VLOOKUP(B40,DINS,17,0))</f>
        <v>500000</v>
      </c>
      <c r="S40" s="805"/>
      <c r="T40" s="804">
        <f t="shared" ca="1" si="2"/>
        <v>7100</v>
      </c>
      <c r="U40" s="805"/>
      <c r="V40" s="370"/>
    </row>
    <row r="41" spans="1:22" s="24" customFormat="1" ht="11.45" customHeight="1">
      <c r="B41" s="607">
        <v>10</v>
      </c>
      <c r="C41" s="607">
        <f ca="1">IF(OR($A$2=1,MAX($C$32:C40)&gt;=110),"",C40+(B41-B40))</f>
        <v>41</v>
      </c>
      <c r="D41" s="804">
        <f t="shared" ca="1" si="0"/>
        <v>87620</v>
      </c>
      <c r="E41" s="768"/>
      <c r="F41" s="807">
        <f t="shared" ca="1" si="1"/>
        <v>1000000</v>
      </c>
      <c r="G41" s="822"/>
      <c r="H41" s="804">
        <f ca="1">IF(OR($A$2=1,OP!$D$53=1,B41="",VLOOKUP(B41,DINS,9,0)=0),"",VLOOKUP(B41,DINS,9,0))</f>
        <v>500000</v>
      </c>
      <c r="I41" s="805"/>
      <c r="J41" s="804">
        <f ca="1">IF(OR($A$2=1,OP!$D$53=1,B41="",VLOOKUP(B41,DINS,10,0)=0),"",VLOOKUP(B41,DINS,10,0))</f>
        <v>1000000</v>
      </c>
      <c r="K41" s="805"/>
      <c r="L41" s="804">
        <f ca="1">IF(OR($A$2=1,OP!$D$53=1,B41="",VLOOKUP(B41,DINS,13,0)=0),"",VLOOKUP(B41,DINS,13,0))</f>
        <v>1000000</v>
      </c>
      <c r="M41" s="805"/>
      <c r="N41" s="807">
        <f ca="1">IF(OR($A$2=1,'OP1'!$D$53=1,B41="",VLOOKUP(B41,DINS,6,0)=0),"",VLOOKUP(B41,DINS,6,0))</f>
        <v>250000</v>
      </c>
      <c r="O41" s="808"/>
      <c r="P41" s="804">
        <f ca="1">IF(OR($A$2=1,'OP1'!$D$53=1,B41="",VLOOKUP(B41,DINS,16,0)=0),"",VLOOKUP(B41,DINS,16,0))</f>
        <v>100000</v>
      </c>
      <c r="Q41" s="805"/>
      <c r="R41" s="804">
        <f ca="1">IF(OR($A$2=1,'OP1'!$D$53=1,B41="",VLOOKUP(B41,DINS,17,0)=0),"",VLOOKUP(B41,DINS,17,0))</f>
        <v>500000</v>
      </c>
      <c r="S41" s="805"/>
      <c r="T41" s="804" t="str">
        <f t="shared" ca="1" si="2"/>
        <v/>
      </c>
      <c r="U41" s="805"/>
      <c r="V41" s="370"/>
    </row>
    <row r="42" spans="1:22" s="24" customFormat="1" ht="12" customHeight="1">
      <c r="B42" s="140" t="s">
        <v>1032</v>
      </c>
      <c r="C42" s="411"/>
      <c r="D42" s="412"/>
      <c r="E42" s="596"/>
      <c r="F42" s="412"/>
      <c r="G42" s="414"/>
      <c r="H42" s="412"/>
      <c r="I42" s="414"/>
      <c r="J42" s="412"/>
      <c r="K42" s="414"/>
      <c r="L42" s="412"/>
      <c r="M42" s="414"/>
      <c r="N42" s="412"/>
      <c r="O42" s="414"/>
      <c r="P42" s="412"/>
      <c r="Q42" s="414"/>
      <c r="R42" s="412"/>
      <c r="S42" s="414"/>
      <c r="T42" s="412"/>
      <c r="U42" s="414"/>
      <c r="V42" s="370"/>
    </row>
    <row r="43" spans="1:22" s="25" customFormat="1" ht="12" customHeight="1">
      <c r="A43" s="35"/>
      <c r="B43" s="140" t="s">
        <v>116</v>
      </c>
      <c r="C43" s="158"/>
      <c r="D43" s="159"/>
      <c r="E43" s="159"/>
      <c r="F43" s="160"/>
      <c r="G43" s="160"/>
      <c r="H43" s="160"/>
      <c r="I43" s="160"/>
      <c r="J43" s="161"/>
      <c r="K43" s="161"/>
      <c r="L43" s="162"/>
      <c r="M43" s="162"/>
      <c r="N43" s="162"/>
      <c r="O43" s="162"/>
      <c r="P43" s="162"/>
      <c r="Q43" s="162"/>
      <c r="R43" s="162"/>
      <c r="S43" s="162"/>
      <c r="T43" s="162"/>
      <c r="U43" s="162"/>
      <c r="V43" s="371"/>
    </row>
    <row r="44" spans="1:22" s="25" customFormat="1" ht="12" customHeight="1">
      <c r="A44" s="35"/>
      <c r="B44" s="140" t="str">
        <f ca="1">IF(OR($A$2=1),"","‧如符合上表"&amp;Total!$H$1&amp;"欄保險金給付條件者，除給付該類型保險金外另給付(1)欄所示身故/完全失能保險金。")</f>
        <v>‧如符合上表(2)~(5)欄保險金給付條件者，除給付該類型保險金外另給付(1)欄所示身故/完全失能保險金。</v>
      </c>
      <c r="C44" s="158"/>
      <c r="D44" s="159"/>
      <c r="E44" s="159"/>
      <c r="F44" s="160"/>
      <c r="G44" s="160"/>
      <c r="H44" s="160"/>
      <c r="I44" s="160"/>
      <c r="J44" s="161"/>
      <c r="K44" s="161"/>
      <c r="L44" s="162"/>
      <c r="M44" s="162"/>
      <c r="N44" s="162"/>
      <c r="O44" s="162"/>
      <c r="P44" s="162"/>
      <c r="Q44" s="162"/>
      <c r="R44" s="162"/>
      <c r="S44" s="162"/>
      <c r="T44" s="162"/>
      <c r="U44" s="162"/>
      <c r="V44" s="371"/>
    </row>
    <row r="45" spans="1:22" s="25" customFormat="1" ht="12" customHeight="1">
      <c r="A45" s="35"/>
      <c r="B45" s="140" t="str">
        <f ca="1">IF(OR($A$2=1,OP!$D$53=1),"","‧上表(3)欄交通工具意外傷害身故保險金給付意外傷害事故類型為保單條款中的搭乘陸上、水上、空中大眾運輸交通工具")</f>
        <v>‧上表(3)欄交通工具意外傷害身故保險金給付意外傷害事故類型為保單條款中的搭乘陸上、水上、空中大眾運輸交通工具</v>
      </c>
      <c r="C45" s="158"/>
      <c r="D45" s="159"/>
      <c r="E45" s="159"/>
      <c r="F45" s="160"/>
      <c r="G45" s="160"/>
      <c r="H45" s="160"/>
      <c r="I45" s="160"/>
      <c r="J45" s="161"/>
      <c r="K45" s="161"/>
      <c r="L45" s="162"/>
      <c r="M45" s="162"/>
      <c r="N45" s="162"/>
      <c r="O45" s="162"/>
      <c r="P45" s="162"/>
      <c r="Q45" s="162"/>
      <c r="R45" s="162"/>
      <c r="S45" s="162"/>
      <c r="T45" s="162"/>
      <c r="U45" s="162"/>
      <c r="V45" s="371"/>
    </row>
    <row r="46" spans="1:22" s="25" customFormat="1" ht="12" customHeight="1">
      <c r="A46" s="35"/>
      <c r="B46" s="140" t="str">
        <f ca="1">IF(OR($A$2=1,OP!$D$53=1),"","  意外傷害事故、騎乘機車或自行車意外傷害事故、以行人身分被車輛或大眾運輸交通工具碰撞意外傷害事故。")</f>
        <v xml:space="preserve">  意外傷害事故、騎乘機車或自行車意外傷害事故、以行人身分被車輛或大眾運輸交通工具碰撞意外傷害事故。</v>
      </c>
      <c r="C46" s="158"/>
      <c r="D46" s="159"/>
      <c r="E46" s="159"/>
      <c r="F46" s="160"/>
      <c r="G46" s="160"/>
      <c r="H46" s="160"/>
      <c r="I46" s="160"/>
      <c r="J46" s="161"/>
      <c r="K46" s="161"/>
      <c r="L46" s="162"/>
      <c r="M46" s="162"/>
      <c r="N46" s="162"/>
      <c r="O46" s="162"/>
      <c r="P46" s="162"/>
      <c r="Q46" s="162"/>
      <c r="R46" s="162"/>
      <c r="S46" s="162"/>
      <c r="T46" s="162"/>
      <c r="U46" s="162"/>
      <c r="V46" s="371"/>
    </row>
    <row r="47" spans="1:22" s="25" customFormat="1" ht="3.75" customHeight="1">
      <c r="A47" s="35"/>
      <c r="B47" s="140"/>
      <c r="C47" s="158"/>
      <c r="D47" s="159"/>
      <c r="E47" s="159"/>
      <c r="F47" s="160"/>
      <c r="G47" s="160"/>
      <c r="H47" s="160"/>
      <c r="I47" s="160"/>
      <c r="J47" s="161"/>
      <c r="K47" s="161"/>
      <c r="L47" s="162"/>
      <c r="M47" s="162"/>
      <c r="N47" s="162"/>
      <c r="O47" s="162"/>
      <c r="P47" s="162"/>
      <c r="Q47" s="162"/>
      <c r="R47" s="162"/>
      <c r="S47" s="162"/>
      <c r="T47" s="162"/>
      <c r="U47" s="162"/>
      <c r="V47" s="371"/>
    </row>
    <row r="48" spans="1:22" s="25" customFormat="1" ht="12" customHeight="1">
      <c r="A48" s="373" t="str">
        <f ca="1">'OP1'!$D$53</f>
        <v/>
      </c>
      <c r="B48" s="337" t="str">
        <f ca="1">IF(OR($A$2=1,'OP1'!$D$53=1),"","主約："&amp;'OP1'!$C$23&amp;"("&amp;'OP1'!$C$22&amp;")")</f>
        <v>主約：富邦人壽家有醫寶重大傷病定期健康保險(V1)(SWUC)</v>
      </c>
      <c r="C48" s="158"/>
      <c r="D48" s="159"/>
      <c r="E48" s="159"/>
      <c r="F48" s="160"/>
      <c r="G48" s="160"/>
      <c r="H48" s="160"/>
      <c r="I48" s="160"/>
      <c r="J48" s="161"/>
      <c r="K48" s="161"/>
      <c r="L48" s="162"/>
      <c r="M48" s="162"/>
      <c r="N48" s="162"/>
      <c r="O48" s="162"/>
      <c r="P48" s="162"/>
      <c r="Q48" s="162"/>
      <c r="R48" s="162"/>
      <c r="S48" s="162"/>
      <c r="T48" s="162"/>
      <c r="U48" s="162"/>
      <c r="V48" s="371"/>
    </row>
    <row r="49" spans="1:22" s="25" customFormat="1" ht="3" customHeight="1">
      <c r="A49" s="373"/>
      <c r="B49" s="337"/>
      <c r="C49" s="158"/>
      <c r="D49" s="159"/>
      <c r="E49" s="159"/>
      <c r="F49" s="160"/>
      <c r="G49" s="160"/>
      <c r="H49" s="160"/>
      <c r="I49" s="160"/>
      <c r="J49" s="161"/>
      <c r="K49" s="161"/>
      <c r="L49" s="162"/>
      <c r="M49" s="162"/>
      <c r="N49" s="162"/>
      <c r="O49" s="162"/>
      <c r="P49" s="162"/>
      <c r="Q49" s="162"/>
      <c r="R49" s="162"/>
      <c r="S49" s="162"/>
      <c r="T49" s="162"/>
      <c r="U49" s="162"/>
      <c r="V49" s="371"/>
    </row>
    <row r="50" spans="1:22" s="25" customFormat="1" ht="75" customHeight="1">
      <c r="A50" s="373"/>
      <c r="B50" s="834" t="str">
        <f ca="1">IF(OR($A$2=1,'OP1'!$D$53=1),"","法定傳染病加護病房保險金")</f>
        <v>法定傳染病加護病房保險金</v>
      </c>
      <c r="C50" s="835"/>
      <c r="D50" s="835"/>
      <c r="E50" s="836"/>
      <c r="F50" s="836"/>
      <c r="G50" s="836"/>
      <c r="H50" s="767" t="str">
        <f ca="1">IF(OR($A$2=1,'OP1'!$D$53=1),"",TEXT('OP1'!$C$28*10000*0.05,"#,##0")&amp;"元")</f>
        <v>25,000元</v>
      </c>
      <c r="I50" s="818"/>
      <c r="J50" s="818"/>
      <c r="K50" s="769" t="str">
        <f ca="1">IF(OR($A$2=1,'OP1'!$D$53=1),"","本保險金同一保單年度以給付一次為限。
被保險人於等待期間屆滿後、復效日或續保日起之本契約有效期間內未罹患重大傷病或未致成條款附表所列完全失能程度之一，經醫院醫師診斷確定罹患條款約定之法定傳染病且因此於醫院之加護病房接受住院診療者，本公司按診斷確定時保險金額的百分之五給付法定傳染病加護病房保險金。")</f>
        <v>本保險金同一保單年度以給付一次為限。
被保險人於等待期間屆滿後、復效日或續保日起之本契約有效期間內未罹患重大傷病或未致成條款附表所列完全失能程度之一，經醫院醫師診斷確定罹患條款約定之法定傳染病且因此於醫院之加護病房接受住院診療者，本公司按診斷確定時保險金額的百分之五給付法定傳染病加護病房保險金。</v>
      </c>
      <c r="L50" s="800"/>
      <c r="M50" s="800"/>
      <c r="N50" s="800"/>
      <c r="O50" s="800"/>
      <c r="P50" s="800"/>
      <c r="Q50" s="800"/>
      <c r="R50" s="800"/>
      <c r="S50" s="800"/>
      <c r="T50" s="800"/>
      <c r="U50" s="800"/>
      <c r="V50" s="371"/>
    </row>
    <row r="51" spans="1:22" s="25" customFormat="1" ht="24.95" customHeight="1">
      <c r="A51" s="373"/>
      <c r="B51" s="834" t="str">
        <f ca="1">IF(OR($A$2=1,'OP1'!$D$53=1),"","無理賠回饋保險金")</f>
        <v>無理賠回饋保險金</v>
      </c>
      <c r="C51" s="835"/>
      <c r="D51" s="835"/>
      <c r="E51" s="836"/>
      <c r="F51" s="836"/>
      <c r="G51" s="836"/>
      <c r="H51" s="832" t="str">
        <f ca="1">IF(OR($A$2=1,'OP1'!$D$53=1),"","被保險人於本契約有效期間內，未曾發生保單條款所約定之任一項保險事故且保險期間屆滿仍生存者，本公司按年繳保險費總和的百分之十給付無理賠回饋保險金。")</f>
        <v>被保險人於本契約有效期間內，未曾發生保單條款所約定之任一項保險事故且保險期間屆滿仍生存者，本公司按年繳保險費總和的百分之十給付無理賠回饋保險金。</v>
      </c>
      <c r="I51" s="833"/>
      <c r="J51" s="833"/>
      <c r="K51" s="833"/>
      <c r="L51" s="833"/>
      <c r="M51" s="833"/>
      <c r="N51" s="833"/>
      <c r="O51" s="833"/>
      <c r="P51" s="833"/>
      <c r="Q51" s="833"/>
      <c r="R51" s="833"/>
      <c r="S51" s="833"/>
      <c r="T51" s="833"/>
      <c r="U51" s="833"/>
      <c r="V51" s="371"/>
    </row>
    <row r="52" spans="1:22" s="25" customFormat="1" ht="3" customHeight="1">
      <c r="A52" s="35"/>
      <c r="B52" s="140"/>
      <c r="C52" s="158"/>
      <c r="D52" s="159"/>
      <c r="E52" s="159"/>
      <c r="F52" s="160"/>
      <c r="G52" s="160"/>
      <c r="H52" s="160"/>
      <c r="I52" s="160"/>
      <c r="J52" s="161"/>
      <c r="K52" s="161"/>
      <c r="L52" s="162"/>
      <c r="M52" s="162"/>
      <c r="N52" s="162"/>
      <c r="O52" s="162"/>
      <c r="P52" s="162"/>
      <c r="Q52" s="162"/>
      <c r="R52" s="162"/>
      <c r="S52" s="162"/>
      <c r="T52" s="162"/>
      <c r="U52" s="162"/>
      <c r="V52" s="371"/>
    </row>
    <row r="53" spans="1:22" s="25" customFormat="1" ht="12" customHeight="1">
      <c r="A53" s="35" t="str">
        <f ca="1">OP!$D$53</f>
        <v/>
      </c>
      <c r="B53" s="569" t="str">
        <f ca="1">IF(OR($A$2=1,OP!$D$53=1),"","主約："&amp;OP!$C$23&amp;"("&amp;OP!$C$22&amp;")")</f>
        <v>主約：富邦人壽安心好漾定期保險(AIJ)</v>
      </c>
      <c r="C53" s="18"/>
      <c r="D53" s="19"/>
      <c r="E53" s="19"/>
      <c r="F53" s="18"/>
      <c r="G53" s="18"/>
      <c r="H53" s="19"/>
      <c r="I53" s="19"/>
      <c r="J53" s="20"/>
      <c r="K53" s="20"/>
      <c r="L53" s="16"/>
      <c r="M53" s="16"/>
      <c r="N53" s="17"/>
      <c r="O53" s="17"/>
      <c r="P53" s="8"/>
      <c r="Q53" s="7"/>
      <c r="R53" s="9"/>
      <c r="S53" s="9"/>
      <c r="T53" s="12"/>
      <c r="U53" s="12"/>
      <c r="V53" s="371"/>
    </row>
    <row r="54" spans="1:22" s="25" customFormat="1" ht="3" customHeight="1">
      <c r="A54" s="35"/>
      <c r="B54" s="337"/>
      <c r="C54" s="18"/>
      <c r="D54" s="19"/>
      <c r="E54" s="19"/>
      <c r="F54" s="18"/>
      <c r="G54" s="18"/>
      <c r="H54" s="19"/>
      <c r="I54" s="19"/>
      <c r="J54" s="20"/>
      <c r="K54" s="20"/>
      <c r="L54" s="16"/>
      <c r="M54" s="16"/>
      <c r="N54" s="17"/>
      <c r="O54" s="17"/>
      <c r="P54" s="8"/>
      <c r="Q54" s="7"/>
      <c r="R54" s="9"/>
      <c r="S54" s="9"/>
      <c r="T54" s="12"/>
      <c r="U54" s="12"/>
      <c r="V54" s="371"/>
    </row>
    <row r="55" spans="1:22" s="25" customFormat="1" ht="12" customHeight="1">
      <c r="A55" s="35"/>
      <c r="B55" s="837" t="str">
        <f ca="1">IF(OR($A$2=1,OP!$D$53=1),"","給        付        內        容")</f>
        <v>給        付        內        容</v>
      </c>
      <c r="C55" s="838"/>
      <c r="D55" s="838"/>
      <c r="E55" s="838"/>
      <c r="F55" s="838"/>
      <c r="G55" s="838"/>
      <c r="H55" s="838"/>
      <c r="I55" s="838"/>
      <c r="J55" s="839"/>
      <c r="K55" s="745" t="str">
        <f ca="1">IF(OR($A$2=1,OP!$D$53=1),"","說                           明")</f>
        <v>說                           明</v>
      </c>
      <c r="L55" s="838"/>
      <c r="M55" s="838"/>
      <c r="N55" s="838"/>
      <c r="O55" s="838"/>
      <c r="P55" s="838"/>
      <c r="Q55" s="838"/>
      <c r="R55" s="838"/>
      <c r="S55" s="838"/>
      <c r="T55" s="838"/>
      <c r="U55" s="839"/>
      <c r="V55" s="371"/>
    </row>
    <row r="56" spans="1:22" s="25" customFormat="1" ht="65.099999999999994" customHeight="1">
      <c r="A56" s="35"/>
      <c r="B56" s="848" t="str">
        <f ca="1">IF(OR($A$2=1,OP!$D$53=1),"","意外傷害
住院醫療保險金")</f>
        <v>意外傷害
住院醫療保險金</v>
      </c>
      <c r="C56" s="849"/>
      <c r="D56" s="849"/>
      <c r="E56" s="852" t="str">
        <f ca="1">IF(OR($A$2=1,OP!$D$53=1),"","住院醫療給付")</f>
        <v>住院醫療給付</v>
      </c>
      <c r="F56" s="853"/>
      <c r="G56" s="854"/>
      <c r="H56" s="847" t="str">
        <f ca="1">IF(OR($A$2=1,OP!$D$53=1),"",TEXT(OP!$C$28*10000*0.1%,"#,##0")&amp;"元 / 日")</f>
        <v>500元 / 日</v>
      </c>
      <c r="I56" s="847"/>
      <c r="J56" s="847"/>
      <c r="K56" s="832" t="str">
        <f ca="1">IF(OR($A$2=1,OP!$D$53=1),"","被保險人於本契約有效期間內遭受保單條款約定的意外傷害事故，自意外傷害事故發生之日起一百八十日以內，而於醫院接受住院治療者，本公司就其實際住院日數（含出院及入院當日），給付意外傷害住院醫療保險金。
住院治療若因同一意外傷害事故所致，其給付日數不得超過九十日。")</f>
        <v>被保險人於本契約有效期間內遭受保單條款約定的意外傷害事故，自意外傷害事故發生之日起一百八十日以內，而於醫院接受住院治療者，本公司就其實際住院日數（含出院及入院當日），給付意外傷害住院醫療保險金。
住院治療若因同一意外傷害事故所致，其給付日數不得超過九十日。</v>
      </c>
      <c r="L56" s="833"/>
      <c r="M56" s="833"/>
      <c r="N56" s="833"/>
      <c r="O56" s="833"/>
      <c r="P56" s="833"/>
      <c r="Q56" s="833"/>
      <c r="R56" s="833"/>
      <c r="S56" s="833"/>
      <c r="T56" s="833"/>
      <c r="U56" s="833"/>
      <c r="V56" s="371"/>
    </row>
    <row r="57" spans="1:22" s="25" customFormat="1" ht="60" customHeight="1">
      <c r="A57" s="35"/>
      <c r="B57" s="850"/>
      <c r="C57" s="851"/>
      <c r="D57" s="851"/>
      <c r="E57" s="852" t="str">
        <f ca="1">IF(OR($A$2=1,OP!$D$53=1),"","完全骨折
未住院醫療給付")</f>
        <v>完全骨折
未住院醫療給付</v>
      </c>
      <c r="F57" s="853"/>
      <c r="G57" s="854"/>
      <c r="H57" s="847" t="str">
        <f ca="1">IF(OR($A$2=1,OP!$D$53=1),"",TEXT(OP!$C$28*10000*0.05%,"#,##0")&amp;"元 / 日")</f>
        <v>250元 / 日</v>
      </c>
      <c r="I57" s="847"/>
      <c r="J57" s="847"/>
      <c r="K57" s="899" t="str">
        <f ca="1">IF(OR($A$2=1,OP!$D$53=1),"","合計給付日數以按骨折別所訂日數為上限。
骨折是指骨骼完全折斷而言。如係不完全骨折，按完全骨折日數二分之一給付；如係骨骼龜裂者按完全骨折日數四分之一給付，如同時蒙受保單條款所列二項以上骨折時，僅給付一項較高等級的醫療保險金。")</f>
        <v>合計給付日數以按骨折別所訂日數為上限。
骨折是指骨骼完全折斷而言。如係不完全骨折，按完全骨折日數二分之一給付；如係骨骼龜裂者按完全骨折日數四分之一給付，如同時蒙受保單條款所列二項以上骨折時，僅給付一項較高等級的醫療保險金。</v>
      </c>
      <c r="L57" s="895"/>
      <c r="M57" s="895"/>
      <c r="N57" s="895"/>
      <c r="O57" s="895"/>
      <c r="P57" s="895"/>
      <c r="Q57" s="895"/>
      <c r="R57" s="895"/>
      <c r="S57" s="895"/>
      <c r="T57" s="895"/>
      <c r="U57" s="896"/>
      <c r="V57" s="371"/>
    </row>
    <row r="58" spans="1:22" s="25" customFormat="1" ht="24.95" customHeight="1">
      <c r="A58" s="35"/>
      <c r="B58" s="855" t="str">
        <f ca="1">IF(OR($A$2=1,OP!$D$53=1),"","無理賠回饋保險金")</f>
        <v>無理賠回饋保險金</v>
      </c>
      <c r="C58" s="855"/>
      <c r="D58" s="855"/>
      <c r="E58" s="856"/>
      <c r="F58" s="856"/>
      <c r="G58" s="856"/>
      <c r="H58" s="832" t="str">
        <f ca="1">IF(OR($A$2=1,OP!$D$53=1),"","被保險人於本契約有效期間內，未曾發生保單條款約定之任何保險事故且保險期間屆滿仍生存者，本公司按年繳保險費總和的百分之十計算給付無理賠回饋保險金。")</f>
        <v>被保險人於本契約有效期間內，未曾發生保單條款約定之任何保險事故且保險期間屆滿仍生存者，本公司按年繳保險費總和的百分之十計算給付無理賠回饋保險金。</v>
      </c>
      <c r="I58" s="833"/>
      <c r="J58" s="833"/>
      <c r="K58" s="833"/>
      <c r="L58" s="833"/>
      <c r="M58" s="833"/>
      <c r="N58" s="833"/>
      <c r="O58" s="833"/>
      <c r="P58" s="833"/>
      <c r="Q58" s="833"/>
      <c r="R58" s="833"/>
      <c r="S58" s="833"/>
      <c r="T58" s="833"/>
      <c r="U58" s="833"/>
      <c r="V58" s="371"/>
    </row>
    <row r="59" spans="1:22" s="25" customFormat="1" ht="3" customHeight="1">
      <c r="A59" s="35"/>
      <c r="B59" s="336"/>
      <c r="C59" s="257"/>
      <c r="D59" s="257"/>
      <c r="E59" s="257"/>
      <c r="F59" s="334"/>
      <c r="G59" s="334"/>
      <c r="H59" s="334"/>
      <c r="I59" s="334"/>
      <c r="J59" s="334"/>
      <c r="K59" s="334"/>
      <c r="L59" s="334"/>
      <c r="M59" s="334"/>
      <c r="N59" s="334"/>
      <c r="O59" s="334"/>
      <c r="P59" s="334"/>
      <c r="Q59" s="334"/>
      <c r="R59" s="334"/>
      <c r="S59" s="334"/>
      <c r="T59" s="335"/>
      <c r="U59" s="334"/>
      <c r="V59" s="371"/>
    </row>
    <row r="60" spans="1:22" ht="12" customHeight="1">
      <c r="B60" s="766" t="s">
        <v>119</v>
      </c>
      <c r="C60" s="766"/>
      <c r="D60" s="766"/>
      <c r="E60" s="766"/>
      <c r="F60" s="766"/>
      <c r="G60" s="766"/>
      <c r="H60" s="766"/>
      <c r="I60" s="766"/>
      <c r="J60" s="766"/>
      <c r="K60" s="766"/>
      <c r="L60" s="766"/>
      <c r="M60" s="766"/>
      <c r="N60" s="766"/>
      <c r="O60" s="766"/>
      <c r="P60" s="766"/>
      <c r="Q60" s="766"/>
      <c r="R60" s="766"/>
      <c r="S60" s="766"/>
      <c r="T60" s="766"/>
      <c r="U60" s="766"/>
    </row>
    <row r="61" spans="1:22" ht="11.25" customHeight="1">
      <c r="B61" s="631"/>
      <c r="C61" s="764" t="str">
        <f ca="1">"※本契約("&amp;IF(AND(OP!$D$53="",'OP1'!$D$53=""),OP!$C$22&amp;"、"&amp;'OP1'!$C$22,IF(OP!$D$53="",OP!$C$22,'OP1'!$C$22))&amp;")條款樣張須於訂立契約前提供要保人至少三日審閱期間"</f>
        <v>※本契約(AIJ、SWUC)條款樣張須於訂立契約前提供要保人至少三日審閱期間</v>
      </c>
      <c r="D61" s="903"/>
      <c r="E61" s="903"/>
      <c r="F61" s="903"/>
      <c r="G61" s="903"/>
      <c r="H61" s="903"/>
      <c r="I61" s="903"/>
      <c r="J61" s="903"/>
      <c r="K61" s="903"/>
      <c r="L61" s="903"/>
      <c r="M61" s="903"/>
      <c r="N61" s="903"/>
      <c r="O61" s="903"/>
      <c r="P61" s="801" t="str">
        <f ca="1">OP!$C$54&amp;" 試算日："&amp;TEXT(YEAR(OP!$C$3)-1911,"000")&amp;TEXT(MONTH(OP!$C$3),"00")&amp;TEXT(DAY(OP!$C$3),"00")</f>
        <v>V3.0A-1111001 試算日：1111001</v>
      </c>
      <c r="Q61" s="904"/>
      <c r="R61" s="904"/>
      <c r="S61" s="904"/>
      <c r="T61" s="904"/>
      <c r="U61" s="904"/>
    </row>
    <row r="62" spans="1:22" ht="6.75" customHeight="1">
      <c r="A62" s="10"/>
      <c r="B62" s="619"/>
      <c r="C62" s="620"/>
      <c r="D62" s="621"/>
      <c r="E62" s="621"/>
      <c r="F62" s="621"/>
      <c r="G62" s="621"/>
      <c r="H62" s="621"/>
      <c r="I62" s="621"/>
      <c r="J62" s="621"/>
      <c r="K62" s="621"/>
      <c r="L62" s="621"/>
      <c r="M62" s="621"/>
      <c r="N62" s="621"/>
      <c r="O62" s="621"/>
      <c r="P62" s="621"/>
      <c r="Q62" s="620"/>
      <c r="R62" s="620"/>
      <c r="S62" s="620"/>
      <c r="T62" s="620"/>
      <c r="U62" s="620"/>
    </row>
    <row r="63" spans="1:22" ht="15.95" customHeight="1">
      <c r="A63" s="10"/>
      <c r="B63" s="825" t="s">
        <v>1126</v>
      </c>
      <c r="C63" s="825"/>
      <c r="D63" s="825"/>
      <c r="E63" s="825"/>
      <c r="F63" s="825"/>
      <c r="G63" s="825"/>
      <c r="H63" s="825"/>
      <c r="I63" s="825"/>
      <c r="J63" s="825"/>
      <c r="K63" s="825"/>
      <c r="L63" s="825"/>
      <c r="M63" s="825"/>
      <c r="N63" s="825"/>
      <c r="O63" s="825"/>
      <c r="P63" s="825"/>
      <c r="Q63" s="825"/>
      <c r="R63" s="825"/>
      <c r="S63" s="825"/>
      <c r="T63" s="825"/>
      <c r="U63" s="825"/>
    </row>
    <row r="64" spans="1:22" ht="3.75" customHeight="1">
      <c r="A64" s="10"/>
      <c r="B64" s="619"/>
      <c r="C64" s="620"/>
      <c r="D64" s="621"/>
      <c r="E64" s="621"/>
      <c r="F64" s="621"/>
      <c r="G64" s="621"/>
      <c r="H64" s="621"/>
      <c r="I64" s="621"/>
      <c r="J64" s="621"/>
      <c r="K64" s="621"/>
      <c r="L64" s="621"/>
      <c r="M64" s="621"/>
      <c r="N64" s="621"/>
      <c r="O64" s="621"/>
      <c r="P64" s="621"/>
      <c r="Q64" s="620"/>
      <c r="R64" s="620"/>
      <c r="S64" s="620"/>
      <c r="T64" s="620"/>
      <c r="U64" s="620"/>
    </row>
    <row r="65" spans="1:22" s="11" customFormat="1" ht="12" customHeight="1">
      <c r="A65" s="23">
        <f ca="1">ROP!$C$33</f>
        <v>1</v>
      </c>
      <c r="B65" s="570" t="str">
        <f ca="1">IF(OR($A$2=1,ROP!$C$33=1),"","附約："&amp;ROP!$B$16&amp;"("&amp;ROP!$D$16&amp;")")</f>
        <v/>
      </c>
      <c r="C65" s="571"/>
      <c r="D65" s="572"/>
      <c r="E65" s="572"/>
      <c r="F65" s="572"/>
      <c r="G65" s="572"/>
      <c r="H65" s="572"/>
      <c r="I65" s="572"/>
      <c r="J65" s="573"/>
      <c r="K65" s="573"/>
      <c r="L65" s="574"/>
      <c r="M65" s="574"/>
      <c r="N65" s="572"/>
      <c r="O65" s="572"/>
      <c r="P65" s="156"/>
      <c r="Q65" s="52"/>
      <c r="R65" s="575"/>
      <c r="S65" s="576"/>
      <c r="T65" s="577"/>
      <c r="U65" s="578">
        <f>IF(ROP!C30="",1,"")</f>
        <v>1</v>
      </c>
      <c r="V65" s="367"/>
    </row>
    <row r="66" spans="1:22" s="11" customFormat="1" ht="3" customHeight="1">
      <c r="A66" s="23"/>
      <c r="B66" s="579"/>
      <c r="C66" s="580"/>
      <c r="D66" s="564"/>
      <c r="E66" s="564"/>
      <c r="F66" s="564"/>
      <c r="G66" s="564"/>
      <c r="H66" s="564"/>
      <c r="I66" s="564"/>
      <c r="J66" s="564"/>
      <c r="K66" s="564"/>
      <c r="L66" s="564"/>
      <c r="M66" s="564"/>
      <c r="N66" s="564"/>
      <c r="O66" s="564"/>
      <c r="P66" s="564"/>
      <c r="Q66" s="581"/>
      <c r="R66" s="581"/>
      <c r="S66" s="581"/>
      <c r="T66" s="581"/>
      <c r="U66" s="581"/>
      <c r="V66" s="367"/>
    </row>
    <row r="67" spans="1:22" s="11" customFormat="1" ht="12" customHeight="1">
      <c r="A67" s="23"/>
      <c r="B67" s="837" t="str">
        <f ca="1">IF(OR($A$2=1,ROP!$C$33=1),"","給        付        內        容")</f>
        <v/>
      </c>
      <c r="C67" s="838"/>
      <c r="D67" s="838"/>
      <c r="E67" s="838"/>
      <c r="F67" s="838"/>
      <c r="G67" s="838"/>
      <c r="H67" s="838"/>
      <c r="I67" s="838"/>
      <c r="J67" s="839"/>
      <c r="K67" s="745" t="str">
        <f ca="1">IF(OR($A$2=1,ROP!$C$33=1),"","說                           明")</f>
        <v/>
      </c>
      <c r="L67" s="838"/>
      <c r="M67" s="838"/>
      <c r="N67" s="838"/>
      <c r="O67" s="838"/>
      <c r="P67" s="838"/>
      <c r="Q67" s="838"/>
      <c r="R67" s="838"/>
      <c r="S67" s="838"/>
      <c r="T67" s="838"/>
      <c r="U67" s="839"/>
      <c r="V67" s="367"/>
    </row>
    <row r="68" spans="1:22" s="11" customFormat="1" ht="33.950000000000003" customHeight="1">
      <c r="A68" s="23"/>
      <c r="B68" s="879" t="str">
        <f ca="1">IF(OR($A$2=1,ROP!$C$33=1),"","意外傷害
一至三級
失能保險金")</f>
        <v/>
      </c>
      <c r="C68" s="880"/>
      <c r="D68" s="881"/>
      <c r="E68" s="844" t="str">
        <f ca="1">IF(OR($A$2=1,ROP!$C$33=1),"","一級失能保險金")</f>
        <v/>
      </c>
      <c r="F68" s="845"/>
      <c r="G68" s="846"/>
      <c r="H68" s="840" t="str">
        <f ca="1">IF(OR($A$2=1,ROP!$C$33=1),"",TEXT(ROP!$D$93,"#,##0") &amp;"元")</f>
        <v/>
      </c>
      <c r="I68" s="841"/>
      <c r="J68" s="842"/>
      <c r="K68" s="860" t="str">
        <f ca="1">IF(OR($A$2=1,ROP!$C$33=1),"","被保險人於本附約有效期間內遭受保單條款約定的意外傷害事故，自意外傷害事故發生之日起一百八十日以內致成保單條款附表所列失能程度之一，經醫院醫師診斷確定，以失能診斷確定日為準，本公司按保險金額乘上保單條款附表所列之給付比例計算所得金額給付「意外傷害一至三級失能保險金」，本附約效力即行終止。
被保險人因同一意外傷害事故致成保單條款附表所列二項以上失能程度時，本公司給付各該項「意外傷害一至三級失能保險金」之和，最高以保險金額為限。")</f>
        <v/>
      </c>
      <c r="L68" s="861"/>
      <c r="M68" s="861"/>
      <c r="N68" s="861"/>
      <c r="O68" s="861"/>
      <c r="P68" s="861"/>
      <c r="Q68" s="861"/>
      <c r="R68" s="861"/>
      <c r="S68" s="861"/>
      <c r="T68" s="861"/>
      <c r="U68" s="862"/>
      <c r="V68" s="367"/>
    </row>
    <row r="69" spans="1:22" s="11" customFormat="1" ht="33.950000000000003" customHeight="1">
      <c r="A69" s="23"/>
      <c r="B69" s="882"/>
      <c r="C69" s="883"/>
      <c r="D69" s="884"/>
      <c r="E69" s="844" t="str">
        <f ca="1">IF(OR($A$2=1,ROP!$C$33=1),"","二級失能保險金")</f>
        <v/>
      </c>
      <c r="F69" s="845"/>
      <c r="G69" s="846"/>
      <c r="H69" s="840" t="str">
        <f ca="1">IF(OR($A$2=1,ROP!$C$33=1),"",TEXT(ROP!$D$93*0.9,"#,##0") &amp;"元")</f>
        <v/>
      </c>
      <c r="I69" s="841"/>
      <c r="J69" s="842"/>
      <c r="K69" s="863"/>
      <c r="L69" s="864"/>
      <c r="M69" s="864"/>
      <c r="N69" s="864"/>
      <c r="O69" s="864"/>
      <c r="P69" s="864"/>
      <c r="Q69" s="864"/>
      <c r="R69" s="864"/>
      <c r="S69" s="864"/>
      <c r="T69" s="864"/>
      <c r="U69" s="865"/>
      <c r="V69" s="367"/>
    </row>
    <row r="70" spans="1:22" s="11" customFormat="1" ht="33.950000000000003" customHeight="1">
      <c r="A70" s="23"/>
      <c r="B70" s="885"/>
      <c r="C70" s="886"/>
      <c r="D70" s="887"/>
      <c r="E70" s="844" t="str">
        <f ca="1">IF(OR($A$2=1,ROP!$C$33=1),"","三級失能保險金")</f>
        <v/>
      </c>
      <c r="F70" s="845"/>
      <c r="G70" s="846"/>
      <c r="H70" s="840" t="str">
        <f ca="1">IF(OR($A$2=1,ROP!$C$33=1),"",TEXT(ROP!$D$93*0.8,"#,##0") &amp;"元")</f>
        <v/>
      </c>
      <c r="I70" s="841"/>
      <c r="J70" s="842"/>
      <c r="K70" s="866"/>
      <c r="L70" s="867"/>
      <c r="M70" s="867"/>
      <c r="N70" s="867"/>
      <c r="O70" s="867"/>
      <c r="P70" s="867"/>
      <c r="Q70" s="867"/>
      <c r="R70" s="867"/>
      <c r="S70" s="867"/>
      <c r="T70" s="867"/>
      <c r="U70" s="868"/>
      <c r="V70" s="367"/>
    </row>
    <row r="71" spans="1:22" s="11" customFormat="1" ht="24.95" customHeight="1">
      <c r="A71" s="23"/>
      <c r="B71" s="888" t="str">
        <f ca="1">IF(OR($A$2=1,ROP!$C$33=1),"","無理賠回饋保險金")</f>
        <v/>
      </c>
      <c r="C71" s="845"/>
      <c r="D71" s="845"/>
      <c r="E71" s="845"/>
      <c r="F71" s="845"/>
      <c r="G71" s="846"/>
      <c r="H71" s="857" t="str">
        <f ca="1">IF(OR($A$2=1,ROP!$C$33=1),"","被保險人於本附約有效期間內，未曾發生保單條款約定之保險事故且保險期間屆滿仍生存者，本公司按年繳保險費總和的百分之十計算給付無理賠回饋保險金。")</f>
        <v/>
      </c>
      <c r="I71" s="858"/>
      <c r="J71" s="858"/>
      <c r="K71" s="858"/>
      <c r="L71" s="858"/>
      <c r="M71" s="858"/>
      <c r="N71" s="858"/>
      <c r="O71" s="858"/>
      <c r="P71" s="858"/>
      <c r="Q71" s="858"/>
      <c r="R71" s="858"/>
      <c r="S71" s="858"/>
      <c r="T71" s="858"/>
      <c r="U71" s="859"/>
      <c r="V71" s="367"/>
    </row>
    <row r="72" spans="1:22" s="11" customFormat="1" ht="3" customHeight="1">
      <c r="A72" s="23"/>
      <c r="B72" s="345"/>
      <c r="C72" s="346"/>
      <c r="D72" s="233"/>
      <c r="E72" s="233"/>
      <c r="F72" s="233"/>
      <c r="G72" s="233"/>
      <c r="H72" s="233"/>
      <c r="I72" s="233"/>
      <c r="J72" s="233"/>
      <c r="K72" s="233"/>
      <c r="L72" s="233"/>
      <c r="M72" s="233"/>
      <c r="N72" s="233"/>
      <c r="O72" s="233"/>
      <c r="P72" s="233"/>
      <c r="Q72" s="347"/>
      <c r="R72" s="347"/>
      <c r="S72" s="347"/>
      <c r="T72" s="347"/>
      <c r="U72" s="347"/>
      <c r="V72" s="367"/>
    </row>
    <row r="73" spans="1:22" s="11" customFormat="1" ht="11.85" customHeight="1">
      <c r="A73" s="23">
        <f ca="1">ROP!$D$33</f>
        <v>1</v>
      </c>
      <c r="B73" s="570" t="str">
        <f ca="1">IF(OR($A$2=1,ROP!$D$33=1),"","附約："&amp;ROP!$B$17&amp;"("&amp;ROP!$D$17&amp;")")</f>
        <v/>
      </c>
      <c r="C73" s="580"/>
      <c r="D73" s="564"/>
      <c r="E73" s="564"/>
      <c r="F73" s="564"/>
      <c r="G73" s="564"/>
      <c r="H73" s="564"/>
      <c r="I73" s="564"/>
      <c r="J73" s="564"/>
      <c r="K73" s="564"/>
      <c r="L73" s="564"/>
      <c r="M73" s="564"/>
      <c r="N73" s="564"/>
      <c r="O73" s="564"/>
      <c r="P73" s="564"/>
      <c r="Q73" s="581"/>
      <c r="R73" s="581"/>
      <c r="S73" s="581"/>
      <c r="T73" s="581"/>
      <c r="U73" s="581"/>
      <c r="V73" s="367"/>
    </row>
    <row r="74" spans="1:22" s="11" customFormat="1" ht="3" customHeight="1">
      <c r="A74" s="23"/>
      <c r="B74" s="570"/>
      <c r="C74" s="580"/>
      <c r="D74" s="564"/>
      <c r="E74" s="564"/>
      <c r="F74" s="564"/>
      <c r="G74" s="564"/>
      <c r="H74" s="564"/>
      <c r="I74" s="564"/>
      <c r="J74" s="564"/>
      <c r="K74" s="564"/>
      <c r="L74" s="564"/>
      <c r="M74" s="564"/>
      <c r="N74" s="564"/>
      <c r="O74" s="564"/>
      <c r="P74" s="564"/>
      <c r="Q74" s="581"/>
      <c r="R74" s="581"/>
      <c r="S74" s="581"/>
      <c r="T74" s="581"/>
      <c r="U74" s="581"/>
      <c r="V74" s="367"/>
    </row>
    <row r="75" spans="1:22" s="11" customFormat="1" ht="12" customHeight="1">
      <c r="A75" s="23"/>
      <c r="B75" s="837" t="str">
        <f ca="1">IF(OR($A$2=1,ROP!$D$33=1),"","給        付        內        容")</f>
        <v/>
      </c>
      <c r="C75" s="838"/>
      <c r="D75" s="838"/>
      <c r="E75" s="838"/>
      <c r="F75" s="838"/>
      <c r="G75" s="838"/>
      <c r="H75" s="838"/>
      <c r="I75" s="838"/>
      <c r="J75" s="839"/>
      <c r="K75" s="745" t="str">
        <f ca="1">IF(OR($A$2=1,ROP!$D$33=1),"","說                           明")</f>
        <v/>
      </c>
      <c r="L75" s="838"/>
      <c r="M75" s="838"/>
      <c r="N75" s="838"/>
      <c r="O75" s="838"/>
      <c r="P75" s="838"/>
      <c r="Q75" s="838"/>
      <c r="R75" s="838"/>
      <c r="S75" s="838"/>
      <c r="T75" s="838"/>
      <c r="U75" s="839"/>
      <c r="V75" s="367"/>
    </row>
    <row r="76" spans="1:22" s="11" customFormat="1" ht="20.100000000000001" customHeight="1">
      <c r="A76" s="23"/>
      <c r="B76" s="794" t="str">
        <f ca="1">IF(OR($A$2=1,ROP!$D$33=1),"","住院實支實付")</f>
        <v/>
      </c>
      <c r="C76" s="797" t="str">
        <f ca="1">IF(OR($A$2=1,ROP!$D$33=1),"",ROP!$B56)</f>
        <v/>
      </c>
      <c r="D76" s="798"/>
      <c r="E76" s="798"/>
      <c r="F76" s="798"/>
      <c r="G76" s="798"/>
      <c r="H76" s="767" t="str">
        <f ca="1">IF(OR($A$2=1,ROP!$D$33=1),"",TEXT(ROP!$C56,"#,##0")&amp;" 元/日")</f>
        <v/>
      </c>
      <c r="I76" s="818"/>
      <c r="J76" s="818"/>
      <c r="K76" s="860" t="str">
        <f ca="1">IF(OR($A$2=1,ROP!$D$33=1),"","被保險人係住進加護病房診療者，在加護病房住院診療期間，「每日病房費用保險金限額」提高為1.5倍，但提高之日數最多以七日為限。 ")</f>
        <v/>
      </c>
      <c r="L76" s="869"/>
      <c r="M76" s="869"/>
      <c r="N76" s="869"/>
      <c r="O76" s="869"/>
      <c r="P76" s="869"/>
      <c r="Q76" s="869"/>
      <c r="R76" s="869"/>
      <c r="S76" s="869"/>
      <c r="T76" s="869"/>
      <c r="U76" s="870"/>
      <c r="V76" s="367"/>
    </row>
    <row r="77" spans="1:22" s="11" customFormat="1" ht="20.100000000000001" customHeight="1">
      <c r="A77" s="23"/>
      <c r="B77" s="795"/>
      <c r="C77" s="797" t="str">
        <f ca="1">IF(OR($A$2=1,ROP!$D$33=1),"",ROP!$B57)</f>
        <v/>
      </c>
      <c r="D77" s="798"/>
      <c r="E77" s="798"/>
      <c r="F77" s="798"/>
      <c r="G77" s="798"/>
      <c r="H77" s="767" t="str">
        <f ca="1">IF(OR($A$2=1,ROP!$D$33=1),"",TEXT(ROP!$C57,"#,##0")&amp;" 元/日")</f>
        <v/>
      </c>
      <c r="I77" s="818"/>
      <c r="J77" s="818"/>
      <c r="K77" s="871"/>
      <c r="L77" s="872"/>
      <c r="M77" s="872"/>
      <c r="N77" s="872"/>
      <c r="O77" s="872"/>
      <c r="P77" s="872"/>
      <c r="Q77" s="872"/>
      <c r="R77" s="872"/>
      <c r="S77" s="872"/>
      <c r="T77" s="872"/>
      <c r="U77" s="873"/>
      <c r="V77" s="367"/>
    </row>
    <row r="78" spans="1:22" s="11" customFormat="1" ht="36" customHeight="1">
      <c r="A78" s="23"/>
      <c r="B78" s="795"/>
      <c r="C78" s="797" t="str">
        <f ca="1">IF(OR($A$2=1,ROP!$D$33=1),"",ROP!$B58)</f>
        <v/>
      </c>
      <c r="D78" s="798"/>
      <c r="E78" s="798"/>
      <c r="F78" s="798"/>
      <c r="G78" s="798"/>
      <c r="H78" s="767" t="str">
        <f ca="1">IF(OR($A$2=1,ROP!$D$33=1),"",TEXT(ROP!$C$58,"#,##0")&amp;" 元/次")</f>
        <v/>
      </c>
      <c r="I78" s="818"/>
      <c r="J78" s="818"/>
      <c r="K78" s="769" t="str">
        <f ca="1">IF(OR($A$2=1,ROP!$D$33=1),"","住院手術費用保險金限額，是以保單條款附表之「每次手術費用保險金限額」*「手術名稱及費用表」所載百分率(1%~400%）之數額為限。")</f>
        <v/>
      </c>
      <c r="L78" s="800"/>
      <c r="M78" s="800"/>
      <c r="N78" s="800"/>
      <c r="O78" s="800"/>
      <c r="P78" s="800"/>
      <c r="Q78" s="800"/>
      <c r="R78" s="800"/>
      <c r="S78" s="800"/>
      <c r="T78" s="800"/>
      <c r="U78" s="800"/>
      <c r="V78" s="367"/>
    </row>
    <row r="79" spans="1:22" s="11" customFormat="1" ht="21.95" customHeight="1">
      <c r="A79" s="23"/>
      <c r="B79" s="795"/>
      <c r="C79" s="797" t="str">
        <f ca="1">IF(OR($A$2=1,ROP!$D$33=1),"",ROP!$B59)</f>
        <v/>
      </c>
      <c r="D79" s="798"/>
      <c r="E79" s="798"/>
      <c r="F79" s="798"/>
      <c r="G79" s="798"/>
      <c r="H79" s="767" t="str">
        <f ca="1">IF(OR($A$2=1,ROP!$D$33=1),"",TEXT(ROP!$C$59,"#,##0")&amp;" 元/次")</f>
        <v/>
      </c>
      <c r="I79" s="818"/>
      <c r="J79" s="818"/>
      <c r="K79" s="860" t="str">
        <f ca="1">IF(OR($A$2=1,ROP!$D$33=1),"","若被保險人於同一次住院超過三十日者，其住院醫療費用保險金限額改以「住院醫療費用保險金限額」除以三十，再乘以實際住院天數計算以增加保障，但最高以「每次住院醫療費用保險金總限額」為限。")</f>
        <v/>
      </c>
      <c r="L79" s="869"/>
      <c r="M79" s="869"/>
      <c r="N79" s="869"/>
      <c r="O79" s="869"/>
      <c r="P79" s="869"/>
      <c r="Q79" s="869"/>
      <c r="R79" s="869"/>
      <c r="S79" s="869"/>
      <c r="T79" s="869"/>
      <c r="U79" s="870"/>
      <c r="V79" s="367"/>
    </row>
    <row r="80" spans="1:22" s="11" customFormat="1" ht="27" customHeight="1">
      <c r="A80" s="23"/>
      <c r="B80" s="796"/>
      <c r="C80" s="874" t="str">
        <f ca="1">IF(OR($A$2=1,ROP!$D$33=1),"",ROP!$B60)</f>
        <v/>
      </c>
      <c r="D80" s="877"/>
      <c r="E80" s="877"/>
      <c r="F80" s="877"/>
      <c r="G80" s="878"/>
      <c r="H80" s="767" t="str">
        <f ca="1">IF(OR($A$2=1,ROP!$D$33=1),"",TEXT(ROP!$C$60,"#,##0")&amp;" 元")</f>
        <v/>
      </c>
      <c r="I80" s="818"/>
      <c r="J80" s="818"/>
      <c r="K80" s="871"/>
      <c r="L80" s="872"/>
      <c r="M80" s="872"/>
      <c r="N80" s="872"/>
      <c r="O80" s="872"/>
      <c r="P80" s="872"/>
      <c r="Q80" s="872"/>
      <c r="R80" s="872"/>
      <c r="S80" s="872"/>
      <c r="T80" s="872"/>
      <c r="U80" s="873"/>
      <c r="V80" s="367"/>
    </row>
    <row r="81" spans="1:22" s="11" customFormat="1" ht="36" customHeight="1">
      <c r="A81" s="23"/>
      <c r="B81" s="874" t="str">
        <f ca="1">IF(OR($A$2=1,ROP!$D$33=1),"",ROP!$B61)</f>
        <v/>
      </c>
      <c r="C81" s="875"/>
      <c r="D81" s="875"/>
      <c r="E81" s="875"/>
      <c r="F81" s="875"/>
      <c r="G81" s="876"/>
      <c r="H81" s="767" t="str">
        <f ca="1">IF(OR($A$2=1,ROP!$D$33=1),"",TEXT(ROP!$C$61,"#,##0")&amp;" 元/次")</f>
        <v/>
      </c>
      <c r="I81" s="818"/>
      <c r="J81" s="818"/>
      <c r="K81" s="769" t="str">
        <f ca="1">IF(OR($A$2=1,ROP!$D$33=1),"","門診手術費用保險金限額，是以保單條款附表之「每次手術費用保險金限額」*「手術名稱及費用表」所載百分率(1%~400%）之數額為限。")</f>
        <v/>
      </c>
      <c r="L81" s="800"/>
      <c r="M81" s="800"/>
      <c r="N81" s="800"/>
      <c r="O81" s="800"/>
      <c r="P81" s="800"/>
      <c r="Q81" s="800"/>
      <c r="R81" s="800"/>
      <c r="S81" s="800"/>
      <c r="T81" s="800"/>
      <c r="U81" s="800"/>
      <c r="V81" s="367"/>
    </row>
    <row r="82" spans="1:22" s="11" customFormat="1" ht="32.1" customHeight="1">
      <c r="A82" s="23"/>
      <c r="B82" s="794" t="str">
        <f ca="1">IF(OR($A$2=1,ROP!$D$33=1),"","住院日額")</f>
        <v/>
      </c>
      <c r="C82" s="797" t="str">
        <f ca="1">IF(OR($A$2=1,ROP!$D$33=1),"",ROP!$B62)</f>
        <v/>
      </c>
      <c r="D82" s="798"/>
      <c r="E82" s="798"/>
      <c r="F82" s="798"/>
      <c r="G82" s="798"/>
      <c r="H82" s="767" t="str">
        <f ca="1">IF(OR($A$2=1,ROP!$D$33=1),"",TEXT(ROP!$C$62,"#,##0")&amp;" 元/日")</f>
        <v/>
      </c>
      <c r="I82" s="818"/>
      <c r="J82" s="818"/>
      <c r="K82" s="860" t="str">
        <f ca="1">IF(OR($A$2=1,ROP!$D$33=1),"","被保險人係住進加護病房診療者，在加護病房住院診療期間，「住院醫療日額保險金」提高為原金額的1.5倍。但提高給付之日數最多以七日為限。
同一次住院之「住院醫療日額保險金」之實際給付住院日數，最
高以三百六十五日為限。")</f>
        <v/>
      </c>
      <c r="L82" s="869"/>
      <c r="M82" s="869"/>
      <c r="N82" s="869"/>
      <c r="O82" s="869"/>
      <c r="P82" s="869"/>
      <c r="Q82" s="869"/>
      <c r="R82" s="869"/>
      <c r="S82" s="869"/>
      <c r="T82" s="869"/>
      <c r="U82" s="870"/>
      <c r="V82" s="367"/>
    </row>
    <row r="83" spans="1:22" s="11" customFormat="1" ht="32.1" customHeight="1">
      <c r="A83" s="23"/>
      <c r="B83" s="796"/>
      <c r="C83" s="797" t="str">
        <f ca="1">IF(OR($A$2=1,ROP!$D$33=1),"",ROP!$B63)</f>
        <v/>
      </c>
      <c r="D83" s="798"/>
      <c r="E83" s="798"/>
      <c r="F83" s="798"/>
      <c r="G83" s="798"/>
      <c r="H83" s="767" t="str">
        <f ca="1">IF(OR($A$2=1,ROP!$D$33=1),"",TEXT(ROP!$C$63,"#,##0")&amp;" 元/日")</f>
        <v/>
      </c>
      <c r="I83" s="818"/>
      <c r="J83" s="818"/>
      <c r="K83" s="871"/>
      <c r="L83" s="872"/>
      <c r="M83" s="872"/>
      <c r="N83" s="872"/>
      <c r="O83" s="872"/>
      <c r="P83" s="872"/>
      <c r="Q83" s="872"/>
      <c r="R83" s="872"/>
      <c r="S83" s="872"/>
      <c r="T83" s="872"/>
      <c r="U83" s="873"/>
      <c r="V83" s="367"/>
    </row>
    <row r="84" spans="1:22" s="11" customFormat="1" ht="15" customHeight="1">
      <c r="A84" s="23"/>
      <c r="B84" s="797" t="str">
        <f ca="1">IF(OR($A$2=1,ROP!$D$33=1),"",ROP!$B64)</f>
        <v/>
      </c>
      <c r="C84" s="797"/>
      <c r="D84" s="797"/>
      <c r="E84" s="797"/>
      <c r="F84" s="797"/>
      <c r="G84" s="797"/>
      <c r="H84" s="797"/>
      <c r="I84" s="797"/>
      <c r="J84" s="797"/>
      <c r="K84" s="797"/>
      <c r="L84" s="797"/>
      <c r="M84" s="843"/>
      <c r="N84" s="843"/>
      <c r="O84" s="843"/>
      <c r="P84" s="843"/>
      <c r="Q84" s="843"/>
      <c r="R84" s="843"/>
      <c r="S84" s="843"/>
      <c r="T84" s="843"/>
      <c r="U84" s="843"/>
      <c r="V84" s="367"/>
    </row>
    <row r="85" spans="1:22" s="11" customFormat="1" ht="12" customHeight="1">
      <c r="A85" s="23"/>
      <c r="B85" s="797" t="str">
        <f ca="1">IF(OR($A$2=1,ROP!$D$33=1),"",ROP!$B65)</f>
        <v/>
      </c>
      <c r="C85" s="843"/>
      <c r="D85" s="843"/>
      <c r="E85" s="843"/>
      <c r="F85" s="843"/>
      <c r="G85" s="843"/>
      <c r="H85" s="767" t="str">
        <f ca="1">IF(OR($A$2=1,ROP!$D$33=1),"",TEXT(ROP!$C$65,"#,##0")&amp;" 元")</f>
        <v/>
      </c>
      <c r="I85" s="768"/>
      <c r="J85" s="768"/>
      <c r="K85" s="769" t="str">
        <f ca="1">IF(OR($A$2=1,ROP!$D$33=1),"","同一部位器官接受移植之給付以一次為限。")</f>
        <v/>
      </c>
      <c r="L85" s="799"/>
      <c r="M85" s="799"/>
      <c r="N85" s="799"/>
      <c r="O85" s="799"/>
      <c r="P85" s="799"/>
      <c r="Q85" s="799"/>
      <c r="R85" s="799"/>
      <c r="S85" s="799"/>
      <c r="T85" s="799"/>
      <c r="U85" s="799"/>
      <c r="V85" s="367"/>
    </row>
    <row r="86" spans="1:22" s="11" customFormat="1" ht="12" customHeight="1">
      <c r="A86" s="23"/>
      <c r="B86" s="797" t="str">
        <f ca="1">IF(OR($A$2=1,ROP!$D$33=1),"",ROP!$B66)</f>
        <v/>
      </c>
      <c r="C86" s="843"/>
      <c r="D86" s="843"/>
      <c r="E86" s="843"/>
      <c r="F86" s="843"/>
      <c r="G86" s="843"/>
      <c r="H86" s="767" t="str">
        <f ca="1">IF(OR($A$2=1,ROP!$D$33=1),"",TEXT(ROP!$C$66,"#,##0")&amp;" 元")</f>
        <v/>
      </c>
      <c r="I86" s="768"/>
      <c r="J86" s="768"/>
      <c r="K86" s="799"/>
      <c r="L86" s="799"/>
      <c r="M86" s="799"/>
      <c r="N86" s="799"/>
      <c r="O86" s="799"/>
      <c r="P86" s="799"/>
      <c r="Q86" s="799"/>
      <c r="R86" s="799"/>
      <c r="S86" s="799"/>
      <c r="T86" s="799"/>
      <c r="U86" s="799"/>
      <c r="V86" s="367"/>
    </row>
    <row r="87" spans="1:22" s="11" customFormat="1" ht="24.95" customHeight="1">
      <c r="A87" s="23"/>
      <c r="B87" s="797" t="str">
        <f ca="1">IF(OR($A$2=1,ROP!$D$33=1),"","無理賠回饋保險金")</f>
        <v/>
      </c>
      <c r="C87" s="843"/>
      <c r="D87" s="843"/>
      <c r="E87" s="843"/>
      <c r="F87" s="843"/>
      <c r="G87" s="843"/>
      <c r="H87" s="793" t="str">
        <f ca="1">IF(OR($A$2=1,ROP!$D$33=1),"","被保險人於本附約有效期間內，未曾發生保單條款約定之任何保險事故且保險期間屆滿仍生存者，本公司按年繳保險費總和的百分之十計算給付無理賠回饋保險金。")</f>
        <v/>
      </c>
      <c r="I87" s="770"/>
      <c r="J87" s="770"/>
      <c r="K87" s="770"/>
      <c r="L87" s="770"/>
      <c r="M87" s="770"/>
      <c r="N87" s="770"/>
      <c r="O87" s="770"/>
      <c r="P87" s="770"/>
      <c r="Q87" s="770"/>
      <c r="R87" s="770"/>
      <c r="S87" s="770"/>
      <c r="T87" s="770"/>
      <c r="U87" s="770"/>
      <c r="V87" s="367"/>
    </row>
    <row r="88" spans="1:22" s="11" customFormat="1" ht="12" customHeight="1">
      <c r="A88" s="23"/>
      <c r="B88" s="242" t="str">
        <f ca="1">IF(OR($A$2=1,ROP!$D$33=1),"","‧上表實支實付給付內容為被保險人以全民健康保險身分接受診療時之金額，已獲得全民健康保險給付的部分，本公司")</f>
        <v/>
      </c>
      <c r="L88" s="233"/>
      <c r="M88" s="233"/>
      <c r="N88" s="233"/>
      <c r="O88" s="233"/>
      <c r="P88" s="233"/>
      <c r="Q88" s="347"/>
      <c r="R88" s="347"/>
      <c r="S88" s="347"/>
      <c r="T88" s="347"/>
      <c r="U88" s="347"/>
      <c r="V88" s="367"/>
    </row>
    <row r="89" spans="1:22" s="11" customFormat="1" ht="12" customHeight="1">
      <c r="A89" s="23"/>
      <c r="B89" s="242" t="str">
        <f ca="1">IF(OR($A$2=1,ROP!$D$33=1),"","  不予給付保險金。")</f>
        <v/>
      </c>
      <c r="L89" s="233"/>
      <c r="M89" s="233"/>
      <c r="N89" s="233"/>
      <c r="O89" s="233"/>
      <c r="P89" s="233"/>
      <c r="Q89" s="347"/>
      <c r="R89" s="347"/>
      <c r="S89" s="347"/>
      <c r="T89" s="347"/>
      <c r="U89" s="347"/>
      <c r="V89" s="367"/>
    </row>
    <row r="90" spans="1:22" s="11" customFormat="1" ht="12" customHeight="1">
      <c r="A90" s="23"/>
      <c r="B90" s="242" t="str">
        <f ca="1">IF(OR($A$2=1,ROP!$D$33=1),"","‧住院醫療實支實付與住院日額，二者擇一給付。")</f>
        <v/>
      </c>
      <c r="L90" s="233"/>
      <c r="M90" s="233"/>
      <c r="N90" s="233"/>
      <c r="O90" s="233"/>
      <c r="P90" s="233"/>
      <c r="Q90" s="347"/>
      <c r="R90" s="347"/>
      <c r="S90" s="347"/>
      <c r="T90" s="347"/>
      <c r="U90" s="347"/>
      <c r="V90" s="367"/>
    </row>
    <row r="91" spans="1:22" s="11" customFormat="1" ht="12" customHeight="1">
      <c r="A91" s="23"/>
      <c r="B91" s="242" t="str">
        <f ca="1">IF(OR($A$2=1,ROP!$D$33=1),"","‧被保險人係住進慢性病房或於慢性病醫院診療，或因精神疾病住院診療者，不論是否為同一疾病或同一次住院期間，")</f>
        <v/>
      </c>
      <c r="L91" s="233"/>
      <c r="M91" s="233"/>
      <c r="N91" s="233"/>
      <c r="O91" s="233"/>
      <c r="P91" s="233"/>
      <c r="Q91" s="347"/>
      <c r="R91" s="347"/>
      <c r="S91" s="347"/>
      <c r="T91" s="347"/>
      <c r="U91" s="347"/>
      <c r="V91" s="367"/>
    </row>
    <row r="92" spans="1:22" s="11" customFormat="1" ht="12" customHeight="1">
      <c r="A92" s="23"/>
      <c r="B92" s="242" t="str">
        <f ca="1">IF(OR($A$2=1,ROP!$D$33=1),"","  每一保單年度「住院醫療日額保險金」之實際給付住院日數，最高僅以三十二日為限。")</f>
        <v/>
      </c>
      <c r="L92" s="233"/>
      <c r="M92" s="233"/>
      <c r="N92" s="233"/>
      <c r="O92" s="233"/>
      <c r="P92" s="233"/>
      <c r="Q92" s="347"/>
      <c r="R92" s="347"/>
      <c r="S92" s="347"/>
      <c r="T92" s="347"/>
      <c r="U92" s="347"/>
      <c r="V92" s="367"/>
    </row>
    <row r="93" spans="1:22" s="11" customFormat="1" ht="5.0999999999999996" customHeight="1">
      <c r="A93" s="23"/>
      <c r="L93" s="233"/>
      <c r="M93" s="233"/>
      <c r="N93" s="233"/>
      <c r="O93" s="233"/>
      <c r="P93" s="233"/>
      <c r="Q93" s="347"/>
      <c r="R93" s="347"/>
      <c r="S93" s="347"/>
      <c r="T93" s="347"/>
      <c r="U93" s="347"/>
      <c r="V93" s="367"/>
    </row>
    <row r="94" spans="1:22" s="11" customFormat="1" ht="11.85" hidden="1" customHeight="1">
      <c r="A94" s="23">
        <f ca="1">ROP!$E$33</f>
        <v>1</v>
      </c>
      <c r="B94" s="570" t="str">
        <f ca="1">IF(OR($A$2=1,ROP!$E$33=1),"","附約："&amp;ROP!$B$18&amp;"("&amp;ROP!$D$18&amp;")")</f>
        <v/>
      </c>
      <c r="C94" s="571"/>
      <c r="D94" s="572"/>
      <c r="E94" s="572"/>
      <c r="F94" s="572"/>
      <c r="G94" s="572"/>
      <c r="H94" s="572"/>
      <c r="I94" s="572"/>
      <c r="J94" s="573"/>
      <c r="K94" s="573"/>
      <c r="L94" s="574"/>
      <c r="M94" s="574"/>
      <c r="N94" s="572"/>
      <c r="O94" s="572"/>
      <c r="P94" s="156"/>
      <c r="Q94" s="52"/>
      <c r="R94" s="575"/>
      <c r="S94" s="576"/>
      <c r="T94" s="577"/>
      <c r="U94" s="578"/>
      <c r="V94" s="367"/>
    </row>
    <row r="95" spans="1:22" s="11" customFormat="1" ht="3" hidden="1" customHeight="1">
      <c r="A95" s="23"/>
      <c r="B95" s="579"/>
      <c r="C95" s="580"/>
      <c r="D95" s="564"/>
      <c r="E95" s="564"/>
      <c r="F95" s="564"/>
      <c r="G95" s="564"/>
      <c r="H95" s="564"/>
      <c r="I95" s="564"/>
      <c r="J95" s="564"/>
      <c r="K95" s="564"/>
      <c r="L95" s="564"/>
      <c r="M95" s="564"/>
      <c r="N95" s="564"/>
      <c r="O95" s="564"/>
      <c r="P95" s="564"/>
      <c r="Q95" s="581"/>
      <c r="R95" s="581"/>
      <c r="S95" s="581"/>
      <c r="T95" s="581"/>
      <c r="U95" s="581"/>
      <c r="V95" s="367"/>
    </row>
    <row r="96" spans="1:22" s="11" customFormat="1" ht="12" hidden="1" customHeight="1">
      <c r="A96" s="23"/>
      <c r="B96" s="837" t="str">
        <f ca="1">IF(OR($A$2=1,ROP!$E$33=1),"","給        付        內        容")</f>
        <v/>
      </c>
      <c r="C96" s="838"/>
      <c r="D96" s="838"/>
      <c r="E96" s="838"/>
      <c r="F96" s="838"/>
      <c r="G96" s="838"/>
      <c r="H96" s="838"/>
      <c r="I96" s="838"/>
      <c r="J96" s="839"/>
      <c r="K96" s="783" t="str">
        <f ca="1">IF(OR($A$2=1,ROP!$E$33=1),"","說                           明")</f>
        <v/>
      </c>
      <c r="L96" s="803"/>
      <c r="M96" s="803"/>
      <c r="N96" s="803"/>
      <c r="O96" s="803"/>
      <c r="P96" s="803"/>
      <c r="Q96" s="803"/>
      <c r="R96" s="803"/>
      <c r="S96" s="803"/>
      <c r="T96" s="803"/>
      <c r="U96" s="803"/>
      <c r="V96" s="367"/>
    </row>
    <row r="97" spans="1:22" s="11" customFormat="1" ht="51.75" hidden="1" customHeight="1">
      <c r="A97" s="23"/>
      <c r="B97" s="797" t="str">
        <f ca="1">IF(OR($A$2=1,ROP!$E$33=1),"",ROP!$B69)</f>
        <v/>
      </c>
      <c r="C97" s="843"/>
      <c r="D97" s="843"/>
      <c r="E97" s="843"/>
      <c r="F97" s="843"/>
      <c r="G97" s="843"/>
      <c r="H97" s="767" t="str">
        <f ca="1">IF(OR($A$2=1,ROP!$E$33=1),"",TEXT(ROP!$C$69,"#,##0")&amp;" 元/日")</f>
        <v/>
      </c>
      <c r="I97" s="768"/>
      <c r="J97" s="768"/>
      <c r="K97" s="769" t="str">
        <f ca="1">IF(OR($A$2=1,ROP!$E$33=1),"","被保險人同一保單年度同一次住院之「住院醫療保險金」之實際給付住院日數，最高以九十日為限。但被保險人因精神疾病住院，不論是否為同一疾病或同一次住院期間，每一保單年度之「住院醫療保險金」之實際給付住院日數，最高僅以三十二日為限。")</f>
        <v/>
      </c>
      <c r="L97" s="800"/>
      <c r="M97" s="800"/>
      <c r="N97" s="800"/>
      <c r="O97" s="800"/>
      <c r="P97" s="800"/>
      <c r="Q97" s="800"/>
      <c r="R97" s="800"/>
      <c r="S97" s="800"/>
      <c r="T97" s="800"/>
      <c r="U97" s="800"/>
      <c r="V97" s="367"/>
    </row>
    <row r="98" spans="1:22" s="11" customFormat="1" ht="12" hidden="1" customHeight="1">
      <c r="A98" s="23"/>
      <c r="B98" s="797" t="str">
        <f ca="1">IF(OR($A$2=1,ROP!$E$33=1),"",ROP!$B70)</f>
        <v/>
      </c>
      <c r="C98" s="843"/>
      <c r="D98" s="843"/>
      <c r="E98" s="843"/>
      <c r="F98" s="843"/>
      <c r="G98" s="843"/>
      <c r="H98" s="767" t="str">
        <f ca="1">IF(OR($A$2=1,ROP!$E$33=1),"",TEXT(ROP!$C$70,"#,##0")&amp;" 元/日")</f>
        <v/>
      </c>
      <c r="I98" s="768"/>
      <c r="J98" s="768"/>
      <c r="K98" s="769" t="str">
        <f ca="1">IF(OR($A$2=1,ROP!$E$33=1),"","被保險人同一保單年度同一次住院最高給付日數以九十日為限。")</f>
        <v/>
      </c>
      <c r="L98" s="800"/>
      <c r="M98" s="800"/>
      <c r="N98" s="800"/>
      <c r="O98" s="800"/>
      <c r="P98" s="800"/>
      <c r="Q98" s="800"/>
      <c r="R98" s="800"/>
      <c r="S98" s="800"/>
      <c r="T98" s="800"/>
      <c r="U98" s="800"/>
      <c r="V98" s="367"/>
    </row>
    <row r="99" spans="1:22" s="11" customFormat="1" ht="12" hidden="1" customHeight="1">
      <c r="A99" s="23"/>
      <c r="B99" s="797" t="str">
        <f ca="1">IF(OR($A$2=1,ROP!$E$33=1),"",ROP!$B71)</f>
        <v/>
      </c>
      <c r="C99" s="843"/>
      <c r="D99" s="843"/>
      <c r="E99" s="843"/>
      <c r="F99" s="843"/>
      <c r="G99" s="843"/>
      <c r="H99" s="767" t="str">
        <f ca="1">IF(OR($A$2=1,ROP!$E$33=1),"",TEXT(ROP!$C$71,"#,##0")&amp;" 元/日")</f>
        <v/>
      </c>
      <c r="I99" s="768"/>
      <c r="J99" s="768"/>
      <c r="K99" s="769" t="str">
        <f ca="1">IF(OR($A$2=1,ROP!$E$33=1),"","被保險人同一保單年度同一次住院最高給付日數以九十日為限。")</f>
        <v/>
      </c>
      <c r="L99" s="800"/>
      <c r="M99" s="800"/>
      <c r="N99" s="800"/>
      <c r="O99" s="800"/>
      <c r="P99" s="800"/>
      <c r="Q99" s="800"/>
      <c r="R99" s="800"/>
      <c r="S99" s="800"/>
      <c r="T99" s="800"/>
      <c r="U99" s="800"/>
      <c r="V99" s="367"/>
    </row>
    <row r="100" spans="1:22" s="11" customFormat="1" ht="12" hidden="1" customHeight="1">
      <c r="A100" s="23"/>
      <c r="B100" s="797" t="str">
        <f ca="1">IF(OR($A$2=1,ROP!$E$33=1),"",ROP!$B72)</f>
        <v/>
      </c>
      <c r="C100" s="843"/>
      <c r="D100" s="843"/>
      <c r="E100" s="843"/>
      <c r="F100" s="843"/>
      <c r="G100" s="843"/>
      <c r="H100" s="767" t="str">
        <f ca="1">IF(OR($A$2=1,ROP!$E$33=1),"",TEXT(ROP!$C$72,"#,##0")&amp;" 元/日")</f>
        <v/>
      </c>
      <c r="I100" s="768"/>
      <c r="J100" s="768"/>
      <c r="K100" s="769" t="str">
        <f ca="1">IF(OR($A$2=1,ROP!$E$33=1),"","被保險人同一保單年度同一次住院最高給付日數以九十日為限。")</f>
        <v/>
      </c>
      <c r="L100" s="800"/>
      <c r="M100" s="800"/>
      <c r="N100" s="800"/>
      <c r="O100" s="800"/>
      <c r="P100" s="800"/>
      <c r="Q100" s="800"/>
      <c r="R100" s="800"/>
      <c r="S100" s="800"/>
      <c r="T100" s="800"/>
      <c r="U100" s="800"/>
      <c r="V100" s="367"/>
    </row>
    <row r="101" spans="1:22" s="11" customFormat="1" ht="12" hidden="1" customHeight="1">
      <c r="A101" s="23"/>
      <c r="B101" s="797" t="str">
        <f ca="1">IF(OR($A$2=1,ROP!$E$33=1),"",ROP!$B73)</f>
        <v/>
      </c>
      <c r="C101" s="843"/>
      <c r="D101" s="843"/>
      <c r="E101" s="843"/>
      <c r="F101" s="843"/>
      <c r="G101" s="843"/>
      <c r="H101" s="767" t="str">
        <f ca="1">IF(OR($A$2=1,ROP!$E$33=1),"",TEXT(ROP!$C$73,"#,##0")&amp;" 元/日")</f>
        <v/>
      </c>
      <c r="I101" s="768"/>
      <c r="J101" s="768"/>
      <c r="K101" s="769" t="str">
        <f ca="1">IF(OR($A$2=1,ROP!$E$33=1),"","被保險人同一保單年度同一次住院最高給付日數以九十日為限。")</f>
        <v/>
      </c>
      <c r="L101" s="800"/>
      <c r="M101" s="800"/>
      <c r="N101" s="800"/>
      <c r="O101" s="800"/>
      <c r="P101" s="800"/>
      <c r="Q101" s="800"/>
      <c r="R101" s="800"/>
      <c r="S101" s="800"/>
      <c r="T101" s="800"/>
      <c r="U101" s="800"/>
      <c r="V101" s="367"/>
    </row>
    <row r="102" spans="1:22" s="11" customFormat="1" ht="24.95" hidden="1" customHeight="1">
      <c r="A102" s="23"/>
      <c r="B102" s="797" t="str">
        <f ca="1">IF(OR($A$2=1,ROP!$E$33=1),"","無理賠回饋保險金")</f>
        <v/>
      </c>
      <c r="C102" s="843"/>
      <c r="D102" s="843"/>
      <c r="E102" s="843"/>
      <c r="F102" s="843"/>
      <c r="G102" s="843"/>
      <c r="H102" s="793" t="str">
        <f ca="1">IF(OR($A$2=1,ROP!$E$33=1),"","被保險人於本附約有效期間內，未曾發生保單條款約定之保險事故且保險期間屆滿仍生存者，本公司按年繳保險費總和的百分之十計算給付無理賠回饋保險金。")</f>
        <v/>
      </c>
      <c r="I102" s="831"/>
      <c r="J102" s="831"/>
      <c r="K102" s="831"/>
      <c r="L102" s="831"/>
      <c r="M102" s="831"/>
      <c r="N102" s="831"/>
      <c r="O102" s="831"/>
      <c r="P102" s="831"/>
      <c r="Q102" s="831"/>
      <c r="R102" s="831"/>
      <c r="S102" s="831"/>
      <c r="T102" s="831"/>
      <c r="U102" s="831"/>
      <c r="V102" s="367"/>
    </row>
    <row r="103" spans="1:22" s="11" customFormat="1" ht="5.0999999999999996" customHeight="1">
      <c r="A103" s="23"/>
      <c r="B103" s="242"/>
      <c r="C103" s="346"/>
      <c r="D103" s="233"/>
      <c r="E103" s="233"/>
      <c r="F103" s="233"/>
      <c r="G103" s="233"/>
      <c r="H103" s="233"/>
      <c r="I103" s="233"/>
      <c r="J103" s="233"/>
      <c r="K103" s="233"/>
      <c r="L103" s="233"/>
      <c r="M103" s="233"/>
      <c r="N103" s="233"/>
      <c r="O103" s="233"/>
      <c r="P103" s="233"/>
      <c r="Q103" s="347"/>
      <c r="R103" s="347"/>
      <c r="S103" s="347"/>
      <c r="T103" s="347"/>
      <c r="U103" s="347"/>
      <c r="V103" s="367"/>
    </row>
    <row r="104" spans="1:22" s="11" customFormat="1" ht="11.85" customHeight="1">
      <c r="A104" s="23">
        <f ca="1">ROP!$G$33</f>
        <v>1</v>
      </c>
      <c r="B104" s="570" t="str">
        <f ca="1">IF(OR($A$2=1,ROP!$G$33=1),"","附約："&amp;ROP!$B$20&amp;"("&amp;ROP!$D$20&amp;")")</f>
        <v/>
      </c>
      <c r="C104" s="344"/>
      <c r="D104" s="344"/>
      <c r="E104" s="344"/>
      <c r="F104" s="344"/>
      <c r="G104" s="344"/>
      <c r="H104" s="376"/>
      <c r="I104" s="376"/>
      <c r="J104" s="377"/>
      <c r="K104" s="377"/>
      <c r="L104" s="377"/>
      <c r="M104" s="328"/>
      <c r="N104" s="328"/>
      <c r="O104" s="328"/>
      <c r="P104" s="328"/>
      <c r="Q104" s="328"/>
      <c r="R104" s="328"/>
      <c r="S104" s="328"/>
      <c r="T104" s="328"/>
      <c r="U104" s="328"/>
      <c r="V104" s="367"/>
    </row>
    <row r="105" spans="1:22" s="11" customFormat="1" ht="3" customHeight="1">
      <c r="A105" s="23"/>
      <c r="B105" s="345"/>
      <c r="C105" s="346"/>
      <c r="D105" s="233"/>
      <c r="E105" s="233"/>
      <c r="F105" s="233"/>
      <c r="G105" s="233"/>
      <c r="H105" s="233"/>
      <c r="I105" s="233"/>
      <c r="J105" s="233"/>
      <c r="K105" s="233"/>
      <c r="L105" s="233"/>
      <c r="M105" s="233"/>
      <c r="N105" s="233"/>
      <c r="O105" s="233"/>
      <c r="P105" s="233"/>
      <c r="Q105" s="347"/>
      <c r="R105" s="347"/>
      <c r="S105" s="347"/>
      <c r="T105" s="347"/>
      <c r="U105" s="347"/>
      <c r="V105" s="367"/>
    </row>
    <row r="106" spans="1:22" s="11" customFormat="1" ht="12" customHeight="1">
      <c r="A106" s="23"/>
      <c r="B106" s="802" t="str">
        <f ca="1">IF(OR($A$2=1,ROP!$G$33=1),"","給        付        內        容")</f>
        <v/>
      </c>
      <c r="C106" s="803"/>
      <c r="D106" s="803"/>
      <c r="E106" s="803"/>
      <c r="F106" s="803"/>
      <c r="G106" s="803"/>
      <c r="H106" s="803"/>
      <c r="I106" s="803"/>
      <c r="J106" s="803"/>
      <c r="K106" s="783" t="str">
        <f ca="1">IF(OR($A$2=1,ROP!$G$33=1),"","說                           明")</f>
        <v/>
      </c>
      <c r="L106" s="803"/>
      <c r="M106" s="803"/>
      <c r="N106" s="803"/>
      <c r="O106" s="803"/>
      <c r="P106" s="803"/>
      <c r="Q106" s="803"/>
      <c r="R106" s="803"/>
      <c r="S106" s="803"/>
      <c r="T106" s="803"/>
      <c r="U106" s="803"/>
      <c r="V106" s="367"/>
    </row>
    <row r="107" spans="1:22" s="11" customFormat="1" ht="12" customHeight="1">
      <c r="A107" s="23"/>
      <c r="B107" s="797" t="str">
        <f ca="1">IF(OR($A$2=1,ROP!$G$33=1),"",ROP!$B100)</f>
        <v/>
      </c>
      <c r="C107" s="843"/>
      <c r="D107" s="843"/>
      <c r="E107" s="843"/>
      <c r="F107" s="843"/>
      <c r="G107" s="843"/>
      <c r="H107" s="767" t="str">
        <f ca="1">IF(OR($A$2=1,ROP!$G$33=1),"",TEXT(ROP!$C$100,"#,##0")&amp;" 元/日")</f>
        <v/>
      </c>
      <c r="I107" s="768"/>
      <c r="J107" s="768"/>
      <c r="K107" s="769" t="str">
        <f ca="1">IF(OR($A$2=1,ROP!$G$33=1),"","出院後，又於同一日住院治療時，該日不得重覆計入住院日數。")</f>
        <v/>
      </c>
      <c r="L107" s="799"/>
      <c r="M107" s="799"/>
      <c r="N107" s="799"/>
      <c r="O107" s="799"/>
      <c r="P107" s="799"/>
      <c r="Q107" s="799"/>
      <c r="R107" s="799"/>
      <c r="S107" s="799"/>
      <c r="T107" s="799"/>
      <c r="U107" s="799"/>
      <c r="V107" s="367"/>
    </row>
    <row r="108" spans="1:22" s="11" customFormat="1" ht="27.95" customHeight="1">
      <c r="A108" s="23"/>
      <c r="B108" s="797" t="str">
        <f ca="1">IF(OR($A$2=1,ROP!$G$33=1),"",ROP!$B101)</f>
        <v/>
      </c>
      <c r="C108" s="843"/>
      <c r="D108" s="843"/>
      <c r="E108" s="843"/>
      <c r="F108" s="843"/>
      <c r="G108" s="843"/>
      <c r="H108" s="767" t="str">
        <f ca="1">IF(OR($A$2=1,ROP!$G$33=1),"",TEXT(ROP!$C$101,"#,##0")&amp;" 元/日")</f>
        <v/>
      </c>
      <c r="I108" s="768"/>
      <c r="J108" s="768"/>
      <c r="K108" s="769" t="str">
        <f ca="1">IF(OR($A$2=1,ROP!$G$33=1),"","不論其每日門診次數為一次或多次，均以一日計。
同一保單年度內，累計最高給付日數以一百二十日為限。")</f>
        <v/>
      </c>
      <c r="L108" s="799"/>
      <c r="M108" s="799"/>
      <c r="N108" s="799"/>
      <c r="O108" s="799"/>
      <c r="P108" s="799"/>
      <c r="Q108" s="799"/>
      <c r="R108" s="799"/>
      <c r="S108" s="799"/>
      <c r="T108" s="799"/>
      <c r="U108" s="799"/>
      <c r="V108" s="367"/>
    </row>
    <row r="109" spans="1:22" s="11" customFormat="1" ht="15" customHeight="1">
      <c r="A109" s="23"/>
      <c r="B109" s="797" t="str">
        <f ca="1">IF(OR($A$2=1,ROP!$G$33=1),"",ROP!$B102)</f>
        <v/>
      </c>
      <c r="C109" s="843"/>
      <c r="D109" s="843"/>
      <c r="E109" s="843"/>
      <c r="F109" s="843"/>
      <c r="G109" s="843"/>
      <c r="H109" s="767" t="str">
        <f ca="1">IF(OR($A$2=1,ROP!$G$33=1),"",TEXT(ROP!$C$102,"#,##0")&amp;" 元/次")</f>
        <v/>
      </c>
      <c r="I109" s="768"/>
      <c r="J109" s="768"/>
      <c r="K109" s="769"/>
      <c r="L109" s="769"/>
      <c r="M109" s="769"/>
      <c r="N109" s="769"/>
      <c r="O109" s="769"/>
      <c r="P109" s="769"/>
      <c r="Q109" s="769"/>
      <c r="R109" s="769"/>
      <c r="S109" s="769"/>
      <c r="T109" s="769"/>
      <c r="U109" s="769"/>
      <c r="V109" s="367"/>
    </row>
    <row r="110" spans="1:22" s="11" customFormat="1" ht="15" customHeight="1">
      <c r="A110" s="23"/>
      <c r="B110" s="797" t="str">
        <f ca="1">IF(OR($A$2=1,ROP!$G$33=1),"",ROP!$B103)</f>
        <v/>
      </c>
      <c r="C110" s="843"/>
      <c r="D110" s="843"/>
      <c r="E110" s="843"/>
      <c r="F110" s="843"/>
      <c r="G110" s="843"/>
      <c r="H110" s="767" t="str">
        <f ca="1">IF(OR($A$2=1,ROP!$G$33=1),"",TEXT(ROP!$C$103,"#,##0")&amp;" 元/日")</f>
        <v/>
      </c>
      <c r="I110" s="768"/>
      <c r="J110" s="768"/>
      <c r="K110" s="769" t="str">
        <f ca="1">IF(OR($A$2=1,ROP!$G$33=1),"","不論其每日治療次數為一次或多次，均以一日計。")</f>
        <v/>
      </c>
      <c r="L110" s="799"/>
      <c r="M110" s="799"/>
      <c r="N110" s="799"/>
      <c r="O110" s="799"/>
      <c r="P110" s="799"/>
      <c r="Q110" s="799"/>
      <c r="R110" s="799"/>
      <c r="S110" s="799"/>
      <c r="T110" s="799"/>
      <c r="U110" s="799"/>
      <c r="V110" s="367"/>
    </row>
    <row r="111" spans="1:22" s="11" customFormat="1" ht="15" customHeight="1">
      <c r="A111" s="23"/>
      <c r="B111" s="797" t="str">
        <f ca="1">IF(OR($A$2=1,ROP!$G$33=1),"",ROP!$B104)</f>
        <v/>
      </c>
      <c r="C111" s="843"/>
      <c r="D111" s="843"/>
      <c r="E111" s="843"/>
      <c r="F111" s="843"/>
      <c r="G111" s="843"/>
      <c r="H111" s="767" t="str">
        <f ca="1">IF(OR($A$2=1,ROP!$G$33=1),"",TEXT(ROP!$C$104,"#,##0")&amp;" 元/日")</f>
        <v/>
      </c>
      <c r="I111" s="768"/>
      <c r="J111" s="768"/>
      <c r="K111" s="769" t="str">
        <f ca="1">IF(OR($A$2=1,ROP!$G$33=1),"","不論其每日治療次數為一次或多次，均以一日計。")</f>
        <v/>
      </c>
      <c r="L111" s="799"/>
      <c r="M111" s="799"/>
      <c r="N111" s="799"/>
      <c r="O111" s="799"/>
      <c r="P111" s="799"/>
      <c r="Q111" s="799"/>
      <c r="R111" s="799"/>
      <c r="S111" s="799"/>
      <c r="T111" s="799"/>
      <c r="U111" s="799"/>
      <c r="V111" s="367"/>
    </row>
    <row r="112" spans="1:22" s="11" customFormat="1" ht="24.95" customHeight="1">
      <c r="A112" s="23"/>
      <c r="B112" s="797" t="str">
        <f ca="1">IF(OR($A$2=1,ROP!$G$33=1),"","無理賠回饋保險金")</f>
        <v/>
      </c>
      <c r="C112" s="797"/>
      <c r="D112" s="797"/>
      <c r="E112" s="797"/>
      <c r="F112" s="797"/>
      <c r="G112" s="797"/>
      <c r="H112" s="793" t="str">
        <f ca="1">IF(OR($A$2=1,ROP!$G$33=1),"","被保險人於本附約有效期間內，未曾發生保單條款約定之保險事故且保險期間屆滿仍生存者，本公司按年繳保險費總和的百分之十計算給付無理賠回饋保險金。")</f>
        <v/>
      </c>
      <c r="I112" s="831"/>
      <c r="J112" s="831"/>
      <c r="K112" s="831"/>
      <c r="L112" s="831"/>
      <c r="M112" s="831"/>
      <c r="N112" s="831"/>
      <c r="O112" s="831"/>
      <c r="P112" s="831"/>
      <c r="Q112" s="831"/>
      <c r="R112" s="831"/>
      <c r="S112" s="831"/>
      <c r="T112" s="831"/>
      <c r="U112" s="831"/>
      <c r="V112" s="367"/>
    </row>
    <row r="113" spans="1:21" ht="4.5" customHeight="1">
      <c r="B113" s="766"/>
      <c r="C113" s="766"/>
      <c r="D113" s="766"/>
      <c r="E113" s="766"/>
      <c r="F113" s="766"/>
      <c r="G113" s="766"/>
      <c r="H113" s="766"/>
      <c r="I113" s="766"/>
      <c r="J113" s="766"/>
      <c r="K113" s="766"/>
      <c r="L113" s="766"/>
      <c r="M113" s="766"/>
      <c r="N113" s="766"/>
      <c r="O113" s="766"/>
      <c r="P113" s="766"/>
      <c r="Q113" s="766"/>
      <c r="R113" s="766"/>
      <c r="S113" s="766"/>
      <c r="T113" s="766"/>
      <c r="U113" s="766"/>
    </row>
    <row r="114" spans="1:21">
      <c r="B114" s="627"/>
      <c r="C114" s="627"/>
      <c r="D114" s="627"/>
      <c r="E114" s="627"/>
      <c r="F114" s="627"/>
      <c r="G114" s="627"/>
      <c r="H114" s="627"/>
      <c r="I114" s="627"/>
      <c r="J114" s="627"/>
      <c r="K114" s="627"/>
      <c r="L114" s="627"/>
      <c r="M114" s="627"/>
      <c r="N114" s="627"/>
      <c r="O114" s="627"/>
      <c r="P114" s="627"/>
      <c r="Q114" s="627"/>
      <c r="R114" s="627"/>
      <c r="S114" s="627"/>
      <c r="T114" s="627"/>
      <c r="U114" s="627"/>
    </row>
    <row r="115" spans="1:21">
      <c r="B115" s="627"/>
      <c r="C115" s="627"/>
      <c r="D115" s="627"/>
      <c r="E115" s="627"/>
      <c r="F115" s="627"/>
      <c r="G115" s="627"/>
      <c r="H115" s="627"/>
      <c r="I115" s="627"/>
      <c r="J115" s="627"/>
      <c r="K115" s="627"/>
      <c r="L115" s="627"/>
      <c r="M115" s="627"/>
      <c r="N115" s="627"/>
      <c r="O115" s="627"/>
      <c r="P115" s="627"/>
      <c r="Q115" s="627"/>
      <c r="R115" s="627"/>
      <c r="S115" s="627"/>
      <c r="T115" s="627"/>
      <c r="U115" s="627"/>
    </row>
    <row r="116" spans="1:21">
      <c r="B116" s="627"/>
      <c r="C116" s="627"/>
      <c r="D116" s="627"/>
      <c r="E116" s="627"/>
      <c r="F116" s="627"/>
      <c r="G116" s="627"/>
      <c r="H116" s="627"/>
      <c r="I116" s="627"/>
      <c r="J116" s="627"/>
      <c r="K116" s="627"/>
      <c r="L116" s="627"/>
      <c r="M116" s="627"/>
      <c r="N116" s="627"/>
      <c r="O116" s="627"/>
      <c r="P116" s="627"/>
      <c r="Q116" s="627"/>
      <c r="R116" s="627"/>
      <c r="S116" s="627"/>
      <c r="T116" s="627"/>
      <c r="U116" s="627"/>
    </row>
    <row r="117" spans="1:21">
      <c r="B117" s="627"/>
      <c r="C117" s="627"/>
      <c r="D117" s="627"/>
      <c r="E117" s="627"/>
      <c r="F117" s="627"/>
      <c r="G117" s="627"/>
      <c r="H117" s="627"/>
      <c r="I117" s="627"/>
      <c r="J117" s="627"/>
      <c r="K117" s="627"/>
      <c r="L117" s="627"/>
      <c r="M117" s="627"/>
      <c r="N117" s="627"/>
      <c r="O117" s="627"/>
      <c r="P117" s="627"/>
      <c r="Q117" s="627"/>
      <c r="R117" s="627"/>
      <c r="S117" s="627"/>
      <c r="T117" s="627"/>
      <c r="U117" s="627"/>
    </row>
    <row r="118" spans="1:21">
      <c r="B118" s="627"/>
      <c r="C118" s="627"/>
      <c r="D118" s="627"/>
      <c r="E118" s="627"/>
      <c r="F118" s="627"/>
      <c r="G118" s="627"/>
      <c r="H118" s="627"/>
      <c r="I118" s="627"/>
      <c r="J118" s="627"/>
      <c r="K118" s="627"/>
      <c r="L118" s="627"/>
      <c r="M118" s="627"/>
      <c r="N118" s="627"/>
      <c r="O118" s="627"/>
      <c r="P118" s="627"/>
      <c r="Q118" s="627"/>
      <c r="R118" s="627"/>
      <c r="S118" s="627"/>
      <c r="T118" s="627"/>
      <c r="U118" s="627"/>
    </row>
    <row r="119" spans="1:21">
      <c r="B119" s="627"/>
      <c r="C119" s="627"/>
      <c r="D119" s="627"/>
      <c r="E119" s="627"/>
      <c r="F119" s="627"/>
      <c r="G119" s="627"/>
      <c r="H119" s="627"/>
      <c r="I119" s="627"/>
      <c r="J119" s="627"/>
      <c r="K119" s="627"/>
      <c r="L119" s="627"/>
      <c r="M119" s="627"/>
      <c r="N119" s="627"/>
      <c r="O119" s="627"/>
      <c r="P119" s="627"/>
      <c r="Q119" s="627"/>
      <c r="R119" s="627"/>
      <c r="S119" s="627"/>
      <c r="T119" s="627"/>
      <c r="U119" s="627"/>
    </row>
    <row r="120" spans="1:21">
      <c r="B120" s="627"/>
      <c r="C120" s="627"/>
      <c r="D120" s="627"/>
      <c r="E120" s="627"/>
      <c r="F120" s="627"/>
      <c r="G120" s="627"/>
      <c r="H120" s="627"/>
      <c r="I120" s="627"/>
      <c r="J120" s="627"/>
      <c r="K120" s="627"/>
      <c r="L120" s="627"/>
      <c r="M120" s="627"/>
      <c r="N120" s="627"/>
      <c r="O120" s="627"/>
      <c r="P120" s="627"/>
      <c r="Q120" s="627"/>
      <c r="R120" s="627"/>
      <c r="S120" s="627"/>
      <c r="T120" s="627"/>
      <c r="U120" s="627"/>
    </row>
    <row r="121" spans="1:21">
      <c r="B121" s="627"/>
      <c r="C121" s="627"/>
      <c r="D121" s="627"/>
      <c r="E121" s="627"/>
      <c r="F121" s="627"/>
      <c r="G121" s="627"/>
      <c r="H121" s="627"/>
      <c r="I121" s="627"/>
      <c r="J121" s="627"/>
      <c r="K121" s="627"/>
      <c r="L121" s="627"/>
      <c r="M121" s="627"/>
      <c r="N121" s="627"/>
      <c r="O121" s="627"/>
      <c r="P121" s="627"/>
      <c r="Q121" s="627"/>
      <c r="R121" s="627"/>
      <c r="S121" s="627"/>
      <c r="T121" s="627"/>
      <c r="U121" s="627"/>
    </row>
    <row r="122" spans="1:21">
      <c r="B122" s="627"/>
      <c r="C122" s="627"/>
      <c r="D122" s="627"/>
      <c r="E122" s="627"/>
      <c r="F122" s="627"/>
      <c r="G122" s="627"/>
      <c r="H122" s="627"/>
      <c r="I122" s="627"/>
      <c r="J122" s="627"/>
      <c r="K122" s="627"/>
      <c r="L122" s="627"/>
      <c r="M122" s="627"/>
      <c r="N122" s="627"/>
      <c r="O122" s="627"/>
      <c r="P122" s="627"/>
      <c r="Q122" s="627"/>
      <c r="R122" s="627"/>
      <c r="S122" s="627"/>
      <c r="T122" s="627"/>
      <c r="U122" s="627"/>
    </row>
    <row r="123" spans="1:21">
      <c r="B123" s="627"/>
      <c r="C123" s="627"/>
      <c r="D123" s="627"/>
      <c r="E123" s="627"/>
      <c r="F123" s="627"/>
      <c r="G123" s="627"/>
      <c r="H123" s="627"/>
      <c r="I123" s="627"/>
      <c r="J123" s="627"/>
      <c r="K123" s="627"/>
      <c r="L123" s="627"/>
      <c r="M123" s="627"/>
      <c r="N123" s="627"/>
      <c r="O123" s="627"/>
      <c r="P123" s="627"/>
      <c r="Q123" s="627"/>
      <c r="R123" s="627"/>
      <c r="S123" s="627"/>
      <c r="T123" s="627"/>
      <c r="U123" s="627"/>
    </row>
    <row r="124" spans="1:21" ht="12" customHeight="1">
      <c r="B124" s="766" t="s">
        <v>119</v>
      </c>
      <c r="C124" s="766"/>
      <c r="D124" s="766"/>
      <c r="E124" s="766"/>
      <c r="F124" s="766"/>
      <c r="G124" s="766"/>
      <c r="H124" s="766"/>
      <c r="I124" s="766"/>
      <c r="J124" s="766"/>
      <c r="K124" s="766"/>
      <c r="L124" s="766"/>
      <c r="M124" s="766"/>
      <c r="N124" s="766"/>
      <c r="O124" s="766"/>
      <c r="P124" s="766"/>
      <c r="Q124" s="766"/>
      <c r="R124" s="766"/>
      <c r="S124" s="766"/>
      <c r="T124" s="766"/>
      <c r="U124" s="766"/>
    </row>
    <row r="125" spans="1:21" ht="11.25" customHeight="1">
      <c r="B125" s="631"/>
      <c r="C125" s="764" t="str">
        <f ca="1">"※本契約("&amp;IF(AND(OP!$D$53="",'OP1'!$D$53=""),OP!$C$22&amp;"、"&amp;'OP1'!$C$22,IF(OP!$D$53="",OP!$C$22,'OP1'!$C$22))&amp;")條款樣張須於訂立契約前提供要保人至少三日審閱期間"</f>
        <v>※本契約(AIJ、SWUC)條款樣張須於訂立契約前提供要保人至少三日審閱期間</v>
      </c>
      <c r="D125" s="903"/>
      <c r="E125" s="903"/>
      <c r="F125" s="903"/>
      <c r="G125" s="903"/>
      <c r="H125" s="903"/>
      <c r="I125" s="903"/>
      <c r="J125" s="903"/>
      <c r="K125" s="903"/>
      <c r="L125" s="903"/>
      <c r="M125" s="903"/>
      <c r="N125" s="903"/>
      <c r="O125" s="903"/>
      <c r="P125" s="801" t="str">
        <f ca="1">OP!$C$54&amp;" 試算日："&amp;TEXT(YEAR(OP!$C$3)-1911,"000")&amp;TEXT(MONTH(OP!$C$3),"00")&amp;TEXT(DAY(OP!$C$3),"00")</f>
        <v>V3.0A-1111001 試算日：1111001</v>
      </c>
      <c r="Q125" s="904"/>
      <c r="R125" s="904"/>
      <c r="S125" s="904"/>
      <c r="T125" s="904"/>
      <c r="U125" s="904"/>
    </row>
    <row r="126" spans="1:21">
      <c r="B126" s="627"/>
      <c r="C126" s="627"/>
      <c r="D126" s="627"/>
      <c r="E126" s="627"/>
      <c r="F126" s="627"/>
      <c r="G126" s="627"/>
      <c r="H126" s="627"/>
      <c r="I126" s="627"/>
      <c r="J126" s="627"/>
      <c r="K126" s="627"/>
      <c r="L126" s="627"/>
      <c r="M126" s="627"/>
      <c r="N126" s="627"/>
      <c r="O126" s="627"/>
      <c r="P126" s="627"/>
      <c r="Q126" s="627"/>
      <c r="R126" s="627"/>
      <c r="S126" s="627"/>
      <c r="T126" s="627"/>
      <c r="U126" s="627"/>
    </row>
    <row r="127" spans="1:21" ht="15.95" customHeight="1">
      <c r="A127" s="10"/>
      <c r="B127" s="825" t="s">
        <v>1126</v>
      </c>
      <c r="C127" s="825"/>
      <c r="D127" s="825"/>
      <c r="E127" s="825"/>
      <c r="F127" s="825"/>
      <c r="G127" s="825"/>
      <c r="H127" s="825"/>
      <c r="I127" s="825"/>
      <c r="J127" s="825"/>
      <c r="K127" s="825"/>
      <c r="L127" s="825"/>
      <c r="M127" s="825"/>
      <c r="N127" s="825"/>
      <c r="O127" s="825"/>
      <c r="P127" s="825"/>
      <c r="Q127" s="825"/>
      <c r="R127" s="825"/>
      <c r="S127" s="825"/>
      <c r="T127" s="825"/>
      <c r="U127" s="825"/>
    </row>
    <row r="128" spans="1:21" ht="3.75" customHeight="1">
      <c r="A128" s="10"/>
      <c r="B128" s="628"/>
      <c r="C128" s="628"/>
      <c r="D128" s="628"/>
      <c r="E128" s="628"/>
      <c r="F128" s="628"/>
      <c r="G128" s="628"/>
      <c r="H128" s="628"/>
      <c r="I128" s="628"/>
      <c r="J128" s="628"/>
      <c r="K128" s="628"/>
      <c r="L128" s="628"/>
      <c r="M128" s="628"/>
      <c r="N128" s="628"/>
      <c r="O128" s="628"/>
      <c r="P128" s="628"/>
      <c r="Q128" s="628"/>
      <c r="R128" s="628"/>
      <c r="S128" s="628"/>
      <c r="T128" s="628"/>
      <c r="U128" s="628"/>
    </row>
    <row r="129" spans="1:22" s="11" customFormat="1" ht="11.85" customHeight="1">
      <c r="A129" s="23">
        <f ca="1">ROP!$F$33</f>
        <v>1</v>
      </c>
      <c r="B129" s="570" t="str">
        <f ca="1">IF(OR($A$2=1,ROP!$F$33=1),"","附約："&amp;ROP!$B$19&amp;"("&amp;ROP!$D$19&amp;")")</f>
        <v/>
      </c>
      <c r="C129" s="571"/>
      <c r="D129" s="572"/>
      <c r="E129" s="572"/>
      <c r="F129" s="572"/>
      <c r="G129" s="572"/>
      <c r="H129" s="572"/>
      <c r="I129" s="572"/>
      <c r="J129" s="573"/>
      <c r="K129" s="573"/>
      <c r="L129" s="574"/>
      <c r="M129" s="574"/>
      <c r="N129" s="572"/>
      <c r="O129" s="572"/>
      <c r="P129" s="156"/>
      <c r="Q129" s="52"/>
      <c r="R129" s="575"/>
      <c r="S129" s="576"/>
      <c r="T129" s="577"/>
      <c r="U129" s="578">
        <f>IF(ROP!E30="",1,"")</f>
        <v>1</v>
      </c>
      <c r="V129" s="367"/>
    </row>
    <row r="130" spans="1:22" s="11" customFormat="1" ht="3" customHeight="1">
      <c r="A130" s="23"/>
      <c r="B130" s="571"/>
      <c r="C130" s="571"/>
      <c r="D130" s="572"/>
      <c r="E130" s="572"/>
      <c r="F130" s="572"/>
      <c r="G130" s="572"/>
      <c r="H130" s="572"/>
      <c r="I130" s="572"/>
      <c r="J130" s="573"/>
      <c r="K130" s="573"/>
      <c r="L130" s="574"/>
      <c r="M130" s="574"/>
      <c r="N130" s="572"/>
      <c r="O130" s="572"/>
      <c r="P130" s="156"/>
      <c r="Q130" s="52"/>
      <c r="R130" s="575"/>
      <c r="S130" s="576"/>
      <c r="T130" s="577"/>
      <c r="U130" s="578"/>
      <c r="V130" s="367"/>
    </row>
    <row r="131" spans="1:22" s="11" customFormat="1" ht="12" customHeight="1">
      <c r="A131" s="23"/>
      <c r="B131" s="837" t="str">
        <f ca="1">IF(OR($A$2=1,ROP!$F$33=1),"","給        付        內        容")</f>
        <v/>
      </c>
      <c r="C131" s="838"/>
      <c r="D131" s="838"/>
      <c r="E131" s="838"/>
      <c r="F131" s="838"/>
      <c r="G131" s="838"/>
      <c r="H131" s="838"/>
      <c r="I131" s="838"/>
      <c r="J131" s="839"/>
      <c r="K131" s="745" t="str">
        <f ca="1">IF(OR($A$2=1,ROP!$F$33=1),"","說                           明")</f>
        <v/>
      </c>
      <c r="L131" s="838"/>
      <c r="M131" s="838"/>
      <c r="N131" s="838"/>
      <c r="O131" s="838"/>
      <c r="P131" s="838"/>
      <c r="Q131" s="838"/>
      <c r="R131" s="838"/>
      <c r="S131" s="838"/>
      <c r="T131" s="838"/>
      <c r="U131" s="839"/>
      <c r="V131" s="367"/>
    </row>
    <row r="132" spans="1:22" s="11" customFormat="1" ht="30" customHeight="1">
      <c r="A132" s="23"/>
      <c r="B132" s="874" t="str">
        <f ca="1">IF(OR($A$2=1,ROP!$F$33=1),"",ROP!$B79)</f>
        <v/>
      </c>
      <c r="C132" s="895"/>
      <c r="D132" s="895"/>
      <c r="E132" s="895"/>
      <c r="F132" s="896"/>
      <c r="G132" s="893" t="str">
        <f ca="1">IF(OR($A$2=1,ROP!$F$33=1),"",TEXT(ROP!$C$79,"#,##0")&amp;" 元/日")</f>
        <v/>
      </c>
      <c r="H132" s="738"/>
      <c r="I132" s="738"/>
      <c r="J132" s="739"/>
      <c r="K132" s="769" t="str">
        <f ca="1">IF(OR($A$2=1,ROP!$F$33=1),"","被保險人同一次住院之「住院醫療保險金」之實際給付住院日數，最高以三百六十五日為限。但被保險人因精神疾病住院，不論是否為同一疾病或同一次住院期間，每一保單年度之「住院醫療保險金」之實際給付住院日數，最高僅以九十日為限。")</f>
        <v/>
      </c>
      <c r="L132" s="800"/>
      <c r="M132" s="800"/>
      <c r="N132" s="800"/>
      <c r="O132" s="800"/>
      <c r="P132" s="800"/>
      <c r="Q132" s="800"/>
      <c r="R132" s="800"/>
      <c r="S132" s="800"/>
      <c r="T132" s="800"/>
      <c r="U132" s="800"/>
      <c r="V132" s="367"/>
    </row>
    <row r="133" spans="1:22" s="11" customFormat="1" ht="30" customHeight="1">
      <c r="A133" s="23"/>
      <c r="B133" s="874" t="str">
        <f ca="1">IF(OR($A$2=1,ROP!$F$33=1),"",ROP!$B80)</f>
        <v/>
      </c>
      <c r="C133" s="895"/>
      <c r="D133" s="895"/>
      <c r="E133" s="895"/>
      <c r="F133" s="896"/>
      <c r="G133" s="893" t="str">
        <f ca="1">IF(OR($A$2=1,ROP!$F$33=1),"",TEXT(ROP!$C$80,"#,##0")&amp;" 元/日")</f>
        <v/>
      </c>
      <c r="H133" s="738"/>
      <c r="I133" s="738"/>
      <c r="J133" s="739"/>
      <c r="K133" s="800"/>
      <c r="L133" s="800"/>
      <c r="M133" s="800"/>
      <c r="N133" s="800"/>
      <c r="O133" s="800"/>
      <c r="P133" s="800"/>
      <c r="Q133" s="800"/>
      <c r="R133" s="800"/>
      <c r="S133" s="800"/>
      <c r="T133" s="800"/>
      <c r="U133" s="800"/>
      <c r="V133" s="367"/>
    </row>
    <row r="134" spans="1:22" s="11" customFormat="1" ht="12" customHeight="1">
      <c r="A134" s="23"/>
      <c r="B134" s="889" t="str">
        <f ca="1">IF(OR($A$2=1,ROP!$F$33=1),"",ROP!$B81)</f>
        <v/>
      </c>
      <c r="C134" s="890"/>
      <c r="D134" s="890"/>
      <c r="E134" s="890"/>
      <c r="F134" s="891"/>
      <c r="G134" s="893" t="str">
        <f ca="1">IF(OR($A$2=1,ROP!$F$33=1),"",TEXT(ROP!$C$81,"#,##0")&amp;" 元/日")</f>
        <v/>
      </c>
      <c r="H134" s="738"/>
      <c r="I134" s="738"/>
      <c r="J134" s="739"/>
      <c r="K134" s="769" t="str">
        <f ca="1">IF(OR($A$2=1,ROP!$F$33=1),"","同一次住院最高給付日數以九十日為限。")</f>
        <v/>
      </c>
      <c r="L134" s="770"/>
      <c r="M134" s="770"/>
      <c r="N134" s="770"/>
      <c r="O134" s="770"/>
      <c r="P134" s="770"/>
      <c r="Q134" s="770"/>
      <c r="R134" s="770"/>
      <c r="S134" s="770"/>
      <c r="T134" s="770"/>
      <c r="U134" s="770"/>
      <c r="V134" s="367"/>
    </row>
    <row r="135" spans="1:22" s="11" customFormat="1" ht="12" customHeight="1">
      <c r="A135" s="23"/>
      <c r="B135" s="889" t="str">
        <f ca="1">IF(OR($A$2=1,ROP!$F$33=1),"",ROP!$B82)</f>
        <v/>
      </c>
      <c r="C135" s="890"/>
      <c r="D135" s="890"/>
      <c r="E135" s="890"/>
      <c r="F135" s="891"/>
      <c r="G135" s="893" t="str">
        <f ca="1">IF(OR($A$2=1,ROP!$F$33=1),"",TEXT(ROP!$C$82,"#,##0")&amp;" 元/日")</f>
        <v/>
      </c>
      <c r="H135" s="738"/>
      <c r="I135" s="738"/>
      <c r="J135" s="739"/>
      <c r="K135" s="769" t="str">
        <f ca="1">IF(OR($A$2=1,ROP!$F$33=1),"","同一次住院最高給付日數以九十日為限。")</f>
        <v/>
      </c>
      <c r="L135" s="770"/>
      <c r="M135" s="770"/>
      <c r="N135" s="770"/>
      <c r="O135" s="770"/>
      <c r="P135" s="770"/>
      <c r="Q135" s="770"/>
      <c r="R135" s="770"/>
      <c r="S135" s="770"/>
      <c r="T135" s="770"/>
      <c r="U135" s="770"/>
      <c r="V135" s="367"/>
    </row>
    <row r="136" spans="1:22" s="11" customFormat="1" ht="12" customHeight="1">
      <c r="A136" s="23"/>
      <c r="B136" s="889" t="str">
        <f ca="1">IF(OR($A$2=1,ROP!$F$33=1),"",ROP!$B83)</f>
        <v/>
      </c>
      <c r="C136" s="890"/>
      <c r="D136" s="890"/>
      <c r="E136" s="890"/>
      <c r="F136" s="891"/>
      <c r="G136" s="893" t="str">
        <f ca="1">IF(OR($A$2=1,ROP!$F$33=1),"",TEXT(ROP!$C$83,"#,##0")&amp;" 元/日")</f>
        <v/>
      </c>
      <c r="H136" s="738"/>
      <c r="I136" s="738"/>
      <c r="J136" s="739"/>
      <c r="K136" s="769" t="str">
        <f ca="1">IF(OR($A$2=1,ROP!$F$33=1),"","同一次住院最高給付日數以九十日為限。")</f>
        <v/>
      </c>
      <c r="L136" s="770"/>
      <c r="M136" s="770"/>
      <c r="N136" s="770"/>
      <c r="O136" s="770"/>
      <c r="P136" s="770"/>
      <c r="Q136" s="770"/>
      <c r="R136" s="770"/>
      <c r="S136" s="770"/>
      <c r="T136" s="770"/>
      <c r="U136" s="770"/>
      <c r="V136" s="367"/>
    </row>
    <row r="137" spans="1:22" s="11" customFormat="1" ht="69.95" customHeight="1">
      <c r="A137" s="23"/>
      <c r="B137" s="889" t="str">
        <f ca="1">IF(OR($A$2=1,ROP!$F$33=1),"",ROP!$B84)</f>
        <v/>
      </c>
      <c r="C137" s="890"/>
      <c r="D137" s="890"/>
      <c r="E137" s="890"/>
      <c r="F137" s="891"/>
      <c r="G137" s="893" t="str">
        <f ca="1">IF(OR($A$2=1,ROP!$F$33=1),"",TEXT(ROP!$C$84,"#,##0")&amp;"元X給付比率/次")</f>
        <v/>
      </c>
      <c r="H137" s="738"/>
      <c r="I137" s="738"/>
      <c r="J137" s="739"/>
      <c r="K137" s="769" t="str">
        <f ca="1">IF(OR($A$2=1,ROP!$F$33=1),"","住院手術項目所對應的給付比率，請參考保單條款附表。
被保險人同一次住院接受兩項以上手術時，其各項「住院手術醫療保險金」應分別計算。惟被保險人於同一次手術中，在同一手術位置接受二項以上手術項目時，本公司僅按最高給付比率的一項手術項目給付「住院手術醫療保險金」。")</f>
        <v/>
      </c>
      <c r="L137" s="770"/>
      <c r="M137" s="770"/>
      <c r="N137" s="770"/>
      <c r="O137" s="770"/>
      <c r="P137" s="770"/>
      <c r="Q137" s="770"/>
      <c r="R137" s="770"/>
      <c r="S137" s="770"/>
      <c r="T137" s="770"/>
      <c r="U137" s="770"/>
      <c r="V137" s="367"/>
    </row>
    <row r="138" spans="1:22" s="11" customFormat="1" ht="15" customHeight="1">
      <c r="A138" s="23"/>
      <c r="B138" s="889" t="str">
        <f ca="1">IF(OR($A$2=1,ROP!$F$33=1),"",ROP!$B85)</f>
        <v/>
      </c>
      <c r="C138" s="890"/>
      <c r="D138" s="890"/>
      <c r="E138" s="890"/>
      <c r="F138" s="891"/>
      <c r="G138" s="893" t="str">
        <f ca="1">IF(OR($A$2=1,ROP!$F$33=1),"",TEXT(ROP!$C$85,"#,##0")&amp;"元X給付比率/次")</f>
        <v/>
      </c>
      <c r="H138" s="738"/>
      <c r="I138" s="738"/>
      <c r="J138" s="739"/>
      <c r="K138" s="769" t="str">
        <f ca="1">IF(OR($A$2=1,ROP!$F$33=1),"","住院手術項目所對應的給付比率，請參考保單條款附表。")</f>
        <v/>
      </c>
      <c r="L138" s="770"/>
      <c r="M138" s="770"/>
      <c r="N138" s="770"/>
      <c r="O138" s="770"/>
      <c r="P138" s="770"/>
      <c r="Q138" s="770"/>
      <c r="R138" s="770"/>
      <c r="S138" s="770"/>
      <c r="T138" s="770"/>
      <c r="U138" s="770"/>
      <c r="V138" s="367"/>
    </row>
    <row r="139" spans="1:22" s="11" customFormat="1" ht="26.25" customHeight="1">
      <c r="A139" s="23"/>
      <c r="B139" s="889" t="str">
        <f ca="1">IF(OR($A$2=1,ROP!$F$33=1),"",ROP!$B86)</f>
        <v/>
      </c>
      <c r="C139" s="890"/>
      <c r="D139" s="890"/>
      <c r="E139" s="890"/>
      <c r="F139" s="891"/>
      <c r="G139" s="893" t="str">
        <f ca="1">IF(OR($A$2=1,ROP!$F$33=1),"",TEXT(ROP!$C$86,"#,##0")&amp;" 元/日")</f>
        <v/>
      </c>
      <c r="H139" s="738"/>
      <c r="I139" s="738"/>
      <c r="J139" s="739"/>
      <c r="K139" s="769" t="str">
        <f ca="1">IF(OR($A$2=1,ROP!$F$33=1),"","經醫師診斷而住院診療者，於住院前二週內及出院後二週內，因診療同一事故為直接目的而於醫院接受門診診療者。")</f>
        <v/>
      </c>
      <c r="L139" s="770"/>
      <c r="M139" s="770"/>
      <c r="N139" s="770"/>
      <c r="O139" s="770"/>
      <c r="P139" s="770"/>
      <c r="Q139" s="770"/>
      <c r="R139" s="770"/>
      <c r="S139" s="770"/>
      <c r="T139" s="770"/>
      <c r="U139" s="770"/>
      <c r="V139" s="367"/>
    </row>
    <row r="140" spans="1:22" s="11" customFormat="1" ht="50.1" customHeight="1">
      <c r="A140" s="23"/>
      <c r="B140" s="889" t="str">
        <f ca="1">IF(OR($A$2=1,ROP!$F$33=1),"",ROP!$B87)</f>
        <v/>
      </c>
      <c r="C140" s="890"/>
      <c r="D140" s="890"/>
      <c r="E140" s="890"/>
      <c r="F140" s="891"/>
      <c r="G140" s="893" t="str">
        <f ca="1">IF(OR($A$2=1,ROP!$F$33=1),"",TEXT(ROP!$C$87,"#,##0") &amp;" 元/次")</f>
        <v/>
      </c>
      <c r="H140" s="738"/>
      <c r="I140" s="738"/>
      <c r="J140" s="739"/>
      <c r="K140" s="769" t="str">
        <f ca="1">IF(OR($A$2=1,ROP!$F$33=1),"","被保險人於同一次手術中，在同一手術位置接受二項以上手術項目，或同一日接受二次（含）以上手術時，僅給付一次「門診手術醫療保險金」。
每一保單年度給付最高以十二次為限。")</f>
        <v/>
      </c>
      <c r="L140" s="770"/>
      <c r="M140" s="770"/>
      <c r="N140" s="770"/>
      <c r="O140" s="770"/>
      <c r="P140" s="770"/>
      <c r="Q140" s="770"/>
      <c r="R140" s="770"/>
      <c r="S140" s="770"/>
      <c r="T140" s="770"/>
      <c r="U140" s="770"/>
      <c r="V140" s="367"/>
    </row>
    <row r="141" spans="1:22" s="11" customFormat="1" ht="30" customHeight="1">
      <c r="A141" s="23"/>
      <c r="B141" s="874" t="str">
        <f ca="1">IF(OR($A$2=1,ROP!$F$33=1),"",ROP!$B88)</f>
        <v/>
      </c>
      <c r="C141" s="895"/>
      <c r="D141" s="895"/>
      <c r="E141" s="895"/>
      <c r="F141" s="896"/>
      <c r="G141" s="893" t="str">
        <f ca="1">IF(OR($A$2=1,ROP!$F$33=1),"",TEXT(ROP!$C$88,"#,##0") &amp;" 元/次")</f>
        <v/>
      </c>
      <c r="H141" s="738"/>
      <c r="I141" s="738"/>
      <c r="J141" s="739"/>
      <c r="K141" s="769" t="str">
        <f ca="1">IF(OR($A$2=1,ROP!$F$33=1),"","同一部位器官接受移植之給付以一次為限。")</f>
        <v/>
      </c>
      <c r="L141" s="770"/>
      <c r="M141" s="770"/>
      <c r="N141" s="770"/>
      <c r="O141" s="770"/>
      <c r="P141" s="770"/>
      <c r="Q141" s="770"/>
      <c r="R141" s="770"/>
      <c r="S141" s="770"/>
      <c r="T141" s="770"/>
      <c r="U141" s="770"/>
      <c r="V141" s="367"/>
    </row>
    <row r="142" spans="1:22" s="11" customFormat="1" ht="27.75" customHeight="1">
      <c r="A142" s="23"/>
      <c r="B142" s="889" t="str">
        <f ca="1">IF(OR($A$2=1,ROP!$F$33=1),"",ROP!$B89)</f>
        <v/>
      </c>
      <c r="C142" s="890"/>
      <c r="D142" s="890"/>
      <c r="E142" s="890"/>
      <c r="F142" s="891"/>
      <c r="G142" s="893" t="str">
        <f ca="1">IF(OR($A$2=1,ROP!$F$33=1),"",TEXT(ROP!$C$89,"#,##0") &amp;" 元/次")</f>
        <v/>
      </c>
      <c r="H142" s="738"/>
      <c r="I142" s="738"/>
      <c r="J142" s="739"/>
      <c r="K142" s="769" t="str">
        <f ca="1">IF(OR($A$2=1,ROP!$F$33=1),"","同一保單年度給付一次為限。")</f>
        <v/>
      </c>
      <c r="L142" s="770"/>
      <c r="M142" s="770"/>
      <c r="N142" s="770"/>
      <c r="O142" s="770"/>
      <c r="P142" s="770"/>
      <c r="Q142" s="770"/>
      <c r="R142" s="770"/>
      <c r="S142" s="770"/>
      <c r="T142" s="770"/>
      <c r="U142" s="770"/>
      <c r="V142" s="367"/>
    </row>
    <row r="143" spans="1:22" s="11" customFormat="1" ht="30" customHeight="1">
      <c r="A143" s="23"/>
      <c r="B143" s="874" t="str">
        <f ca="1">IF(OR($A$2=1,ROP!$F$33=1),"",ROP!$B90)</f>
        <v/>
      </c>
      <c r="C143" s="895"/>
      <c r="D143" s="895"/>
      <c r="E143" s="895"/>
      <c r="F143" s="896"/>
      <c r="G143" s="893" t="str">
        <f ca="1">IF(OR($A$2=1,ROP!$F$33=1),"",TEXT(ROP!$C$90,"#,##0") &amp;" 元/日")</f>
        <v/>
      </c>
      <c r="H143" s="738"/>
      <c r="I143" s="738"/>
      <c r="J143" s="739"/>
      <c r="K143" s="769" t="str">
        <f ca="1">IF(OR($A$2=1,ROP!$F$33=1),"","同一次住院最高給付日數以九十日為限。")</f>
        <v/>
      </c>
      <c r="L143" s="770"/>
      <c r="M143" s="770"/>
      <c r="N143" s="770"/>
      <c r="O143" s="770"/>
      <c r="P143" s="770"/>
      <c r="Q143" s="770"/>
      <c r="R143" s="770"/>
      <c r="S143" s="770"/>
      <c r="T143" s="770"/>
      <c r="U143" s="770"/>
      <c r="V143" s="367"/>
    </row>
    <row r="144" spans="1:22" s="11" customFormat="1" ht="30" customHeight="1">
      <c r="A144" s="23"/>
      <c r="B144" s="889" t="str">
        <f ca="1">IF(OR($A$2=1,ROP!$F$33=1),"",ROP!$B91)</f>
        <v/>
      </c>
      <c r="C144" s="890"/>
      <c r="D144" s="890"/>
      <c r="E144" s="890"/>
      <c r="F144" s="891"/>
      <c r="G144" s="893" t="str">
        <f ca="1">IF(OR($A$2=1,ROP!$F$33=1),"",TEXT(ROP!$C$91,"#,##0") &amp;" 元")</f>
        <v/>
      </c>
      <c r="H144" s="738"/>
      <c r="I144" s="738"/>
      <c r="J144" s="739"/>
      <c r="K144" s="769" t="str">
        <f ca="1">IF(OR($A$2=1,ROP!$F$33=1),"","本公司給付上述之各項保險金，加總各保險期間內之給付金額，最高以住院醫療保險金日額之三千倍為限。")</f>
        <v/>
      </c>
      <c r="L144" s="770"/>
      <c r="M144" s="770"/>
      <c r="N144" s="770"/>
      <c r="O144" s="770"/>
      <c r="P144" s="770"/>
      <c r="Q144" s="770"/>
      <c r="R144" s="770"/>
      <c r="S144" s="770"/>
      <c r="T144" s="770"/>
      <c r="U144" s="770"/>
      <c r="V144" s="367"/>
    </row>
    <row r="145" spans="1:22" s="11" customFormat="1" ht="24.95" customHeight="1">
      <c r="A145" s="23"/>
      <c r="B145" s="889" t="str">
        <f ca="1">IF(OR($A$2=1,ROP!$F$33=1),"","無理賠回饋保險金")</f>
        <v/>
      </c>
      <c r="C145" s="890"/>
      <c r="D145" s="890"/>
      <c r="E145" s="890"/>
      <c r="F145" s="891"/>
      <c r="G145" s="894" t="str">
        <f ca="1">IF(OR($A$2=1,ROP!$F$33=1),"","被保險人於本附約有效期間內，未曾發生保單條款約定之保險事故且保險期間屆滿仍生存者，本公司按年繳保險費總和的百分之十計算給付無理賠回饋保險金。")</f>
        <v/>
      </c>
      <c r="H145" s="890"/>
      <c r="I145" s="890"/>
      <c r="J145" s="890"/>
      <c r="K145" s="890"/>
      <c r="L145" s="890"/>
      <c r="M145" s="890"/>
      <c r="N145" s="890"/>
      <c r="O145" s="890"/>
      <c r="P145" s="890"/>
      <c r="Q145" s="890"/>
      <c r="R145" s="890"/>
      <c r="S145" s="890"/>
      <c r="T145" s="890"/>
      <c r="U145" s="891"/>
      <c r="V145" s="367"/>
    </row>
    <row r="146" spans="1:22" ht="20.100000000000001" customHeight="1">
      <c r="A146" s="10"/>
      <c r="B146" s="619"/>
      <c r="C146" s="620"/>
      <c r="D146" s="621"/>
      <c r="E146" s="621"/>
      <c r="F146" s="621"/>
      <c r="G146" s="621"/>
      <c r="H146" s="621"/>
      <c r="I146" s="621"/>
      <c r="J146" s="621"/>
      <c r="K146" s="621"/>
      <c r="L146" s="621"/>
      <c r="M146" s="621"/>
      <c r="N146" s="621"/>
      <c r="O146" s="621"/>
      <c r="P146" s="621"/>
      <c r="Q146" s="620"/>
      <c r="R146" s="620"/>
      <c r="S146" s="620"/>
      <c r="T146" s="620"/>
      <c r="U146" s="620"/>
    </row>
    <row r="147" spans="1:22" ht="16.5" customHeight="1">
      <c r="A147" s="10"/>
      <c r="B147" s="825" t="s">
        <v>1099</v>
      </c>
      <c r="C147" s="825"/>
      <c r="D147" s="825"/>
      <c r="E147" s="825"/>
      <c r="F147" s="825"/>
      <c r="G147" s="825"/>
      <c r="H147" s="825"/>
      <c r="I147" s="825"/>
      <c r="J147" s="825"/>
      <c r="K147" s="825"/>
      <c r="L147" s="825"/>
      <c r="M147" s="825"/>
      <c r="N147" s="825"/>
      <c r="O147" s="825"/>
      <c r="P147" s="825"/>
      <c r="Q147" s="825"/>
      <c r="R147" s="825"/>
      <c r="S147" s="825"/>
      <c r="T147" s="825"/>
      <c r="U147" s="825"/>
    </row>
    <row r="148" spans="1:22" ht="9.75" customHeight="1">
      <c r="A148" s="10"/>
      <c r="B148" s="619"/>
      <c r="C148" s="620"/>
      <c r="D148" s="621"/>
      <c r="E148" s="621"/>
      <c r="F148" s="621"/>
      <c r="G148" s="621"/>
      <c r="H148" s="621"/>
      <c r="I148" s="621"/>
      <c r="J148" s="621"/>
      <c r="K148" s="621"/>
      <c r="L148" s="621"/>
      <c r="M148" s="621"/>
      <c r="N148" s="621"/>
      <c r="O148" s="621"/>
      <c r="P148" s="621"/>
      <c r="Q148" s="620"/>
      <c r="R148" s="620"/>
      <c r="S148" s="620"/>
      <c r="T148" s="620"/>
      <c r="U148" s="620"/>
    </row>
    <row r="149" spans="1:22" s="11" customFormat="1" ht="12" customHeight="1">
      <c r="A149" s="23" t="str">
        <f ca="1">ROP!$B$110</f>
        <v/>
      </c>
      <c r="B149" s="900" t="str">
        <f ca="1">IF(OR($A$2=1,ROP!$B$110=1),"",ROP!$B$111)</f>
        <v>日額</v>
      </c>
      <c r="C149" s="901"/>
      <c r="D149" s="901"/>
      <c r="E149" s="902"/>
      <c r="F149" s="745" t="str">
        <f ca="1">IF(OR($A$2=1,ROP!$C$110=1),"",ROP!$C$111)</f>
        <v/>
      </c>
      <c r="G149" s="746"/>
      <c r="H149" s="746"/>
      <c r="I149" s="747"/>
      <c r="J149" s="745" t="str">
        <f ca="1">IF(OR($A$2=1,ROP!$D$110=1),"",ROP!$D$111)</f>
        <v>意外</v>
      </c>
      <c r="K149" s="746"/>
      <c r="L149" s="746"/>
      <c r="M149" s="747"/>
      <c r="N149" s="745" t="str">
        <f ca="1">IF(OR($A$2=1,ROP!$E$110=1),"",ROP!$E$111)</f>
        <v/>
      </c>
      <c r="O149" s="746"/>
      <c r="P149" s="746"/>
      <c r="Q149" s="747"/>
      <c r="R149" s="745" t="str">
        <f ca="1">IF(OR($A$2=1,ROP!$G$33=1),"",ROP!$F$111)</f>
        <v/>
      </c>
      <c r="S149" s="746"/>
      <c r="T149" s="746"/>
      <c r="U149" s="747"/>
      <c r="V149" s="367"/>
    </row>
    <row r="150" spans="1:22" s="11" customFormat="1" ht="12" customHeight="1">
      <c r="A150" s="23"/>
      <c r="B150" s="773" t="str">
        <f ca="1">IF(OR($A$2=1,ROP!$B$110=1),"",ROP!$B$112)</f>
        <v>門診醫療保險金</v>
      </c>
      <c r="C150" s="774"/>
      <c r="D150" s="774"/>
      <c r="E150" s="775"/>
      <c r="F150" s="752" t="str">
        <f ca="1">IF(OR($A$2=1,ROP!$C$110=1),"","-")</f>
        <v/>
      </c>
      <c r="G150" s="789"/>
      <c r="H150" s="789"/>
      <c r="I150" s="790"/>
      <c r="J150" s="752" t="str">
        <f ca="1">IF(OR($A$2=1,ROP!$D$110=1),"","-")</f>
        <v>-</v>
      </c>
      <c r="K150" s="753"/>
      <c r="L150" s="753"/>
      <c r="M150" s="754"/>
      <c r="N150" s="752" t="str">
        <f ca="1">IF(OR($A$2=1,ROP!$E$110=1),"","-")</f>
        <v/>
      </c>
      <c r="O150" s="753"/>
      <c r="P150" s="753"/>
      <c r="Q150" s="754"/>
      <c r="R150" s="748" t="str">
        <f ca="1">IF(OR($A$2=1,ROP!$G$33=1),"",TEXT(ROP!$F$112,"#,##0")&amp;" 元/日")</f>
        <v/>
      </c>
      <c r="S150" s="749"/>
      <c r="T150" s="749"/>
      <c r="U150" s="750"/>
      <c r="V150" s="367"/>
    </row>
    <row r="151" spans="1:22" s="11" customFormat="1" ht="12" customHeight="1">
      <c r="A151" s="23"/>
      <c r="B151" s="773" t="str">
        <f ca="1">IF(OR($A$2=1,ROP!$B$110=1),"",ROP!$B$113)</f>
        <v>住院醫療保險金</v>
      </c>
      <c r="C151" s="774"/>
      <c r="D151" s="774"/>
      <c r="E151" s="775"/>
      <c r="F151" s="751" t="str">
        <f ca="1">IF(OR($A$2=1,ROP!$C$110=1),"",TEXT(ROP!$C$113,"#,##0")&amp;" 元/日")</f>
        <v/>
      </c>
      <c r="G151" s="749"/>
      <c r="H151" s="749"/>
      <c r="I151" s="750"/>
      <c r="J151" s="751" t="str">
        <f ca="1">IF(OR($A$2=1,ROP!$D$110=1),"",TEXT(ROP!$D$113,"#,##0")&amp;" 元/日")</f>
        <v>500 元/日</v>
      </c>
      <c r="K151" s="749"/>
      <c r="L151" s="749"/>
      <c r="M151" s="750"/>
      <c r="N151" s="751" t="str">
        <f ca="1">IF(OR($A$2=1,ROP!$E$110=1),"",TEXT(ROP!$E$113,"#,##0")&amp;" 元/日")</f>
        <v/>
      </c>
      <c r="O151" s="749"/>
      <c r="P151" s="749"/>
      <c r="Q151" s="750"/>
      <c r="R151" s="751" t="str">
        <f ca="1">IF(OR($A$2=1,ROP!$G$33=1),"",TEXT(ROP!$F$113,"#,##0")&amp;" 元/日")</f>
        <v/>
      </c>
      <c r="S151" s="749"/>
      <c r="T151" s="749"/>
      <c r="U151" s="750"/>
      <c r="V151" s="367"/>
    </row>
    <row r="152" spans="1:22" s="11" customFormat="1" ht="12" customHeight="1">
      <c r="A152" s="23"/>
      <c r="B152" s="423" t="str">
        <f ca="1">IF(OR($A$2=1,ROP!$B$110=1),"","‧住院日額數值皆以「定額給付」表示被保險人住院第一日可獲得之最低給付金額，選擇實支實付者則不在此限。")</f>
        <v>‧住院日額數值皆以「定額給付」表示被保險人住院第一日可獲得之最低給付金額，選擇實支實付者則不在此限。</v>
      </c>
      <c r="C152" s="424"/>
      <c r="D152" s="424"/>
      <c r="E152" s="424"/>
      <c r="F152" s="422"/>
      <c r="G152" s="406"/>
      <c r="H152" s="406"/>
      <c r="I152" s="406"/>
      <c r="J152" s="422"/>
      <c r="K152" s="406"/>
      <c r="L152" s="406"/>
      <c r="M152" s="406"/>
      <c r="N152" s="422"/>
      <c r="O152" s="406"/>
      <c r="P152" s="406"/>
      <c r="Q152" s="406"/>
      <c r="R152" s="422"/>
      <c r="S152" s="406"/>
      <c r="T152" s="406"/>
      <c r="U152" s="406"/>
      <c r="V152" s="367"/>
    </row>
    <row r="153" spans="1:22" s="11" customFormat="1" ht="12" customHeight="1">
      <c r="A153" s="23"/>
      <c r="B153" s="423" t="str">
        <f ca="1">IF(OR($A$2=1,ROP!$B$110=1),"","‧定額給付內容：包含「住院醫療保險金」、「出院後療養保險金」。")</f>
        <v>‧定額給付內容：包含「住院醫療保險金」、「出院後療養保險金」。</v>
      </c>
      <c r="C153" s="424"/>
      <c r="D153" s="424"/>
      <c r="E153" s="424"/>
      <c r="F153" s="422"/>
      <c r="G153" s="406"/>
      <c r="H153" s="406"/>
      <c r="I153" s="406"/>
      <c r="J153" s="422"/>
      <c r="K153" s="406"/>
      <c r="L153" s="406"/>
      <c r="M153" s="406"/>
      <c r="N153" s="422"/>
      <c r="O153" s="406"/>
      <c r="P153" s="406"/>
      <c r="Q153" s="406"/>
      <c r="R153" s="422"/>
      <c r="S153" s="406"/>
      <c r="T153" s="406"/>
      <c r="U153" s="406"/>
      <c r="V153" s="367"/>
    </row>
    <row r="154" spans="1:22" s="11" customFormat="1" ht="20.100000000000001" customHeight="1">
      <c r="A154" s="23"/>
      <c r="B154" s="423"/>
      <c r="C154" s="424"/>
      <c r="D154" s="424"/>
      <c r="E154" s="424"/>
      <c r="F154" s="422"/>
      <c r="G154" s="406"/>
      <c r="H154" s="406"/>
      <c r="I154" s="406"/>
      <c r="J154" s="422"/>
      <c r="K154" s="406"/>
      <c r="L154" s="406"/>
      <c r="M154" s="406"/>
      <c r="N154" s="422"/>
      <c r="O154" s="406"/>
      <c r="P154" s="406"/>
      <c r="Q154" s="406"/>
      <c r="R154" s="422"/>
      <c r="S154" s="406"/>
      <c r="T154" s="406"/>
      <c r="U154" s="406"/>
      <c r="V154" s="367"/>
    </row>
    <row r="155" spans="1:22" ht="15.95" hidden="1" customHeight="1">
      <c r="A155" s="10"/>
      <c r="B155" s="825" t="s">
        <v>835</v>
      </c>
      <c r="C155" s="825"/>
      <c r="D155" s="825"/>
      <c r="E155" s="825"/>
      <c r="F155" s="825"/>
      <c r="G155" s="825"/>
      <c r="H155" s="825"/>
      <c r="I155" s="825"/>
      <c r="J155" s="825"/>
      <c r="K155" s="825"/>
      <c r="L155" s="825"/>
      <c r="M155" s="825"/>
      <c r="N155" s="825"/>
      <c r="O155" s="825"/>
      <c r="P155" s="825"/>
      <c r="Q155" s="825"/>
      <c r="R155" s="825"/>
      <c r="S155" s="825"/>
      <c r="T155" s="825"/>
      <c r="U155" s="825"/>
    </row>
    <row r="156" spans="1:22" ht="3" hidden="1" customHeight="1">
      <c r="A156" s="10"/>
      <c r="B156" s="386"/>
      <c r="C156" s="387"/>
      <c r="D156" s="233"/>
      <c r="E156" s="233"/>
      <c r="F156" s="233"/>
      <c r="G156" s="233"/>
      <c r="H156" s="233"/>
      <c r="I156" s="233"/>
      <c r="J156" s="233"/>
      <c r="K156" s="233"/>
      <c r="L156" s="233"/>
      <c r="M156" s="233"/>
      <c r="N156" s="233"/>
      <c r="O156" s="233"/>
      <c r="P156" s="233"/>
      <c r="Q156" s="387"/>
      <c r="R156" s="387"/>
      <c r="S156" s="387"/>
      <c r="T156" s="387"/>
      <c r="U156" s="387"/>
    </row>
    <row r="157" spans="1:22" ht="37.5" hidden="1" customHeight="1">
      <c r="A157" s="10"/>
      <c r="B157" s="566" t="s">
        <v>1009</v>
      </c>
      <c r="C157" s="566" t="s">
        <v>201</v>
      </c>
      <c r="D157" s="828" t="str">
        <f ca="1">IF(OR($A$2=1),"","年度累積
實繳保費
" &amp; Total!$AC$2)</f>
        <v xml:space="preserve">年度累積
實繳保費
</v>
      </c>
      <c r="E157" s="803"/>
      <c r="F157" s="892"/>
      <c r="G157" s="892"/>
      <c r="H157" s="771" t="str">
        <f ca="1">IF(OR($A$2=1,'OP1'!$D$53=1),"","SWUC/SWUD
年度
實繳保費")</f>
        <v>SWUC/SWUD
年度
實繳保費</v>
      </c>
      <c r="I157" s="772"/>
      <c r="J157" s="771" t="str">
        <f ca="1">IF(OR($A$2=1,OP!$D$53=1),"","AIJ
年度
實繳保費")</f>
        <v>AIJ
年度
實繳保費</v>
      </c>
      <c r="K157" s="772"/>
      <c r="L157" s="771" t="str">
        <f ca="1">IF(OR($A$2=1,ROP!$C$33=1),"","AOR
年度
實繳保費")</f>
        <v/>
      </c>
      <c r="M157" s="772"/>
      <c r="N157" s="771" t="str">
        <f ca="1">IF(OR($A$2=1,ROP!$D$33=1),"", ROP!$D$17&amp;"
年度
實繳保費")</f>
        <v/>
      </c>
      <c r="O157" s="772"/>
      <c r="P157" s="771" t="str">
        <f ca="1">IF(OR($A$2=1,ROP!$E$33=1),"","HNR
年度
實繳保費")</f>
        <v/>
      </c>
      <c r="Q157" s="772"/>
      <c r="R157" s="771" t="str">
        <f ca="1">IF(OR($A$2=1,ROP!$G$33=1),"","HOR
年度
實繳保費")</f>
        <v/>
      </c>
      <c r="S157" s="772"/>
      <c r="T157" s="771" t="str">
        <f ca="1">IF(OR($A$2=1,ROP!$G$33=1),"","CLR
年度
實繳保費")</f>
        <v/>
      </c>
      <c r="U157" s="772"/>
    </row>
    <row r="158" spans="1:22" ht="11.1" hidden="1" customHeight="1">
      <c r="A158" s="10"/>
      <c r="B158" s="58">
        <v>1</v>
      </c>
      <c r="C158" s="58">
        <f ca="1">IF($A$2=1,"",輸入頁!O7)</f>
        <v>32</v>
      </c>
      <c r="D158" s="732">
        <f t="shared" ref="D158:D167" ca="1" si="3">IF(OR($A$2=1,C158="",VLOOKUP(C158,PAYAll,11,0)=0),"",VLOOKUP(C158,PAYAll,11,0))</f>
        <v>8762</v>
      </c>
      <c r="E158" s="738"/>
      <c r="F158" s="738"/>
      <c r="G158" s="739"/>
      <c r="H158" s="740">
        <f ca="1">IF(OR($A$2=1,'OP1'!$D$53=1,C158="",VLOOKUP(C158,PAYAll,3,0)=0),"",VLOOKUP(C158,PAYAll,3,0))</f>
        <v>5247</v>
      </c>
      <c r="I158" s="741"/>
      <c r="J158" s="740">
        <f ca="1">IF(OR($A$2=1,OP!$D$53=1,C158="",VLOOKUP(C158,PAYAll,2,0)=0),"",VLOOKUP(C158,PAYAll,2,0))</f>
        <v>3515</v>
      </c>
      <c r="K158" s="741"/>
      <c r="L158" s="740" t="str">
        <f ca="1">IF(OR($A$2=1,ROP!$C$33=1,C158="",VLOOKUP(C158,PAYAll,4,0)=0),"",VLOOKUP(C158,PAYAll,4,0))</f>
        <v/>
      </c>
      <c r="M158" s="741"/>
      <c r="N158" s="740" t="str">
        <f ca="1">IF(OR($A$2=1,ROP!$D$33=1,C158="",VLOOKUP(C158,PAYAll,5,0)=0),"",VLOOKUP(C158,PAYAll,5,0))</f>
        <v/>
      </c>
      <c r="O158" s="741"/>
      <c r="P158" s="740" t="str">
        <f ca="1">IF(OR($A$2=1,ROP!$E$33=1,C158="",VLOOKUP(C158,PAYAll,6,0)=0),"",VLOOKUP(C158,PAYAll,6,0))</f>
        <v/>
      </c>
      <c r="Q158" s="741"/>
      <c r="R158" s="740" t="str">
        <f ca="1">IF(OR($A$2=1,ROP!$F$33=1,C158="",VLOOKUP(C158,PAYAll,7,0)=0),"",VLOOKUP(C158,PAYAll,7,0))</f>
        <v/>
      </c>
      <c r="S158" s="741"/>
      <c r="T158" s="740" t="str">
        <f ca="1">IF(OR($A$2=1,ROP!$G$33=1,C158="",VLOOKUP(C158,PAYAll,8,0)=0),"",VLOOKUP(C158,PAYAll,8,0))</f>
        <v/>
      </c>
      <c r="U158" s="741"/>
    </row>
    <row r="159" spans="1:22" ht="11.1" hidden="1" customHeight="1">
      <c r="A159" s="10"/>
      <c r="B159" s="58">
        <v>2</v>
      </c>
      <c r="C159" s="58">
        <f ca="1">IF(OR($A$2=1,MAX($C$158:C158)&gt;=Total!$C$18),"",C158+(B159-B158))</f>
        <v>33</v>
      </c>
      <c r="D159" s="732">
        <f t="shared" ca="1" si="3"/>
        <v>17524</v>
      </c>
      <c r="E159" s="738"/>
      <c r="F159" s="738"/>
      <c r="G159" s="739"/>
      <c r="H159" s="740">
        <f ca="1">IF(OR($A$2=1,'OP1'!$D$53=1,C159="",VLOOKUP(C159,PAYAll,3,0)=0),"",VLOOKUP(C159,PAYAll,3,0))</f>
        <v>5247</v>
      </c>
      <c r="I159" s="741"/>
      <c r="J159" s="740">
        <f ca="1">IF(OR($A$2=1,OP!$D$53=1,C159="",VLOOKUP(C159,PAYAll,2,0)=0),"",VLOOKUP(C159,PAYAll,2,0))</f>
        <v>3515</v>
      </c>
      <c r="K159" s="741"/>
      <c r="L159" s="740" t="str">
        <f ca="1">IF(OR($A$2=1,ROP!$C$33=1,C159="",VLOOKUP(C159,PAYAll,4,0)=0),"",VLOOKUP(C159,PAYAll,4,0))</f>
        <v/>
      </c>
      <c r="M159" s="741"/>
      <c r="N159" s="740" t="str">
        <f ca="1">IF(OR($A$2=1,ROP!$D$33=1,C159="",VLOOKUP(C159,PAYAll,5,0)=0),"",VLOOKUP(C159,PAYAll,5,0))</f>
        <v/>
      </c>
      <c r="O159" s="741"/>
      <c r="P159" s="740" t="str">
        <f ca="1">IF(OR($A$2=1,ROP!$E$33=1,C159="",VLOOKUP(C159,PAYAll,6,0)=0),"",VLOOKUP(C159,PAYAll,6,0))</f>
        <v/>
      </c>
      <c r="Q159" s="741"/>
      <c r="R159" s="740" t="str">
        <f ca="1">IF(OR($A$2=1,ROP!$F$33=1,C159="",VLOOKUP(C159,PAYAll,7,0)=0),"",VLOOKUP(C159,PAYAll,7,0))</f>
        <v/>
      </c>
      <c r="S159" s="741"/>
      <c r="T159" s="740" t="str">
        <f ca="1">IF(OR($A$2=1,ROP!$G$33=1,C159="",VLOOKUP(C159,PAYAll,8,0)=0),"",VLOOKUP(C159,PAYAll,8,0))</f>
        <v/>
      </c>
      <c r="U159" s="741"/>
    </row>
    <row r="160" spans="1:22" ht="11.1" hidden="1" customHeight="1">
      <c r="A160" s="10"/>
      <c r="B160" s="58">
        <v>3</v>
      </c>
      <c r="C160" s="58">
        <f ca="1">IF(OR($A$2=1,MAX($C$158:C159)&gt;=Total!$C$18),"",C159+(B160-B159))</f>
        <v>34</v>
      </c>
      <c r="D160" s="732">
        <f t="shared" ca="1" si="3"/>
        <v>26286</v>
      </c>
      <c r="E160" s="738"/>
      <c r="F160" s="738"/>
      <c r="G160" s="739"/>
      <c r="H160" s="740">
        <f ca="1">IF(OR($A$2=1,'OP1'!$D$53=1,C160="",VLOOKUP(C160,PAYAll,3,0)=0),"",VLOOKUP(C160,PAYAll,3,0))</f>
        <v>5247</v>
      </c>
      <c r="I160" s="741"/>
      <c r="J160" s="740">
        <f ca="1">IF(OR($A$2=1,OP!$D$53=1,C160="",VLOOKUP(C160,PAYAll,2,0)=0),"",VLOOKUP(C160,PAYAll,2,0))</f>
        <v>3515</v>
      </c>
      <c r="K160" s="741"/>
      <c r="L160" s="740" t="str">
        <f ca="1">IF(OR($A$2=1,ROP!$C$33=1,C160="",VLOOKUP(C160,PAYAll,4,0)=0),"",VLOOKUP(C160,PAYAll,4,0))</f>
        <v/>
      </c>
      <c r="M160" s="741"/>
      <c r="N160" s="740" t="str">
        <f ca="1">IF(OR($A$2=1,ROP!$D$33=1,C160="",VLOOKUP(C160,PAYAll,5,0)=0),"",VLOOKUP(C160,PAYAll,5,0))</f>
        <v/>
      </c>
      <c r="O160" s="741"/>
      <c r="P160" s="740" t="str">
        <f ca="1">IF(OR($A$2=1,ROP!$E$33=1,C160="",VLOOKUP(C160,PAYAll,6,0)=0),"",VLOOKUP(C160,PAYAll,6,0))</f>
        <v/>
      </c>
      <c r="Q160" s="741"/>
      <c r="R160" s="740" t="str">
        <f ca="1">IF(OR($A$2=1,ROP!$F$33=1,C160="",VLOOKUP(C160,PAYAll,7,0)=0),"",VLOOKUP(C160,PAYAll,7,0))</f>
        <v/>
      </c>
      <c r="S160" s="741"/>
      <c r="T160" s="740" t="str">
        <f ca="1">IF(OR($A$2=1,ROP!$G$33=1,C160="",VLOOKUP(C160,PAYAll,8,0)=0),"",VLOOKUP(C160,PAYAll,8,0))</f>
        <v/>
      </c>
      <c r="U160" s="741"/>
    </row>
    <row r="161" spans="1:21" ht="11.1" hidden="1" customHeight="1">
      <c r="A161" s="10"/>
      <c r="B161" s="58">
        <v>4</v>
      </c>
      <c r="C161" s="58">
        <f ca="1">IF(OR($A$2=1,MAX($C$158:C160)&gt;=Total!$C$18),"",C160+(B161-B160))</f>
        <v>35</v>
      </c>
      <c r="D161" s="732">
        <f t="shared" ca="1" si="3"/>
        <v>35048</v>
      </c>
      <c r="E161" s="738"/>
      <c r="F161" s="738"/>
      <c r="G161" s="739"/>
      <c r="H161" s="740">
        <f ca="1">IF(OR($A$2=1,'OP1'!$D$53=1,C161="",VLOOKUP(C161,PAYAll,3,0)=0),"",VLOOKUP(C161,PAYAll,3,0))</f>
        <v>5247</v>
      </c>
      <c r="I161" s="741"/>
      <c r="J161" s="740">
        <f ca="1">IF(OR($A$2=1,OP!$D$53=1,C161="",VLOOKUP(C161,PAYAll,2,0)=0),"",VLOOKUP(C161,PAYAll,2,0))</f>
        <v>3515</v>
      </c>
      <c r="K161" s="741"/>
      <c r="L161" s="740" t="str">
        <f ca="1">IF(OR($A$2=1,ROP!$C$33=1,C161="",VLOOKUP(C161,PAYAll,4,0)=0),"",VLOOKUP(C161,PAYAll,4,0))</f>
        <v/>
      </c>
      <c r="M161" s="741"/>
      <c r="N161" s="740" t="str">
        <f ca="1">IF(OR($A$2=1,ROP!$D$33=1,C161="",VLOOKUP(C161,PAYAll,5,0)=0),"",VLOOKUP(C161,PAYAll,5,0))</f>
        <v/>
      </c>
      <c r="O161" s="741"/>
      <c r="P161" s="740" t="str">
        <f ca="1">IF(OR($A$2=1,ROP!$E$33=1,C161="",VLOOKUP(C161,PAYAll,6,0)=0),"",VLOOKUP(C161,PAYAll,6,0))</f>
        <v/>
      </c>
      <c r="Q161" s="741"/>
      <c r="R161" s="740" t="str">
        <f ca="1">IF(OR($A$2=1,ROP!$F$33=1,C161="",VLOOKUP(C161,PAYAll,7,0)=0),"",VLOOKUP(C161,PAYAll,7,0))</f>
        <v/>
      </c>
      <c r="S161" s="741"/>
      <c r="T161" s="740" t="str">
        <f ca="1">IF(OR($A$2=1,ROP!$G$33=1,C161="",VLOOKUP(C161,PAYAll,8,0)=0),"",VLOOKUP(C161,PAYAll,8,0))</f>
        <v/>
      </c>
      <c r="U161" s="741"/>
    </row>
    <row r="162" spans="1:21" ht="11.1" hidden="1" customHeight="1">
      <c r="A162" s="10"/>
      <c r="B162" s="58">
        <v>5</v>
      </c>
      <c r="C162" s="58">
        <f ca="1">IF(OR($A$2=1,MAX($C$158:C161)&gt;=Total!$C$18),"",C161+(B162-B161))</f>
        <v>36</v>
      </c>
      <c r="D162" s="732">
        <f t="shared" ca="1" si="3"/>
        <v>43810</v>
      </c>
      <c r="E162" s="738"/>
      <c r="F162" s="738"/>
      <c r="G162" s="739"/>
      <c r="H162" s="740">
        <f ca="1">IF(OR($A$2=1,'OP1'!$D$53=1,C162="",VLOOKUP(C162,PAYAll,3,0)=0),"",VLOOKUP(C162,PAYAll,3,0))</f>
        <v>5247</v>
      </c>
      <c r="I162" s="741"/>
      <c r="J162" s="740">
        <f ca="1">IF(OR($A$2=1,OP!$D$53=1,C162="",VLOOKUP(C162,PAYAll,2,0)=0),"",VLOOKUP(C162,PAYAll,2,0))</f>
        <v>3515</v>
      </c>
      <c r="K162" s="741"/>
      <c r="L162" s="740" t="str">
        <f ca="1">IF(OR($A$2=1,ROP!$C$33=1,C162="",VLOOKUP(C162,PAYAll,4,0)=0),"",VLOOKUP(C162,PAYAll,4,0))</f>
        <v/>
      </c>
      <c r="M162" s="741"/>
      <c r="N162" s="740" t="str">
        <f ca="1">IF(OR($A$2=1,ROP!$D$33=1,C162="",VLOOKUP(C162,PAYAll,5,0)=0),"",VLOOKUP(C162,PAYAll,5,0))</f>
        <v/>
      </c>
      <c r="O162" s="741"/>
      <c r="P162" s="740" t="str">
        <f ca="1">IF(OR($A$2=1,ROP!$E$33=1,C162="",VLOOKUP(C162,PAYAll,6,0)=0),"",VLOOKUP(C162,PAYAll,6,0))</f>
        <v/>
      </c>
      <c r="Q162" s="741"/>
      <c r="R162" s="740" t="str">
        <f ca="1">IF(OR($A$2=1,ROP!$F$33=1,C162="",VLOOKUP(C162,PAYAll,7,0)=0),"",VLOOKUP(C162,PAYAll,7,0))</f>
        <v/>
      </c>
      <c r="S162" s="741"/>
      <c r="T162" s="740" t="str">
        <f ca="1">IF(OR($A$2=1,ROP!$G$33=1,C162="",VLOOKUP(C162,PAYAll,8,0)=0),"",VLOOKUP(C162,PAYAll,8,0))</f>
        <v/>
      </c>
      <c r="U162" s="741"/>
    </row>
    <row r="163" spans="1:21" ht="11.1" hidden="1" customHeight="1">
      <c r="A163" s="10"/>
      <c r="B163" s="58">
        <v>6</v>
      </c>
      <c r="C163" s="58">
        <f ca="1">IF(OR($A$2=1,MAX($C$158:C162)&gt;=Total!$C$18),"",C162+(B163-B162))</f>
        <v>37</v>
      </c>
      <c r="D163" s="732">
        <f t="shared" ca="1" si="3"/>
        <v>52572</v>
      </c>
      <c r="E163" s="738"/>
      <c r="F163" s="738"/>
      <c r="G163" s="739"/>
      <c r="H163" s="740">
        <f ca="1">IF(OR($A$2=1,'OP1'!$D$53=1,C163="",VLOOKUP(C163,PAYAll,3,0)=0),"",VLOOKUP(C163,PAYAll,3,0))</f>
        <v>5247</v>
      </c>
      <c r="I163" s="741"/>
      <c r="J163" s="740">
        <f ca="1">IF(OR($A$2=1,OP!$D$53=1,C163="",VLOOKUP(C163,PAYAll,2,0)=0),"",VLOOKUP(C163,PAYAll,2,0))</f>
        <v>3515</v>
      </c>
      <c r="K163" s="741"/>
      <c r="L163" s="740" t="str">
        <f ca="1">IF(OR($A$2=1,ROP!$C$33=1,C163="",VLOOKUP(C163,PAYAll,4,0)=0),"",VLOOKUP(C163,PAYAll,4,0))</f>
        <v/>
      </c>
      <c r="M163" s="741"/>
      <c r="N163" s="740" t="str">
        <f ca="1">IF(OR($A$2=1,ROP!$D$33=1,C163="",VLOOKUP(C163,PAYAll,5,0)=0),"",VLOOKUP(C163,PAYAll,5,0))</f>
        <v/>
      </c>
      <c r="O163" s="741"/>
      <c r="P163" s="740" t="str">
        <f ca="1">IF(OR($A$2=1,ROP!$E$33=1,C163="",VLOOKUP(C163,PAYAll,6,0)=0),"",VLOOKUP(C163,PAYAll,6,0))</f>
        <v/>
      </c>
      <c r="Q163" s="741"/>
      <c r="R163" s="740" t="str">
        <f ca="1">IF(OR($A$2=1,ROP!$F$33=1,C163="",VLOOKUP(C163,PAYAll,7,0)=0),"",VLOOKUP(C163,PAYAll,7,0))</f>
        <v/>
      </c>
      <c r="S163" s="741"/>
      <c r="T163" s="740" t="str">
        <f ca="1">IF(OR($A$2=1,ROP!$G$33=1,C163="",VLOOKUP(C163,PAYAll,8,0)=0),"",VLOOKUP(C163,PAYAll,8,0))</f>
        <v/>
      </c>
      <c r="U163" s="741"/>
    </row>
    <row r="164" spans="1:21" ht="11.1" hidden="1" customHeight="1">
      <c r="A164" s="10"/>
      <c r="B164" s="58">
        <v>7</v>
      </c>
      <c r="C164" s="58">
        <f ca="1">IF(OR($A$2=1,MAX($C$158:C163)&gt;=Total!$C$18),"",C163+(B164-B163))</f>
        <v>38</v>
      </c>
      <c r="D164" s="732">
        <f t="shared" ca="1" si="3"/>
        <v>61334</v>
      </c>
      <c r="E164" s="738"/>
      <c r="F164" s="738"/>
      <c r="G164" s="739"/>
      <c r="H164" s="740">
        <f ca="1">IF(OR($A$2=1,'OP1'!$D$53=1,C164="",VLOOKUP(C164,PAYAll,3,0)=0),"",VLOOKUP(C164,PAYAll,3,0))</f>
        <v>5247</v>
      </c>
      <c r="I164" s="741"/>
      <c r="J164" s="740">
        <f ca="1">IF(OR($A$2=1,OP!$D$53=1,C164="",VLOOKUP(C164,PAYAll,2,0)=0),"",VLOOKUP(C164,PAYAll,2,0))</f>
        <v>3515</v>
      </c>
      <c r="K164" s="741"/>
      <c r="L164" s="740" t="str">
        <f ca="1">IF(OR($A$2=1,ROP!$C$33=1,C164="",VLOOKUP(C164,PAYAll,4,0)=0),"",VLOOKUP(C164,PAYAll,4,0))</f>
        <v/>
      </c>
      <c r="M164" s="741"/>
      <c r="N164" s="740" t="str">
        <f ca="1">IF(OR($A$2=1,ROP!$D$33=1,C164="",VLOOKUP(C164,PAYAll,5,0)=0),"",VLOOKUP(C164,PAYAll,5,0))</f>
        <v/>
      </c>
      <c r="O164" s="741"/>
      <c r="P164" s="740" t="str">
        <f ca="1">IF(OR($A$2=1,ROP!$E$33=1,C164="",VLOOKUP(C164,PAYAll,6,0)=0),"",VLOOKUP(C164,PAYAll,6,0))</f>
        <v/>
      </c>
      <c r="Q164" s="741"/>
      <c r="R164" s="740" t="str">
        <f ca="1">IF(OR($A$2=1,ROP!$F$33=1,C164="",VLOOKUP(C164,PAYAll,7,0)=0),"",VLOOKUP(C164,PAYAll,7,0))</f>
        <v/>
      </c>
      <c r="S164" s="741"/>
      <c r="T164" s="740" t="str">
        <f ca="1">IF(OR($A$2=1,ROP!$G$33=1,C164="",VLOOKUP(C164,PAYAll,8,0)=0),"",VLOOKUP(C164,PAYAll,8,0))</f>
        <v/>
      </c>
      <c r="U164" s="741"/>
    </row>
    <row r="165" spans="1:21" ht="11.1" hidden="1" customHeight="1">
      <c r="A165" s="10"/>
      <c r="B165" s="58">
        <v>8</v>
      </c>
      <c r="C165" s="58">
        <f ca="1">IF(OR($A$2=1,MAX($C$158:C164)&gt;=Total!$C$18),"",C164+(B165-B164))</f>
        <v>39</v>
      </c>
      <c r="D165" s="732">
        <f t="shared" ca="1" si="3"/>
        <v>70096</v>
      </c>
      <c r="E165" s="738"/>
      <c r="F165" s="738"/>
      <c r="G165" s="739"/>
      <c r="H165" s="740">
        <f ca="1">IF(OR($A$2=1,'OP1'!$D$53=1,C165="",VLOOKUP(C165,PAYAll,3,0)=0),"",VLOOKUP(C165,PAYAll,3,0))</f>
        <v>5247</v>
      </c>
      <c r="I165" s="741"/>
      <c r="J165" s="740">
        <f ca="1">IF(OR($A$2=1,OP!$D$53=1,C165="",VLOOKUP(C165,PAYAll,2,0)=0),"",VLOOKUP(C165,PAYAll,2,0))</f>
        <v>3515</v>
      </c>
      <c r="K165" s="741"/>
      <c r="L165" s="740" t="str">
        <f ca="1">IF(OR($A$2=1,ROP!$C$33=1,C165="",VLOOKUP(C165,PAYAll,4,0)=0),"",VLOOKUP(C165,PAYAll,4,0))</f>
        <v/>
      </c>
      <c r="M165" s="741"/>
      <c r="N165" s="740" t="str">
        <f ca="1">IF(OR($A$2=1,ROP!$D$33=1,C165="",VLOOKUP(C165,PAYAll,5,0)=0),"",VLOOKUP(C165,PAYAll,5,0))</f>
        <v/>
      </c>
      <c r="O165" s="741"/>
      <c r="P165" s="740" t="str">
        <f ca="1">IF(OR($A$2=1,ROP!$E$33=1,C165="",VLOOKUP(C165,PAYAll,6,0)=0),"",VLOOKUP(C165,PAYAll,6,0))</f>
        <v/>
      </c>
      <c r="Q165" s="741"/>
      <c r="R165" s="740" t="str">
        <f ca="1">IF(OR($A$2=1,ROP!$F$33=1,C165="",VLOOKUP(C165,PAYAll,7,0)=0),"",VLOOKUP(C165,PAYAll,7,0))</f>
        <v/>
      </c>
      <c r="S165" s="741"/>
      <c r="T165" s="740" t="str">
        <f ca="1">IF(OR($A$2=1,ROP!$G$33=1,C165="",VLOOKUP(C165,PAYAll,8,0)=0),"",VLOOKUP(C165,PAYAll,8,0))</f>
        <v/>
      </c>
      <c r="U165" s="741"/>
    </row>
    <row r="166" spans="1:21" ht="11.1" hidden="1" customHeight="1">
      <c r="A166" s="10"/>
      <c r="B166" s="58">
        <v>9</v>
      </c>
      <c r="C166" s="58">
        <f ca="1">IF(OR($A$2=1,MAX($C$158:C165)&gt;=Total!$C$18),"",C165+(B166-B165))</f>
        <v>40</v>
      </c>
      <c r="D166" s="732">
        <f t="shared" ca="1" si="3"/>
        <v>78858</v>
      </c>
      <c r="E166" s="738"/>
      <c r="F166" s="738"/>
      <c r="G166" s="739"/>
      <c r="H166" s="740">
        <f ca="1">IF(OR($A$2=1,'OP1'!$D$53=1,C166="",VLOOKUP(C166,PAYAll,3,0)=0),"",VLOOKUP(C166,PAYAll,3,0))</f>
        <v>5247</v>
      </c>
      <c r="I166" s="741"/>
      <c r="J166" s="740">
        <f ca="1">IF(OR($A$2=1,OP!$D$53=1,C166="",VLOOKUP(C166,PAYAll,2,0)=0),"",VLOOKUP(C166,PAYAll,2,0))</f>
        <v>3515</v>
      </c>
      <c r="K166" s="741"/>
      <c r="L166" s="740" t="str">
        <f ca="1">IF(OR($A$2=1,ROP!$C$33=1,C166="",VLOOKUP(C166,PAYAll,4,0)=0),"",VLOOKUP(C166,PAYAll,4,0))</f>
        <v/>
      </c>
      <c r="M166" s="741"/>
      <c r="N166" s="740" t="str">
        <f ca="1">IF(OR($A$2=1,ROP!$D$33=1,C166="",VLOOKUP(C166,PAYAll,5,0)=0),"",VLOOKUP(C166,PAYAll,5,0))</f>
        <v/>
      </c>
      <c r="O166" s="741"/>
      <c r="P166" s="740" t="str">
        <f ca="1">IF(OR($A$2=1,ROP!$E$33=1,C166="",VLOOKUP(C166,PAYAll,6,0)=0),"",VLOOKUP(C166,PAYAll,6,0))</f>
        <v/>
      </c>
      <c r="Q166" s="741"/>
      <c r="R166" s="740" t="str">
        <f ca="1">IF(OR($A$2=1,ROP!$F$33=1,C166="",VLOOKUP(C166,PAYAll,7,0)=0),"",VLOOKUP(C166,PAYAll,7,0))</f>
        <v/>
      </c>
      <c r="S166" s="741"/>
      <c r="T166" s="740" t="str">
        <f ca="1">IF(OR($A$2=1,ROP!$G$33=1,C166="",VLOOKUP(C166,PAYAll,8,0)=0),"",VLOOKUP(C166,PAYAll,8,0))</f>
        <v/>
      </c>
      <c r="U166" s="741"/>
    </row>
    <row r="167" spans="1:21" ht="11.1" hidden="1" customHeight="1">
      <c r="A167" s="10"/>
      <c r="B167" s="58">
        <v>10</v>
      </c>
      <c r="C167" s="58">
        <f ca="1">IF(OR($A$2=1,MAX($C$158:C166)&gt;=Total!$C$18),"",C166+(B167-B166))</f>
        <v>41</v>
      </c>
      <c r="D167" s="732">
        <f t="shared" ca="1" si="3"/>
        <v>87620</v>
      </c>
      <c r="E167" s="738"/>
      <c r="F167" s="738"/>
      <c r="G167" s="739"/>
      <c r="H167" s="740">
        <f ca="1">IF(OR($A$2=1,'OP1'!$D$53=1,C167="",VLOOKUP(C167,PAYAll,3,0)=0),"",VLOOKUP(C167,PAYAll,3,0))</f>
        <v>5247</v>
      </c>
      <c r="I167" s="741"/>
      <c r="J167" s="740">
        <f ca="1">IF(OR($A$2=1,OP!$D$53=1,C167="",VLOOKUP(C167,PAYAll,2,0)=0),"",VLOOKUP(C167,PAYAll,2,0))</f>
        <v>3515</v>
      </c>
      <c r="K167" s="741"/>
      <c r="L167" s="740" t="str">
        <f ca="1">IF(OR($A$2=1,ROP!$C$33=1,C167="",VLOOKUP(C167,PAYAll,4,0)=0),"",VLOOKUP(C167,PAYAll,4,0))</f>
        <v/>
      </c>
      <c r="M167" s="741"/>
      <c r="N167" s="740" t="str">
        <f ca="1">IF(OR($A$2=1,ROP!$D$33=1,C167="",VLOOKUP(C167,PAYAll,5,0)=0),"",VLOOKUP(C167,PAYAll,5,0))</f>
        <v/>
      </c>
      <c r="O167" s="741"/>
      <c r="P167" s="740" t="str">
        <f ca="1">IF(OR($A$2=1,ROP!$E$33=1,C167="",VLOOKUP(C167,PAYAll,6,0)=0),"",VLOOKUP(C167,PAYAll,6,0))</f>
        <v/>
      </c>
      <c r="Q167" s="741"/>
      <c r="R167" s="740" t="str">
        <f ca="1">IF(OR($A$2=1,ROP!$F$33=1,C167="",VLOOKUP(C167,PAYAll,7,0)=0),"",VLOOKUP(C167,PAYAll,7,0))</f>
        <v/>
      </c>
      <c r="S167" s="741"/>
      <c r="T167" s="740" t="str">
        <f ca="1">IF(OR($A$2=1,ROP!$G$33=1,C167="",VLOOKUP(C167,PAYAll,8,0)=0),"",VLOOKUP(C167,PAYAll,8,0))</f>
        <v/>
      </c>
      <c r="U167" s="741"/>
    </row>
    <row r="168" spans="1:21" ht="5.0999999999999996" hidden="1" customHeight="1">
      <c r="A168" s="10"/>
      <c r="B168" s="386"/>
      <c r="C168" s="387"/>
      <c r="D168" s="233"/>
      <c r="E168" s="233"/>
      <c r="F168" s="233"/>
      <c r="G168" s="233"/>
      <c r="H168" s="233"/>
      <c r="I168" s="233"/>
      <c r="J168" s="233"/>
      <c r="K168" s="233"/>
      <c r="L168" s="233"/>
      <c r="M168" s="233"/>
      <c r="N168" s="233"/>
      <c r="O168" s="233"/>
      <c r="P168" s="233"/>
      <c r="Q168" s="387"/>
      <c r="R168" s="559"/>
      <c r="S168" s="559"/>
      <c r="T168" s="387"/>
      <c r="U168" s="387"/>
    </row>
    <row r="169" spans="1:21" ht="11.1" hidden="1" customHeight="1">
      <c r="A169" s="10"/>
      <c r="B169" s="415">
        <v>1</v>
      </c>
      <c r="C169" s="415">
        <f ca="1">IF(OR($A$2=1,MAX($C$158:C167)&gt;=Total!$C$18),"",C167+B169)</f>
        <v>42</v>
      </c>
      <c r="D169" s="742">
        <f t="shared" ref="D169:D178" ca="1" si="4">IF(OR($A$2=1,C169="",VLOOKUP(C169,PAYAll,11,0)=0),"",VLOOKUP(C169,PAYAll,11,0))</f>
        <v>5198</v>
      </c>
      <c r="E169" s="743"/>
      <c r="F169" s="743"/>
      <c r="G169" s="744"/>
      <c r="H169" s="734" t="str">
        <f ca="1">IF(OR($A$2=1,'OP1'!$D$53=1,C169="",VLOOKUP(C169,PAYAll,3,0)=0),"",VLOOKUP(C169,PAYAll,3,0))</f>
        <v/>
      </c>
      <c r="I169" s="735"/>
      <c r="J169" s="734">
        <f ca="1">IF(OR($A$2=1,OP!$D$53=1,C169="",VLOOKUP(C169,PAYAll,2,0)=0),"",VLOOKUP(C169,PAYAll,2,0))</f>
        <v>5198</v>
      </c>
      <c r="K169" s="735"/>
      <c r="L169" s="734" t="str">
        <f ca="1">IF(OR($A$2=1,ROP!$C$33=1,C169="",VLOOKUP(C169,PAYAll,4,0)=0),"",VLOOKUP(C169,PAYAll,4,0))</f>
        <v/>
      </c>
      <c r="M169" s="735"/>
      <c r="N169" s="734" t="str">
        <f ca="1">IF(OR($A$2=1,ROP!$D$33=1,C169="",VLOOKUP(C169,PAYAll,5,0)=0),"",VLOOKUP(C169,PAYAll,5,0))</f>
        <v/>
      </c>
      <c r="O169" s="735"/>
      <c r="P169" s="734" t="str">
        <f ca="1">IF(OR($A$2=1,ROP!$E$33=1,C169="",VLOOKUP(C169,PAYAll,6,0)=0),"",VLOOKUP(C169,PAYAll,6,0))</f>
        <v/>
      </c>
      <c r="Q169" s="735"/>
      <c r="R169" s="734" t="str">
        <f ca="1">IF(OR($A$2=1,ROP!$F$33=1,C169="",VLOOKUP(C169,PAYAll,7,0)=0),"",VLOOKUP(C169,PAYAll,7,0))</f>
        <v/>
      </c>
      <c r="S169" s="735"/>
      <c r="T169" s="734" t="str">
        <f ca="1">IF(OR($A$2=1,ROP!$G$33=1,C169="",VLOOKUP(C169,PAYAll,8,0)=0),"",VLOOKUP(C169,PAYAll,8,0))</f>
        <v/>
      </c>
      <c r="U169" s="735"/>
    </row>
    <row r="170" spans="1:21" ht="11.1" hidden="1" customHeight="1">
      <c r="A170" s="10"/>
      <c r="B170" s="415">
        <v>2</v>
      </c>
      <c r="C170" s="415">
        <f ca="1">IF(OR($A$2=1,MAX($C$158:C169)&gt;=Total!$C$18),"",C169+(B170-B169))</f>
        <v>43</v>
      </c>
      <c r="D170" s="742">
        <f t="shared" ca="1" si="4"/>
        <v>10396</v>
      </c>
      <c r="E170" s="743"/>
      <c r="F170" s="743"/>
      <c r="G170" s="744"/>
      <c r="H170" s="734" t="str">
        <f ca="1">IF(OR($A$2=1,'OP1'!$D$53=1,C170="",VLOOKUP(C170,PAYAll,3,0)=0),"",VLOOKUP(C170,PAYAll,3,0))</f>
        <v/>
      </c>
      <c r="I170" s="735"/>
      <c r="J170" s="734">
        <f ca="1">IF(OR($A$2=1,OP!$D$53=1,C170="",VLOOKUP(C170,PAYAll,2,0)=0),"",VLOOKUP(C170,PAYAll,2,0))</f>
        <v>5198</v>
      </c>
      <c r="K170" s="735"/>
      <c r="L170" s="734" t="str">
        <f ca="1">IF(OR($A$2=1,ROP!$C$33=1,C170="",VLOOKUP(C170,PAYAll,4,0)=0),"",VLOOKUP(C170,PAYAll,4,0))</f>
        <v/>
      </c>
      <c r="M170" s="735"/>
      <c r="N170" s="734" t="str">
        <f ca="1">IF(OR($A$2=1,ROP!$D$33=1,C170="",VLOOKUP(C170,PAYAll,5,0)=0),"",VLOOKUP(C170,PAYAll,5,0))</f>
        <v/>
      </c>
      <c r="O170" s="735"/>
      <c r="P170" s="734" t="str">
        <f ca="1">IF(OR($A$2=1,ROP!$E$33=1,C170="",VLOOKUP(C170,PAYAll,6,0)=0),"",VLOOKUP(C170,PAYAll,6,0))</f>
        <v/>
      </c>
      <c r="Q170" s="735"/>
      <c r="R170" s="734" t="str">
        <f ca="1">IF(OR($A$2=1,ROP!$F$33=1,C170="",VLOOKUP(C170,PAYAll,7,0)=0),"",VLOOKUP(C170,PAYAll,7,0))</f>
        <v/>
      </c>
      <c r="S170" s="735"/>
      <c r="T170" s="734" t="str">
        <f ca="1">IF(OR($A$2=1,ROP!$G$33=1,C170="",VLOOKUP(C170,PAYAll,8,0)=0),"",VLOOKUP(C170,PAYAll,8,0))</f>
        <v/>
      </c>
      <c r="U170" s="735"/>
    </row>
    <row r="171" spans="1:21" ht="11.1" hidden="1" customHeight="1">
      <c r="A171" s="10"/>
      <c r="B171" s="415">
        <v>3</v>
      </c>
      <c r="C171" s="415">
        <f ca="1">IF(OR($A$2=1,MAX($C$158:C170)&gt;=Total!$C$18),"",C170+(B171-B170))</f>
        <v>44</v>
      </c>
      <c r="D171" s="742">
        <f t="shared" ca="1" si="4"/>
        <v>15594</v>
      </c>
      <c r="E171" s="743"/>
      <c r="F171" s="743"/>
      <c r="G171" s="744"/>
      <c r="H171" s="734" t="str">
        <f ca="1">IF(OR($A$2=1,'OP1'!$D$53=1,C171="",VLOOKUP(C171,PAYAll,3,0)=0),"",VLOOKUP(C171,PAYAll,3,0))</f>
        <v/>
      </c>
      <c r="I171" s="735"/>
      <c r="J171" s="734">
        <f ca="1">IF(OR($A$2=1,OP!$D$53=1,C171="",VLOOKUP(C171,PAYAll,2,0)=0),"",VLOOKUP(C171,PAYAll,2,0))</f>
        <v>5198</v>
      </c>
      <c r="K171" s="735"/>
      <c r="L171" s="734" t="str">
        <f ca="1">IF(OR($A$2=1,ROP!$C$33=1,C171="",VLOOKUP(C171,PAYAll,4,0)=0),"",VLOOKUP(C171,PAYAll,4,0))</f>
        <v/>
      </c>
      <c r="M171" s="735"/>
      <c r="N171" s="734" t="str">
        <f ca="1">IF(OR($A$2=1,ROP!$D$33=1,C171="",VLOOKUP(C171,PAYAll,5,0)=0),"",VLOOKUP(C171,PAYAll,5,0))</f>
        <v/>
      </c>
      <c r="O171" s="735"/>
      <c r="P171" s="734" t="str">
        <f ca="1">IF(OR($A$2=1,ROP!$E$33=1,C171="",VLOOKUP(C171,PAYAll,6,0)=0),"",VLOOKUP(C171,PAYAll,6,0))</f>
        <v/>
      </c>
      <c r="Q171" s="735"/>
      <c r="R171" s="734" t="str">
        <f ca="1">IF(OR($A$2=1,ROP!$F$33=1,C171="",VLOOKUP(C171,PAYAll,7,0)=0),"",VLOOKUP(C171,PAYAll,7,0))</f>
        <v/>
      </c>
      <c r="S171" s="735"/>
      <c r="T171" s="734" t="str">
        <f ca="1">IF(OR($A$2=1,ROP!$G$33=1,C171="",VLOOKUP(C171,PAYAll,8,0)=0),"",VLOOKUP(C171,PAYAll,8,0))</f>
        <v/>
      </c>
      <c r="U171" s="735"/>
    </row>
    <row r="172" spans="1:21" ht="11.1" hidden="1" customHeight="1">
      <c r="A172" s="10"/>
      <c r="B172" s="415">
        <v>4</v>
      </c>
      <c r="C172" s="415">
        <f ca="1">IF(OR($A$2=1,MAX($C$158:C171)&gt;=Total!$C$18),"",C171+(B172-B171))</f>
        <v>45</v>
      </c>
      <c r="D172" s="742">
        <f t="shared" ca="1" si="4"/>
        <v>20792</v>
      </c>
      <c r="E172" s="743"/>
      <c r="F172" s="743"/>
      <c r="G172" s="744"/>
      <c r="H172" s="734" t="str">
        <f ca="1">IF(OR($A$2=1,'OP1'!$D$53=1,C172="",VLOOKUP(C172,PAYAll,3,0)=0),"",VLOOKUP(C172,PAYAll,3,0))</f>
        <v/>
      </c>
      <c r="I172" s="735"/>
      <c r="J172" s="734">
        <f ca="1">IF(OR($A$2=1,OP!$D$53=1,C172="",VLOOKUP(C172,PAYAll,2,0)=0),"",VLOOKUP(C172,PAYAll,2,0))</f>
        <v>5198</v>
      </c>
      <c r="K172" s="735"/>
      <c r="L172" s="734" t="str">
        <f ca="1">IF(OR($A$2=1,ROP!$C$33=1,C172="",VLOOKUP(C172,PAYAll,4,0)=0),"",VLOOKUP(C172,PAYAll,4,0))</f>
        <v/>
      </c>
      <c r="M172" s="735"/>
      <c r="N172" s="734" t="str">
        <f ca="1">IF(OR($A$2=1,ROP!$D$33=1,C172="",VLOOKUP(C172,PAYAll,5,0)=0),"",VLOOKUP(C172,PAYAll,5,0))</f>
        <v/>
      </c>
      <c r="O172" s="735"/>
      <c r="P172" s="734" t="str">
        <f ca="1">IF(OR($A$2=1,ROP!$E$33=1,C172="",VLOOKUP(C172,PAYAll,6,0)=0),"",VLOOKUP(C172,PAYAll,6,0))</f>
        <v/>
      </c>
      <c r="Q172" s="735"/>
      <c r="R172" s="734" t="str">
        <f ca="1">IF(OR($A$2=1,ROP!$F$33=1,C172="",VLOOKUP(C172,PAYAll,7,0)=0),"",VLOOKUP(C172,PAYAll,7,0))</f>
        <v/>
      </c>
      <c r="S172" s="735"/>
      <c r="T172" s="734" t="str">
        <f ca="1">IF(OR($A$2=1,ROP!$G$33=1,C172="",VLOOKUP(C172,PAYAll,8,0)=0),"",VLOOKUP(C172,PAYAll,8,0))</f>
        <v/>
      </c>
      <c r="U172" s="735"/>
    </row>
    <row r="173" spans="1:21" ht="11.1" hidden="1" customHeight="1">
      <c r="A173" s="10"/>
      <c r="B173" s="415">
        <v>5</v>
      </c>
      <c r="C173" s="415">
        <f ca="1">IF(OR($A$2=1,MAX($C$158:C172)&gt;=Total!$C$18),"",C172+(B173-B172))</f>
        <v>46</v>
      </c>
      <c r="D173" s="742">
        <f t="shared" ca="1" si="4"/>
        <v>25990</v>
      </c>
      <c r="E173" s="743"/>
      <c r="F173" s="743"/>
      <c r="G173" s="744"/>
      <c r="H173" s="734" t="str">
        <f ca="1">IF(OR($A$2=1,'OP1'!$D$53=1,C173="",VLOOKUP(C173,PAYAll,3,0)=0),"",VLOOKUP(C173,PAYAll,3,0))</f>
        <v/>
      </c>
      <c r="I173" s="735"/>
      <c r="J173" s="734">
        <f ca="1">IF(OR($A$2=1,OP!$D$53=1,C173="",VLOOKUP(C173,PAYAll,2,0)=0),"",VLOOKUP(C173,PAYAll,2,0))</f>
        <v>5198</v>
      </c>
      <c r="K173" s="735"/>
      <c r="L173" s="734" t="str">
        <f ca="1">IF(OR($A$2=1,ROP!$C$33=1,C173="",VLOOKUP(C173,PAYAll,4,0)=0),"",VLOOKUP(C173,PAYAll,4,0))</f>
        <v/>
      </c>
      <c r="M173" s="735"/>
      <c r="N173" s="734" t="str">
        <f ca="1">IF(OR($A$2=1,ROP!$D$33=1,C173="",VLOOKUP(C173,PAYAll,5,0)=0),"",VLOOKUP(C173,PAYAll,5,0))</f>
        <v/>
      </c>
      <c r="O173" s="735"/>
      <c r="P173" s="734" t="str">
        <f ca="1">IF(OR($A$2=1,ROP!$E$33=1,C173="",VLOOKUP(C173,PAYAll,6,0)=0),"",VLOOKUP(C173,PAYAll,6,0))</f>
        <v/>
      </c>
      <c r="Q173" s="735"/>
      <c r="R173" s="734" t="str">
        <f ca="1">IF(OR($A$2=1,ROP!$F$33=1,C173="",VLOOKUP(C173,PAYAll,7,0)=0),"",VLOOKUP(C173,PAYAll,7,0))</f>
        <v/>
      </c>
      <c r="S173" s="735"/>
      <c r="T173" s="734" t="str">
        <f ca="1">IF(OR($A$2=1,ROP!$G$33=1,C173="",VLOOKUP(C173,PAYAll,8,0)=0),"",VLOOKUP(C173,PAYAll,8,0))</f>
        <v/>
      </c>
      <c r="U173" s="735"/>
    </row>
    <row r="174" spans="1:21" ht="11.1" hidden="1" customHeight="1">
      <c r="A174" s="10"/>
      <c r="B174" s="415">
        <v>6</v>
      </c>
      <c r="C174" s="415">
        <f ca="1">IF(OR($A$2=1,MAX($C$158:C173)&gt;=Total!$C$18),"",C173+(B174-B173))</f>
        <v>47</v>
      </c>
      <c r="D174" s="742">
        <f t="shared" ca="1" si="4"/>
        <v>31188</v>
      </c>
      <c r="E174" s="743"/>
      <c r="F174" s="743"/>
      <c r="G174" s="744"/>
      <c r="H174" s="734" t="str">
        <f ca="1">IF(OR($A$2=1,'OP1'!$D$53=1,C174="",VLOOKUP(C174,PAYAll,3,0)=0),"",VLOOKUP(C174,PAYAll,3,0))</f>
        <v/>
      </c>
      <c r="I174" s="735"/>
      <c r="J174" s="734">
        <f ca="1">IF(OR($A$2=1,OP!$D$53=1,C174="",VLOOKUP(C174,PAYAll,2,0)=0),"",VLOOKUP(C174,PAYAll,2,0))</f>
        <v>5198</v>
      </c>
      <c r="K174" s="735"/>
      <c r="L174" s="734" t="str">
        <f ca="1">IF(OR($A$2=1,ROP!$C$33=1,C174="",VLOOKUP(C174,PAYAll,4,0)=0),"",VLOOKUP(C174,PAYAll,4,0))</f>
        <v/>
      </c>
      <c r="M174" s="735"/>
      <c r="N174" s="734" t="str">
        <f ca="1">IF(OR($A$2=1,ROP!$D$33=1,C174="",VLOOKUP(C174,PAYAll,5,0)=0),"",VLOOKUP(C174,PAYAll,5,0))</f>
        <v/>
      </c>
      <c r="O174" s="735"/>
      <c r="P174" s="734" t="str">
        <f ca="1">IF(OR($A$2=1,ROP!$E$33=1,C174="",VLOOKUP(C174,PAYAll,6,0)=0),"",VLOOKUP(C174,PAYAll,6,0))</f>
        <v/>
      </c>
      <c r="Q174" s="735"/>
      <c r="R174" s="734" t="str">
        <f ca="1">IF(OR($A$2=1,ROP!$F$33=1,C174="",VLOOKUP(C174,PAYAll,7,0)=0),"",VLOOKUP(C174,PAYAll,7,0))</f>
        <v/>
      </c>
      <c r="S174" s="735"/>
      <c r="T174" s="734" t="str">
        <f ca="1">IF(OR($A$2=1,ROP!$G$33=1,C174="",VLOOKUP(C174,PAYAll,8,0)=0),"",VLOOKUP(C174,PAYAll,8,0))</f>
        <v/>
      </c>
      <c r="U174" s="735"/>
    </row>
    <row r="175" spans="1:21" ht="11.1" hidden="1" customHeight="1">
      <c r="A175" s="10"/>
      <c r="B175" s="415">
        <v>7</v>
      </c>
      <c r="C175" s="415">
        <f ca="1">IF(OR($A$2=1,MAX($C$158:C174)&gt;=Total!$C$18),"",C174+(B175-B174))</f>
        <v>48</v>
      </c>
      <c r="D175" s="742">
        <f t="shared" ca="1" si="4"/>
        <v>36386</v>
      </c>
      <c r="E175" s="743"/>
      <c r="F175" s="743"/>
      <c r="G175" s="744"/>
      <c r="H175" s="734" t="str">
        <f ca="1">IF(OR($A$2=1,'OP1'!$D$53=1,C175="",VLOOKUP(C175,PAYAll,3,0)=0),"",VLOOKUP(C175,PAYAll,3,0))</f>
        <v/>
      </c>
      <c r="I175" s="735"/>
      <c r="J175" s="734">
        <f ca="1">IF(OR($A$2=1,OP!$D$53=1,C175="",VLOOKUP(C175,PAYAll,2,0)=0),"",VLOOKUP(C175,PAYAll,2,0))</f>
        <v>5198</v>
      </c>
      <c r="K175" s="735"/>
      <c r="L175" s="734" t="str">
        <f ca="1">IF(OR($A$2=1,ROP!$C$33=1,C175="",VLOOKUP(C175,PAYAll,4,0)=0),"",VLOOKUP(C175,PAYAll,4,0))</f>
        <v/>
      </c>
      <c r="M175" s="735"/>
      <c r="N175" s="734" t="str">
        <f ca="1">IF(OR($A$2=1,ROP!$D$33=1,C175="",VLOOKUP(C175,PAYAll,5,0)=0),"",VLOOKUP(C175,PAYAll,5,0))</f>
        <v/>
      </c>
      <c r="O175" s="735"/>
      <c r="P175" s="734" t="str">
        <f ca="1">IF(OR($A$2=1,ROP!$E$33=1,C175="",VLOOKUP(C175,PAYAll,6,0)=0),"",VLOOKUP(C175,PAYAll,6,0))</f>
        <v/>
      </c>
      <c r="Q175" s="735"/>
      <c r="R175" s="734" t="str">
        <f ca="1">IF(OR($A$2=1,ROP!$F$33=1,C175="",VLOOKUP(C175,PAYAll,7,0)=0),"",VLOOKUP(C175,PAYAll,7,0))</f>
        <v/>
      </c>
      <c r="S175" s="735"/>
      <c r="T175" s="734" t="str">
        <f ca="1">IF(OR($A$2=1,ROP!$G$33=1,C175="",VLOOKUP(C175,PAYAll,8,0)=0),"",VLOOKUP(C175,PAYAll,8,0))</f>
        <v/>
      </c>
      <c r="U175" s="735"/>
    </row>
    <row r="176" spans="1:21" ht="11.1" hidden="1" customHeight="1">
      <c r="A176" s="10"/>
      <c r="B176" s="415">
        <v>8</v>
      </c>
      <c r="C176" s="415">
        <f ca="1">IF(OR($A$2=1,MAX($C$158:C175)&gt;=Total!$C$18),"",C175+(B176-B175))</f>
        <v>49</v>
      </c>
      <c r="D176" s="742">
        <f t="shared" ca="1" si="4"/>
        <v>41584</v>
      </c>
      <c r="E176" s="743"/>
      <c r="F176" s="743"/>
      <c r="G176" s="744"/>
      <c r="H176" s="734" t="str">
        <f ca="1">IF(OR($A$2=1,'OP1'!$D$53=1,C176="",VLOOKUP(C176,PAYAll,3,0)=0),"",VLOOKUP(C176,PAYAll,3,0))</f>
        <v/>
      </c>
      <c r="I176" s="735"/>
      <c r="J176" s="734">
        <f ca="1">IF(OR($A$2=1,OP!$D$53=1,C176="",VLOOKUP(C176,PAYAll,2,0)=0),"",VLOOKUP(C176,PAYAll,2,0))</f>
        <v>5198</v>
      </c>
      <c r="K176" s="735"/>
      <c r="L176" s="734" t="str">
        <f ca="1">IF(OR($A$2=1,ROP!$C$33=1,C176="",VLOOKUP(C176,PAYAll,4,0)=0),"",VLOOKUP(C176,PAYAll,4,0))</f>
        <v/>
      </c>
      <c r="M176" s="735"/>
      <c r="N176" s="734" t="str">
        <f ca="1">IF(OR($A$2=1,ROP!$D$33=1,C176="",VLOOKUP(C176,PAYAll,5,0)=0),"",VLOOKUP(C176,PAYAll,5,0))</f>
        <v/>
      </c>
      <c r="O176" s="735"/>
      <c r="P176" s="734" t="str">
        <f ca="1">IF(OR($A$2=1,ROP!$E$33=1,C176="",VLOOKUP(C176,PAYAll,6,0)=0),"",VLOOKUP(C176,PAYAll,6,0))</f>
        <v/>
      </c>
      <c r="Q176" s="735"/>
      <c r="R176" s="734" t="str">
        <f ca="1">IF(OR($A$2=1,ROP!$F$33=1,C176="",VLOOKUP(C176,PAYAll,7,0)=0),"",VLOOKUP(C176,PAYAll,7,0))</f>
        <v/>
      </c>
      <c r="S176" s="735"/>
      <c r="T176" s="734" t="str">
        <f ca="1">IF(OR($A$2=1,ROP!$G$33=1,C176="",VLOOKUP(C176,PAYAll,8,0)=0),"",VLOOKUP(C176,PAYAll,8,0))</f>
        <v/>
      </c>
      <c r="U176" s="735"/>
    </row>
    <row r="177" spans="1:21" ht="11.1" hidden="1" customHeight="1">
      <c r="A177" s="10"/>
      <c r="B177" s="415">
        <v>9</v>
      </c>
      <c r="C177" s="415">
        <f ca="1">IF(OR($A$2=1,MAX($C$158:C176)&gt;=Total!$C$18),"",C176+(B177-B176))</f>
        <v>50</v>
      </c>
      <c r="D177" s="742">
        <f t="shared" ca="1" si="4"/>
        <v>46782</v>
      </c>
      <c r="E177" s="743"/>
      <c r="F177" s="743"/>
      <c r="G177" s="744"/>
      <c r="H177" s="734" t="str">
        <f ca="1">IF(OR($A$2=1,'OP1'!$D$53=1,C177="",VLOOKUP(C177,PAYAll,3,0)=0),"",VLOOKUP(C177,PAYAll,3,0))</f>
        <v/>
      </c>
      <c r="I177" s="735"/>
      <c r="J177" s="734">
        <f ca="1">IF(OR($A$2=1,OP!$D$53=1,C177="",VLOOKUP(C177,PAYAll,2,0)=0),"",VLOOKUP(C177,PAYAll,2,0))</f>
        <v>5198</v>
      </c>
      <c r="K177" s="735"/>
      <c r="L177" s="734" t="str">
        <f ca="1">IF(OR($A$2=1,ROP!$C$33=1,C177="",VLOOKUP(C177,PAYAll,4,0)=0),"",VLOOKUP(C177,PAYAll,4,0))</f>
        <v/>
      </c>
      <c r="M177" s="735"/>
      <c r="N177" s="734" t="str">
        <f ca="1">IF(OR($A$2=1,ROP!$D$33=1,C177="",VLOOKUP(C177,PAYAll,5,0)=0),"",VLOOKUP(C177,PAYAll,5,0))</f>
        <v/>
      </c>
      <c r="O177" s="735"/>
      <c r="P177" s="734" t="str">
        <f ca="1">IF(OR($A$2=1,ROP!$E$33=1,C177="",VLOOKUP(C177,PAYAll,6,0)=0),"",VLOOKUP(C177,PAYAll,6,0))</f>
        <v/>
      </c>
      <c r="Q177" s="735"/>
      <c r="R177" s="734" t="str">
        <f ca="1">IF(OR($A$2=1,ROP!$F$33=1,C177="",VLOOKUP(C177,PAYAll,7,0)=0),"",VLOOKUP(C177,PAYAll,7,0))</f>
        <v/>
      </c>
      <c r="S177" s="735"/>
      <c r="T177" s="734" t="str">
        <f ca="1">IF(OR($A$2=1,ROP!$G$33=1,C177="",VLOOKUP(C177,PAYAll,8,0)=0),"",VLOOKUP(C177,PAYAll,8,0))</f>
        <v/>
      </c>
      <c r="U177" s="735"/>
    </row>
    <row r="178" spans="1:21" ht="11.1" hidden="1" customHeight="1">
      <c r="A178" s="10"/>
      <c r="B178" s="415">
        <v>10</v>
      </c>
      <c r="C178" s="415">
        <f ca="1">IF(OR($A$2=1,MAX($C$158:C177)&gt;=Total!$C$18),"",C177+(B178-B177))</f>
        <v>51</v>
      </c>
      <c r="D178" s="742">
        <f t="shared" ca="1" si="4"/>
        <v>51980</v>
      </c>
      <c r="E178" s="743"/>
      <c r="F178" s="743"/>
      <c r="G178" s="744"/>
      <c r="H178" s="734" t="str">
        <f ca="1">IF(OR($A$2=1,'OP1'!$D$53=1,C178="",VLOOKUP(C178,PAYAll,3,0)=0),"",VLOOKUP(C178,PAYAll,3,0))</f>
        <v/>
      </c>
      <c r="I178" s="735"/>
      <c r="J178" s="734">
        <f ca="1">IF(OR($A$2=1,OP!$D$53=1,C178="",VLOOKUP(C178,PAYAll,2,0)=0),"",VLOOKUP(C178,PAYAll,2,0))</f>
        <v>5198</v>
      </c>
      <c r="K178" s="735"/>
      <c r="L178" s="734" t="str">
        <f ca="1">IF(OR($A$2=1,ROP!$C$33=1,C178="",VLOOKUP(C178,PAYAll,4,0)=0),"",VLOOKUP(C178,PAYAll,4,0))</f>
        <v/>
      </c>
      <c r="M178" s="735"/>
      <c r="N178" s="734" t="str">
        <f ca="1">IF(OR($A$2=1,ROP!$D$33=1,C178="",VLOOKUP(C178,PAYAll,5,0)=0),"",VLOOKUP(C178,PAYAll,5,0))</f>
        <v/>
      </c>
      <c r="O178" s="735"/>
      <c r="P178" s="734" t="str">
        <f ca="1">IF(OR($A$2=1,ROP!$E$33=1,C178="",VLOOKUP(C178,PAYAll,6,0)=0),"",VLOOKUP(C178,PAYAll,6,0))</f>
        <v/>
      </c>
      <c r="Q178" s="735"/>
      <c r="R178" s="734" t="str">
        <f ca="1">IF(OR($A$2=1,ROP!$F$33=1,C178="",VLOOKUP(C178,PAYAll,7,0)=0),"",VLOOKUP(C178,PAYAll,7,0))</f>
        <v/>
      </c>
      <c r="S178" s="735"/>
      <c r="T178" s="734" t="str">
        <f ca="1">IF(OR($A$2=1,ROP!$G$33=1,C178="",VLOOKUP(C178,PAYAll,8,0)=0),"",VLOOKUP(C178,PAYAll,8,0))</f>
        <v/>
      </c>
      <c r="U178" s="735"/>
    </row>
    <row r="179" spans="1:21" ht="5.0999999999999996" hidden="1" customHeight="1">
      <c r="A179" s="10"/>
      <c r="B179" s="386"/>
      <c r="C179" s="387"/>
      <c r="D179" s="233"/>
      <c r="E179" s="233"/>
      <c r="F179" s="233"/>
      <c r="G179" s="233"/>
      <c r="H179" s="233"/>
      <c r="I179" s="233"/>
      <c r="J179" s="233"/>
      <c r="K179" s="233"/>
      <c r="L179" s="233"/>
      <c r="M179" s="233"/>
      <c r="N179" s="233"/>
      <c r="O179" s="233"/>
      <c r="P179" s="233"/>
      <c r="Q179" s="387"/>
      <c r="R179" s="559"/>
      <c r="S179" s="559"/>
      <c r="T179" s="387"/>
      <c r="U179" s="387"/>
    </row>
    <row r="180" spans="1:21" ht="11.1" hidden="1" customHeight="1">
      <c r="A180" s="10"/>
      <c r="B180" s="58">
        <v>1</v>
      </c>
      <c r="C180" s="58">
        <f ca="1">IF(OR($A$2=1,MAX($C$158:C178)&gt;=Total!$C$18),"",C178+B180)</f>
        <v>52</v>
      </c>
      <c r="D180" s="732">
        <f t="shared" ref="D180:D189" ca="1" si="5">IF(OR($A$2=1,C180="",VLOOKUP(C180,PAYAll,11,0)=0),"",VLOOKUP(C180,PAYAll,11,0))</f>
        <v>9108</v>
      </c>
      <c r="E180" s="738"/>
      <c r="F180" s="738"/>
      <c r="G180" s="739"/>
      <c r="H180" s="740" t="str">
        <f ca="1">IF(OR($A$2=1,'OP1'!$D$53=1,C180="",VLOOKUP(C180,PAYAll,3,0)=0),"",VLOOKUP(C180,PAYAll,3,0))</f>
        <v/>
      </c>
      <c r="I180" s="741"/>
      <c r="J180" s="740">
        <f ca="1">IF(OR($A$2=1,OP!$D$53=1,C180="",VLOOKUP(C180,PAYAll,2,0)=0),"",VLOOKUP(C180,PAYAll,2,0))</f>
        <v>9108</v>
      </c>
      <c r="K180" s="741"/>
      <c r="L180" s="740" t="str">
        <f ca="1">IF(OR($A$2=1,ROP!$C$33=1,C180="",VLOOKUP(C180,PAYAll,4,0)=0),"",VLOOKUP(C180,PAYAll,4,0))</f>
        <v/>
      </c>
      <c r="M180" s="741"/>
      <c r="N180" s="740" t="str">
        <f ca="1">IF(OR($A$2=1,ROP!$D$33=1,C180="",VLOOKUP(C180,PAYAll,5,0)=0),"",VLOOKUP(C180,PAYAll,5,0))</f>
        <v/>
      </c>
      <c r="O180" s="741"/>
      <c r="P180" s="740" t="str">
        <f ca="1">IF(OR($A$2=1,ROP!$E$33=1,C180="",VLOOKUP(C180,PAYAll,6,0)=0),"",VLOOKUP(C180,PAYAll,6,0))</f>
        <v/>
      </c>
      <c r="Q180" s="741"/>
      <c r="R180" s="740" t="str">
        <f ca="1">IF(OR($A$2=1,ROP!$F$33=1,C180="",VLOOKUP(C180,PAYAll,7,0)=0),"",VLOOKUP(C180,PAYAll,7,0))</f>
        <v/>
      </c>
      <c r="S180" s="741"/>
      <c r="T180" s="740" t="str">
        <f ca="1">IF(OR($A$2=1,ROP!$G$33=1,C180="",VLOOKUP(C180,PAYAll,8,0)=0),"",VLOOKUP(C180,PAYAll,8,0))</f>
        <v/>
      </c>
      <c r="U180" s="741"/>
    </row>
    <row r="181" spans="1:21" ht="11.1" hidden="1" customHeight="1">
      <c r="A181" s="10"/>
      <c r="B181" s="58">
        <v>2</v>
      </c>
      <c r="C181" s="58">
        <f ca="1">IF(OR($A$2=1,MAX($C$158:C180)&gt;=Total!$C$18),"",C180+(B181-B180))</f>
        <v>53</v>
      </c>
      <c r="D181" s="732">
        <f t="shared" ca="1" si="5"/>
        <v>18216</v>
      </c>
      <c r="E181" s="738"/>
      <c r="F181" s="738"/>
      <c r="G181" s="739"/>
      <c r="H181" s="740" t="str">
        <f ca="1">IF(OR($A$2=1,'OP1'!$D$53=1,C181="",VLOOKUP(C181,PAYAll,3,0)=0),"",VLOOKUP(C181,PAYAll,3,0))</f>
        <v/>
      </c>
      <c r="I181" s="741"/>
      <c r="J181" s="740">
        <f ca="1">IF(OR($A$2=1,OP!$D$53=1,C181="",VLOOKUP(C181,PAYAll,2,0)=0),"",VLOOKUP(C181,PAYAll,2,0))</f>
        <v>9108</v>
      </c>
      <c r="K181" s="741"/>
      <c r="L181" s="740" t="str">
        <f ca="1">IF(OR($A$2=1,ROP!$C$33=1,C181="",VLOOKUP(C181,PAYAll,4,0)=0),"",VLOOKUP(C181,PAYAll,4,0))</f>
        <v/>
      </c>
      <c r="M181" s="741"/>
      <c r="N181" s="740" t="str">
        <f ca="1">IF(OR($A$2=1,ROP!$D$33=1,C181="",VLOOKUP(C181,PAYAll,5,0)=0),"",VLOOKUP(C181,PAYAll,5,0))</f>
        <v/>
      </c>
      <c r="O181" s="741"/>
      <c r="P181" s="740" t="str">
        <f ca="1">IF(OR($A$2=1,ROP!$E$33=1,C181="",VLOOKUP(C181,PAYAll,6,0)=0),"",VLOOKUP(C181,PAYAll,6,0))</f>
        <v/>
      </c>
      <c r="Q181" s="741"/>
      <c r="R181" s="740" t="str">
        <f ca="1">IF(OR($A$2=1,ROP!$F$33=1,C181="",VLOOKUP(C181,PAYAll,7,0)=0),"",VLOOKUP(C181,PAYAll,7,0))</f>
        <v/>
      </c>
      <c r="S181" s="741"/>
      <c r="T181" s="740" t="str">
        <f ca="1">IF(OR($A$2=1,ROP!$G$33=1,C181="",VLOOKUP(C181,PAYAll,8,0)=0),"",VLOOKUP(C181,PAYAll,8,0))</f>
        <v/>
      </c>
      <c r="U181" s="741"/>
    </row>
    <row r="182" spans="1:21" ht="11.1" hidden="1" customHeight="1">
      <c r="A182" s="10"/>
      <c r="B182" s="58">
        <v>3</v>
      </c>
      <c r="C182" s="58">
        <f ca="1">IF(OR($A$2=1,MAX($C$158:C181)&gt;=Total!$C$18),"",C181+(B182-B181))</f>
        <v>54</v>
      </c>
      <c r="D182" s="732">
        <f t="shared" ca="1" si="5"/>
        <v>27324</v>
      </c>
      <c r="E182" s="738"/>
      <c r="F182" s="738"/>
      <c r="G182" s="739"/>
      <c r="H182" s="740" t="str">
        <f ca="1">IF(OR($A$2=1,'OP1'!$D$53=1,C182="",VLOOKUP(C182,PAYAll,3,0)=0),"",VLOOKUP(C182,PAYAll,3,0))</f>
        <v/>
      </c>
      <c r="I182" s="741"/>
      <c r="J182" s="740">
        <f ca="1">IF(OR($A$2=1,OP!$D$53=1,C182="",VLOOKUP(C182,PAYAll,2,0)=0),"",VLOOKUP(C182,PAYAll,2,0))</f>
        <v>9108</v>
      </c>
      <c r="K182" s="741"/>
      <c r="L182" s="740" t="str">
        <f ca="1">IF(OR($A$2=1,ROP!$C$33=1,C182="",VLOOKUP(C182,PAYAll,4,0)=0),"",VLOOKUP(C182,PAYAll,4,0))</f>
        <v/>
      </c>
      <c r="M182" s="741"/>
      <c r="N182" s="740" t="str">
        <f ca="1">IF(OR($A$2=1,ROP!$D$33=1,C182="",VLOOKUP(C182,PAYAll,5,0)=0),"",VLOOKUP(C182,PAYAll,5,0))</f>
        <v/>
      </c>
      <c r="O182" s="741"/>
      <c r="P182" s="740" t="str">
        <f ca="1">IF(OR($A$2=1,ROP!$E$33=1,C182="",VLOOKUP(C182,PAYAll,6,0)=0),"",VLOOKUP(C182,PAYAll,6,0))</f>
        <v/>
      </c>
      <c r="Q182" s="741"/>
      <c r="R182" s="740" t="str">
        <f ca="1">IF(OR($A$2=1,ROP!$F$33=1,C182="",VLOOKUP(C182,PAYAll,7,0)=0),"",VLOOKUP(C182,PAYAll,7,0))</f>
        <v/>
      </c>
      <c r="S182" s="741"/>
      <c r="T182" s="740" t="str">
        <f ca="1">IF(OR($A$2=1,ROP!$G$33=1,C182="",VLOOKUP(C182,PAYAll,8,0)=0),"",VLOOKUP(C182,PAYAll,8,0))</f>
        <v/>
      </c>
      <c r="U182" s="741"/>
    </row>
    <row r="183" spans="1:21" ht="11.1" hidden="1" customHeight="1">
      <c r="A183" s="10"/>
      <c r="B183" s="58">
        <v>4</v>
      </c>
      <c r="C183" s="58">
        <f ca="1">IF(OR($A$2=1,MAX($C$158:C182)&gt;=Total!$C$18),"",C182+(B183-B182))</f>
        <v>55</v>
      </c>
      <c r="D183" s="732">
        <f t="shared" ca="1" si="5"/>
        <v>36432</v>
      </c>
      <c r="E183" s="738"/>
      <c r="F183" s="738"/>
      <c r="G183" s="739"/>
      <c r="H183" s="740" t="str">
        <f ca="1">IF(OR($A$2=1,'OP1'!$D$53=1,C183="",VLOOKUP(C183,PAYAll,3,0)=0),"",VLOOKUP(C183,PAYAll,3,0))</f>
        <v/>
      </c>
      <c r="I183" s="741"/>
      <c r="J183" s="740">
        <f ca="1">IF(OR($A$2=1,OP!$D$53=1,C183="",VLOOKUP(C183,PAYAll,2,0)=0),"",VLOOKUP(C183,PAYAll,2,0))</f>
        <v>9108</v>
      </c>
      <c r="K183" s="741"/>
      <c r="L183" s="740" t="str">
        <f ca="1">IF(OR($A$2=1,ROP!$C$33=1,C183="",VLOOKUP(C183,PAYAll,4,0)=0),"",VLOOKUP(C183,PAYAll,4,0))</f>
        <v/>
      </c>
      <c r="M183" s="741"/>
      <c r="N183" s="740" t="str">
        <f ca="1">IF(OR($A$2=1,ROP!$D$33=1,C183="",VLOOKUP(C183,PAYAll,5,0)=0),"",VLOOKUP(C183,PAYAll,5,0))</f>
        <v/>
      </c>
      <c r="O183" s="741"/>
      <c r="P183" s="740" t="str">
        <f ca="1">IF(OR($A$2=1,ROP!$E$33=1,C183="",VLOOKUP(C183,PAYAll,6,0)=0),"",VLOOKUP(C183,PAYAll,6,0))</f>
        <v/>
      </c>
      <c r="Q183" s="741"/>
      <c r="R183" s="740" t="str">
        <f ca="1">IF(OR($A$2=1,ROP!$F$33=1,C183="",VLOOKUP(C183,PAYAll,7,0)=0),"",VLOOKUP(C183,PAYAll,7,0))</f>
        <v/>
      </c>
      <c r="S183" s="741"/>
      <c r="T183" s="740" t="str">
        <f ca="1">IF(OR($A$2=1,ROP!$G$33=1,C183="",VLOOKUP(C183,PAYAll,8,0)=0),"",VLOOKUP(C183,PAYAll,8,0))</f>
        <v/>
      </c>
      <c r="U183" s="741"/>
    </row>
    <row r="184" spans="1:21" ht="11.1" hidden="1" customHeight="1">
      <c r="A184" s="10"/>
      <c r="B184" s="58">
        <v>5</v>
      </c>
      <c r="C184" s="58">
        <f ca="1">IF(OR($A$2=1,MAX($C$158:C183)&gt;=Total!$C$18),"",C183+(B184-B183))</f>
        <v>56</v>
      </c>
      <c r="D184" s="732">
        <f t="shared" ca="1" si="5"/>
        <v>45540</v>
      </c>
      <c r="E184" s="738"/>
      <c r="F184" s="738"/>
      <c r="G184" s="739"/>
      <c r="H184" s="740" t="str">
        <f ca="1">IF(OR($A$2=1,'OP1'!$D$53=1,C184="",VLOOKUP(C184,PAYAll,3,0)=0),"",VLOOKUP(C184,PAYAll,3,0))</f>
        <v/>
      </c>
      <c r="I184" s="741"/>
      <c r="J184" s="740">
        <f ca="1">IF(OR($A$2=1,OP!$D$53=1,C184="",VLOOKUP(C184,PAYAll,2,0)=0),"",VLOOKUP(C184,PAYAll,2,0))</f>
        <v>9108</v>
      </c>
      <c r="K184" s="741"/>
      <c r="L184" s="740" t="str">
        <f ca="1">IF(OR($A$2=1,ROP!$C$33=1,C184="",VLOOKUP(C184,PAYAll,4,0)=0),"",VLOOKUP(C184,PAYAll,4,0))</f>
        <v/>
      </c>
      <c r="M184" s="741"/>
      <c r="N184" s="740" t="str">
        <f ca="1">IF(OR($A$2=1,ROP!$D$33=1,C184="",VLOOKUP(C184,PAYAll,5,0)=0),"",VLOOKUP(C184,PAYAll,5,0))</f>
        <v/>
      </c>
      <c r="O184" s="741"/>
      <c r="P184" s="740" t="str">
        <f ca="1">IF(OR($A$2=1,ROP!$E$33=1,C184="",VLOOKUP(C184,PAYAll,6,0)=0),"",VLOOKUP(C184,PAYAll,6,0))</f>
        <v/>
      </c>
      <c r="Q184" s="741"/>
      <c r="R184" s="740" t="str">
        <f ca="1">IF(OR($A$2=1,ROP!$F$33=1,C184="",VLOOKUP(C184,PAYAll,7,0)=0),"",VLOOKUP(C184,PAYAll,7,0))</f>
        <v/>
      </c>
      <c r="S184" s="741"/>
      <c r="T184" s="740" t="str">
        <f ca="1">IF(OR($A$2=1,ROP!$G$33=1,C184="",VLOOKUP(C184,PAYAll,8,0)=0),"",VLOOKUP(C184,PAYAll,8,0))</f>
        <v/>
      </c>
      <c r="U184" s="741"/>
    </row>
    <row r="185" spans="1:21" ht="11.1" hidden="1" customHeight="1">
      <c r="A185" s="10"/>
      <c r="B185" s="58">
        <v>6</v>
      </c>
      <c r="C185" s="58">
        <f ca="1">IF(OR($A$2=1,MAX($C$158:C184)&gt;=Total!$C$18),"",C184+(B185-B184))</f>
        <v>57</v>
      </c>
      <c r="D185" s="732">
        <f t="shared" ca="1" si="5"/>
        <v>54648</v>
      </c>
      <c r="E185" s="738"/>
      <c r="F185" s="738"/>
      <c r="G185" s="739"/>
      <c r="H185" s="740" t="str">
        <f ca="1">IF(OR($A$2=1,'OP1'!$D$53=1,C185="",VLOOKUP(C185,PAYAll,3,0)=0),"",VLOOKUP(C185,PAYAll,3,0))</f>
        <v/>
      </c>
      <c r="I185" s="741"/>
      <c r="J185" s="740">
        <f ca="1">IF(OR($A$2=1,OP!$D$53=1,C185="",VLOOKUP(C185,PAYAll,2,0)=0),"",VLOOKUP(C185,PAYAll,2,0))</f>
        <v>9108</v>
      </c>
      <c r="K185" s="741"/>
      <c r="L185" s="740" t="str">
        <f ca="1">IF(OR($A$2=1,ROP!$C$33=1,C185="",VLOOKUP(C185,PAYAll,4,0)=0),"",VLOOKUP(C185,PAYAll,4,0))</f>
        <v/>
      </c>
      <c r="M185" s="741"/>
      <c r="N185" s="740" t="str">
        <f ca="1">IF(OR($A$2=1,ROP!$D$33=1,C185="",VLOOKUP(C185,PAYAll,5,0)=0),"",VLOOKUP(C185,PAYAll,5,0))</f>
        <v/>
      </c>
      <c r="O185" s="741"/>
      <c r="P185" s="740" t="str">
        <f ca="1">IF(OR($A$2=1,ROP!$E$33=1,C185="",VLOOKUP(C185,PAYAll,6,0)=0),"",VLOOKUP(C185,PAYAll,6,0))</f>
        <v/>
      </c>
      <c r="Q185" s="741"/>
      <c r="R185" s="740" t="str">
        <f ca="1">IF(OR($A$2=1,ROP!$F$33=1,C185="",VLOOKUP(C185,PAYAll,7,0)=0),"",VLOOKUP(C185,PAYAll,7,0))</f>
        <v/>
      </c>
      <c r="S185" s="741"/>
      <c r="T185" s="740" t="str">
        <f ca="1">IF(OR($A$2=1,ROP!$G$33=1,C185="",VLOOKUP(C185,PAYAll,8,0)=0),"",VLOOKUP(C185,PAYAll,8,0))</f>
        <v/>
      </c>
      <c r="U185" s="741"/>
    </row>
    <row r="186" spans="1:21" ht="11.1" hidden="1" customHeight="1">
      <c r="A186" s="10"/>
      <c r="B186" s="58">
        <v>7</v>
      </c>
      <c r="C186" s="58">
        <f ca="1">IF(OR($A$2=1,MAX($C$158:C185)&gt;=Total!$C$18),"",C185+(B186-B185))</f>
        <v>58</v>
      </c>
      <c r="D186" s="732">
        <f t="shared" ca="1" si="5"/>
        <v>63756</v>
      </c>
      <c r="E186" s="738"/>
      <c r="F186" s="738"/>
      <c r="G186" s="739"/>
      <c r="H186" s="740" t="str">
        <f ca="1">IF(OR($A$2=1,'OP1'!$D$53=1,C186="",VLOOKUP(C186,PAYAll,3,0)=0),"",VLOOKUP(C186,PAYAll,3,0))</f>
        <v/>
      </c>
      <c r="I186" s="741"/>
      <c r="J186" s="740">
        <f ca="1">IF(OR($A$2=1,OP!$D$53=1,C186="",VLOOKUP(C186,PAYAll,2,0)=0),"",VLOOKUP(C186,PAYAll,2,0))</f>
        <v>9108</v>
      </c>
      <c r="K186" s="741"/>
      <c r="L186" s="740" t="str">
        <f ca="1">IF(OR($A$2=1,ROP!$C$33=1,C186="",VLOOKUP(C186,PAYAll,4,0)=0),"",VLOOKUP(C186,PAYAll,4,0))</f>
        <v/>
      </c>
      <c r="M186" s="741"/>
      <c r="N186" s="740" t="str">
        <f ca="1">IF(OR($A$2=1,ROP!$D$33=1,C186="",VLOOKUP(C186,PAYAll,5,0)=0),"",VLOOKUP(C186,PAYAll,5,0))</f>
        <v/>
      </c>
      <c r="O186" s="741"/>
      <c r="P186" s="740" t="str">
        <f ca="1">IF(OR($A$2=1,ROP!$E$33=1,C186="",VLOOKUP(C186,PAYAll,6,0)=0),"",VLOOKUP(C186,PAYAll,6,0))</f>
        <v/>
      </c>
      <c r="Q186" s="741"/>
      <c r="R186" s="740" t="str">
        <f ca="1">IF(OR($A$2=1,ROP!$F$33=1,C186="",VLOOKUP(C186,PAYAll,7,0)=0),"",VLOOKUP(C186,PAYAll,7,0))</f>
        <v/>
      </c>
      <c r="S186" s="741"/>
      <c r="T186" s="740" t="str">
        <f ca="1">IF(OR($A$2=1,ROP!$G$33=1,C186="",VLOOKUP(C186,PAYAll,8,0)=0),"",VLOOKUP(C186,PAYAll,8,0))</f>
        <v/>
      </c>
      <c r="U186" s="741"/>
    </row>
    <row r="187" spans="1:21" ht="11.1" hidden="1" customHeight="1">
      <c r="A187" s="10"/>
      <c r="B187" s="58">
        <v>8</v>
      </c>
      <c r="C187" s="58">
        <f ca="1">IF(OR($A$2=1,MAX($C$158:C186)&gt;=Total!$C$18),"",C186+(B187-B186))</f>
        <v>59</v>
      </c>
      <c r="D187" s="732">
        <f t="shared" ca="1" si="5"/>
        <v>72864</v>
      </c>
      <c r="E187" s="738"/>
      <c r="F187" s="738"/>
      <c r="G187" s="739"/>
      <c r="H187" s="740" t="str">
        <f ca="1">IF(OR($A$2=1,'OP1'!$D$53=1,C187="",VLOOKUP(C187,PAYAll,3,0)=0),"",VLOOKUP(C187,PAYAll,3,0))</f>
        <v/>
      </c>
      <c r="I187" s="741"/>
      <c r="J187" s="740">
        <f ca="1">IF(OR($A$2=1,OP!$D$53=1,C187="",VLOOKUP(C187,PAYAll,2,0)=0),"",VLOOKUP(C187,PAYAll,2,0))</f>
        <v>9108</v>
      </c>
      <c r="K187" s="741"/>
      <c r="L187" s="740" t="str">
        <f ca="1">IF(OR($A$2=1,ROP!$C$33=1,C187="",VLOOKUP(C187,PAYAll,4,0)=0),"",VLOOKUP(C187,PAYAll,4,0))</f>
        <v/>
      </c>
      <c r="M187" s="741"/>
      <c r="N187" s="740" t="str">
        <f ca="1">IF(OR($A$2=1,ROP!$D$33=1,C187="",VLOOKUP(C187,PAYAll,5,0)=0),"",VLOOKUP(C187,PAYAll,5,0))</f>
        <v/>
      </c>
      <c r="O187" s="741"/>
      <c r="P187" s="740" t="str">
        <f ca="1">IF(OR($A$2=1,ROP!$E$33=1,C187="",VLOOKUP(C187,PAYAll,6,0)=0),"",VLOOKUP(C187,PAYAll,6,0))</f>
        <v/>
      </c>
      <c r="Q187" s="741"/>
      <c r="R187" s="740" t="str">
        <f ca="1">IF(OR($A$2=1,ROP!$F$33=1,C187="",VLOOKUP(C187,PAYAll,7,0)=0),"",VLOOKUP(C187,PAYAll,7,0))</f>
        <v/>
      </c>
      <c r="S187" s="741"/>
      <c r="T187" s="740" t="str">
        <f ca="1">IF(OR($A$2=1,ROP!$G$33=1,C187="",VLOOKUP(C187,PAYAll,8,0)=0),"",VLOOKUP(C187,PAYAll,8,0))</f>
        <v/>
      </c>
      <c r="U187" s="741"/>
    </row>
    <row r="188" spans="1:21" ht="11.1" hidden="1" customHeight="1">
      <c r="A188" s="10"/>
      <c r="B188" s="58">
        <v>9</v>
      </c>
      <c r="C188" s="58">
        <f ca="1">IF(OR($A$2=1,MAX($C$158:C187)&gt;=Total!$C$18),"",C187+(B188-B187))</f>
        <v>60</v>
      </c>
      <c r="D188" s="732">
        <f t="shared" ca="1" si="5"/>
        <v>81972</v>
      </c>
      <c r="E188" s="738"/>
      <c r="F188" s="738"/>
      <c r="G188" s="739"/>
      <c r="H188" s="740" t="str">
        <f ca="1">IF(OR($A$2=1,'OP1'!$D$53=1,C188="",VLOOKUP(C188,PAYAll,3,0)=0),"",VLOOKUP(C188,PAYAll,3,0))</f>
        <v/>
      </c>
      <c r="I188" s="741"/>
      <c r="J188" s="740">
        <f ca="1">IF(OR($A$2=1,OP!$D$53=1,C188="",VLOOKUP(C188,PAYAll,2,0)=0),"",VLOOKUP(C188,PAYAll,2,0))</f>
        <v>9108</v>
      </c>
      <c r="K188" s="741"/>
      <c r="L188" s="740" t="str">
        <f ca="1">IF(OR($A$2=1,ROP!$C$33=1,C188="",VLOOKUP(C188,PAYAll,4,0)=0),"",VLOOKUP(C188,PAYAll,4,0))</f>
        <v/>
      </c>
      <c r="M188" s="741"/>
      <c r="N188" s="740" t="str">
        <f ca="1">IF(OR($A$2=1,ROP!$D$33=1,C188="",VLOOKUP(C188,PAYAll,5,0)=0),"",VLOOKUP(C188,PAYAll,5,0))</f>
        <v/>
      </c>
      <c r="O188" s="741"/>
      <c r="P188" s="740" t="str">
        <f ca="1">IF(OR($A$2=1,ROP!$E$33=1,C188="",VLOOKUP(C188,PAYAll,6,0)=0),"",VLOOKUP(C188,PAYAll,6,0))</f>
        <v/>
      </c>
      <c r="Q188" s="741"/>
      <c r="R188" s="740" t="str">
        <f ca="1">IF(OR($A$2=1,ROP!$F$33=1,C188="",VLOOKUP(C188,PAYAll,7,0)=0),"",VLOOKUP(C188,PAYAll,7,0))</f>
        <v/>
      </c>
      <c r="S188" s="741"/>
      <c r="T188" s="740" t="str">
        <f ca="1">IF(OR($A$2=1,ROP!$G$33=1,C188="",VLOOKUP(C188,PAYAll,8,0)=0),"",VLOOKUP(C188,PAYAll,8,0))</f>
        <v/>
      </c>
      <c r="U188" s="741"/>
    </row>
    <row r="189" spans="1:21" ht="11.1" hidden="1" customHeight="1">
      <c r="A189" s="10"/>
      <c r="B189" s="58">
        <v>10</v>
      </c>
      <c r="C189" s="58">
        <f ca="1">IF(OR($A$2=1,MAX($C$158:C188)&gt;=Total!$C$18),"",C188+(B189-B188))</f>
        <v>61</v>
      </c>
      <c r="D189" s="732">
        <f t="shared" ca="1" si="5"/>
        <v>91080</v>
      </c>
      <c r="E189" s="738"/>
      <c r="F189" s="738"/>
      <c r="G189" s="739"/>
      <c r="H189" s="740" t="str">
        <f ca="1">IF(OR($A$2=1,'OP1'!$D$53=1,C189="",VLOOKUP(C189,PAYAll,3,0)=0),"",VLOOKUP(C189,PAYAll,3,0))</f>
        <v/>
      </c>
      <c r="I189" s="741"/>
      <c r="J189" s="740">
        <f ca="1">IF(OR($A$2=1,OP!$D$53=1,C189="",VLOOKUP(C189,PAYAll,2,0)=0),"",VLOOKUP(C189,PAYAll,2,0))</f>
        <v>9108</v>
      </c>
      <c r="K189" s="741"/>
      <c r="L189" s="740" t="str">
        <f ca="1">IF(OR($A$2=1,ROP!$C$33=1,C189="",VLOOKUP(C189,PAYAll,4,0)=0),"",VLOOKUP(C189,PAYAll,4,0))</f>
        <v/>
      </c>
      <c r="M189" s="741"/>
      <c r="N189" s="740" t="str">
        <f ca="1">IF(OR($A$2=1,ROP!$D$33=1,C189="",VLOOKUP(C189,PAYAll,5,0)=0),"",VLOOKUP(C189,PAYAll,5,0))</f>
        <v/>
      </c>
      <c r="O189" s="741"/>
      <c r="P189" s="740" t="str">
        <f ca="1">IF(OR($A$2=1,ROP!$E$33=1,C189="",VLOOKUP(C189,PAYAll,6,0)=0),"",VLOOKUP(C189,PAYAll,6,0))</f>
        <v/>
      </c>
      <c r="Q189" s="741"/>
      <c r="R189" s="740" t="str">
        <f ca="1">IF(OR($A$2=1,ROP!$F$33=1,C189="",VLOOKUP(C189,PAYAll,7,0)=0),"",VLOOKUP(C189,PAYAll,7,0))</f>
        <v/>
      </c>
      <c r="S189" s="741"/>
      <c r="T189" s="740" t="str">
        <f ca="1">IF(OR($A$2=1,ROP!$G$33=1,C189="",VLOOKUP(C189,PAYAll,8,0)=0),"",VLOOKUP(C189,PAYAll,8,0))</f>
        <v/>
      </c>
      <c r="U189" s="741"/>
    </row>
    <row r="190" spans="1:21" ht="5.0999999999999996" hidden="1" customHeight="1">
      <c r="A190" s="10"/>
      <c r="B190" s="386"/>
      <c r="C190" s="387"/>
      <c r="D190" s="233"/>
      <c r="E190" s="233"/>
      <c r="F190" s="233"/>
      <c r="G190" s="233"/>
      <c r="H190" s="233"/>
      <c r="I190" s="233"/>
      <c r="J190" s="233"/>
      <c r="K190" s="233"/>
      <c r="L190" s="233"/>
      <c r="M190" s="233"/>
      <c r="N190" s="233"/>
      <c r="O190" s="233"/>
      <c r="P190" s="233"/>
      <c r="Q190" s="387"/>
      <c r="R190" s="559"/>
      <c r="S190" s="559"/>
      <c r="T190" s="387"/>
      <c r="U190" s="387"/>
    </row>
    <row r="191" spans="1:21" ht="11.1" hidden="1" customHeight="1">
      <c r="A191" s="10"/>
      <c r="B191" s="415">
        <v>1</v>
      </c>
      <c r="C191" s="415">
        <f ca="1">IF(OR($A$2=1,MAX($C$158:C189)&gt;=Total!$C$18),"",C189+B191)</f>
        <v>62</v>
      </c>
      <c r="D191" s="742">
        <f t="shared" ref="D191:D200" ca="1" si="6">IF(OR($A$2=1,C191="",VLOOKUP(C191,PAYAll,11,0)=0),"",VLOOKUP(C191,PAYAll,11,0))</f>
        <v>18612</v>
      </c>
      <c r="E191" s="743"/>
      <c r="F191" s="743"/>
      <c r="G191" s="744"/>
      <c r="H191" s="734" t="str">
        <f ca="1">IF(OR($A$2=1,'OP1'!$D$53=1,C191="",VLOOKUP(C191,PAYAll,3,0)=0),"",VLOOKUP(C191,PAYAll,3,0))</f>
        <v/>
      </c>
      <c r="I191" s="735"/>
      <c r="J191" s="734">
        <f ca="1">IF(OR($A$2=1,OP!$D$53=1,C191="",VLOOKUP(C191,PAYAll,2,0)=0),"",VLOOKUP(C191,PAYAll,2,0))</f>
        <v>18612</v>
      </c>
      <c r="K191" s="735"/>
      <c r="L191" s="734" t="str">
        <f ca="1">IF(OR($A$2=1,ROP!$C$33=1,C191="",VLOOKUP(C191,PAYAll,4,0)=0),"",VLOOKUP(C191,PAYAll,4,0))</f>
        <v/>
      </c>
      <c r="M191" s="735"/>
      <c r="N191" s="734" t="str">
        <f ca="1">IF(OR($A$2=1,ROP!$D$33=1,C191="",VLOOKUP(C191,PAYAll,5,0)=0),"",VLOOKUP(C191,PAYAll,5,0))</f>
        <v/>
      </c>
      <c r="O191" s="735"/>
      <c r="P191" s="734" t="str">
        <f ca="1">IF(OR($A$2=1,ROP!$E$33=1,C191="",VLOOKUP(C191,PAYAll,6,0)=0),"",VLOOKUP(C191,PAYAll,6,0))</f>
        <v/>
      </c>
      <c r="Q191" s="735"/>
      <c r="R191" s="734" t="str">
        <f ca="1">IF(OR($A$2=1,ROP!$F$33=1,C191="",VLOOKUP(C191,PAYAll,7,0)=0),"",VLOOKUP(C191,PAYAll,7,0))</f>
        <v/>
      </c>
      <c r="S191" s="735"/>
      <c r="T191" s="734" t="str">
        <f ca="1">IF(OR($A$2=1,ROP!$G$33=1,C191="",VLOOKUP(C191,PAYAll,8,0)=0),"",VLOOKUP(C191,PAYAll,8,0))</f>
        <v/>
      </c>
      <c r="U191" s="735"/>
    </row>
    <row r="192" spans="1:21" ht="11.1" hidden="1" customHeight="1">
      <c r="A192" s="10"/>
      <c r="B192" s="415">
        <v>2</v>
      </c>
      <c r="C192" s="415">
        <f ca="1">IF(OR($A$2=1,MAX($C$158:C191)&gt;=Total!$C$18),"",C191+(B192-B191))</f>
        <v>63</v>
      </c>
      <c r="D192" s="742">
        <f t="shared" ca="1" si="6"/>
        <v>37224</v>
      </c>
      <c r="E192" s="743"/>
      <c r="F192" s="743"/>
      <c r="G192" s="744"/>
      <c r="H192" s="734" t="str">
        <f ca="1">IF(OR($A$2=1,'OP1'!$D$53=1,C192="",VLOOKUP(C192,PAYAll,3,0)=0),"",VLOOKUP(C192,PAYAll,3,0))</f>
        <v/>
      </c>
      <c r="I192" s="735"/>
      <c r="J192" s="734">
        <f ca="1">IF(OR($A$2=1,OP!$D$53=1,C192="",VLOOKUP(C192,PAYAll,2,0)=0),"",VLOOKUP(C192,PAYAll,2,0))</f>
        <v>18612</v>
      </c>
      <c r="K192" s="735"/>
      <c r="L192" s="734" t="str">
        <f ca="1">IF(OR($A$2=1,ROP!$C$33=1,C192="",VLOOKUP(C192,PAYAll,4,0)=0),"",VLOOKUP(C192,PAYAll,4,0))</f>
        <v/>
      </c>
      <c r="M192" s="735"/>
      <c r="N192" s="734" t="str">
        <f ca="1">IF(OR($A$2=1,ROP!$D$33=1,C192="",VLOOKUP(C192,PAYAll,5,0)=0),"",VLOOKUP(C192,PAYAll,5,0))</f>
        <v/>
      </c>
      <c r="O192" s="735"/>
      <c r="P192" s="734" t="str">
        <f ca="1">IF(OR($A$2=1,ROP!$E$33=1,C192="",VLOOKUP(C192,PAYAll,6,0)=0),"",VLOOKUP(C192,PAYAll,6,0))</f>
        <v/>
      </c>
      <c r="Q192" s="735"/>
      <c r="R192" s="734" t="str">
        <f ca="1">IF(OR($A$2=1,ROP!$F$33=1,C192="",VLOOKUP(C192,PAYAll,7,0)=0),"",VLOOKUP(C192,PAYAll,7,0))</f>
        <v/>
      </c>
      <c r="S192" s="735"/>
      <c r="T192" s="734" t="str">
        <f ca="1">IF(OR($A$2=1,ROP!$G$33=1,C192="",VLOOKUP(C192,PAYAll,8,0)=0),"",VLOOKUP(C192,PAYAll,8,0))</f>
        <v/>
      </c>
      <c r="U192" s="735"/>
    </row>
    <row r="193" spans="1:21" ht="11.1" hidden="1" customHeight="1">
      <c r="A193" s="10"/>
      <c r="B193" s="415">
        <v>3</v>
      </c>
      <c r="C193" s="415">
        <f ca="1">IF(OR($A$2=1,MAX($C$158:C192)&gt;=Total!$C$18),"",C192+(B193-B192))</f>
        <v>64</v>
      </c>
      <c r="D193" s="742">
        <f t="shared" ca="1" si="6"/>
        <v>55836</v>
      </c>
      <c r="E193" s="743"/>
      <c r="F193" s="743"/>
      <c r="G193" s="744"/>
      <c r="H193" s="734" t="str">
        <f ca="1">IF(OR($A$2=1,'OP1'!$D$53=1,C193="",VLOOKUP(C193,PAYAll,3,0)=0),"",VLOOKUP(C193,PAYAll,3,0))</f>
        <v/>
      </c>
      <c r="I193" s="735"/>
      <c r="J193" s="734">
        <f ca="1">IF(OR($A$2=1,OP!$D$53=1,C193="",VLOOKUP(C193,PAYAll,2,0)=0),"",VLOOKUP(C193,PAYAll,2,0))</f>
        <v>18612</v>
      </c>
      <c r="K193" s="735"/>
      <c r="L193" s="734" t="str">
        <f ca="1">IF(OR($A$2=1,ROP!$C$33=1,C193="",VLOOKUP(C193,PAYAll,4,0)=0),"",VLOOKUP(C193,PAYAll,4,0))</f>
        <v/>
      </c>
      <c r="M193" s="735"/>
      <c r="N193" s="734" t="str">
        <f ca="1">IF(OR($A$2=1,ROP!$D$33=1,C193="",VLOOKUP(C193,PAYAll,5,0)=0),"",VLOOKUP(C193,PAYAll,5,0))</f>
        <v/>
      </c>
      <c r="O193" s="735"/>
      <c r="P193" s="734" t="str">
        <f ca="1">IF(OR($A$2=1,ROP!$E$33=1,C193="",VLOOKUP(C193,PAYAll,6,0)=0),"",VLOOKUP(C193,PAYAll,6,0))</f>
        <v/>
      </c>
      <c r="Q193" s="735"/>
      <c r="R193" s="734" t="str">
        <f ca="1">IF(OR($A$2=1,ROP!$F$33=1,C193="",VLOOKUP(C193,PAYAll,7,0)=0),"",VLOOKUP(C193,PAYAll,7,0))</f>
        <v/>
      </c>
      <c r="S193" s="735"/>
      <c r="T193" s="734" t="str">
        <f ca="1">IF(OR($A$2=1,ROP!$G$33=1,C193="",VLOOKUP(C193,PAYAll,8,0)=0),"",VLOOKUP(C193,PAYAll,8,0))</f>
        <v/>
      </c>
      <c r="U193" s="735"/>
    </row>
    <row r="194" spans="1:21" ht="11.1" hidden="1" customHeight="1">
      <c r="A194" s="10"/>
      <c r="B194" s="415">
        <v>4</v>
      </c>
      <c r="C194" s="415">
        <f ca="1">IF(OR($A$2=1,MAX($C$158:C193)&gt;=Total!$C$18),"",C193+(B194-B193))</f>
        <v>65</v>
      </c>
      <c r="D194" s="742">
        <f t="shared" ca="1" si="6"/>
        <v>74448</v>
      </c>
      <c r="E194" s="743"/>
      <c r="F194" s="743"/>
      <c r="G194" s="744"/>
      <c r="H194" s="734" t="str">
        <f ca="1">IF(OR($A$2=1,'OP1'!$D$53=1,C194="",VLOOKUP(C194,PAYAll,3,0)=0),"",VLOOKUP(C194,PAYAll,3,0))</f>
        <v/>
      </c>
      <c r="I194" s="735"/>
      <c r="J194" s="734">
        <f ca="1">IF(OR($A$2=1,OP!$D$53=1,C194="",VLOOKUP(C194,PAYAll,2,0)=0),"",VLOOKUP(C194,PAYAll,2,0))</f>
        <v>18612</v>
      </c>
      <c r="K194" s="735"/>
      <c r="L194" s="734" t="str">
        <f ca="1">IF(OR($A$2=1,ROP!$C$33=1,C194="",VLOOKUP(C194,PAYAll,4,0)=0),"",VLOOKUP(C194,PAYAll,4,0))</f>
        <v/>
      </c>
      <c r="M194" s="735"/>
      <c r="N194" s="734" t="str">
        <f ca="1">IF(OR($A$2=1,ROP!$D$33=1,C194="",VLOOKUP(C194,PAYAll,5,0)=0),"",VLOOKUP(C194,PAYAll,5,0))</f>
        <v/>
      </c>
      <c r="O194" s="735"/>
      <c r="P194" s="734" t="str">
        <f ca="1">IF(OR($A$2=1,ROP!$E$33=1,C194="",VLOOKUP(C194,PAYAll,6,0)=0),"",VLOOKUP(C194,PAYAll,6,0))</f>
        <v/>
      </c>
      <c r="Q194" s="735"/>
      <c r="R194" s="734" t="str">
        <f ca="1">IF(OR($A$2=1,ROP!$F$33=1,C194="",VLOOKUP(C194,PAYAll,7,0)=0),"",VLOOKUP(C194,PAYAll,7,0))</f>
        <v/>
      </c>
      <c r="S194" s="735"/>
      <c r="T194" s="734" t="str">
        <f ca="1">IF(OR($A$2=1,ROP!$G$33=1,C194="",VLOOKUP(C194,PAYAll,8,0)=0),"",VLOOKUP(C194,PAYAll,8,0))</f>
        <v/>
      </c>
      <c r="U194" s="735"/>
    </row>
    <row r="195" spans="1:21" ht="11.1" hidden="1" customHeight="1">
      <c r="A195" s="10"/>
      <c r="B195" s="415">
        <v>5</v>
      </c>
      <c r="C195" s="415">
        <f ca="1">IF(OR($A$2=1,MAX($C$158:C194)&gt;=Total!$C$18),"",C194+(B195-B194))</f>
        <v>66</v>
      </c>
      <c r="D195" s="742">
        <f t="shared" ca="1" si="6"/>
        <v>93060</v>
      </c>
      <c r="E195" s="743"/>
      <c r="F195" s="743"/>
      <c r="G195" s="744"/>
      <c r="H195" s="734" t="str">
        <f ca="1">IF(OR($A$2=1,'OP1'!$D$53=1,C195="",VLOOKUP(C195,PAYAll,3,0)=0),"",VLOOKUP(C195,PAYAll,3,0))</f>
        <v/>
      </c>
      <c r="I195" s="735"/>
      <c r="J195" s="734">
        <f ca="1">IF(OR($A$2=1,OP!$D$53=1,C195="",VLOOKUP(C195,PAYAll,2,0)=0),"",VLOOKUP(C195,PAYAll,2,0))</f>
        <v>18612</v>
      </c>
      <c r="K195" s="735"/>
      <c r="L195" s="734" t="str">
        <f ca="1">IF(OR($A$2=1,ROP!$C$33=1,C195="",VLOOKUP(C195,PAYAll,4,0)=0),"",VLOOKUP(C195,PAYAll,4,0))</f>
        <v/>
      </c>
      <c r="M195" s="735"/>
      <c r="N195" s="734" t="str">
        <f ca="1">IF(OR($A$2=1,ROP!$D$33=1,C195="",VLOOKUP(C195,PAYAll,5,0)=0),"",VLOOKUP(C195,PAYAll,5,0))</f>
        <v/>
      </c>
      <c r="O195" s="735"/>
      <c r="P195" s="734" t="str">
        <f ca="1">IF(OR($A$2=1,ROP!$E$33=1,C195="",VLOOKUP(C195,PAYAll,6,0)=0),"",VLOOKUP(C195,PAYAll,6,0))</f>
        <v/>
      </c>
      <c r="Q195" s="735"/>
      <c r="R195" s="734" t="str">
        <f ca="1">IF(OR($A$2=1,ROP!$F$33=1,C195="",VLOOKUP(C195,PAYAll,7,0)=0),"",VLOOKUP(C195,PAYAll,7,0))</f>
        <v/>
      </c>
      <c r="S195" s="735"/>
      <c r="T195" s="734" t="str">
        <f ca="1">IF(OR($A$2=1,ROP!$G$33=1,C195="",VLOOKUP(C195,PAYAll,8,0)=0),"",VLOOKUP(C195,PAYAll,8,0))</f>
        <v/>
      </c>
      <c r="U195" s="735"/>
    </row>
    <row r="196" spans="1:21" ht="11.1" hidden="1" customHeight="1">
      <c r="A196" s="10"/>
      <c r="B196" s="415">
        <v>6</v>
      </c>
      <c r="C196" s="415">
        <f ca="1">IF(OR($A$2=1,MAX($C$158:C195)&gt;=Total!$C$18),"",C195+(B196-B195))</f>
        <v>67</v>
      </c>
      <c r="D196" s="742">
        <f t="shared" ca="1" si="6"/>
        <v>111672</v>
      </c>
      <c r="E196" s="743"/>
      <c r="F196" s="743"/>
      <c r="G196" s="744"/>
      <c r="H196" s="734" t="str">
        <f ca="1">IF(OR($A$2=1,'OP1'!$D$53=1,C196="",VLOOKUP(C196,PAYAll,3,0)=0),"",VLOOKUP(C196,PAYAll,3,0))</f>
        <v/>
      </c>
      <c r="I196" s="735"/>
      <c r="J196" s="734">
        <f ca="1">IF(OR($A$2=1,OP!$D$53=1,C196="",VLOOKUP(C196,PAYAll,2,0)=0),"",VLOOKUP(C196,PAYAll,2,0))</f>
        <v>18612</v>
      </c>
      <c r="K196" s="735"/>
      <c r="L196" s="734" t="str">
        <f ca="1">IF(OR($A$2=1,ROP!$C$33=1,C196="",VLOOKUP(C196,PAYAll,4,0)=0),"",VLOOKUP(C196,PAYAll,4,0))</f>
        <v/>
      </c>
      <c r="M196" s="735"/>
      <c r="N196" s="734" t="str">
        <f ca="1">IF(OR($A$2=1,ROP!$D$33=1,C196="",VLOOKUP(C196,PAYAll,5,0)=0),"",VLOOKUP(C196,PAYAll,5,0))</f>
        <v/>
      </c>
      <c r="O196" s="735"/>
      <c r="P196" s="734" t="str">
        <f ca="1">IF(OR($A$2=1,ROP!$E$33=1,C196="",VLOOKUP(C196,PAYAll,6,0)=0),"",VLOOKUP(C196,PAYAll,6,0))</f>
        <v/>
      </c>
      <c r="Q196" s="735"/>
      <c r="R196" s="734" t="str">
        <f ca="1">IF(OR($A$2=1,ROP!$F$33=1,C196="",VLOOKUP(C196,PAYAll,7,0)=0),"",VLOOKUP(C196,PAYAll,7,0))</f>
        <v/>
      </c>
      <c r="S196" s="735"/>
      <c r="T196" s="734" t="str">
        <f ca="1">IF(OR($A$2=1,ROP!$G$33=1,C196="",VLOOKUP(C196,PAYAll,8,0)=0),"",VLOOKUP(C196,PAYAll,8,0))</f>
        <v/>
      </c>
      <c r="U196" s="735"/>
    </row>
    <row r="197" spans="1:21" ht="11.1" hidden="1" customHeight="1">
      <c r="A197" s="10"/>
      <c r="B197" s="415">
        <v>7</v>
      </c>
      <c r="C197" s="415">
        <f ca="1">IF(OR($A$2=1,MAX($C$158:C196)&gt;=Total!$C$18),"",C196+(B197-B196))</f>
        <v>68</v>
      </c>
      <c r="D197" s="742">
        <f t="shared" ca="1" si="6"/>
        <v>130284</v>
      </c>
      <c r="E197" s="743"/>
      <c r="F197" s="743"/>
      <c r="G197" s="744"/>
      <c r="H197" s="734" t="str">
        <f ca="1">IF(OR($A$2=1,'OP1'!$D$53=1,C197="",VLOOKUP(C197,PAYAll,3,0)=0),"",VLOOKUP(C197,PAYAll,3,0))</f>
        <v/>
      </c>
      <c r="I197" s="735"/>
      <c r="J197" s="734">
        <f ca="1">IF(OR($A$2=1,OP!$D$53=1,C197="",VLOOKUP(C197,PAYAll,2,0)=0),"",VLOOKUP(C197,PAYAll,2,0))</f>
        <v>18612</v>
      </c>
      <c r="K197" s="735"/>
      <c r="L197" s="734" t="str">
        <f ca="1">IF(OR($A$2=1,ROP!$C$33=1,C197="",VLOOKUP(C197,PAYAll,4,0)=0),"",VLOOKUP(C197,PAYAll,4,0))</f>
        <v/>
      </c>
      <c r="M197" s="735"/>
      <c r="N197" s="734" t="str">
        <f ca="1">IF(OR($A$2=1,ROP!$D$33=1,C197="",VLOOKUP(C197,PAYAll,5,0)=0),"",VLOOKUP(C197,PAYAll,5,0))</f>
        <v/>
      </c>
      <c r="O197" s="735"/>
      <c r="P197" s="734" t="str">
        <f ca="1">IF(OR($A$2=1,ROP!$E$33=1,C197="",VLOOKUP(C197,PAYAll,6,0)=0),"",VLOOKUP(C197,PAYAll,6,0))</f>
        <v/>
      </c>
      <c r="Q197" s="735"/>
      <c r="R197" s="734" t="str">
        <f ca="1">IF(OR($A$2=1,ROP!$F$33=1,C197="",VLOOKUP(C197,PAYAll,7,0)=0),"",VLOOKUP(C197,PAYAll,7,0))</f>
        <v/>
      </c>
      <c r="S197" s="735"/>
      <c r="T197" s="734" t="str">
        <f ca="1">IF(OR($A$2=1,ROP!$G$33=1,C197="",VLOOKUP(C197,PAYAll,8,0)=0),"",VLOOKUP(C197,PAYAll,8,0))</f>
        <v/>
      </c>
      <c r="U197" s="735"/>
    </row>
    <row r="198" spans="1:21" ht="11.1" hidden="1" customHeight="1">
      <c r="A198" s="10"/>
      <c r="B198" s="415">
        <v>8</v>
      </c>
      <c r="C198" s="415">
        <f ca="1">IF(OR($A$2=1,MAX($C$158:C197)&gt;=Total!$C$18),"",C197+(B198-B197))</f>
        <v>69</v>
      </c>
      <c r="D198" s="742">
        <f t="shared" ca="1" si="6"/>
        <v>148896</v>
      </c>
      <c r="E198" s="743"/>
      <c r="F198" s="743"/>
      <c r="G198" s="744"/>
      <c r="H198" s="734" t="str">
        <f ca="1">IF(OR($A$2=1,'OP1'!$D$53=1,C198="",VLOOKUP(C198,PAYAll,3,0)=0),"",VLOOKUP(C198,PAYAll,3,0))</f>
        <v/>
      </c>
      <c r="I198" s="735"/>
      <c r="J198" s="734">
        <f ca="1">IF(OR($A$2=1,OP!$D$53=1,C198="",VLOOKUP(C198,PAYAll,2,0)=0),"",VLOOKUP(C198,PAYAll,2,0))</f>
        <v>18612</v>
      </c>
      <c r="K198" s="735"/>
      <c r="L198" s="734" t="str">
        <f ca="1">IF(OR($A$2=1,ROP!$C$33=1,C198="",VLOOKUP(C198,PAYAll,4,0)=0),"",VLOOKUP(C198,PAYAll,4,0))</f>
        <v/>
      </c>
      <c r="M198" s="735"/>
      <c r="N198" s="734" t="str">
        <f ca="1">IF(OR($A$2=1,ROP!$D$33=1,C198="",VLOOKUP(C198,PAYAll,5,0)=0),"",VLOOKUP(C198,PAYAll,5,0))</f>
        <v/>
      </c>
      <c r="O198" s="735"/>
      <c r="P198" s="734" t="str">
        <f ca="1">IF(OR($A$2=1,ROP!$E$33=1,C198="",VLOOKUP(C198,PAYAll,6,0)=0),"",VLOOKUP(C198,PAYAll,6,0))</f>
        <v/>
      </c>
      <c r="Q198" s="735"/>
      <c r="R198" s="734" t="str">
        <f ca="1">IF(OR($A$2=1,ROP!$F$33=1,C198="",VLOOKUP(C198,PAYAll,7,0)=0),"",VLOOKUP(C198,PAYAll,7,0))</f>
        <v/>
      </c>
      <c r="S198" s="735"/>
      <c r="T198" s="734" t="str">
        <f ca="1">IF(OR($A$2=1,ROP!$G$33=1,C198="",VLOOKUP(C198,PAYAll,8,0)=0),"",VLOOKUP(C198,PAYAll,8,0))</f>
        <v/>
      </c>
      <c r="U198" s="735"/>
    </row>
    <row r="199" spans="1:21" ht="11.1" hidden="1" customHeight="1">
      <c r="A199" s="10"/>
      <c r="B199" s="415">
        <v>9</v>
      </c>
      <c r="C199" s="415">
        <f ca="1">IF(OR($A$2=1,MAX($C$158:C198)&gt;=Total!$C$18),"",C198+(B199-B198))</f>
        <v>70</v>
      </c>
      <c r="D199" s="742">
        <f t="shared" ca="1" si="6"/>
        <v>167508</v>
      </c>
      <c r="E199" s="743"/>
      <c r="F199" s="743"/>
      <c r="G199" s="744"/>
      <c r="H199" s="734" t="str">
        <f ca="1">IF(OR($A$2=1,'OP1'!$D$53=1,C199="",VLOOKUP(C199,PAYAll,3,0)=0),"",VLOOKUP(C199,PAYAll,3,0))</f>
        <v/>
      </c>
      <c r="I199" s="735"/>
      <c r="J199" s="734">
        <f ca="1">IF(OR($A$2=1,OP!$D$53=1,C199="",VLOOKUP(C199,PAYAll,2,0)=0),"",VLOOKUP(C199,PAYAll,2,0))</f>
        <v>18612</v>
      </c>
      <c r="K199" s="735"/>
      <c r="L199" s="734" t="str">
        <f ca="1">IF(OR($A$2=1,ROP!$C$33=1,C199="",VLOOKUP(C199,PAYAll,4,0)=0),"",VLOOKUP(C199,PAYAll,4,0))</f>
        <v/>
      </c>
      <c r="M199" s="735"/>
      <c r="N199" s="734" t="str">
        <f ca="1">IF(OR($A$2=1,ROP!$D$33=1,C199="",VLOOKUP(C199,PAYAll,5,0)=0),"",VLOOKUP(C199,PAYAll,5,0))</f>
        <v/>
      </c>
      <c r="O199" s="735"/>
      <c r="P199" s="734" t="str">
        <f ca="1">IF(OR($A$2=1,ROP!$E$33=1,C199="",VLOOKUP(C199,PAYAll,6,0)=0),"",VLOOKUP(C199,PAYAll,6,0))</f>
        <v/>
      </c>
      <c r="Q199" s="735"/>
      <c r="R199" s="734" t="str">
        <f ca="1">IF(OR($A$2=1,ROP!$F$33=1,C199="",VLOOKUP(C199,PAYAll,7,0)=0),"",VLOOKUP(C199,PAYAll,7,0))</f>
        <v/>
      </c>
      <c r="S199" s="735"/>
      <c r="T199" s="734" t="str">
        <f ca="1">IF(OR($A$2=1,ROP!$G$33=1,C199="",VLOOKUP(C199,PAYAll,8,0)=0),"",VLOOKUP(C199,PAYAll,8,0))</f>
        <v/>
      </c>
      <c r="U199" s="735"/>
    </row>
    <row r="200" spans="1:21" ht="11.1" hidden="1" customHeight="1">
      <c r="A200" s="10"/>
      <c r="B200" s="415">
        <v>10</v>
      </c>
      <c r="C200" s="415">
        <f ca="1">IF(OR($A$2=1,MAX($C$158:C199)&gt;=Total!$C$18),"",C199+(B200-B199))</f>
        <v>71</v>
      </c>
      <c r="D200" s="742">
        <f t="shared" ca="1" si="6"/>
        <v>186120</v>
      </c>
      <c r="E200" s="743"/>
      <c r="F200" s="743"/>
      <c r="G200" s="744"/>
      <c r="H200" s="734" t="str">
        <f ca="1">IF(OR($A$2=1,'OP1'!$D$53=1,C200="",VLOOKUP(C200,PAYAll,3,0)=0),"",VLOOKUP(C200,PAYAll,3,0))</f>
        <v/>
      </c>
      <c r="I200" s="735"/>
      <c r="J200" s="734">
        <f ca="1">IF(OR($A$2=1,OP!$D$53=1,C200="",VLOOKUP(C200,PAYAll,2,0)=0),"",VLOOKUP(C200,PAYAll,2,0))</f>
        <v>18612</v>
      </c>
      <c r="K200" s="735"/>
      <c r="L200" s="734" t="str">
        <f ca="1">IF(OR($A$2=1,ROP!$C$33=1,C200="",VLOOKUP(C200,PAYAll,4,0)=0),"",VLOOKUP(C200,PAYAll,4,0))</f>
        <v/>
      </c>
      <c r="M200" s="735"/>
      <c r="N200" s="734" t="str">
        <f ca="1">IF(OR($A$2=1,ROP!$D$33=1,C200="",VLOOKUP(C200,PAYAll,5,0)=0),"",VLOOKUP(C200,PAYAll,5,0))</f>
        <v/>
      </c>
      <c r="O200" s="735"/>
      <c r="P200" s="734" t="str">
        <f ca="1">IF(OR($A$2=1,ROP!$E$33=1,C200="",VLOOKUP(C200,PAYAll,6,0)=0),"",VLOOKUP(C200,PAYAll,6,0))</f>
        <v/>
      </c>
      <c r="Q200" s="735"/>
      <c r="R200" s="734" t="str">
        <f ca="1">IF(OR($A$2=1,ROP!$F$33=1,C200="",VLOOKUP(C200,PAYAll,7,0)=0),"",VLOOKUP(C200,PAYAll,7,0))</f>
        <v/>
      </c>
      <c r="S200" s="735"/>
      <c r="T200" s="734" t="str">
        <f ca="1">IF(OR($A$2=1,ROP!$G$33=1,C200="",VLOOKUP(C200,PAYAll,8,0)=0),"",VLOOKUP(C200,PAYAll,8,0))</f>
        <v/>
      </c>
      <c r="U200" s="735"/>
    </row>
    <row r="201" spans="1:21" ht="5.0999999999999996" hidden="1" customHeight="1">
      <c r="A201" s="10"/>
      <c r="B201" s="386"/>
      <c r="C201" s="387"/>
      <c r="D201" s="233"/>
      <c r="E201" s="233"/>
      <c r="F201" s="233"/>
      <c r="G201" s="233"/>
      <c r="H201" s="233"/>
      <c r="I201" s="233"/>
      <c r="J201" s="233"/>
      <c r="K201" s="233"/>
      <c r="L201" s="233"/>
      <c r="M201" s="233"/>
      <c r="N201" s="233"/>
      <c r="O201" s="233"/>
      <c r="P201" s="233"/>
      <c r="Q201" s="387"/>
      <c r="R201" s="559"/>
      <c r="S201" s="559"/>
      <c r="T201" s="387"/>
      <c r="U201" s="387"/>
    </row>
    <row r="202" spans="1:21" ht="11.1" hidden="1" customHeight="1">
      <c r="A202" s="10"/>
      <c r="B202" s="58">
        <v>1</v>
      </c>
      <c r="C202" s="58" t="str">
        <f ca="1">IF(OR($A$2=1,MAX($C$158:C200)&gt;=Total!$C$18),"",C200+B202)</f>
        <v/>
      </c>
      <c r="D202" s="732" t="str">
        <f t="shared" ref="D202:D211" ca="1" si="7">IF(OR($A$2=1,C202="",VLOOKUP(C202,PAYAll,11,0)=0),"",VLOOKUP(C202,PAYAll,11,0))</f>
        <v/>
      </c>
      <c r="E202" s="738"/>
      <c r="F202" s="738"/>
      <c r="G202" s="739"/>
      <c r="H202" s="740" t="str">
        <f ca="1">IF(OR($A$2=1,'OP1'!$D$53=1,C202="",VLOOKUP(C202,PAYAll,3,0)=0),"",VLOOKUP(C202,PAYAll,3,0))</f>
        <v/>
      </c>
      <c r="I202" s="741"/>
      <c r="J202" s="740" t="str">
        <f ca="1">IF(OR($A$2=1,OP!$D$53=1,C202="",VLOOKUP(C202,PAYAll,2,0)=0),"",VLOOKUP(C202,PAYAll,2,0))</f>
        <v/>
      </c>
      <c r="K202" s="741"/>
      <c r="L202" s="740" t="str">
        <f ca="1">IF(OR($A$2=1,ROP!$C$33=1,C202="",VLOOKUP(C202,PAYAll,4,0)=0),"",VLOOKUP(C202,PAYAll,4,0))</f>
        <v/>
      </c>
      <c r="M202" s="741"/>
      <c r="N202" s="740" t="str">
        <f ca="1">IF(OR($A$2=1,ROP!$D$33=1,C202="",VLOOKUP(C202,PAYAll,5,0)=0),"",VLOOKUP(C202,PAYAll,5,0))</f>
        <v/>
      </c>
      <c r="O202" s="741"/>
      <c r="P202" s="740" t="str">
        <f ca="1">IF(OR($A$2=1,ROP!$E$33=1,C202="",VLOOKUP(C202,PAYAll,6,0)=0),"",VLOOKUP(C202,PAYAll,6,0))</f>
        <v/>
      </c>
      <c r="Q202" s="741"/>
      <c r="R202" s="740" t="str">
        <f ca="1">IF(OR($A$2=1,ROP!$F$33=1,C202="",VLOOKUP(C202,PAYAll,7,0)=0),"",VLOOKUP(C202,PAYAll,7,0))</f>
        <v/>
      </c>
      <c r="S202" s="741"/>
      <c r="T202" s="740" t="str">
        <f ca="1">IF(OR($A$2=1,ROP!$G$33=1,C202="",VLOOKUP(C202,PAYAll,8,0)=0),"",VLOOKUP(C202,PAYAll,8,0))</f>
        <v/>
      </c>
      <c r="U202" s="741"/>
    </row>
    <row r="203" spans="1:21" ht="11.1" hidden="1" customHeight="1">
      <c r="A203" s="10"/>
      <c r="B203" s="58">
        <v>2</v>
      </c>
      <c r="C203" s="58" t="str">
        <f ca="1">IF(OR($A$2=1,MAX($C$158:C202)&gt;=Total!$C$18),"",C202+(B203-B202))</f>
        <v/>
      </c>
      <c r="D203" s="732" t="str">
        <f t="shared" ca="1" si="7"/>
        <v/>
      </c>
      <c r="E203" s="738"/>
      <c r="F203" s="738"/>
      <c r="G203" s="739"/>
      <c r="H203" s="740" t="str">
        <f ca="1">IF(OR($A$2=1,'OP1'!$D$53=1,C203="",VLOOKUP(C203,PAYAll,3,0)=0),"",VLOOKUP(C203,PAYAll,3,0))</f>
        <v/>
      </c>
      <c r="I203" s="741"/>
      <c r="J203" s="740" t="str">
        <f ca="1">IF(OR($A$2=1,OP!$D$53=1,C203="",VLOOKUP(C203,PAYAll,2,0)=0),"",VLOOKUP(C203,PAYAll,2,0))</f>
        <v/>
      </c>
      <c r="K203" s="741"/>
      <c r="L203" s="740" t="str">
        <f ca="1">IF(OR($A$2=1,ROP!$C$33=1,C203="",VLOOKUP(C203,PAYAll,4,0)=0),"",VLOOKUP(C203,PAYAll,4,0))</f>
        <v/>
      </c>
      <c r="M203" s="741"/>
      <c r="N203" s="740" t="str">
        <f ca="1">IF(OR($A$2=1,ROP!$D$33=1,C203="",VLOOKUP(C203,PAYAll,5,0)=0),"",VLOOKUP(C203,PAYAll,5,0))</f>
        <v/>
      </c>
      <c r="O203" s="741"/>
      <c r="P203" s="740" t="str">
        <f ca="1">IF(OR($A$2=1,ROP!$E$33=1,C203="",VLOOKUP(C203,PAYAll,6,0)=0),"",VLOOKUP(C203,PAYAll,6,0))</f>
        <v/>
      </c>
      <c r="Q203" s="741"/>
      <c r="R203" s="740" t="str">
        <f ca="1">IF(OR($A$2=1,ROP!$F$33=1,C203="",VLOOKUP(C203,PAYAll,7,0)=0),"",VLOOKUP(C203,PAYAll,7,0))</f>
        <v/>
      </c>
      <c r="S203" s="741"/>
      <c r="T203" s="740" t="str">
        <f ca="1">IF(OR($A$2=1,ROP!$G$33=1,C203="",VLOOKUP(C203,PAYAll,8,0)=0),"",VLOOKUP(C203,PAYAll,8,0))</f>
        <v/>
      </c>
      <c r="U203" s="741"/>
    </row>
    <row r="204" spans="1:21" ht="11.1" hidden="1" customHeight="1">
      <c r="A204" s="10"/>
      <c r="B204" s="58">
        <v>3</v>
      </c>
      <c r="C204" s="58" t="str">
        <f ca="1">IF(OR($A$2=1,MAX($C$158:C203)&gt;=Total!$C$18),"",C203+(B204-B203))</f>
        <v/>
      </c>
      <c r="D204" s="732" t="str">
        <f t="shared" ca="1" si="7"/>
        <v/>
      </c>
      <c r="E204" s="738"/>
      <c r="F204" s="738"/>
      <c r="G204" s="739"/>
      <c r="H204" s="740" t="str">
        <f ca="1">IF(OR($A$2=1,'OP1'!$D$53=1,C204="",VLOOKUP(C204,PAYAll,3,0)=0),"",VLOOKUP(C204,PAYAll,3,0))</f>
        <v/>
      </c>
      <c r="I204" s="741"/>
      <c r="J204" s="740" t="str">
        <f ca="1">IF(OR($A$2=1,OP!$D$53=1,C204="",VLOOKUP(C204,PAYAll,2,0)=0),"",VLOOKUP(C204,PAYAll,2,0))</f>
        <v/>
      </c>
      <c r="K204" s="741"/>
      <c r="L204" s="740" t="str">
        <f ca="1">IF(OR($A$2=1,ROP!$C$33=1,C204="",VLOOKUP(C204,PAYAll,4,0)=0),"",VLOOKUP(C204,PAYAll,4,0))</f>
        <v/>
      </c>
      <c r="M204" s="741"/>
      <c r="N204" s="740" t="str">
        <f ca="1">IF(OR($A$2=1,ROP!$D$33=1,C204="",VLOOKUP(C204,PAYAll,5,0)=0),"",VLOOKUP(C204,PAYAll,5,0))</f>
        <v/>
      </c>
      <c r="O204" s="741"/>
      <c r="P204" s="740" t="str">
        <f ca="1">IF(OR($A$2=1,ROP!$E$33=1,C204="",VLOOKUP(C204,PAYAll,6,0)=0),"",VLOOKUP(C204,PAYAll,6,0))</f>
        <v/>
      </c>
      <c r="Q204" s="741"/>
      <c r="R204" s="740" t="str">
        <f ca="1">IF(OR($A$2=1,ROP!$F$33=1,C204="",VLOOKUP(C204,PAYAll,7,0)=0),"",VLOOKUP(C204,PAYAll,7,0))</f>
        <v/>
      </c>
      <c r="S204" s="741"/>
      <c r="T204" s="740" t="str">
        <f ca="1">IF(OR($A$2=1,ROP!$G$33=1,C204="",VLOOKUP(C204,PAYAll,8,0)=0),"",VLOOKUP(C204,PAYAll,8,0))</f>
        <v/>
      </c>
      <c r="U204" s="741"/>
    </row>
    <row r="205" spans="1:21" ht="11.1" hidden="1" customHeight="1">
      <c r="A205" s="10"/>
      <c r="B205" s="58">
        <v>4</v>
      </c>
      <c r="C205" s="58" t="str">
        <f ca="1">IF(OR($A$2=1,MAX($C$158:C204)&gt;=Total!$C$18),"",C204+(B205-B204))</f>
        <v/>
      </c>
      <c r="D205" s="732" t="str">
        <f t="shared" ca="1" si="7"/>
        <v/>
      </c>
      <c r="E205" s="738"/>
      <c r="F205" s="738"/>
      <c r="G205" s="739"/>
      <c r="H205" s="740" t="str">
        <f ca="1">IF(OR($A$2=1,'OP1'!$D$53=1,C205="",VLOOKUP(C205,PAYAll,3,0)=0),"",VLOOKUP(C205,PAYAll,3,0))</f>
        <v/>
      </c>
      <c r="I205" s="741"/>
      <c r="J205" s="740" t="str">
        <f ca="1">IF(OR($A$2=1,OP!$D$53=1,C205="",VLOOKUP(C205,PAYAll,2,0)=0),"",VLOOKUP(C205,PAYAll,2,0))</f>
        <v/>
      </c>
      <c r="K205" s="741"/>
      <c r="L205" s="740" t="str">
        <f ca="1">IF(OR($A$2=1,ROP!$C$33=1,C205="",VLOOKUP(C205,PAYAll,4,0)=0),"",VLOOKUP(C205,PAYAll,4,0))</f>
        <v/>
      </c>
      <c r="M205" s="741"/>
      <c r="N205" s="740" t="str">
        <f ca="1">IF(OR($A$2=1,ROP!$D$33=1,C205="",VLOOKUP(C205,PAYAll,5,0)=0),"",VLOOKUP(C205,PAYAll,5,0))</f>
        <v/>
      </c>
      <c r="O205" s="741"/>
      <c r="P205" s="740" t="str">
        <f ca="1">IF(OR($A$2=1,ROP!$E$33=1,C205="",VLOOKUP(C205,PAYAll,6,0)=0),"",VLOOKUP(C205,PAYAll,6,0))</f>
        <v/>
      </c>
      <c r="Q205" s="741"/>
      <c r="R205" s="740" t="str">
        <f ca="1">IF(OR($A$2=1,ROP!$F$33=1,C205="",VLOOKUP(C205,PAYAll,7,0)=0),"",VLOOKUP(C205,PAYAll,7,0))</f>
        <v/>
      </c>
      <c r="S205" s="741"/>
      <c r="T205" s="740" t="str">
        <f ca="1">IF(OR($A$2=1,ROP!$G$33=1,C205="",VLOOKUP(C205,PAYAll,8,0)=0),"",VLOOKUP(C205,PAYAll,8,0))</f>
        <v/>
      </c>
      <c r="U205" s="741"/>
    </row>
    <row r="206" spans="1:21" ht="11.1" hidden="1" customHeight="1">
      <c r="A206" s="10"/>
      <c r="B206" s="58">
        <v>5</v>
      </c>
      <c r="C206" s="58" t="str">
        <f ca="1">IF(OR($A$2=1,MAX($C$158:C205)&gt;=Total!$C$18),"",C205+(B206-B205))</f>
        <v/>
      </c>
      <c r="D206" s="732" t="str">
        <f t="shared" ca="1" si="7"/>
        <v/>
      </c>
      <c r="E206" s="738"/>
      <c r="F206" s="738"/>
      <c r="G206" s="739"/>
      <c r="H206" s="740" t="str">
        <f ca="1">IF(OR($A$2=1,'OP1'!$D$53=1,C206="",VLOOKUP(C206,PAYAll,3,0)=0),"",VLOOKUP(C206,PAYAll,3,0))</f>
        <v/>
      </c>
      <c r="I206" s="741"/>
      <c r="J206" s="740" t="str">
        <f ca="1">IF(OR($A$2=1,OP!$D$53=1,C206="",VLOOKUP(C206,PAYAll,2,0)=0),"",VLOOKUP(C206,PAYAll,2,0))</f>
        <v/>
      </c>
      <c r="K206" s="741"/>
      <c r="L206" s="740" t="str">
        <f ca="1">IF(OR($A$2=1,ROP!$C$33=1,C206="",VLOOKUP(C206,PAYAll,4,0)=0),"",VLOOKUP(C206,PAYAll,4,0))</f>
        <v/>
      </c>
      <c r="M206" s="741"/>
      <c r="N206" s="740" t="str">
        <f ca="1">IF(OR($A$2=1,ROP!$D$33=1,C206="",VLOOKUP(C206,PAYAll,5,0)=0),"",VLOOKUP(C206,PAYAll,5,0))</f>
        <v/>
      </c>
      <c r="O206" s="741"/>
      <c r="P206" s="740" t="str">
        <f ca="1">IF(OR($A$2=1,ROP!$E$33=1,C206="",VLOOKUP(C206,PAYAll,6,0)=0),"",VLOOKUP(C206,PAYAll,6,0))</f>
        <v/>
      </c>
      <c r="Q206" s="741"/>
      <c r="R206" s="740" t="str">
        <f ca="1">IF(OR($A$2=1,ROP!$F$33=1,C206="",VLOOKUP(C206,PAYAll,7,0)=0),"",VLOOKUP(C206,PAYAll,7,0))</f>
        <v/>
      </c>
      <c r="S206" s="741"/>
      <c r="T206" s="740" t="str">
        <f ca="1">IF(OR($A$2=1,ROP!$G$33=1,C206="",VLOOKUP(C206,PAYAll,8,0)=0),"",VLOOKUP(C206,PAYAll,8,0))</f>
        <v/>
      </c>
      <c r="U206" s="741"/>
    </row>
    <row r="207" spans="1:21" ht="11.1" hidden="1" customHeight="1">
      <c r="A207" s="10"/>
      <c r="B207" s="58">
        <v>6</v>
      </c>
      <c r="C207" s="58" t="str">
        <f ca="1">IF(OR($A$2=1,MAX($C$158:C206)&gt;=Total!$C$18),"",C206+(B207-B206))</f>
        <v/>
      </c>
      <c r="D207" s="732" t="str">
        <f t="shared" ca="1" si="7"/>
        <v/>
      </c>
      <c r="E207" s="738"/>
      <c r="F207" s="738"/>
      <c r="G207" s="739"/>
      <c r="H207" s="740" t="str">
        <f ca="1">IF(OR($A$2=1,'OP1'!$D$53=1,C207="",VLOOKUP(C207,PAYAll,3,0)=0),"",VLOOKUP(C207,PAYAll,3,0))</f>
        <v/>
      </c>
      <c r="I207" s="741"/>
      <c r="J207" s="740" t="str">
        <f ca="1">IF(OR($A$2=1,OP!$D$53=1,C207="",VLOOKUP(C207,PAYAll,2,0)=0),"",VLOOKUP(C207,PAYAll,2,0))</f>
        <v/>
      </c>
      <c r="K207" s="741"/>
      <c r="L207" s="740" t="str">
        <f ca="1">IF(OR($A$2=1,ROP!$C$33=1,C207="",VLOOKUP(C207,PAYAll,4,0)=0),"",VLOOKUP(C207,PAYAll,4,0))</f>
        <v/>
      </c>
      <c r="M207" s="741"/>
      <c r="N207" s="740" t="str">
        <f ca="1">IF(OR($A$2=1,ROP!$D$33=1,C207="",VLOOKUP(C207,PAYAll,5,0)=0),"",VLOOKUP(C207,PAYAll,5,0))</f>
        <v/>
      </c>
      <c r="O207" s="741"/>
      <c r="P207" s="740" t="str">
        <f ca="1">IF(OR($A$2=1,ROP!$E$33=1,C207="",VLOOKUP(C207,PAYAll,6,0)=0),"",VLOOKUP(C207,PAYAll,6,0))</f>
        <v/>
      </c>
      <c r="Q207" s="741"/>
      <c r="R207" s="740" t="str">
        <f ca="1">IF(OR($A$2=1,ROP!$F$33=1,C207="",VLOOKUP(C207,PAYAll,7,0)=0),"",VLOOKUP(C207,PAYAll,7,0))</f>
        <v/>
      </c>
      <c r="S207" s="741"/>
      <c r="T207" s="740" t="str">
        <f ca="1">IF(OR($A$2=1,ROP!$G$33=1,C207="",VLOOKUP(C207,PAYAll,8,0)=0),"",VLOOKUP(C207,PAYAll,8,0))</f>
        <v/>
      </c>
      <c r="U207" s="741"/>
    </row>
    <row r="208" spans="1:21" ht="11.1" hidden="1" customHeight="1">
      <c r="A208" s="10"/>
      <c r="B208" s="58">
        <v>7</v>
      </c>
      <c r="C208" s="58" t="str">
        <f ca="1">IF(OR($A$2=1,MAX($C$158:C207)&gt;=Total!$C$18),"",C207+(B208-B207))</f>
        <v/>
      </c>
      <c r="D208" s="732" t="str">
        <f t="shared" ca="1" si="7"/>
        <v/>
      </c>
      <c r="E208" s="738"/>
      <c r="F208" s="738"/>
      <c r="G208" s="739"/>
      <c r="H208" s="740" t="str">
        <f ca="1">IF(OR($A$2=1,'OP1'!$D$53=1,C208="",VLOOKUP(C208,PAYAll,3,0)=0),"",VLOOKUP(C208,PAYAll,3,0))</f>
        <v/>
      </c>
      <c r="I208" s="741"/>
      <c r="J208" s="740" t="str">
        <f ca="1">IF(OR($A$2=1,OP!$D$53=1,C208="",VLOOKUP(C208,PAYAll,2,0)=0),"",VLOOKUP(C208,PAYAll,2,0))</f>
        <v/>
      </c>
      <c r="K208" s="741"/>
      <c r="L208" s="740" t="str">
        <f ca="1">IF(OR($A$2=1,ROP!$C$33=1,C208="",VLOOKUP(C208,PAYAll,4,0)=0),"",VLOOKUP(C208,PAYAll,4,0))</f>
        <v/>
      </c>
      <c r="M208" s="741"/>
      <c r="N208" s="740" t="str">
        <f ca="1">IF(OR($A$2=1,ROP!$D$33=1,C208="",VLOOKUP(C208,PAYAll,5,0)=0),"",VLOOKUP(C208,PAYAll,5,0))</f>
        <v/>
      </c>
      <c r="O208" s="741"/>
      <c r="P208" s="740" t="str">
        <f ca="1">IF(OR($A$2=1,ROP!$E$33=1,C208="",VLOOKUP(C208,PAYAll,6,0)=0),"",VLOOKUP(C208,PAYAll,6,0))</f>
        <v/>
      </c>
      <c r="Q208" s="741"/>
      <c r="R208" s="740" t="str">
        <f ca="1">IF(OR($A$2=1,ROP!$F$33=1,C208="",VLOOKUP(C208,PAYAll,7,0)=0),"",VLOOKUP(C208,PAYAll,7,0))</f>
        <v/>
      </c>
      <c r="S208" s="741"/>
      <c r="T208" s="740" t="str">
        <f ca="1">IF(OR($A$2=1,ROP!$G$33=1,C208="",VLOOKUP(C208,PAYAll,8,0)=0),"",VLOOKUP(C208,PAYAll,8,0))</f>
        <v/>
      </c>
      <c r="U208" s="741"/>
    </row>
    <row r="209" spans="1:21" ht="11.1" hidden="1" customHeight="1">
      <c r="A209" s="10"/>
      <c r="B209" s="58">
        <v>8</v>
      </c>
      <c r="C209" s="58" t="str">
        <f ca="1">IF(OR($A$2=1,MAX($C$158:C208)&gt;=Total!$C$18),"",C208+(B209-B208))</f>
        <v/>
      </c>
      <c r="D209" s="732" t="str">
        <f t="shared" ca="1" si="7"/>
        <v/>
      </c>
      <c r="E209" s="738"/>
      <c r="F209" s="738"/>
      <c r="G209" s="739"/>
      <c r="H209" s="740" t="str">
        <f ca="1">IF(OR($A$2=1,'OP1'!$D$53=1,C209="",VLOOKUP(C209,PAYAll,3,0)=0),"",VLOOKUP(C209,PAYAll,3,0))</f>
        <v/>
      </c>
      <c r="I209" s="741"/>
      <c r="J209" s="740" t="str">
        <f ca="1">IF(OR($A$2=1,OP!$D$53=1,C209="",VLOOKUP(C209,PAYAll,2,0)=0),"",VLOOKUP(C209,PAYAll,2,0))</f>
        <v/>
      </c>
      <c r="K209" s="741"/>
      <c r="L209" s="740" t="str">
        <f ca="1">IF(OR($A$2=1,ROP!$C$33=1,C209="",VLOOKUP(C209,PAYAll,4,0)=0),"",VLOOKUP(C209,PAYAll,4,0))</f>
        <v/>
      </c>
      <c r="M209" s="741"/>
      <c r="N209" s="740" t="str">
        <f ca="1">IF(OR($A$2=1,ROP!$D$33=1,C209="",VLOOKUP(C209,PAYAll,5,0)=0),"",VLOOKUP(C209,PAYAll,5,0))</f>
        <v/>
      </c>
      <c r="O209" s="741"/>
      <c r="P209" s="740" t="str">
        <f ca="1">IF(OR($A$2=1,ROP!$E$33=1,C209="",VLOOKUP(C209,PAYAll,6,0)=0),"",VLOOKUP(C209,PAYAll,6,0))</f>
        <v/>
      </c>
      <c r="Q209" s="741"/>
      <c r="R209" s="740" t="str">
        <f ca="1">IF(OR($A$2=1,ROP!$F$33=1,C209="",VLOOKUP(C209,PAYAll,7,0)=0),"",VLOOKUP(C209,PAYAll,7,0))</f>
        <v/>
      </c>
      <c r="S209" s="741"/>
      <c r="T209" s="740" t="str">
        <f ca="1">IF(OR($A$2=1,ROP!$G$33=1,C209="",VLOOKUP(C209,PAYAll,8,0)=0),"",VLOOKUP(C209,PAYAll,8,0))</f>
        <v/>
      </c>
      <c r="U209" s="741"/>
    </row>
    <row r="210" spans="1:21" ht="11.1" hidden="1" customHeight="1">
      <c r="A210" s="10"/>
      <c r="B210" s="58">
        <v>9</v>
      </c>
      <c r="C210" s="58" t="str">
        <f ca="1">IF(OR($A$2=1,MAX($C$158:C209)&gt;=Total!$C$18),"",C209+(B210-B209))</f>
        <v/>
      </c>
      <c r="D210" s="732" t="str">
        <f t="shared" ca="1" si="7"/>
        <v/>
      </c>
      <c r="E210" s="738"/>
      <c r="F210" s="738"/>
      <c r="G210" s="739"/>
      <c r="H210" s="740" t="str">
        <f ca="1">IF(OR($A$2=1,'OP1'!$D$53=1,C210="",VLOOKUP(C210,PAYAll,3,0)=0),"",VLOOKUP(C210,PAYAll,3,0))</f>
        <v/>
      </c>
      <c r="I210" s="741"/>
      <c r="J210" s="740" t="str">
        <f ca="1">IF(OR($A$2=1,OP!$D$53=1,C210="",VLOOKUP(C210,PAYAll,2,0)=0),"",VLOOKUP(C210,PAYAll,2,0))</f>
        <v/>
      </c>
      <c r="K210" s="741"/>
      <c r="L210" s="740" t="str">
        <f ca="1">IF(OR($A$2=1,ROP!$C$33=1,C210="",VLOOKUP(C210,PAYAll,4,0)=0),"",VLOOKUP(C210,PAYAll,4,0))</f>
        <v/>
      </c>
      <c r="M210" s="741"/>
      <c r="N210" s="740" t="str">
        <f ca="1">IF(OR($A$2=1,ROP!$D$33=1,C210="",VLOOKUP(C210,PAYAll,5,0)=0),"",VLOOKUP(C210,PAYAll,5,0))</f>
        <v/>
      </c>
      <c r="O210" s="741"/>
      <c r="P210" s="740" t="str">
        <f ca="1">IF(OR($A$2=1,ROP!$E$33=1,C210="",VLOOKUP(C210,PAYAll,6,0)=0),"",VLOOKUP(C210,PAYAll,6,0))</f>
        <v/>
      </c>
      <c r="Q210" s="741"/>
      <c r="R210" s="740" t="str">
        <f ca="1">IF(OR($A$2=1,ROP!$F$33=1,C210="",VLOOKUP(C210,PAYAll,7,0)=0),"",VLOOKUP(C210,PAYAll,7,0))</f>
        <v/>
      </c>
      <c r="S210" s="741"/>
      <c r="T210" s="740" t="str">
        <f ca="1">IF(OR($A$2=1,ROP!$G$33=1,C210="",VLOOKUP(C210,PAYAll,8,0)=0),"",VLOOKUP(C210,PAYAll,8,0))</f>
        <v/>
      </c>
      <c r="U210" s="741"/>
    </row>
    <row r="211" spans="1:21" ht="11.1" hidden="1" customHeight="1">
      <c r="A211" s="10"/>
      <c r="B211" s="58">
        <v>10</v>
      </c>
      <c r="C211" s="58" t="str">
        <f ca="1">IF(OR($A$2=1,MAX($C$158:C210)&gt;=Total!$C$18),"",C210+(B211-B210))</f>
        <v/>
      </c>
      <c r="D211" s="732" t="str">
        <f t="shared" ca="1" si="7"/>
        <v/>
      </c>
      <c r="E211" s="738"/>
      <c r="F211" s="738"/>
      <c r="G211" s="739"/>
      <c r="H211" s="740" t="str">
        <f ca="1">IF(OR($A$2=1,'OP1'!$D$53=1,C211="",VLOOKUP(C211,PAYAll,3,0)=0),"",VLOOKUP(C211,PAYAll,3,0))</f>
        <v/>
      </c>
      <c r="I211" s="741"/>
      <c r="J211" s="740" t="str">
        <f ca="1">IF(OR($A$2=1,OP!$D$53=1,C211="",VLOOKUP(C211,PAYAll,2,0)=0),"",VLOOKUP(C211,PAYAll,2,0))</f>
        <v/>
      </c>
      <c r="K211" s="741"/>
      <c r="L211" s="740" t="str">
        <f ca="1">IF(OR($A$2=1,ROP!$C$33=1,C211="",VLOOKUP(C211,PAYAll,4,0)=0),"",VLOOKUP(C211,PAYAll,4,0))</f>
        <v/>
      </c>
      <c r="M211" s="741"/>
      <c r="N211" s="740" t="str">
        <f ca="1">IF(OR($A$2=1,ROP!$D$33=1,C211="",VLOOKUP(C211,PAYAll,5,0)=0),"",VLOOKUP(C211,PAYAll,5,0))</f>
        <v/>
      </c>
      <c r="O211" s="741"/>
      <c r="P211" s="740" t="str">
        <f ca="1">IF(OR($A$2=1,ROP!$E$33=1,C211="",VLOOKUP(C211,PAYAll,6,0)=0),"",VLOOKUP(C211,PAYAll,6,0))</f>
        <v/>
      </c>
      <c r="Q211" s="741"/>
      <c r="R211" s="740" t="str">
        <f ca="1">IF(OR($A$2=1,ROP!$F$33=1,C211="",VLOOKUP(C211,PAYAll,7,0)=0),"",VLOOKUP(C211,PAYAll,7,0))</f>
        <v/>
      </c>
      <c r="S211" s="741"/>
      <c r="T211" s="740" t="str">
        <f ca="1">IF(OR($A$2=1,ROP!$G$33=1,C211="",VLOOKUP(C211,PAYAll,8,0)=0),"",VLOOKUP(C211,PAYAll,8,0))</f>
        <v/>
      </c>
      <c r="U211" s="741"/>
    </row>
    <row r="212" spans="1:21" ht="5.0999999999999996" hidden="1" customHeight="1">
      <c r="A212" s="10"/>
      <c r="B212" s="411"/>
      <c r="C212" s="411"/>
      <c r="D212" s="412"/>
      <c r="E212" s="413"/>
      <c r="F212" s="413"/>
      <c r="G212" s="413"/>
      <c r="H212" s="412"/>
      <c r="I212" s="414"/>
      <c r="J212" s="412"/>
      <c r="K212" s="414"/>
      <c r="L212" s="412"/>
      <c r="M212" s="414"/>
      <c r="N212" s="412"/>
      <c r="O212" s="414"/>
      <c r="P212" s="412"/>
      <c r="Q212" s="414"/>
      <c r="R212" s="412"/>
      <c r="S212" s="414"/>
      <c r="T212" s="412"/>
      <c r="U212" s="414"/>
    </row>
    <row r="213" spans="1:21" ht="11.1" hidden="1" customHeight="1">
      <c r="A213" s="10"/>
      <c r="B213" s="415">
        <v>1</v>
      </c>
      <c r="C213" s="415" t="str">
        <f ca="1">IF(OR($A$2=1,MAX($C$158:C211)&gt;=Total!$C$18),"",C211+B213)</f>
        <v/>
      </c>
      <c r="D213" s="742" t="str">
        <f t="shared" ref="D213:D222" ca="1" si="8">IF(OR($A$2=1,C213="",VLOOKUP(C213,PAYAll,11,0)=0),"",VLOOKUP(C213,PAYAll,11,0))</f>
        <v/>
      </c>
      <c r="E213" s="743"/>
      <c r="F213" s="743"/>
      <c r="G213" s="744"/>
      <c r="H213" s="734" t="str">
        <f ca="1">IF(OR($A$2=1,'OP1'!$D$53=1,C213="",VLOOKUP(C213,PAYAll,3,0)=0),"",VLOOKUP(C213,PAYAll,3,0))</f>
        <v/>
      </c>
      <c r="I213" s="735"/>
      <c r="J213" s="734" t="str">
        <f ca="1">IF(OR($A$2=1,OP!$D$53=1,C213="",VLOOKUP(C213,PAYAll,2,0)=0),"",VLOOKUP(C213,PAYAll,2,0))</f>
        <v/>
      </c>
      <c r="K213" s="735"/>
      <c r="L213" s="734" t="str">
        <f ca="1">IF(OR($A$2=1,ROP!$C$33=1,C213="",VLOOKUP(C213,PAYAll,4,0)=0),"",VLOOKUP(C213,PAYAll,4,0))</f>
        <v/>
      </c>
      <c r="M213" s="735"/>
      <c r="N213" s="734" t="str">
        <f ca="1">IF(OR($A$2=1,ROP!$D$33=1,C213="",VLOOKUP(C213,PAYAll,5,0)=0),"",VLOOKUP(C213,PAYAll,5,0))</f>
        <v/>
      </c>
      <c r="O213" s="735"/>
      <c r="P213" s="734" t="str">
        <f ca="1">IF(OR($A$2=1,ROP!$E$33=1,C213="",VLOOKUP(C213,PAYAll,6,0)=0),"",VLOOKUP(C213,PAYAll,6,0))</f>
        <v/>
      </c>
      <c r="Q213" s="735"/>
      <c r="R213" s="734" t="str">
        <f ca="1">IF(OR($A$2=1,ROP!$F$33=1,C213="",VLOOKUP(C213,PAYAll,7,0)=0),"",VLOOKUP(C213,PAYAll,7,0))</f>
        <v/>
      </c>
      <c r="S213" s="735"/>
      <c r="T213" s="734" t="str">
        <f ca="1">IF(OR($A$2=1,ROP!$G$33=1,C213="",VLOOKUP(C213,PAYAll,8,0)=0),"",VLOOKUP(C213,PAYAll,8,0))</f>
        <v/>
      </c>
      <c r="U213" s="735"/>
    </row>
    <row r="214" spans="1:21" ht="11.1" hidden="1" customHeight="1">
      <c r="A214" s="10"/>
      <c r="B214" s="415">
        <v>2</v>
      </c>
      <c r="C214" s="415" t="str">
        <f ca="1">IF(OR($A$2=1,MAX($C$158:C213)&gt;=Total!$C$18),"",C213+(B214-B213))</f>
        <v/>
      </c>
      <c r="D214" s="742" t="str">
        <f t="shared" ca="1" si="8"/>
        <v/>
      </c>
      <c r="E214" s="743"/>
      <c r="F214" s="743"/>
      <c r="G214" s="744"/>
      <c r="H214" s="734" t="str">
        <f ca="1">IF(OR($A$2=1,'OP1'!$D$53=1,C214="",VLOOKUP(C214,PAYAll,3,0)=0),"",VLOOKUP(C214,PAYAll,3,0))</f>
        <v/>
      </c>
      <c r="I214" s="735"/>
      <c r="J214" s="734" t="str">
        <f ca="1">IF(OR($A$2=1,OP!$D$53=1,C214="",VLOOKUP(C214,PAYAll,2,0)=0),"",VLOOKUP(C214,PAYAll,2,0))</f>
        <v/>
      </c>
      <c r="K214" s="735"/>
      <c r="L214" s="734" t="str">
        <f ca="1">IF(OR($A$2=1,ROP!$C$33=1,C214="",VLOOKUP(C214,PAYAll,4,0)=0),"",VLOOKUP(C214,PAYAll,4,0))</f>
        <v/>
      </c>
      <c r="M214" s="735"/>
      <c r="N214" s="734" t="str">
        <f ca="1">IF(OR($A$2=1,ROP!$D$33=1,C214="",VLOOKUP(C214,PAYAll,5,0)=0),"",VLOOKUP(C214,PAYAll,5,0))</f>
        <v/>
      </c>
      <c r="O214" s="735"/>
      <c r="P214" s="734" t="str">
        <f ca="1">IF(OR($A$2=1,ROP!$E$33=1,C214="",VLOOKUP(C214,PAYAll,6,0)=0),"",VLOOKUP(C214,PAYAll,6,0))</f>
        <v/>
      </c>
      <c r="Q214" s="735"/>
      <c r="R214" s="734" t="str">
        <f ca="1">IF(OR($A$2=1,ROP!$F$33=1,C214="",VLOOKUP(C214,PAYAll,7,0)=0),"",VLOOKUP(C214,PAYAll,7,0))</f>
        <v/>
      </c>
      <c r="S214" s="735"/>
      <c r="T214" s="734" t="str">
        <f ca="1">IF(OR($A$2=1,ROP!$G$33=1,C214="",VLOOKUP(C214,PAYAll,8,0)=0),"",VLOOKUP(C214,PAYAll,8,0))</f>
        <v/>
      </c>
      <c r="U214" s="735"/>
    </row>
    <row r="215" spans="1:21" ht="11.1" hidden="1" customHeight="1">
      <c r="A215" s="10"/>
      <c r="B215" s="415">
        <v>3</v>
      </c>
      <c r="C215" s="415" t="str">
        <f ca="1">IF(OR($A$2=1,MAX($C$158:C214)&gt;=Total!$C$18),"",C214+(B215-B214))</f>
        <v/>
      </c>
      <c r="D215" s="742" t="str">
        <f t="shared" ca="1" si="8"/>
        <v/>
      </c>
      <c r="E215" s="743"/>
      <c r="F215" s="743"/>
      <c r="G215" s="744"/>
      <c r="H215" s="734" t="str">
        <f ca="1">IF(OR($A$2=1,'OP1'!$D$53=1,C215="",VLOOKUP(C215,PAYAll,3,0)=0),"",VLOOKUP(C215,PAYAll,3,0))</f>
        <v/>
      </c>
      <c r="I215" s="735"/>
      <c r="J215" s="734" t="str">
        <f ca="1">IF(OR($A$2=1,OP!$D$53=1,C215="",VLOOKUP(C215,PAYAll,2,0)=0),"",VLOOKUP(C215,PAYAll,2,0))</f>
        <v/>
      </c>
      <c r="K215" s="735"/>
      <c r="L215" s="734" t="str">
        <f ca="1">IF(OR($A$2=1,ROP!$C$33=1,C215="",VLOOKUP(C215,PAYAll,4,0)=0),"",VLOOKUP(C215,PAYAll,4,0))</f>
        <v/>
      </c>
      <c r="M215" s="735"/>
      <c r="N215" s="734" t="str">
        <f ca="1">IF(OR($A$2=1,ROP!$D$33=1,C215="",VLOOKUP(C215,PAYAll,5,0)=0),"",VLOOKUP(C215,PAYAll,5,0))</f>
        <v/>
      </c>
      <c r="O215" s="735"/>
      <c r="P215" s="734" t="str">
        <f ca="1">IF(OR($A$2=1,ROP!$E$33=1,C215="",VLOOKUP(C215,PAYAll,6,0)=0),"",VLOOKUP(C215,PAYAll,6,0))</f>
        <v/>
      </c>
      <c r="Q215" s="735"/>
      <c r="R215" s="734" t="str">
        <f ca="1">IF(OR($A$2=1,ROP!$F$33=1,C215="",VLOOKUP(C215,PAYAll,7,0)=0),"",VLOOKUP(C215,PAYAll,7,0))</f>
        <v/>
      </c>
      <c r="S215" s="735"/>
      <c r="T215" s="734" t="str">
        <f ca="1">IF(OR($A$2=1,ROP!$G$33=1,C215="",VLOOKUP(C215,PAYAll,8,0)=0),"",VLOOKUP(C215,PAYAll,8,0))</f>
        <v/>
      </c>
      <c r="U215" s="735"/>
    </row>
    <row r="216" spans="1:21" ht="11.1" hidden="1" customHeight="1">
      <c r="A216" s="10"/>
      <c r="B216" s="415">
        <v>4</v>
      </c>
      <c r="C216" s="415" t="str">
        <f ca="1">IF(OR($A$2=1,MAX($C$158:C215)&gt;=Total!$C$18),"",C215+(B216-B215))</f>
        <v/>
      </c>
      <c r="D216" s="742" t="str">
        <f t="shared" ca="1" si="8"/>
        <v/>
      </c>
      <c r="E216" s="743"/>
      <c r="F216" s="743"/>
      <c r="G216" s="744"/>
      <c r="H216" s="734" t="str">
        <f ca="1">IF(OR($A$2=1,'OP1'!$D$53=1,C216="",VLOOKUP(C216,PAYAll,3,0)=0),"",VLOOKUP(C216,PAYAll,3,0))</f>
        <v/>
      </c>
      <c r="I216" s="735"/>
      <c r="J216" s="734" t="str">
        <f ca="1">IF(OR($A$2=1,OP!$D$53=1,C216="",VLOOKUP(C216,PAYAll,2,0)=0),"",VLOOKUP(C216,PAYAll,2,0))</f>
        <v/>
      </c>
      <c r="K216" s="735"/>
      <c r="L216" s="734" t="str">
        <f ca="1">IF(OR($A$2=1,ROP!$C$33=1,C216="",VLOOKUP(C216,PAYAll,4,0)=0),"",VLOOKUP(C216,PAYAll,4,0))</f>
        <v/>
      </c>
      <c r="M216" s="735"/>
      <c r="N216" s="734" t="str">
        <f ca="1">IF(OR($A$2=1,ROP!$D$33=1,C216="",VLOOKUP(C216,PAYAll,5,0)=0),"",VLOOKUP(C216,PAYAll,5,0))</f>
        <v/>
      </c>
      <c r="O216" s="735"/>
      <c r="P216" s="734" t="str">
        <f ca="1">IF(OR($A$2=1,ROP!$E$33=1,C216="",VLOOKUP(C216,PAYAll,6,0)=0),"",VLOOKUP(C216,PAYAll,6,0))</f>
        <v/>
      </c>
      <c r="Q216" s="735"/>
      <c r="R216" s="734" t="str">
        <f ca="1">IF(OR($A$2=1,ROP!$F$33=1,C216="",VLOOKUP(C216,PAYAll,7,0)=0),"",VLOOKUP(C216,PAYAll,7,0))</f>
        <v/>
      </c>
      <c r="S216" s="735"/>
      <c r="T216" s="734" t="str">
        <f ca="1">IF(OR($A$2=1,ROP!$G$33=1,C216="",VLOOKUP(C216,PAYAll,8,0)=0),"",VLOOKUP(C216,PAYAll,8,0))</f>
        <v/>
      </c>
      <c r="U216" s="735"/>
    </row>
    <row r="217" spans="1:21" ht="11.1" hidden="1" customHeight="1">
      <c r="A217" s="10"/>
      <c r="B217" s="415">
        <v>5</v>
      </c>
      <c r="C217" s="415" t="str">
        <f ca="1">IF(OR($A$2=1,MAX($C$158:C216)&gt;=Total!$C$18),"",C216+(B217-B216))</f>
        <v/>
      </c>
      <c r="D217" s="742" t="str">
        <f t="shared" ca="1" si="8"/>
        <v/>
      </c>
      <c r="E217" s="743"/>
      <c r="F217" s="743"/>
      <c r="G217" s="744"/>
      <c r="H217" s="734" t="str">
        <f ca="1">IF(OR($A$2=1,'OP1'!$D$53=1,C217="",VLOOKUP(C217,PAYAll,3,0)=0),"",VLOOKUP(C217,PAYAll,3,0))</f>
        <v/>
      </c>
      <c r="I217" s="735"/>
      <c r="J217" s="734" t="str">
        <f ca="1">IF(OR($A$2=1,OP!$D$53=1,C217="",VLOOKUP(C217,PAYAll,2,0)=0),"",VLOOKUP(C217,PAYAll,2,0))</f>
        <v/>
      </c>
      <c r="K217" s="735"/>
      <c r="L217" s="734" t="str">
        <f ca="1">IF(OR($A$2=1,ROP!$C$33=1,C217="",VLOOKUP(C217,PAYAll,4,0)=0),"",VLOOKUP(C217,PAYAll,4,0))</f>
        <v/>
      </c>
      <c r="M217" s="735"/>
      <c r="N217" s="734" t="str">
        <f ca="1">IF(OR($A$2=1,ROP!$D$33=1,C217="",VLOOKUP(C217,PAYAll,5,0)=0),"",VLOOKUP(C217,PAYAll,5,0))</f>
        <v/>
      </c>
      <c r="O217" s="735"/>
      <c r="P217" s="734" t="str">
        <f ca="1">IF(OR($A$2=1,ROP!$E$33=1,C217="",VLOOKUP(C217,PAYAll,6,0)=0),"",VLOOKUP(C217,PAYAll,6,0))</f>
        <v/>
      </c>
      <c r="Q217" s="735"/>
      <c r="R217" s="734" t="str">
        <f ca="1">IF(OR($A$2=1,ROP!$F$33=1,C217="",VLOOKUP(C217,PAYAll,7,0)=0),"",VLOOKUP(C217,PAYAll,7,0))</f>
        <v/>
      </c>
      <c r="S217" s="735"/>
      <c r="T217" s="734" t="str">
        <f ca="1">IF(OR($A$2=1,ROP!$G$33=1,C217="",VLOOKUP(C217,PAYAll,8,0)=0),"",VLOOKUP(C217,PAYAll,8,0))</f>
        <v/>
      </c>
      <c r="U217" s="735"/>
    </row>
    <row r="218" spans="1:21" ht="11.1" hidden="1" customHeight="1">
      <c r="A218" s="10"/>
      <c r="B218" s="415">
        <v>6</v>
      </c>
      <c r="C218" s="415" t="str">
        <f ca="1">IF(OR($A$2=1,MAX($C$158:C217)&gt;=Total!$C$18),"",C217+(B218-B217))</f>
        <v/>
      </c>
      <c r="D218" s="742" t="str">
        <f t="shared" ca="1" si="8"/>
        <v/>
      </c>
      <c r="E218" s="743"/>
      <c r="F218" s="743"/>
      <c r="G218" s="744"/>
      <c r="H218" s="734" t="str">
        <f ca="1">IF(OR($A$2=1,'OP1'!$D$53=1,C218="",VLOOKUP(C218,PAYAll,3,0)=0),"",VLOOKUP(C218,PAYAll,3,0))</f>
        <v/>
      </c>
      <c r="I218" s="735"/>
      <c r="J218" s="734" t="str">
        <f ca="1">IF(OR($A$2=1,OP!$D$53=1,C218="",VLOOKUP(C218,PAYAll,2,0)=0),"",VLOOKUP(C218,PAYAll,2,0))</f>
        <v/>
      </c>
      <c r="K218" s="735"/>
      <c r="L218" s="734" t="str">
        <f ca="1">IF(OR($A$2=1,ROP!$C$33=1,C218="",VLOOKUP(C218,PAYAll,4,0)=0),"",VLOOKUP(C218,PAYAll,4,0))</f>
        <v/>
      </c>
      <c r="M218" s="735"/>
      <c r="N218" s="734" t="str">
        <f ca="1">IF(OR($A$2=1,ROP!$D$33=1,C218="",VLOOKUP(C218,PAYAll,5,0)=0),"",VLOOKUP(C218,PAYAll,5,0))</f>
        <v/>
      </c>
      <c r="O218" s="735"/>
      <c r="P218" s="734" t="str">
        <f ca="1">IF(OR($A$2=1,ROP!$E$33=1,C218="",VLOOKUP(C218,PAYAll,6,0)=0),"",VLOOKUP(C218,PAYAll,6,0))</f>
        <v/>
      </c>
      <c r="Q218" s="735"/>
      <c r="R218" s="734" t="str">
        <f ca="1">IF(OR($A$2=1,ROP!$F$33=1,C218="",VLOOKUP(C218,PAYAll,7,0)=0),"",VLOOKUP(C218,PAYAll,7,0))</f>
        <v/>
      </c>
      <c r="S218" s="735"/>
      <c r="T218" s="734" t="str">
        <f ca="1">IF(OR($A$2=1,ROP!$G$33=1,C218="",VLOOKUP(C218,PAYAll,8,0)=0),"",VLOOKUP(C218,PAYAll,8,0))</f>
        <v/>
      </c>
      <c r="U218" s="735"/>
    </row>
    <row r="219" spans="1:21" ht="11.1" hidden="1" customHeight="1">
      <c r="A219" s="10"/>
      <c r="B219" s="415">
        <v>7</v>
      </c>
      <c r="C219" s="415" t="str">
        <f ca="1">IF(OR($A$2=1,MAX($C$158:C218)&gt;=Total!$C$18),"",C218+(B219-B218))</f>
        <v/>
      </c>
      <c r="D219" s="742" t="str">
        <f t="shared" ca="1" si="8"/>
        <v/>
      </c>
      <c r="E219" s="743"/>
      <c r="F219" s="743"/>
      <c r="G219" s="744"/>
      <c r="H219" s="734" t="str">
        <f ca="1">IF(OR($A$2=1,'OP1'!$D$53=1,C219="",VLOOKUP(C219,PAYAll,3,0)=0),"",VLOOKUP(C219,PAYAll,3,0))</f>
        <v/>
      </c>
      <c r="I219" s="735"/>
      <c r="J219" s="734" t="str">
        <f ca="1">IF(OR($A$2=1,OP!$D$53=1,C219="",VLOOKUP(C219,PAYAll,2,0)=0),"",VLOOKUP(C219,PAYAll,2,0))</f>
        <v/>
      </c>
      <c r="K219" s="735"/>
      <c r="L219" s="734" t="str">
        <f ca="1">IF(OR($A$2=1,ROP!$C$33=1,C219="",VLOOKUP(C219,PAYAll,4,0)=0),"",VLOOKUP(C219,PAYAll,4,0))</f>
        <v/>
      </c>
      <c r="M219" s="735"/>
      <c r="N219" s="734" t="str">
        <f ca="1">IF(OR($A$2=1,ROP!$D$33=1,C219="",VLOOKUP(C219,PAYAll,5,0)=0),"",VLOOKUP(C219,PAYAll,5,0))</f>
        <v/>
      </c>
      <c r="O219" s="735"/>
      <c r="P219" s="734" t="str">
        <f ca="1">IF(OR($A$2=1,ROP!$E$33=1,C219="",VLOOKUP(C219,PAYAll,6,0)=0),"",VLOOKUP(C219,PAYAll,6,0))</f>
        <v/>
      </c>
      <c r="Q219" s="735"/>
      <c r="R219" s="734" t="str">
        <f ca="1">IF(OR($A$2=1,ROP!$F$33=1,C219="",VLOOKUP(C219,PAYAll,7,0)=0),"",VLOOKUP(C219,PAYAll,7,0))</f>
        <v/>
      </c>
      <c r="S219" s="735"/>
      <c r="T219" s="734" t="str">
        <f ca="1">IF(OR($A$2=1,ROP!$G$33=1,C219="",VLOOKUP(C219,PAYAll,8,0)=0),"",VLOOKUP(C219,PAYAll,8,0))</f>
        <v/>
      </c>
      <c r="U219" s="735"/>
    </row>
    <row r="220" spans="1:21" ht="11.1" hidden="1" customHeight="1">
      <c r="A220" s="10"/>
      <c r="B220" s="415">
        <v>8</v>
      </c>
      <c r="C220" s="415" t="str">
        <f ca="1">IF(OR($A$2=1,MAX($C$158:C219)&gt;=Total!$C$18),"",C219+(B220-B219))</f>
        <v/>
      </c>
      <c r="D220" s="742" t="str">
        <f t="shared" ca="1" si="8"/>
        <v/>
      </c>
      <c r="E220" s="743"/>
      <c r="F220" s="743"/>
      <c r="G220" s="744"/>
      <c r="H220" s="734" t="str">
        <f ca="1">IF(OR($A$2=1,'OP1'!$D$53=1,C220="",VLOOKUP(C220,PAYAll,3,0)=0),"",VLOOKUP(C220,PAYAll,3,0))</f>
        <v/>
      </c>
      <c r="I220" s="735"/>
      <c r="J220" s="734" t="str">
        <f ca="1">IF(OR($A$2=1,OP!$D$53=1,C220="",VLOOKUP(C220,PAYAll,2,0)=0),"",VLOOKUP(C220,PAYAll,2,0))</f>
        <v/>
      </c>
      <c r="K220" s="735"/>
      <c r="L220" s="734" t="str">
        <f ca="1">IF(OR($A$2=1,ROP!$C$33=1,C220="",VLOOKUP(C220,PAYAll,4,0)=0),"",VLOOKUP(C220,PAYAll,4,0))</f>
        <v/>
      </c>
      <c r="M220" s="735"/>
      <c r="N220" s="734" t="str">
        <f ca="1">IF(OR($A$2=1,ROP!$D$33=1,C220="",VLOOKUP(C220,PAYAll,5,0)=0),"",VLOOKUP(C220,PAYAll,5,0))</f>
        <v/>
      </c>
      <c r="O220" s="735"/>
      <c r="P220" s="734" t="str">
        <f ca="1">IF(OR($A$2=1,ROP!$E$33=1,C220="",VLOOKUP(C220,PAYAll,6,0)=0),"",VLOOKUP(C220,PAYAll,6,0))</f>
        <v/>
      </c>
      <c r="Q220" s="735"/>
      <c r="R220" s="734" t="str">
        <f ca="1">IF(OR($A$2=1,ROP!$F$33=1,C220="",VLOOKUP(C220,PAYAll,7,0)=0),"",VLOOKUP(C220,PAYAll,7,0))</f>
        <v/>
      </c>
      <c r="S220" s="735"/>
      <c r="T220" s="734" t="str">
        <f ca="1">IF(OR($A$2=1,ROP!$G$33=1,C220="",VLOOKUP(C220,PAYAll,8,0)=0),"",VLOOKUP(C220,PAYAll,8,0))</f>
        <v/>
      </c>
      <c r="U220" s="735"/>
    </row>
    <row r="221" spans="1:21" ht="11.1" hidden="1" customHeight="1">
      <c r="A221" s="10"/>
      <c r="B221" s="415">
        <v>9</v>
      </c>
      <c r="C221" s="415" t="str">
        <f ca="1">IF(OR($A$2=1,MAX($C$158:C220)&gt;=Total!$C$18),"",C220+(B221-B220))</f>
        <v/>
      </c>
      <c r="D221" s="742" t="str">
        <f t="shared" ca="1" si="8"/>
        <v/>
      </c>
      <c r="E221" s="743"/>
      <c r="F221" s="743"/>
      <c r="G221" s="744"/>
      <c r="H221" s="734" t="str">
        <f ca="1">IF(OR($A$2=1,'OP1'!$D$53=1,C221="",VLOOKUP(C221,PAYAll,3,0)=0),"",VLOOKUP(C221,PAYAll,3,0))</f>
        <v/>
      </c>
      <c r="I221" s="735"/>
      <c r="J221" s="734" t="str">
        <f ca="1">IF(OR($A$2=1,OP!$D$53=1,C221="",VLOOKUP(C221,PAYAll,2,0)=0),"",VLOOKUP(C221,PAYAll,2,0))</f>
        <v/>
      </c>
      <c r="K221" s="735"/>
      <c r="L221" s="734" t="str">
        <f ca="1">IF(OR($A$2=1,ROP!$C$33=1,C221="",VLOOKUP(C221,PAYAll,4,0)=0),"",VLOOKUP(C221,PAYAll,4,0))</f>
        <v/>
      </c>
      <c r="M221" s="735"/>
      <c r="N221" s="734" t="str">
        <f ca="1">IF(OR($A$2=1,ROP!$D$33=1,C221="",VLOOKUP(C221,PAYAll,5,0)=0),"",VLOOKUP(C221,PAYAll,5,0))</f>
        <v/>
      </c>
      <c r="O221" s="735"/>
      <c r="P221" s="734" t="str">
        <f ca="1">IF(OR($A$2=1,ROP!$E$33=1,C221="",VLOOKUP(C221,PAYAll,6,0)=0),"",VLOOKUP(C221,PAYAll,6,0))</f>
        <v/>
      </c>
      <c r="Q221" s="735"/>
      <c r="R221" s="734" t="str">
        <f ca="1">IF(OR($A$2=1,ROP!$F$33=1,C221="",VLOOKUP(C221,PAYAll,7,0)=0),"",VLOOKUP(C221,PAYAll,7,0))</f>
        <v/>
      </c>
      <c r="S221" s="735"/>
      <c r="T221" s="734" t="str">
        <f ca="1">IF(OR($A$2=1,ROP!$G$33=1,C221="",VLOOKUP(C221,PAYAll,8,0)=0),"",VLOOKUP(C221,PAYAll,8,0))</f>
        <v/>
      </c>
      <c r="U221" s="735"/>
    </row>
    <row r="222" spans="1:21" ht="11.1" hidden="1" customHeight="1">
      <c r="A222" s="10"/>
      <c r="B222" s="415">
        <v>10</v>
      </c>
      <c r="C222" s="415" t="str">
        <f ca="1">IF(OR($A$2=1,MAX($C$158:C221)&gt;=Total!$C$18),"",C221+(B222-B221))</f>
        <v/>
      </c>
      <c r="D222" s="742" t="str">
        <f t="shared" ca="1" si="8"/>
        <v/>
      </c>
      <c r="E222" s="743"/>
      <c r="F222" s="743"/>
      <c r="G222" s="744"/>
      <c r="H222" s="734" t="str">
        <f ca="1">IF(OR($A$2=1,'OP1'!$D$53=1,C222="",VLOOKUP(C222,PAYAll,3,0)=0),"",VLOOKUP(C222,PAYAll,3,0))</f>
        <v/>
      </c>
      <c r="I222" s="735"/>
      <c r="J222" s="734" t="str">
        <f ca="1">IF(OR($A$2=1,OP!$D$53=1,C222="",VLOOKUP(C222,PAYAll,2,0)=0),"",VLOOKUP(C222,PAYAll,2,0))</f>
        <v/>
      </c>
      <c r="K222" s="735"/>
      <c r="L222" s="734" t="str">
        <f ca="1">IF(OR($A$2=1,ROP!$C$33=1,C222="",VLOOKUP(C222,PAYAll,4,0)=0),"",VLOOKUP(C222,PAYAll,4,0))</f>
        <v/>
      </c>
      <c r="M222" s="735"/>
      <c r="N222" s="734" t="str">
        <f ca="1">IF(OR($A$2=1,ROP!$D$33=1,C222="",VLOOKUP(C222,PAYAll,5,0)=0),"",VLOOKUP(C222,PAYAll,5,0))</f>
        <v/>
      </c>
      <c r="O222" s="735"/>
      <c r="P222" s="734" t="str">
        <f ca="1">IF(OR($A$2=1,ROP!$E$33=1,C222="",VLOOKUP(C222,PAYAll,6,0)=0),"",VLOOKUP(C222,PAYAll,6,0))</f>
        <v/>
      </c>
      <c r="Q222" s="735"/>
      <c r="R222" s="734" t="str">
        <f ca="1">IF(OR($A$2=1,ROP!$F$33=1,C222="",VLOOKUP(C222,PAYAll,7,0)=0),"",VLOOKUP(C222,PAYAll,7,0))</f>
        <v/>
      </c>
      <c r="S222" s="735"/>
      <c r="T222" s="734" t="str">
        <f ca="1">IF(OR($A$2=1,ROP!$G$33=1,C222="",VLOOKUP(C222,PAYAll,8,0)=0),"",VLOOKUP(C222,PAYAll,8,0))</f>
        <v/>
      </c>
      <c r="U222" s="735"/>
    </row>
    <row r="223" spans="1:21" ht="5.25" hidden="1" customHeight="1">
      <c r="A223" s="10"/>
      <c r="B223" s="411"/>
      <c r="C223" s="411"/>
      <c r="D223" s="412"/>
      <c r="E223" s="413"/>
      <c r="F223" s="413"/>
      <c r="G223" s="413"/>
      <c r="H223" s="412"/>
      <c r="I223" s="414"/>
      <c r="J223" s="412"/>
      <c r="K223" s="414"/>
      <c r="L223" s="412"/>
      <c r="M223" s="414"/>
      <c r="N223" s="412"/>
      <c r="O223" s="414"/>
      <c r="P223" s="412"/>
      <c r="Q223" s="414"/>
      <c r="R223" s="412"/>
      <c r="S223" s="414"/>
      <c r="T223" s="412"/>
      <c r="U223" s="414"/>
    </row>
    <row r="224" spans="1:21" ht="14.45" hidden="1" customHeight="1">
      <c r="A224" s="10"/>
      <c r="B224" s="755" t="s">
        <v>821</v>
      </c>
      <c r="C224" s="756"/>
      <c r="D224" s="759" t="str">
        <f ca="1">IF(OR($A$2=1),"","實繳保費")</f>
        <v>實繳保費</v>
      </c>
      <c r="E224" s="760"/>
      <c r="F224" s="760"/>
      <c r="G224" s="760"/>
      <c r="H224" s="736" t="str">
        <f ca="1">IF(OR($A$2=1,'OP1'!$D$53=1),"","SWUC/SWUD")</f>
        <v>SWUC/SWUD</v>
      </c>
      <c r="I224" s="737"/>
      <c r="J224" s="736" t="str">
        <f ca="1">IF(OR($A$2=1,OP!$D$53=1),"","AIJ")</f>
        <v>AIJ</v>
      </c>
      <c r="K224" s="737"/>
      <c r="L224" s="736" t="str">
        <f ca="1">IF(OR($A$2=1,ROP!$C$33=1),"","AOR")</f>
        <v/>
      </c>
      <c r="M224" s="737"/>
      <c r="N224" s="736" t="str">
        <f ca="1">IF(OR($A$2=1,ROP!$D$33=1),"", ROP!$D$17)</f>
        <v/>
      </c>
      <c r="O224" s="737"/>
      <c r="P224" s="736" t="str">
        <f ca="1">IF(OR($A$2=1,ROP!$E$33=1),"","HNR")</f>
        <v/>
      </c>
      <c r="Q224" s="737"/>
      <c r="R224" s="736" t="str">
        <f ca="1">IF(OR($A$2=1,ROP!$F$33=1),"","HOR")</f>
        <v/>
      </c>
      <c r="S224" s="737"/>
      <c r="T224" s="736" t="str">
        <f ca="1">IF(OR($A$2=1,ROP!$G$33=1),"","CLR")</f>
        <v/>
      </c>
      <c r="U224" s="737"/>
    </row>
    <row r="225" spans="1:22" ht="14.45" hidden="1" customHeight="1">
      <c r="A225" s="10"/>
      <c r="B225" s="757" t="s">
        <v>834</v>
      </c>
      <c r="C225" s="758"/>
      <c r="D225" s="740">
        <f ca="1">IF(OR($A$2=1),"",Total!$M$122)</f>
        <v>416800</v>
      </c>
      <c r="E225" s="761"/>
      <c r="F225" s="761"/>
      <c r="G225" s="761"/>
      <c r="H225" s="732">
        <f ca="1">Total!$E$122</f>
        <v>52470</v>
      </c>
      <c r="I225" s="733"/>
      <c r="J225" s="732">
        <f ca="1">Total!$D$122</f>
        <v>364330</v>
      </c>
      <c r="K225" s="733"/>
      <c r="L225" s="732" t="str">
        <f ca="1">Total!$F$122</f>
        <v/>
      </c>
      <c r="M225" s="733"/>
      <c r="N225" s="732" t="str">
        <f ca="1">Total!$G$122</f>
        <v/>
      </c>
      <c r="O225" s="733"/>
      <c r="P225" s="732" t="str">
        <f ca="1">Total!$H$122</f>
        <v/>
      </c>
      <c r="Q225" s="733"/>
      <c r="R225" s="732" t="str">
        <f ca="1">Total!$I$122</f>
        <v/>
      </c>
      <c r="S225" s="733"/>
      <c r="T225" s="732" t="str">
        <f ca="1">Total!$J$122</f>
        <v/>
      </c>
      <c r="U225" s="733"/>
    </row>
    <row r="226" spans="1:22" ht="12.95" hidden="1" customHeight="1">
      <c r="A226" s="10"/>
      <c r="B226" s="423" t="str">
        <f ca="1">IF(OR($A$2=1),"","‧上表續保保險費已含繳費方式保費折扣。")</f>
        <v>‧上表續保保險費已含繳費方式保費折扣。</v>
      </c>
      <c r="C226" s="411"/>
      <c r="D226" s="412"/>
      <c r="E226" s="413"/>
      <c r="F226" s="413"/>
      <c r="G226" s="413"/>
      <c r="H226" s="412"/>
      <c r="I226" s="414"/>
      <c r="J226" s="412"/>
      <c r="K226" s="414"/>
      <c r="L226" s="412"/>
      <c r="M226" s="414"/>
      <c r="N226" s="412"/>
      <c r="O226" s="414"/>
      <c r="P226" s="412"/>
      <c r="Q226" s="414"/>
      <c r="R226" s="412"/>
      <c r="S226" s="414"/>
      <c r="T226" s="412"/>
      <c r="U226" s="414"/>
    </row>
    <row r="227" spans="1:22" ht="12.95" hidden="1" customHeight="1">
      <c r="A227" s="10"/>
      <c r="B227" s="430" t="str">
        <f ca="1">IF(OR($A$2=1),"","‧上表續保保險費僅供參考，實際續保保險費，是按續保生效當時依規定陳報主管機關之費率、保險金額及")</f>
        <v>‧上表續保保險費僅供參考，實際續保保險費，是按續保生效當時依規定陳報主管機關之費率、保險金額及</v>
      </c>
      <c r="C227" s="411"/>
      <c r="D227" s="412"/>
      <c r="E227" s="413"/>
      <c r="F227" s="413"/>
      <c r="G227" s="413"/>
      <c r="H227" s="412"/>
      <c r="I227" s="414"/>
      <c r="J227" s="412"/>
      <c r="K227" s="414"/>
      <c r="L227" s="412"/>
      <c r="M227" s="414"/>
      <c r="N227" s="412"/>
      <c r="O227" s="414"/>
      <c r="P227" s="412"/>
      <c r="Q227" s="414"/>
      <c r="R227" s="412"/>
      <c r="S227" s="414"/>
      <c r="T227" s="412"/>
      <c r="U227" s="414"/>
    </row>
    <row r="228" spans="1:22" ht="12.95" hidden="1" customHeight="1">
      <c r="A228" s="10"/>
      <c r="B228" s="430" t="str">
        <f ca="1">IF(OR($A$2=1),"","  被保險人保險年齡重新計算保險費。")</f>
        <v xml:space="preserve">  被保險人保險年齡重新計算保險費。</v>
      </c>
      <c r="C228" s="411"/>
      <c r="D228" s="412"/>
      <c r="E228" s="413"/>
      <c r="F228" s="413"/>
      <c r="G228" s="413"/>
      <c r="H228" s="412"/>
      <c r="I228" s="414"/>
      <c r="J228" s="412"/>
      <c r="K228" s="414"/>
      <c r="L228" s="412"/>
      <c r="M228" s="414"/>
      <c r="N228" s="412"/>
      <c r="O228" s="414"/>
      <c r="P228" s="412"/>
      <c r="Q228" s="414"/>
      <c r="R228" s="412"/>
      <c r="S228" s="414"/>
      <c r="T228" s="412"/>
      <c r="U228" s="414"/>
    </row>
    <row r="229" spans="1:22" ht="12.95" hidden="1" customHeight="1">
      <c r="A229" s="10"/>
      <c r="B229" s="423" t="str">
        <f ca="1">IF(OR($A$2=1),"","‧如於保證續保期間因險種變更、保額變更、繳費方式變更或不符保證續保條件時，上表將不適用。")</f>
        <v>‧如於保證續保期間因險種變更、保額變更、繳費方式變更或不符保證續保條件時，上表將不適用。</v>
      </c>
      <c r="C229" s="411"/>
      <c r="D229" s="412"/>
      <c r="E229" s="413"/>
      <c r="F229" s="413"/>
      <c r="G229" s="413"/>
      <c r="H229" s="412"/>
      <c r="I229" s="414"/>
      <c r="J229" s="412"/>
      <c r="K229" s="414"/>
      <c r="L229" s="412"/>
      <c r="M229" s="414"/>
      <c r="N229" s="412"/>
      <c r="O229" s="414"/>
      <c r="P229" s="412"/>
      <c r="Q229" s="414"/>
      <c r="R229" s="412"/>
      <c r="S229" s="414"/>
      <c r="T229" s="412"/>
      <c r="U229" s="414"/>
    </row>
    <row r="230" spans="1:22" ht="12.95" hidden="1" customHeight="1">
      <c r="A230" s="10"/>
      <c r="B230" s="423" t="str">
        <f ca="1">IF(OR($A$2=1,'OP1'!$D$53=1),"","‧SWUC續保商品為SWUD，上表SWUC續保保險費為SWUD保費，若商品停售上表將不適用。")</f>
        <v>‧SWUC續保商品為SWUD，上表SWUC續保保險費為SWUD保費，若商品停售上表將不適用。</v>
      </c>
      <c r="C230" s="411"/>
      <c r="D230" s="412"/>
      <c r="E230" s="413"/>
      <c r="F230" s="413"/>
      <c r="G230" s="413"/>
      <c r="H230" s="412"/>
      <c r="I230" s="414"/>
      <c r="J230" s="412"/>
      <c r="K230" s="414"/>
      <c r="L230" s="412"/>
      <c r="M230" s="414"/>
      <c r="N230" s="412"/>
      <c r="O230" s="414"/>
      <c r="P230" s="412"/>
      <c r="Q230" s="414"/>
      <c r="R230" s="412"/>
      <c r="S230" s="414"/>
      <c r="T230" s="412"/>
      <c r="U230" s="414"/>
    </row>
    <row r="231" spans="1:22" ht="14.45" hidden="1" customHeight="1">
      <c r="A231" s="10"/>
      <c r="B231" s="766" t="s">
        <v>119</v>
      </c>
      <c r="C231" s="766"/>
      <c r="D231" s="766"/>
      <c r="E231" s="766"/>
      <c r="F231" s="766"/>
      <c r="G231" s="766"/>
      <c r="H231" s="766"/>
      <c r="I231" s="766"/>
      <c r="J231" s="766"/>
      <c r="K231" s="766"/>
      <c r="L231" s="766"/>
      <c r="M231" s="766"/>
      <c r="N231" s="766"/>
      <c r="O231" s="766"/>
      <c r="P231" s="766"/>
      <c r="Q231" s="766"/>
      <c r="R231" s="766"/>
      <c r="S231" s="766"/>
      <c r="T231" s="766"/>
      <c r="U231" s="766"/>
    </row>
    <row r="232" spans="1:22" ht="14.45" hidden="1" customHeight="1">
      <c r="A232" s="10"/>
      <c r="B232" s="762"/>
      <c r="C232" s="763"/>
      <c r="D232" s="764" t="str">
        <f ca="1">"※本契約("&amp;IF(AND(OP!$D$53="",'OP1'!$D$53=""),OP!$C$22&amp;"、"&amp;'OP1'!$C$22,IF(OP!$D$53="",OP!$C$22,'OP1'!$C$22))&amp;")條款樣張須於訂立契約前提供要保人至少三日審閱期間。"</f>
        <v>※本契約(AIJ、SWUC)條款樣張須於訂立契約前提供要保人至少三日審閱期間。</v>
      </c>
      <c r="E232" s="764"/>
      <c r="F232" s="764"/>
      <c r="G232" s="764"/>
      <c r="H232" s="764"/>
      <c r="I232" s="764"/>
      <c r="J232" s="764"/>
      <c r="K232" s="764"/>
      <c r="L232" s="764"/>
      <c r="M232" s="764"/>
      <c r="N232" s="764"/>
      <c r="O232" s="764"/>
      <c r="P232" s="764"/>
      <c r="Q232" s="765" t="str">
        <f ca="1">OP!$C$54&amp;" 試算日："&amp;TEXT(YEAR(OP!$C$3)-1911,"000")&amp;TEXT(MONTH(OP!$C$3),"00")&amp;TEXT(DAY(OP!$C$3),"00")</f>
        <v>V3.0A-1111001 試算日：1111001</v>
      </c>
      <c r="R232" s="765"/>
      <c r="S232" s="765"/>
      <c r="T232" s="765"/>
      <c r="U232" s="765"/>
    </row>
    <row r="233" spans="1:22" ht="0.75" customHeight="1">
      <c r="A233" s="10"/>
      <c r="B233" s="231"/>
      <c r="C233" s="232"/>
      <c r="D233" s="233"/>
      <c r="E233" s="233"/>
      <c r="F233" s="233"/>
      <c r="G233" s="233"/>
      <c r="H233" s="233"/>
      <c r="I233" s="233"/>
      <c r="J233" s="233"/>
      <c r="K233" s="233"/>
      <c r="L233" s="233"/>
      <c r="M233" s="233"/>
      <c r="N233" s="233"/>
      <c r="O233" s="233"/>
      <c r="P233" s="233"/>
      <c r="Q233" s="230"/>
      <c r="R233" s="230"/>
      <c r="S233" s="230"/>
      <c r="T233" s="230"/>
      <c r="U233" s="230"/>
    </row>
    <row r="234" spans="1:22" ht="15.95" customHeight="1">
      <c r="A234" s="10"/>
      <c r="B234" s="806" t="s">
        <v>1121</v>
      </c>
      <c r="C234" s="806"/>
      <c r="D234" s="806"/>
      <c r="E234" s="806"/>
      <c r="F234" s="806"/>
      <c r="G234" s="806"/>
      <c r="H234" s="806"/>
      <c r="I234" s="806"/>
      <c r="J234" s="806"/>
      <c r="K234" s="806"/>
      <c r="L234" s="806"/>
      <c r="M234" s="806"/>
      <c r="N234" s="806"/>
      <c r="O234" s="806"/>
      <c r="P234" s="806"/>
      <c r="Q234" s="806"/>
      <c r="R234" s="806"/>
      <c r="S234" s="806"/>
      <c r="T234" s="806"/>
      <c r="U234" s="806"/>
    </row>
    <row r="235" spans="1:22" s="131" customFormat="1" ht="12" customHeight="1">
      <c r="A235" s="130">
        <v>1</v>
      </c>
      <c r="B235" s="155" t="str">
        <f t="shared" ref="B235:B302" ca="1" si="9">IF(ISERROR(VLOOKUP($A235,RDOC,3,0)),"",VLOOKUP($A235,RDOC,3,0))</f>
        <v>富邦人壽家有醫寶重大傷病定期健康保險(V1)(SWUC/SWUD)</v>
      </c>
      <c r="D235" s="132"/>
      <c r="E235" s="132"/>
      <c r="F235" s="132"/>
      <c r="G235" s="132"/>
      <c r="H235" s="132"/>
      <c r="I235" s="132"/>
      <c r="J235" s="132"/>
      <c r="K235" s="132"/>
      <c r="L235" s="132"/>
      <c r="M235" s="132"/>
      <c r="N235" s="132"/>
      <c r="O235" s="132"/>
      <c r="P235" s="132"/>
      <c r="Q235" s="132"/>
      <c r="R235" s="132"/>
      <c r="S235" s="132"/>
      <c r="T235" s="132"/>
      <c r="U235" s="132"/>
      <c r="V235" s="352">
        <f t="shared" ref="V235:V301" ca="1" si="10">IF(ISERROR(VLOOKUP($A235,RDOC,2,0)),"",VLOOKUP($A235,RDOC,2,0))</f>
        <v>0</v>
      </c>
    </row>
    <row r="236" spans="1:22" s="131" customFormat="1" ht="12" customHeight="1">
      <c r="A236" s="130">
        <f>A235+1</f>
        <v>2</v>
      </c>
      <c r="B236" s="155" t="str">
        <f t="shared" ca="1" si="9"/>
        <v>給付項目：重大傷病保險金、身故保險金或喪葬費用保險金、完全失能保險金、法定傳染病加護病房保險金、法定傳染病</v>
      </c>
      <c r="D236" s="132"/>
      <c r="E236" s="132"/>
      <c r="F236" s="132"/>
      <c r="G236" s="132"/>
      <c r="H236" s="132"/>
      <c r="I236" s="132"/>
      <c r="J236" s="132"/>
      <c r="K236" s="132"/>
      <c r="L236" s="132"/>
      <c r="M236" s="132"/>
      <c r="N236" s="132"/>
      <c r="O236" s="132"/>
      <c r="P236" s="132"/>
      <c r="Q236" s="132"/>
      <c r="R236" s="132"/>
      <c r="S236" s="132"/>
      <c r="T236" s="132"/>
      <c r="U236" s="132"/>
      <c r="V236" s="352">
        <f t="shared" ca="1" si="10"/>
        <v>0</v>
      </c>
    </row>
    <row r="237" spans="1:22" s="131" customFormat="1" ht="12" customHeight="1">
      <c r="A237" s="130">
        <f t="shared" ref="A237:A302" si="11">A236+1</f>
        <v>3</v>
      </c>
      <c r="B237" s="155" t="str">
        <f t="shared" ca="1" si="9"/>
        <v xml:space="preserve">          身故保險金、無理賠回饋保險金</v>
      </c>
      <c r="D237" s="132"/>
      <c r="E237" s="132"/>
      <c r="F237" s="132"/>
      <c r="G237" s="132"/>
      <c r="H237" s="132"/>
      <c r="I237" s="132"/>
      <c r="J237" s="132"/>
      <c r="K237" s="132"/>
      <c r="L237" s="132"/>
      <c r="M237" s="132"/>
      <c r="N237" s="132"/>
      <c r="O237" s="132"/>
      <c r="P237" s="132"/>
      <c r="Q237" s="132"/>
      <c r="R237" s="132"/>
      <c r="S237" s="132"/>
      <c r="T237" s="132"/>
      <c r="U237" s="132"/>
      <c r="V237" s="352">
        <f t="shared" ca="1" si="10"/>
        <v>0</v>
      </c>
    </row>
    <row r="238" spans="1:22" s="131" customFormat="1" ht="12" customHeight="1">
      <c r="A238" s="130">
        <f t="shared" si="11"/>
        <v>4</v>
      </c>
      <c r="B238" s="155" t="str">
        <f t="shared" ca="1" si="9"/>
        <v>‧本保險為不分紅保險單，不參加紅利分配，並無紅利給付項目。</v>
      </c>
      <c r="D238" s="132"/>
      <c r="E238" s="132"/>
      <c r="F238" s="132"/>
      <c r="G238" s="132"/>
      <c r="H238" s="132"/>
      <c r="I238" s="132"/>
      <c r="J238" s="132"/>
      <c r="K238" s="132"/>
      <c r="L238" s="132"/>
      <c r="M238" s="132"/>
      <c r="N238" s="132"/>
      <c r="O238" s="132"/>
      <c r="P238" s="132"/>
      <c r="Q238" s="132"/>
      <c r="R238" s="132"/>
      <c r="S238" s="132"/>
      <c r="T238" s="132"/>
      <c r="U238" s="132"/>
      <c r="V238" s="352">
        <f t="shared" ca="1" si="10"/>
        <v>1</v>
      </c>
    </row>
    <row r="239" spans="1:22" s="131" customFormat="1" ht="12" customHeight="1">
      <c r="A239" s="130">
        <f t="shared" si="11"/>
        <v>5</v>
      </c>
      <c r="B239" s="155" t="str">
        <f t="shared" ca="1" si="9"/>
        <v>‧本保險健康險部分因費率計算已考慮脫退率，故健康險部分無解約金。</v>
      </c>
      <c r="D239" s="132"/>
      <c r="E239" s="132"/>
      <c r="F239" s="132"/>
      <c r="G239" s="132"/>
      <c r="H239" s="132"/>
      <c r="I239" s="132"/>
      <c r="J239" s="132"/>
      <c r="K239" s="132"/>
      <c r="L239" s="132"/>
      <c r="M239" s="132"/>
      <c r="N239" s="132"/>
      <c r="O239" s="132"/>
      <c r="P239" s="132"/>
      <c r="Q239" s="132"/>
      <c r="R239" s="132"/>
      <c r="S239" s="132"/>
      <c r="T239" s="132"/>
      <c r="U239" s="132"/>
      <c r="V239" s="352">
        <f t="shared" ca="1" si="10"/>
        <v>1</v>
      </c>
    </row>
    <row r="240" spans="1:22" s="131" customFormat="1" ht="12" customHeight="1">
      <c r="A240" s="130">
        <f t="shared" si="11"/>
        <v>6</v>
      </c>
      <c r="B240" s="155" t="str">
        <f t="shared" ca="1" si="9"/>
        <v>‧被保險人經醫師首次診斷為重大傷病，並備齊本契約條款所約定申領「重大傷病保險金」之文件，才符合重大傷病保險金</v>
      </c>
      <c r="D240" s="132"/>
      <c r="E240" s="132"/>
      <c r="F240" s="132"/>
      <c r="G240" s="132"/>
      <c r="H240" s="132"/>
      <c r="I240" s="132"/>
      <c r="J240" s="132"/>
      <c r="K240" s="132"/>
      <c r="L240" s="132"/>
      <c r="M240" s="132"/>
      <c r="N240" s="132"/>
      <c r="O240" s="132"/>
      <c r="P240" s="132"/>
      <c r="Q240" s="132"/>
      <c r="R240" s="132"/>
      <c r="S240" s="132"/>
      <c r="T240" s="132"/>
      <c r="U240" s="132"/>
      <c r="V240" s="352">
        <f t="shared" ca="1" si="10"/>
        <v>0</v>
      </c>
    </row>
    <row r="241" spans="1:22" s="131" customFormat="1" ht="12" customHeight="1">
      <c r="A241" s="130">
        <f t="shared" si="11"/>
        <v>7</v>
      </c>
      <c r="B241" s="155" t="str">
        <f t="shared" ca="1" si="9"/>
        <v xml:space="preserve">  申領資格。</v>
      </c>
      <c r="D241" s="132"/>
      <c r="E241" s="132"/>
      <c r="F241" s="132"/>
      <c r="G241" s="132"/>
      <c r="H241" s="132"/>
      <c r="I241" s="132"/>
      <c r="J241" s="132"/>
      <c r="K241" s="132"/>
      <c r="L241" s="132"/>
      <c r="M241" s="132"/>
      <c r="N241" s="132"/>
      <c r="O241" s="132"/>
      <c r="P241" s="132"/>
      <c r="Q241" s="132"/>
      <c r="R241" s="132"/>
      <c r="S241" s="132"/>
      <c r="T241" s="132"/>
      <c r="U241" s="132"/>
      <c r="V241" s="352">
        <f t="shared" ca="1" si="10"/>
        <v>0</v>
      </c>
    </row>
    <row r="242" spans="1:22" s="131" customFormat="1" ht="12" customHeight="1">
      <c r="A242" s="130">
        <f t="shared" si="11"/>
        <v>8</v>
      </c>
      <c r="B242" s="155" t="str">
        <f t="shared" ca="1" si="9"/>
        <v>‧被保險人於投保前曾經取得或投保時正在申請全民健康保險保險人核定重大傷病證明者，或投保前曾經符合屬由診治醫師</v>
      </c>
      <c r="D242" s="132"/>
      <c r="E242" s="132"/>
      <c r="F242" s="132"/>
      <c r="G242" s="132"/>
      <c r="H242" s="132"/>
      <c r="I242" s="132"/>
      <c r="J242" s="132"/>
      <c r="K242" s="132"/>
      <c r="L242" s="132"/>
      <c r="M242" s="132"/>
      <c r="N242" s="132"/>
      <c r="O242" s="132"/>
      <c r="P242" s="132"/>
      <c r="Q242" s="132"/>
      <c r="R242" s="132"/>
      <c r="S242" s="132"/>
      <c r="T242" s="132"/>
      <c r="U242" s="132"/>
      <c r="V242" s="352">
        <f t="shared" ca="1" si="10"/>
        <v>0</v>
      </c>
    </row>
    <row r="243" spans="1:22" s="131" customFormat="1" ht="12" customHeight="1">
      <c r="A243" s="130">
        <f t="shared" si="11"/>
        <v>9</v>
      </c>
      <c r="B243" s="155" t="str">
        <f t="shared" ca="1" si="9"/>
        <v xml:space="preserve">  逕行認定，免向全民健康保險保險人申請重大傷病證明，而得免除全民健康保險部分負擔之資格者，或於投保前曾經「區</v>
      </c>
      <c r="D243" s="132"/>
      <c r="E243" s="132"/>
      <c r="F243" s="132"/>
      <c r="G243" s="132"/>
      <c r="H243" s="132"/>
      <c r="I243" s="132"/>
      <c r="J243" s="132"/>
      <c r="K243" s="132"/>
      <c r="L243" s="132"/>
      <c r="M243" s="132"/>
      <c r="N243" s="132"/>
      <c r="O243" s="132"/>
      <c r="P243" s="132"/>
      <c r="Q243" s="132"/>
      <c r="R243" s="132"/>
      <c r="S243" s="132"/>
      <c r="T243" s="132"/>
      <c r="U243" s="132"/>
      <c r="V243" s="352">
        <f t="shared" ca="1" si="10"/>
        <v>0</v>
      </c>
    </row>
    <row r="244" spans="1:22" s="131" customFormat="1" ht="12" customHeight="1">
      <c r="A244" s="130">
        <f t="shared" si="11"/>
        <v>10</v>
      </c>
      <c r="B244" s="155" t="str">
        <f t="shared" ca="1" si="9"/>
        <v xml:space="preserve">  域醫院」層級以上（含）之醫師診斷符合投保當時「全民健康保險重大傷病項目及其證明有效期限」所載之項目者，本公</v>
      </c>
      <c r="D244" s="132"/>
      <c r="E244" s="132"/>
      <c r="F244" s="132"/>
      <c r="G244" s="132"/>
      <c r="H244" s="132"/>
      <c r="I244" s="132"/>
      <c r="J244" s="132"/>
      <c r="K244" s="132"/>
      <c r="L244" s="132"/>
      <c r="M244" s="132"/>
      <c r="N244" s="132"/>
      <c r="O244" s="132"/>
      <c r="P244" s="132"/>
      <c r="Q244" s="132"/>
      <c r="R244" s="132"/>
      <c r="S244" s="132"/>
      <c r="T244" s="132"/>
      <c r="U244" s="132"/>
      <c r="V244" s="352">
        <f t="shared" ca="1" si="10"/>
        <v>0</v>
      </c>
    </row>
    <row r="245" spans="1:22" s="131" customFormat="1" ht="12" customHeight="1">
      <c r="A245" s="130">
        <f t="shared" si="11"/>
        <v>11</v>
      </c>
      <c r="B245" s="155" t="str">
        <f t="shared" ca="1" si="9"/>
        <v xml:space="preserve">  司不負給付「重大傷病保險金」的責任。</v>
      </c>
      <c r="D245" s="132"/>
      <c r="E245" s="132"/>
      <c r="F245" s="132"/>
      <c r="G245" s="132"/>
      <c r="H245" s="132"/>
      <c r="I245" s="132"/>
      <c r="J245" s="132"/>
      <c r="K245" s="132"/>
      <c r="L245" s="132"/>
      <c r="M245" s="132"/>
      <c r="N245" s="132"/>
      <c r="O245" s="132"/>
      <c r="P245" s="132"/>
      <c r="Q245" s="132"/>
      <c r="R245" s="132"/>
      <c r="S245" s="132"/>
      <c r="T245" s="132"/>
      <c r="U245" s="132"/>
      <c r="V245" s="352">
        <f t="shared" ca="1" si="10"/>
        <v>0</v>
      </c>
    </row>
    <row r="246" spans="1:22" s="131" customFormat="1" ht="12" customHeight="1">
      <c r="A246" s="130">
        <f t="shared" si="11"/>
        <v>12</v>
      </c>
      <c r="B246" s="155" t="str">
        <f t="shared" ca="1" si="9"/>
        <v>‧等待期間：係指被保險人自本契約生效日起持續有效三十日之期間。但屬條款附表所載「一、需積極或長期治療之癌症」</v>
      </c>
      <c r="D246" s="132"/>
      <c r="E246" s="132"/>
      <c r="F246" s="132"/>
      <c r="G246" s="132"/>
      <c r="H246" s="132"/>
      <c r="I246" s="132"/>
      <c r="J246" s="132"/>
      <c r="K246" s="132"/>
      <c r="L246" s="132"/>
      <c r="M246" s="132"/>
      <c r="N246" s="132"/>
      <c r="O246" s="132"/>
      <c r="P246" s="132"/>
      <c r="Q246" s="132"/>
      <c r="R246" s="132"/>
      <c r="S246" s="132"/>
      <c r="T246" s="132"/>
      <c r="U246" s="132"/>
      <c r="V246" s="352">
        <f t="shared" ca="1" si="10"/>
        <v>1</v>
      </c>
    </row>
    <row r="247" spans="1:22" s="131" customFormat="1" ht="12" customHeight="1">
      <c r="A247" s="130">
        <f t="shared" si="11"/>
        <v>13</v>
      </c>
      <c r="B247" s="155" t="str">
        <f t="shared" ca="1" si="9"/>
        <v xml:space="preserve">  之範圍者，則係指被保險人自本契約生效日起持續有效九十日之期間。如為法定傳染病，則係指本契約生效日起持續有效</v>
      </c>
      <c r="D247" s="132"/>
      <c r="E247" s="132"/>
      <c r="F247" s="132"/>
      <c r="G247" s="132"/>
      <c r="H247" s="132"/>
      <c r="I247" s="132"/>
      <c r="J247" s="132"/>
      <c r="K247" s="132"/>
      <c r="L247" s="132"/>
      <c r="M247" s="132"/>
      <c r="N247" s="132"/>
      <c r="O247" s="132"/>
      <c r="P247" s="132"/>
      <c r="Q247" s="132"/>
      <c r="R247" s="132"/>
      <c r="S247" s="132"/>
      <c r="T247" s="132"/>
      <c r="U247" s="132"/>
      <c r="V247" s="352">
        <f t="shared" ca="1" si="10"/>
        <v>1</v>
      </c>
    </row>
    <row r="248" spans="1:22" s="131" customFormat="1" ht="12" customHeight="1">
      <c r="A248" s="130">
        <f t="shared" si="11"/>
        <v>14</v>
      </c>
      <c r="B248" s="155" t="str">
        <f t="shared" ca="1" si="9"/>
        <v xml:space="preserve">  十四天之期間。</v>
      </c>
      <c r="D248" s="132"/>
      <c r="E248" s="132"/>
      <c r="F248" s="132"/>
      <c r="G248" s="132"/>
      <c r="H248" s="132"/>
      <c r="I248" s="132"/>
      <c r="J248" s="132"/>
      <c r="K248" s="132"/>
      <c r="L248" s="132"/>
      <c r="M248" s="132"/>
      <c r="N248" s="132"/>
      <c r="O248" s="132"/>
      <c r="P248" s="132"/>
      <c r="Q248" s="132"/>
      <c r="R248" s="132"/>
      <c r="S248" s="132"/>
      <c r="T248" s="132"/>
      <c r="U248" s="132"/>
      <c r="V248" s="352">
        <f t="shared" ca="1" si="10"/>
        <v>1</v>
      </c>
    </row>
    <row r="249" spans="1:22" s="131" customFormat="1" ht="12" customHeight="1">
      <c r="A249" s="130">
        <f t="shared" si="11"/>
        <v>15</v>
      </c>
      <c r="B249" s="155" t="str">
        <f t="shared" ca="1" si="9"/>
        <v>‧本保險所稱之『住院』，係指被保險人經醫師診斷其法定傳染病必須入住醫院，且正式辦理住院手續並確實在醫院接受診</v>
      </c>
      <c r="D249" s="132"/>
      <c r="E249" s="132"/>
      <c r="F249" s="132"/>
      <c r="G249" s="132"/>
      <c r="H249" s="132"/>
      <c r="I249" s="132"/>
      <c r="J249" s="132"/>
      <c r="K249" s="132"/>
      <c r="L249" s="132"/>
      <c r="M249" s="132"/>
      <c r="N249" s="132"/>
      <c r="O249" s="132"/>
      <c r="P249" s="132"/>
      <c r="Q249" s="132"/>
      <c r="R249" s="132"/>
      <c r="S249" s="132"/>
      <c r="T249" s="132"/>
      <c r="U249" s="132"/>
      <c r="V249" s="352">
        <f t="shared" ca="1" si="10"/>
        <v>1</v>
      </c>
    </row>
    <row r="250" spans="1:22" s="131" customFormat="1" ht="12" customHeight="1">
      <c r="A250" s="130">
        <f t="shared" si="11"/>
        <v>16</v>
      </c>
      <c r="B250" s="155" t="str">
        <f t="shared" ca="1" si="9"/>
        <v xml:space="preserve">  療者。保險公司辦理理賠作業於需要時會參據醫學專業意見審核被保險人住院之必要性。</v>
      </c>
      <c r="D250" s="132"/>
      <c r="E250" s="132"/>
      <c r="F250" s="132"/>
      <c r="G250" s="132"/>
      <c r="H250" s="132"/>
      <c r="I250" s="132"/>
      <c r="J250" s="132"/>
      <c r="K250" s="132"/>
      <c r="L250" s="132"/>
      <c r="M250" s="132"/>
      <c r="N250" s="132"/>
      <c r="O250" s="132"/>
      <c r="P250" s="132"/>
      <c r="Q250" s="132"/>
      <c r="R250" s="132"/>
      <c r="S250" s="132"/>
      <c r="T250" s="132"/>
      <c r="U250" s="132"/>
      <c r="V250" s="352">
        <f t="shared" ca="1" si="10"/>
        <v>1</v>
      </c>
    </row>
    <row r="251" spans="1:22" s="131" customFormat="1" ht="12" customHeight="1">
      <c r="A251" s="130">
        <f t="shared" si="11"/>
        <v>17</v>
      </c>
      <c r="B251" s="155" t="str">
        <f t="shared" ca="1" si="9"/>
        <v>‧本保險重大傷病範圍為「全民健康保險重大傷病項目及其證明有效期限」所載之項目，但不包含以下項目：</v>
      </c>
      <c r="D251" s="132"/>
      <c r="E251" s="132"/>
      <c r="F251" s="132"/>
      <c r="G251" s="132"/>
      <c r="H251" s="132"/>
      <c r="I251" s="132"/>
      <c r="J251" s="132"/>
      <c r="K251" s="132"/>
      <c r="L251" s="132"/>
      <c r="M251" s="132"/>
      <c r="N251" s="132"/>
      <c r="O251" s="132"/>
      <c r="P251" s="132"/>
      <c r="Q251" s="132"/>
      <c r="R251" s="132"/>
      <c r="S251" s="132"/>
      <c r="T251" s="132"/>
      <c r="U251" s="132"/>
      <c r="V251" s="352">
        <f t="shared" ca="1" si="10"/>
        <v>1</v>
      </c>
    </row>
    <row r="252" spans="1:22" s="131" customFormat="1" ht="12" customHeight="1">
      <c r="A252" s="130">
        <f t="shared" si="11"/>
        <v>18</v>
      </c>
      <c r="B252" s="155" t="str">
        <f t="shared" ca="1" si="9"/>
        <v xml:space="preserve">  (一)遺傳性凝血因子缺乏。(二)先天性新陳代謝異常疾病。(三)心、肺、胃腸、腎臟、神經、骨骼系統等之先天性畸形及</v>
      </c>
      <c r="D252" s="132"/>
      <c r="E252" s="132"/>
      <c r="F252" s="132"/>
      <c r="G252" s="132"/>
      <c r="H252" s="132"/>
      <c r="I252" s="132"/>
      <c r="J252" s="132"/>
      <c r="K252" s="132"/>
      <c r="L252" s="132"/>
      <c r="M252" s="132"/>
      <c r="N252" s="132"/>
      <c r="O252" s="132"/>
      <c r="P252" s="132"/>
      <c r="Q252" s="132"/>
      <c r="R252" s="132"/>
      <c r="S252" s="132"/>
      <c r="T252" s="132"/>
      <c r="U252" s="132"/>
      <c r="V252" s="352">
        <f t="shared" ca="1" si="10"/>
        <v>1</v>
      </c>
    </row>
    <row r="253" spans="1:22" s="131" customFormat="1" ht="12" customHeight="1">
      <c r="A253" s="130">
        <f t="shared" si="11"/>
        <v>19</v>
      </c>
      <c r="B253" s="155" t="str">
        <f t="shared" ca="1" si="9"/>
        <v xml:space="preserve">  染色體異常。 (四)先天性免疫不全症。 (五)職業病。 (六)先天性肌肉萎縮症。 (七)外皮之先天畸形。</v>
      </c>
      <c r="D253" s="132"/>
      <c r="E253" s="132"/>
      <c r="F253" s="132"/>
      <c r="G253" s="132"/>
      <c r="H253" s="132"/>
      <c r="I253" s="132"/>
      <c r="J253" s="132"/>
      <c r="K253" s="132"/>
      <c r="L253" s="132"/>
      <c r="M253" s="132"/>
      <c r="N253" s="132"/>
      <c r="O253" s="132"/>
      <c r="P253" s="132"/>
      <c r="Q253" s="132"/>
      <c r="R253" s="132"/>
      <c r="S253" s="132"/>
      <c r="T253" s="132"/>
      <c r="U253" s="132"/>
      <c r="V253" s="352">
        <f t="shared" ca="1" si="10"/>
        <v>1</v>
      </c>
    </row>
    <row r="254" spans="1:22" s="11" customFormat="1" ht="12" customHeight="1">
      <c r="A254" s="130">
        <f t="shared" si="11"/>
        <v>20</v>
      </c>
      <c r="B254" s="155" t="str">
        <f t="shared" ca="1" si="9"/>
        <v xml:space="preserve">  (八)早產兒所引起之神經、肌肉、骨骼、心臟、肺臟等之併發症。</v>
      </c>
      <c r="U254" s="28"/>
      <c r="V254" s="352">
        <f t="shared" ca="1" si="10"/>
        <v>1</v>
      </c>
    </row>
    <row r="255" spans="1:22" s="11" customFormat="1" ht="12.75">
      <c r="A255" s="130"/>
      <c r="B255" s="155"/>
      <c r="U255" s="28"/>
      <c r="V255" s="352"/>
    </row>
    <row r="256" spans="1:22" ht="12" customHeight="1">
      <c r="B256" s="766" t="s">
        <v>119</v>
      </c>
      <c r="C256" s="766"/>
      <c r="D256" s="766"/>
      <c r="E256" s="766"/>
      <c r="F256" s="766"/>
      <c r="G256" s="766"/>
      <c r="H256" s="766"/>
      <c r="I256" s="766"/>
      <c r="J256" s="766"/>
      <c r="K256" s="766"/>
      <c r="L256" s="766"/>
      <c r="M256" s="766"/>
      <c r="N256" s="766"/>
      <c r="O256" s="766"/>
      <c r="P256" s="766"/>
      <c r="Q256" s="766"/>
      <c r="R256" s="766"/>
      <c r="S256" s="766"/>
      <c r="T256" s="766"/>
      <c r="U256" s="766"/>
    </row>
    <row r="257" spans="1:22" ht="11.25" customHeight="1">
      <c r="B257" s="631"/>
      <c r="C257" s="764" t="str">
        <f ca="1">"※本契約("&amp;IF(AND(OP!$D$53="",'OP1'!$D$53=""),OP!$C$22&amp;"、"&amp;'OP1'!$C$22,IF(OP!$D$53="",OP!$C$22,'OP1'!$C$22))&amp;")條款樣張須於訂立契約前提供要保人至少三日審閱期間"</f>
        <v>※本契約(AIJ、SWUC)條款樣張須於訂立契約前提供要保人至少三日審閱期間</v>
      </c>
      <c r="D257" s="903"/>
      <c r="E257" s="903"/>
      <c r="F257" s="903"/>
      <c r="G257" s="903"/>
      <c r="H257" s="903"/>
      <c r="I257" s="903"/>
      <c r="J257" s="903"/>
      <c r="K257" s="903"/>
      <c r="L257" s="903"/>
      <c r="M257" s="903"/>
      <c r="N257" s="903"/>
      <c r="O257" s="903"/>
      <c r="P257" s="801" t="str">
        <f ca="1">OP!$C$54&amp;" 試算日："&amp;TEXT(YEAR(OP!$C$3)-1911,"000")&amp;TEXT(MONTH(OP!$C$3),"00")&amp;TEXT(DAY(OP!$C$3),"00")</f>
        <v>V3.0A-1111001 試算日：1111001</v>
      </c>
      <c r="Q257" s="904"/>
      <c r="R257" s="904"/>
      <c r="S257" s="904"/>
      <c r="T257" s="904"/>
      <c r="U257" s="904"/>
    </row>
    <row r="258" spans="1:22" s="11" customFormat="1" ht="12" customHeight="1">
      <c r="A258" s="130"/>
      <c r="B258" s="155"/>
      <c r="U258" s="28"/>
      <c r="V258" s="352"/>
    </row>
    <row r="259" spans="1:22" s="11" customFormat="1" ht="12" customHeight="1">
      <c r="A259" s="130">
        <f>A254+1</f>
        <v>21</v>
      </c>
      <c r="B259" s="155" t="str">
        <f t="shared" ca="1" si="9"/>
        <v>‧法定傳染病：係指被保險人發生符合中央衛生主管機關依傳染病防治法第三條規定所稱之傳染病。</v>
      </c>
      <c r="U259" s="28"/>
      <c r="V259" s="352">
        <f t="shared" ca="1" si="10"/>
        <v>0</v>
      </c>
    </row>
    <row r="260" spans="1:22" s="11" customFormat="1" ht="12" customHeight="1">
      <c r="A260" s="130">
        <f t="shared" si="11"/>
        <v>22</v>
      </c>
      <c r="B260" s="155" t="str">
        <f t="shared" ca="1" si="9"/>
        <v>‧保險給付的限制：本公司依條款約定給付「身故保險金或喪葬費用保險金」者，除同時符合條款約定而應另給付「法</v>
      </c>
      <c r="U260" s="28"/>
      <c r="V260" s="352">
        <f t="shared" ca="1" si="10"/>
        <v>0</v>
      </c>
    </row>
    <row r="261" spans="1:22" s="11" customFormat="1" ht="12" customHeight="1">
      <c r="A261" s="130">
        <f t="shared" si="11"/>
        <v>23</v>
      </c>
      <c r="B261" s="155" t="str">
        <f t="shared" ca="1" si="9"/>
        <v xml:space="preserve">  定傳染病身故保險金」外，不再負本契約其他各項保險金給付之責。</v>
      </c>
      <c r="U261" s="28"/>
      <c r="V261" s="352">
        <f t="shared" ca="1" si="10"/>
        <v>0</v>
      </c>
    </row>
    <row r="262" spans="1:22" s="11" customFormat="1" ht="12" customHeight="1">
      <c r="A262" s="130">
        <f t="shared" si="11"/>
        <v>24</v>
      </c>
      <c r="B262" s="155" t="str">
        <f t="shared" ca="1" si="9"/>
        <v xml:space="preserve">  本公司依條款約定給付「重大傷病保險金 」或「完全失能保險金」者，不再負本契約其他各項保險金給付之責。</v>
      </c>
      <c r="U262" s="30"/>
      <c r="V262" s="352">
        <f t="shared" ca="1" si="10"/>
        <v>0</v>
      </c>
    </row>
    <row r="263" spans="1:22" s="11" customFormat="1" ht="12" customHeight="1">
      <c r="A263" s="130">
        <f t="shared" si="11"/>
        <v>25</v>
      </c>
      <c r="B263" s="155" t="str">
        <f t="shared" ca="1" si="9"/>
        <v>‧本商品係提供法定傳染病加護病房保險金，並未提供法定傳染病保險金。</v>
      </c>
      <c r="U263" s="30"/>
      <c r="V263" s="352">
        <f t="shared" ca="1" si="10"/>
        <v>1</v>
      </c>
    </row>
    <row r="264" spans="1:22" s="11" customFormat="1" ht="12" customHeight="1">
      <c r="A264" s="130">
        <f t="shared" si="11"/>
        <v>26</v>
      </c>
      <c r="B264" s="155" t="str">
        <f t="shared" ca="1" si="9"/>
        <v>‧消費者於購買前，應詳閱各種銷售文件內容，本商品之預定附加費用率，壽險部分最高66.04%，最低19.80%、健康險</v>
      </c>
      <c r="U264" s="30"/>
      <c r="V264" s="352">
        <f t="shared" ca="1" si="10"/>
        <v>2</v>
      </c>
    </row>
    <row r="265" spans="1:22" s="11" customFormat="1" ht="12" customHeight="1">
      <c r="A265" s="130">
        <f t="shared" si="11"/>
        <v>27</v>
      </c>
      <c r="B265" s="155" t="str">
        <f t="shared" ca="1" si="9"/>
        <v xml:space="preserve">  部分最高36.00%，最低19.80%；如要詳細了解其他相關資訊，請洽本公司業務員、服務據點(免費服務及申訴電話：</v>
      </c>
      <c r="U265" s="30"/>
      <c r="V265" s="352">
        <f t="shared" ca="1" si="10"/>
        <v>2</v>
      </c>
    </row>
    <row r="266" spans="1:22" s="11" customFormat="1" ht="12" customHeight="1">
      <c r="A266" s="130">
        <f t="shared" si="11"/>
        <v>28</v>
      </c>
      <c r="B266" s="155" t="str">
        <f t="shared" ca="1" si="9"/>
        <v xml:space="preserve">  0809-000-550)或網站 (www.fubon.com/life/)，以保障您的權益。</v>
      </c>
      <c r="U266" s="30"/>
      <c r="V266" s="352">
        <f t="shared" ca="1" si="10"/>
        <v>2</v>
      </c>
    </row>
    <row r="267" spans="1:22" s="54" customFormat="1" ht="12" customHeight="1">
      <c r="A267" s="130">
        <f t="shared" si="11"/>
        <v>29</v>
      </c>
      <c r="B267" s="155" t="str">
        <f t="shared" ca="1" si="9"/>
        <v>富邦人壽安心好漾定期保險(AIJ)</v>
      </c>
      <c r="U267" s="30"/>
      <c r="V267" s="352">
        <f t="shared" ca="1" si="10"/>
        <v>0</v>
      </c>
    </row>
    <row r="268" spans="1:22" s="54" customFormat="1" ht="12" customHeight="1">
      <c r="A268" s="130">
        <f t="shared" si="11"/>
        <v>30</v>
      </c>
      <c r="B268" s="155" t="str">
        <f t="shared" ca="1" si="9"/>
        <v>給付項目：身故保險金或喪葬費用保險金、意外傷害身故保險金或喪葬費用保險金、完全失能保險金、意外傷害一級失能</v>
      </c>
      <c r="D268" s="148"/>
      <c r="E268" s="55"/>
      <c r="F268" s="55"/>
      <c r="G268" s="55"/>
      <c r="H268" s="56"/>
      <c r="I268" s="56"/>
      <c r="J268" s="56"/>
      <c r="K268" s="56"/>
      <c r="L268" s="56"/>
      <c r="M268" s="56"/>
      <c r="N268" s="56"/>
      <c r="O268" s="56"/>
      <c r="P268" s="56"/>
      <c r="Q268" s="56"/>
      <c r="R268" s="56"/>
      <c r="S268" s="56"/>
      <c r="T268" s="30"/>
      <c r="U268" s="30"/>
      <c r="V268" s="352">
        <f t="shared" ca="1" si="10"/>
        <v>0</v>
      </c>
    </row>
    <row r="269" spans="1:22" s="54" customFormat="1" ht="12" customHeight="1">
      <c r="A269" s="130">
        <f t="shared" si="11"/>
        <v>31</v>
      </c>
      <c r="B269" s="155" t="str">
        <f t="shared" ca="1" si="9"/>
        <v xml:space="preserve">          保險金、意外傷害住院醫療保險金、無理賠回饋保險金</v>
      </c>
      <c r="D269" s="148"/>
      <c r="E269" s="55"/>
      <c r="F269" s="55"/>
      <c r="G269" s="55"/>
      <c r="H269" s="56"/>
      <c r="I269" s="56"/>
      <c r="J269" s="56"/>
      <c r="K269" s="56"/>
      <c r="L269" s="56"/>
      <c r="M269" s="56"/>
      <c r="N269" s="56"/>
      <c r="O269" s="56"/>
      <c r="P269" s="56"/>
      <c r="Q269" s="56"/>
      <c r="R269" s="56"/>
      <c r="S269" s="56"/>
      <c r="T269" s="30"/>
      <c r="U269" s="30"/>
      <c r="V269" s="352">
        <f t="shared" ca="1" si="10"/>
        <v>0</v>
      </c>
    </row>
    <row r="270" spans="1:22" s="54" customFormat="1" ht="12" customHeight="1">
      <c r="A270" s="130">
        <f t="shared" si="11"/>
        <v>32</v>
      </c>
      <c r="B270" s="155" t="str">
        <f t="shared" ca="1" si="9"/>
        <v>‧本保險為不分紅保險單，不參加紅利分配，並無紅利給付項目。</v>
      </c>
      <c r="D270" s="148"/>
      <c r="E270" s="55"/>
      <c r="F270" s="55"/>
      <c r="G270" s="55"/>
      <c r="H270" s="56"/>
      <c r="I270" s="56"/>
      <c r="J270" s="56"/>
      <c r="K270" s="56"/>
      <c r="L270" s="56"/>
      <c r="M270" s="56"/>
      <c r="N270" s="56"/>
      <c r="O270" s="56"/>
      <c r="P270" s="56"/>
      <c r="Q270" s="56"/>
      <c r="R270" s="56"/>
      <c r="S270" s="56"/>
      <c r="T270" s="30"/>
      <c r="U270" s="30"/>
      <c r="V270" s="352">
        <f t="shared" ca="1" si="10"/>
        <v>1</v>
      </c>
    </row>
    <row r="271" spans="1:22" s="54" customFormat="1" ht="12" customHeight="1">
      <c r="A271" s="130">
        <f t="shared" si="11"/>
        <v>33</v>
      </c>
      <c r="B271" s="155" t="str">
        <f t="shared" ca="1" si="9"/>
        <v>‧本保險因費率計算已考慮死亡脫退因素，故依本契約約定給付身故、完全失能保險金時，其他未給付部分無解約金。</v>
      </c>
      <c r="D271" s="148"/>
      <c r="E271" s="55"/>
      <c r="F271" s="55"/>
      <c r="G271" s="55"/>
      <c r="H271" s="56"/>
      <c r="I271" s="56"/>
      <c r="J271" s="56"/>
      <c r="K271" s="56"/>
      <c r="L271" s="56"/>
      <c r="M271" s="56"/>
      <c r="N271" s="56"/>
      <c r="O271" s="56"/>
      <c r="P271" s="56"/>
      <c r="Q271" s="56"/>
      <c r="R271" s="56"/>
      <c r="S271" s="56"/>
      <c r="T271" s="30"/>
      <c r="U271" s="30"/>
      <c r="V271" s="352">
        <f t="shared" ca="1" si="10"/>
        <v>1</v>
      </c>
    </row>
    <row r="272" spans="1:22" s="54" customFormat="1" ht="12" customHeight="1">
      <c r="A272" s="130">
        <f t="shared" si="11"/>
        <v>34</v>
      </c>
      <c r="B272" s="155" t="str">
        <f t="shared" ca="1" si="9"/>
        <v>‧保險給付的限制：本公司依保單條款約定給付身故保險金或喪葬費用保險金者，除同時符合保單條款約定而應另給</v>
      </c>
      <c r="D272" s="148"/>
      <c r="E272" s="55"/>
      <c r="F272" s="55"/>
      <c r="G272" s="55"/>
      <c r="H272" s="56"/>
      <c r="I272" s="56"/>
      <c r="J272" s="56"/>
      <c r="K272" s="56"/>
      <c r="L272" s="56"/>
      <c r="M272" s="56"/>
      <c r="N272" s="56"/>
      <c r="O272" s="56"/>
      <c r="P272" s="56"/>
      <c r="Q272" s="56"/>
      <c r="R272" s="56"/>
      <c r="S272" s="56"/>
      <c r="T272" s="30"/>
      <c r="U272" s="30"/>
      <c r="V272" s="352">
        <f t="shared" ca="1" si="10"/>
        <v>0</v>
      </c>
    </row>
    <row r="273" spans="1:22" s="54" customFormat="1" ht="12" customHeight="1">
      <c r="A273" s="130">
        <f t="shared" si="11"/>
        <v>35</v>
      </c>
      <c r="B273" s="155" t="str">
        <f t="shared" ca="1" si="9"/>
        <v xml:space="preserve">  付意外傷害身故保險金或喪葬費用保險金外，不再負完全失能保險金及意外傷害一級失能保險金給付之責。</v>
      </c>
      <c r="D273" s="148"/>
      <c r="E273" s="55"/>
      <c r="F273" s="55"/>
      <c r="G273" s="55"/>
      <c r="H273" s="56"/>
      <c r="I273" s="56"/>
      <c r="J273" s="56"/>
      <c r="K273" s="56"/>
      <c r="L273" s="56"/>
      <c r="M273" s="56"/>
      <c r="N273" s="56"/>
      <c r="O273" s="56"/>
      <c r="P273" s="56"/>
      <c r="Q273" s="56"/>
      <c r="R273" s="56"/>
      <c r="S273" s="56"/>
      <c r="T273" s="30"/>
      <c r="U273" s="30"/>
      <c r="V273" s="352">
        <f t="shared" ca="1" si="10"/>
        <v>0</v>
      </c>
    </row>
    <row r="274" spans="1:22" s="54" customFormat="1" ht="12" customHeight="1">
      <c r="A274" s="130">
        <f t="shared" si="11"/>
        <v>36</v>
      </c>
      <c r="B274" s="155" t="str">
        <f t="shared" ca="1" si="9"/>
        <v xml:space="preserve">  本公司依保單條款約定給付完全失能保險金者，除同時符合保單條款約定而應另給付意外傷害一級失能保險金外，</v>
      </c>
      <c r="D274" s="148"/>
      <c r="E274" s="55"/>
      <c r="F274" s="55"/>
      <c r="G274" s="55"/>
      <c r="H274" s="56"/>
      <c r="I274" s="56"/>
      <c r="J274" s="56"/>
      <c r="K274" s="56"/>
      <c r="L274" s="56"/>
      <c r="M274" s="56"/>
      <c r="N274" s="56"/>
      <c r="O274" s="56"/>
      <c r="P274" s="56"/>
      <c r="Q274" s="56"/>
      <c r="R274" s="56"/>
      <c r="S274" s="56"/>
      <c r="T274" s="30"/>
      <c r="U274" s="30"/>
      <c r="V274" s="352">
        <f t="shared" ca="1" si="10"/>
        <v>0</v>
      </c>
    </row>
    <row r="275" spans="1:22" s="54" customFormat="1" ht="12" customHeight="1">
      <c r="A275" s="130">
        <f t="shared" si="11"/>
        <v>37</v>
      </c>
      <c r="B275" s="155" t="str">
        <f t="shared" ca="1" si="9"/>
        <v xml:space="preserve">  不再負身故保險金或喪葬費用保險金及意外傷害身故保險金或喪葬費用保險金給付之責。</v>
      </c>
      <c r="D275" s="148"/>
      <c r="E275" s="55"/>
      <c r="F275" s="55"/>
      <c r="G275" s="55"/>
      <c r="H275" s="56"/>
      <c r="I275" s="56"/>
      <c r="J275" s="56"/>
      <c r="K275" s="56"/>
      <c r="L275" s="56"/>
      <c r="M275" s="56"/>
      <c r="N275" s="56"/>
      <c r="O275" s="56"/>
      <c r="P275" s="56"/>
      <c r="Q275" s="56"/>
      <c r="R275" s="56"/>
      <c r="S275" s="56"/>
      <c r="T275" s="30"/>
      <c r="U275" s="30"/>
      <c r="V275" s="352">
        <f t="shared" ca="1" si="10"/>
        <v>0</v>
      </c>
    </row>
    <row r="276" spans="1:22" s="54" customFormat="1" ht="12" customHeight="1">
      <c r="A276" s="130">
        <f t="shared" si="11"/>
        <v>38</v>
      </c>
      <c r="B276" s="155" t="str">
        <f t="shared" ca="1" si="9"/>
        <v>‧消費者於購買前，應詳閱各種銷售文件內容，本商品之預定附加費用率，最高60.51%，最低33.38%；如要詳細了解其</v>
      </c>
      <c r="D276" s="148"/>
      <c r="E276" s="55"/>
      <c r="F276" s="55"/>
      <c r="G276" s="55"/>
      <c r="H276" s="56"/>
      <c r="I276" s="56"/>
      <c r="J276" s="56"/>
      <c r="K276" s="56"/>
      <c r="L276" s="56"/>
      <c r="M276" s="56"/>
      <c r="N276" s="56"/>
      <c r="O276" s="56"/>
      <c r="P276" s="56"/>
      <c r="Q276" s="56"/>
      <c r="R276" s="56"/>
      <c r="S276" s="56"/>
      <c r="T276" s="30"/>
      <c r="U276" s="30"/>
      <c r="V276" s="352">
        <f t="shared" ca="1" si="10"/>
        <v>2</v>
      </c>
    </row>
    <row r="277" spans="1:22" s="54" customFormat="1" ht="12" customHeight="1">
      <c r="A277" s="130">
        <f t="shared" si="11"/>
        <v>39</v>
      </c>
      <c r="B277" s="155" t="str">
        <f t="shared" ca="1" si="9"/>
        <v xml:space="preserve">  他相關資訊，請洽本公司業務員、服務據點(免費服務及申訴電話：0809-000-550)或網站 (www.fubon.com/life/)</v>
      </c>
      <c r="D277" s="148"/>
      <c r="E277" s="55"/>
      <c r="F277" s="55"/>
      <c r="G277" s="55"/>
      <c r="H277" s="56"/>
      <c r="I277" s="56"/>
      <c r="J277" s="56"/>
      <c r="K277" s="56"/>
      <c r="L277" s="56"/>
      <c r="M277" s="56"/>
      <c r="N277" s="56"/>
      <c r="O277" s="56"/>
      <c r="P277" s="56"/>
      <c r="Q277" s="56"/>
      <c r="R277" s="56"/>
      <c r="S277" s="56"/>
      <c r="T277" s="30"/>
      <c r="U277" s="30"/>
      <c r="V277" s="352">
        <f t="shared" ca="1" si="10"/>
        <v>2</v>
      </c>
    </row>
    <row r="278" spans="1:22" s="54" customFormat="1" ht="12" customHeight="1">
      <c r="A278" s="130">
        <f t="shared" si="11"/>
        <v>40</v>
      </c>
      <c r="B278" s="155" t="str">
        <f t="shared" ca="1" si="9"/>
        <v xml:space="preserve">  ，以保障您的權益。</v>
      </c>
      <c r="D278" s="148"/>
      <c r="E278" s="55"/>
      <c r="F278" s="55"/>
      <c r="G278" s="55"/>
      <c r="H278" s="56"/>
      <c r="I278" s="56"/>
      <c r="J278" s="56"/>
      <c r="K278" s="56"/>
      <c r="L278" s="56"/>
      <c r="M278" s="56"/>
      <c r="N278" s="56"/>
      <c r="O278" s="56"/>
      <c r="P278" s="56"/>
      <c r="Q278" s="56"/>
      <c r="R278" s="56"/>
      <c r="S278" s="56"/>
      <c r="T278" s="30"/>
      <c r="U278" s="30"/>
      <c r="V278" s="352">
        <f t="shared" ca="1" si="10"/>
        <v>2</v>
      </c>
    </row>
    <row r="279" spans="1:22" s="54" customFormat="1" ht="12" customHeight="1">
      <c r="A279" s="130">
        <f t="shared" si="11"/>
        <v>41</v>
      </c>
      <c r="B279" s="155" t="str">
        <f t="shared" ca="1" si="9"/>
        <v/>
      </c>
      <c r="D279" s="148"/>
      <c r="E279" s="55"/>
      <c r="F279" s="55"/>
      <c r="G279" s="55"/>
      <c r="H279" s="56"/>
      <c r="I279" s="56"/>
      <c r="J279" s="56"/>
      <c r="K279" s="56"/>
      <c r="L279" s="56"/>
      <c r="M279" s="56"/>
      <c r="N279" s="56"/>
      <c r="O279" s="56"/>
      <c r="P279" s="56"/>
      <c r="Q279" s="56"/>
      <c r="R279" s="56"/>
      <c r="S279" s="56"/>
      <c r="T279" s="30"/>
      <c r="U279" s="30"/>
      <c r="V279" s="352" t="str">
        <f t="shared" ca="1" si="10"/>
        <v/>
      </c>
    </row>
    <row r="280" spans="1:22" s="54" customFormat="1" ht="12" customHeight="1">
      <c r="A280" s="130">
        <f t="shared" si="11"/>
        <v>42</v>
      </c>
      <c r="B280" s="155" t="str">
        <f t="shared" ca="1" si="9"/>
        <v/>
      </c>
      <c r="D280" s="148"/>
      <c r="E280" s="55"/>
      <c r="F280" s="55"/>
      <c r="G280" s="55"/>
      <c r="H280" s="56"/>
      <c r="I280" s="56"/>
      <c r="J280" s="56"/>
      <c r="K280" s="56"/>
      <c r="L280" s="56"/>
      <c r="M280" s="56"/>
      <c r="N280" s="56"/>
      <c r="O280" s="56"/>
      <c r="P280" s="56"/>
      <c r="Q280" s="56"/>
      <c r="R280" s="56"/>
      <c r="S280" s="56"/>
      <c r="T280" s="30"/>
      <c r="U280" s="30"/>
      <c r="V280" s="352" t="str">
        <f t="shared" ca="1" si="10"/>
        <v/>
      </c>
    </row>
    <row r="281" spans="1:22" s="54" customFormat="1" ht="12" customHeight="1">
      <c r="A281" s="130">
        <f t="shared" si="11"/>
        <v>43</v>
      </c>
      <c r="B281" s="155" t="str">
        <f t="shared" ca="1" si="9"/>
        <v/>
      </c>
      <c r="D281" s="148"/>
      <c r="E281" s="55"/>
      <c r="F281" s="55"/>
      <c r="G281" s="55"/>
      <c r="H281" s="56"/>
      <c r="I281" s="56"/>
      <c r="J281" s="56"/>
      <c r="K281" s="56"/>
      <c r="L281" s="56"/>
      <c r="M281" s="56"/>
      <c r="N281" s="56"/>
      <c r="O281" s="56"/>
      <c r="P281" s="56"/>
      <c r="Q281" s="56"/>
      <c r="R281" s="56"/>
      <c r="S281" s="56"/>
      <c r="T281" s="30"/>
      <c r="U281" s="30"/>
      <c r="V281" s="352" t="str">
        <f t="shared" ca="1" si="10"/>
        <v/>
      </c>
    </row>
    <row r="282" spans="1:22" s="54" customFormat="1" ht="12" customHeight="1">
      <c r="A282" s="130">
        <f t="shared" si="11"/>
        <v>44</v>
      </c>
      <c r="B282" s="155" t="str">
        <f t="shared" ca="1" si="9"/>
        <v/>
      </c>
      <c r="D282" s="148"/>
      <c r="E282" s="55"/>
      <c r="F282" s="55"/>
      <c r="G282" s="55"/>
      <c r="H282" s="56"/>
      <c r="I282" s="56"/>
      <c r="J282" s="56"/>
      <c r="K282" s="56"/>
      <c r="L282" s="56"/>
      <c r="M282" s="56"/>
      <c r="N282" s="56"/>
      <c r="O282" s="56"/>
      <c r="P282" s="56"/>
      <c r="Q282" s="56"/>
      <c r="R282" s="56"/>
      <c r="S282" s="56"/>
      <c r="T282" s="30"/>
      <c r="U282" s="30"/>
      <c r="V282" s="352" t="str">
        <f t="shared" ca="1" si="10"/>
        <v/>
      </c>
    </row>
    <row r="283" spans="1:22" s="54" customFormat="1" ht="12" customHeight="1">
      <c r="A283" s="130">
        <f t="shared" si="11"/>
        <v>45</v>
      </c>
      <c r="B283" s="155" t="str">
        <f t="shared" ca="1" si="9"/>
        <v/>
      </c>
      <c r="D283" s="148"/>
      <c r="E283" s="55"/>
      <c r="F283" s="55"/>
      <c r="G283" s="55"/>
      <c r="H283" s="56"/>
      <c r="I283" s="56"/>
      <c r="J283" s="56"/>
      <c r="K283" s="56"/>
      <c r="L283" s="56"/>
      <c r="M283" s="56"/>
      <c r="N283" s="56"/>
      <c r="O283" s="56"/>
      <c r="P283" s="56"/>
      <c r="Q283" s="56"/>
      <c r="R283" s="56"/>
      <c r="S283" s="56"/>
      <c r="T283" s="30"/>
      <c r="U283" s="30"/>
      <c r="V283" s="352" t="str">
        <f t="shared" ca="1" si="10"/>
        <v/>
      </c>
    </row>
    <row r="284" spans="1:22" s="54" customFormat="1" ht="12" customHeight="1">
      <c r="A284" s="130">
        <f t="shared" si="11"/>
        <v>46</v>
      </c>
      <c r="B284" s="155" t="str">
        <f t="shared" ca="1" si="9"/>
        <v/>
      </c>
      <c r="D284" s="148"/>
      <c r="E284" s="55"/>
      <c r="F284" s="55"/>
      <c r="G284" s="55"/>
      <c r="H284" s="56"/>
      <c r="I284" s="56"/>
      <c r="J284" s="56"/>
      <c r="K284" s="56"/>
      <c r="L284" s="56"/>
      <c r="M284" s="56"/>
      <c r="N284" s="56"/>
      <c r="O284" s="56"/>
      <c r="P284" s="56"/>
      <c r="Q284" s="56"/>
      <c r="R284" s="56"/>
      <c r="S284" s="56"/>
      <c r="T284" s="30"/>
      <c r="U284" s="30"/>
      <c r="V284" s="352" t="str">
        <f t="shared" ca="1" si="10"/>
        <v/>
      </c>
    </row>
    <row r="285" spans="1:22" s="54" customFormat="1" ht="12" customHeight="1">
      <c r="A285" s="130">
        <f t="shared" si="11"/>
        <v>47</v>
      </c>
      <c r="B285" s="155" t="str">
        <f t="shared" ca="1" si="9"/>
        <v/>
      </c>
      <c r="D285" s="148"/>
      <c r="E285" s="55"/>
      <c r="F285" s="55"/>
      <c r="G285" s="55"/>
      <c r="H285" s="56"/>
      <c r="I285" s="56"/>
      <c r="J285" s="56"/>
      <c r="K285" s="56"/>
      <c r="L285" s="56"/>
      <c r="M285" s="56"/>
      <c r="N285" s="56"/>
      <c r="O285" s="56"/>
      <c r="P285" s="56"/>
      <c r="Q285" s="56"/>
      <c r="R285" s="56"/>
      <c r="S285" s="56"/>
      <c r="T285" s="30"/>
      <c r="U285" s="30"/>
      <c r="V285" s="352" t="str">
        <f t="shared" ca="1" si="10"/>
        <v/>
      </c>
    </row>
    <row r="286" spans="1:22" s="54" customFormat="1" ht="12" customHeight="1">
      <c r="A286" s="130">
        <f t="shared" si="11"/>
        <v>48</v>
      </c>
      <c r="B286" s="155" t="str">
        <f t="shared" ca="1" si="9"/>
        <v/>
      </c>
      <c r="D286" s="148"/>
      <c r="E286" s="55"/>
      <c r="F286" s="55"/>
      <c r="G286" s="55"/>
      <c r="H286" s="56"/>
      <c r="I286" s="56"/>
      <c r="J286" s="56"/>
      <c r="K286" s="56"/>
      <c r="L286" s="56"/>
      <c r="M286" s="56"/>
      <c r="N286" s="56"/>
      <c r="O286" s="56"/>
      <c r="P286" s="56"/>
      <c r="Q286" s="56"/>
      <c r="R286" s="56"/>
      <c r="S286" s="56"/>
      <c r="T286" s="30"/>
      <c r="U286" s="30"/>
      <c r="V286" s="352" t="str">
        <f t="shared" ca="1" si="10"/>
        <v/>
      </c>
    </row>
    <row r="287" spans="1:22" s="54" customFormat="1" ht="12" customHeight="1">
      <c r="A287" s="130">
        <f t="shared" si="11"/>
        <v>49</v>
      </c>
      <c r="B287" s="155" t="str">
        <f t="shared" ca="1" si="9"/>
        <v/>
      </c>
      <c r="D287" s="148"/>
      <c r="E287" s="55"/>
      <c r="F287" s="55"/>
      <c r="G287" s="55"/>
      <c r="H287" s="56"/>
      <c r="I287" s="56"/>
      <c r="J287" s="56"/>
      <c r="K287" s="56"/>
      <c r="L287" s="56"/>
      <c r="M287" s="56"/>
      <c r="N287" s="56"/>
      <c r="O287" s="56"/>
      <c r="P287" s="56"/>
      <c r="Q287" s="56"/>
      <c r="R287" s="56"/>
      <c r="S287" s="56"/>
      <c r="T287" s="30"/>
      <c r="U287" s="30"/>
      <c r="V287" s="352" t="str">
        <f t="shared" ca="1" si="10"/>
        <v/>
      </c>
    </row>
    <row r="288" spans="1:22" s="54" customFormat="1" ht="12" customHeight="1">
      <c r="A288" s="130">
        <f t="shared" si="11"/>
        <v>50</v>
      </c>
      <c r="B288" s="155" t="str">
        <f t="shared" ca="1" si="9"/>
        <v/>
      </c>
      <c r="D288" s="148"/>
      <c r="E288" s="55"/>
      <c r="F288" s="55"/>
      <c r="G288" s="55"/>
      <c r="H288" s="56"/>
      <c r="I288" s="56"/>
      <c r="J288" s="56"/>
      <c r="K288" s="56"/>
      <c r="L288" s="56"/>
      <c r="M288" s="56"/>
      <c r="N288" s="56"/>
      <c r="O288" s="56"/>
      <c r="P288" s="56"/>
      <c r="Q288" s="56"/>
      <c r="R288" s="56"/>
      <c r="S288" s="56"/>
      <c r="T288" s="30"/>
      <c r="U288" s="30"/>
      <c r="V288" s="352" t="str">
        <f t="shared" ca="1" si="10"/>
        <v/>
      </c>
    </row>
    <row r="289" spans="1:22" s="54" customFormat="1" ht="12" customHeight="1">
      <c r="A289" s="130">
        <f t="shared" si="11"/>
        <v>51</v>
      </c>
      <c r="B289" s="155" t="str">
        <f t="shared" ca="1" si="9"/>
        <v/>
      </c>
      <c r="D289" s="148"/>
      <c r="E289" s="55"/>
      <c r="F289" s="55"/>
      <c r="G289" s="55"/>
      <c r="H289" s="56"/>
      <c r="I289" s="56"/>
      <c r="J289" s="56"/>
      <c r="K289" s="56"/>
      <c r="L289" s="56"/>
      <c r="M289" s="56"/>
      <c r="N289" s="56"/>
      <c r="O289" s="56"/>
      <c r="P289" s="56"/>
      <c r="Q289" s="56"/>
      <c r="R289" s="56"/>
      <c r="S289" s="56"/>
      <c r="T289" s="30"/>
      <c r="U289" s="30"/>
      <c r="V289" s="352" t="str">
        <f t="shared" ca="1" si="10"/>
        <v/>
      </c>
    </row>
    <row r="290" spans="1:22" s="54" customFormat="1" ht="12" customHeight="1">
      <c r="A290" s="130">
        <f t="shared" si="11"/>
        <v>52</v>
      </c>
      <c r="B290" s="155" t="str">
        <f t="shared" ca="1" si="9"/>
        <v/>
      </c>
      <c r="D290" s="148"/>
      <c r="E290" s="55"/>
      <c r="F290" s="55"/>
      <c r="G290" s="55"/>
      <c r="H290" s="56"/>
      <c r="I290" s="56"/>
      <c r="J290" s="56"/>
      <c r="K290" s="56"/>
      <c r="L290" s="56"/>
      <c r="M290" s="56"/>
      <c r="N290" s="56"/>
      <c r="O290" s="56"/>
      <c r="P290" s="56"/>
      <c r="Q290" s="56"/>
      <c r="R290" s="56"/>
      <c r="S290" s="56"/>
      <c r="T290" s="30"/>
      <c r="U290" s="30"/>
      <c r="V290" s="352" t="str">
        <f t="shared" ca="1" si="10"/>
        <v/>
      </c>
    </row>
    <row r="291" spans="1:22" s="54" customFormat="1" ht="12" customHeight="1">
      <c r="A291" s="130">
        <f t="shared" si="11"/>
        <v>53</v>
      </c>
      <c r="B291" s="155" t="str">
        <f t="shared" ca="1" si="9"/>
        <v/>
      </c>
      <c r="D291" s="148"/>
      <c r="E291" s="55"/>
      <c r="F291" s="55"/>
      <c r="G291" s="55"/>
      <c r="H291" s="56"/>
      <c r="I291" s="56"/>
      <c r="J291" s="56"/>
      <c r="K291" s="56"/>
      <c r="L291" s="56"/>
      <c r="M291" s="351"/>
      <c r="N291" s="56"/>
      <c r="O291" s="56"/>
      <c r="P291" s="56"/>
      <c r="Q291" s="56"/>
      <c r="R291" s="56"/>
      <c r="S291" s="56"/>
      <c r="T291" s="30"/>
      <c r="U291" s="30"/>
      <c r="V291" s="352" t="str">
        <f t="shared" ca="1" si="10"/>
        <v/>
      </c>
    </row>
    <row r="292" spans="1:22" s="54" customFormat="1" ht="12" customHeight="1">
      <c r="A292" s="130">
        <f t="shared" si="11"/>
        <v>54</v>
      </c>
      <c r="B292" s="155" t="str">
        <f t="shared" ca="1" si="9"/>
        <v/>
      </c>
      <c r="D292" s="148"/>
      <c r="E292" s="55"/>
      <c r="F292" s="55"/>
      <c r="G292" s="55"/>
      <c r="H292" s="56"/>
      <c r="I292" s="56"/>
      <c r="J292" s="56"/>
      <c r="K292" s="56"/>
      <c r="L292" s="56"/>
      <c r="M292" s="56"/>
      <c r="N292" s="56"/>
      <c r="O292" s="56"/>
      <c r="P292" s="56"/>
      <c r="Q292" s="56"/>
      <c r="R292" s="56"/>
      <c r="S292" s="56"/>
      <c r="T292" s="30"/>
      <c r="U292" s="30"/>
      <c r="V292" s="352" t="str">
        <f t="shared" ca="1" si="10"/>
        <v/>
      </c>
    </row>
    <row r="293" spans="1:22" s="54" customFormat="1" ht="12" customHeight="1">
      <c r="A293" s="130">
        <f t="shared" si="11"/>
        <v>55</v>
      </c>
      <c r="B293" s="155" t="str">
        <f t="shared" ca="1" si="9"/>
        <v/>
      </c>
      <c r="D293" s="29"/>
      <c r="E293" s="55"/>
      <c r="F293" s="55"/>
      <c r="G293" s="55"/>
      <c r="H293" s="56"/>
      <c r="I293" s="56"/>
      <c r="J293" s="56"/>
      <c r="K293" s="56"/>
      <c r="L293" s="56"/>
      <c r="M293" s="56"/>
      <c r="N293" s="56"/>
      <c r="O293" s="56"/>
      <c r="P293" s="56"/>
      <c r="Q293" s="56"/>
      <c r="R293" s="56"/>
      <c r="S293" s="56"/>
      <c r="T293" s="30"/>
      <c r="U293" s="30"/>
      <c r="V293" s="352" t="str">
        <f t="shared" ca="1" si="10"/>
        <v/>
      </c>
    </row>
    <row r="294" spans="1:22" s="54" customFormat="1" ht="12" customHeight="1">
      <c r="A294" s="130">
        <f t="shared" si="11"/>
        <v>56</v>
      </c>
      <c r="B294" s="155" t="str">
        <f t="shared" ca="1" si="9"/>
        <v/>
      </c>
      <c r="D294" s="29"/>
      <c r="E294" s="55"/>
      <c r="F294" s="55"/>
      <c r="G294" s="55"/>
      <c r="H294" s="56"/>
      <c r="I294" s="56"/>
      <c r="J294" s="56"/>
      <c r="K294" s="56"/>
      <c r="L294" s="56"/>
      <c r="M294" s="56"/>
      <c r="N294" s="56"/>
      <c r="O294" s="56"/>
      <c r="P294" s="56"/>
      <c r="Q294" s="56"/>
      <c r="R294" s="56"/>
      <c r="S294" s="56"/>
      <c r="T294" s="30"/>
      <c r="U294" s="30"/>
      <c r="V294" s="352" t="str">
        <f t="shared" ca="1" si="10"/>
        <v/>
      </c>
    </row>
    <row r="295" spans="1:22" s="54" customFormat="1" ht="12" customHeight="1">
      <c r="A295" s="130">
        <f t="shared" si="11"/>
        <v>57</v>
      </c>
      <c r="B295" s="155" t="str">
        <f t="shared" ca="1" si="9"/>
        <v/>
      </c>
      <c r="D295" s="29"/>
      <c r="E295" s="55"/>
      <c r="F295" s="55"/>
      <c r="G295" s="55"/>
      <c r="H295" s="56"/>
      <c r="I295" s="56"/>
      <c r="J295" s="56"/>
      <c r="K295" s="56"/>
      <c r="L295" s="56"/>
      <c r="M295" s="56"/>
      <c r="N295" s="56"/>
      <c r="O295" s="56"/>
      <c r="P295" s="56"/>
      <c r="Q295" s="56"/>
      <c r="R295" s="56"/>
      <c r="S295" s="56"/>
      <c r="T295" s="30"/>
      <c r="U295" s="30"/>
      <c r="V295" s="352" t="str">
        <f t="shared" ca="1" si="10"/>
        <v/>
      </c>
    </row>
    <row r="296" spans="1:22" s="54" customFormat="1" ht="12" customHeight="1">
      <c r="A296" s="130">
        <f t="shared" si="11"/>
        <v>58</v>
      </c>
      <c r="B296" s="155" t="str">
        <f t="shared" ca="1" si="9"/>
        <v/>
      </c>
      <c r="D296" s="29"/>
      <c r="E296" s="55"/>
      <c r="F296" s="55"/>
      <c r="G296" s="55"/>
      <c r="H296" s="56"/>
      <c r="I296" s="56"/>
      <c r="J296" s="56"/>
      <c r="K296" s="56"/>
      <c r="L296" s="56"/>
      <c r="M296" s="56"/>
      <c r="N296" s="56"/>
      <c r="O296" s="56"/>
      <c r="P296" s="56"/>
      <c r="Q296" s="56"/>
      <c r="R296" s="56"/>
      <c r="S296" s="56"/>
      <c r="T296" s="30"/>
      <c r="U296" s="30"/>
      <c r="V296" s="352" t="str">
        <f t="shared" ca="1" si="10"/>
        <v/>
      </c>
    </row>
    <row r="297" spans="1:22" s="54" customFormat="1" ht="12" customHeight="1">
      <c r="A297" s="130">
        <f t="shared" si="11"/>
        <v>59</v>
      </c>
      <c r="B297" s="155" t="str">
        <f t="shared" ca="1" si="9"/>
        <v/>
      </c>
      <c r="D297" s="29"/>
      <c r="E297" s="55"/>
      <c r="F297" s="55"/>
      <c r="G297" s="55"/>
      <c r="H297" s="56"/>
      <c r="I297" s="56"/>
      <c r="J297" s="56"/>
      <c r="K297" s="56"/>
      <c r="L297" s="56"/>
      <c r="M297" s="56"/>
      <c r="N297" s="56"/>
      <c r="O297" s="56"/>
      <c r="P297" s="56"/>
      <c r="Q297" s="56"/>
      <c r="R297" s="56"/>
      <c r="S297" s="56"/>
      <c r="T297" s="30"/>
      <c r="U297" s="30"/>
      <c r="V297" s="352" t="str">
        <f t="shared" ca="1" si="10"/>
        <v/>
      </c>
    </row>
    <row r="298" spans="1:22" s="54" customFormat="1" ht="12" customHeight="1">
      <c r="A298" s="130">
        <f t="shared" si="11"/>
        <v>60</v>
      </c>
      <c r="B298" s="155" t="str">
        <f t="shared" ca="1" si="9"/>
        <v/>
      </c>
      <c r="D298" s="29"/>
      <c r="E298" s="55"/>
      <c r="F298" s="55"/>
      <c r="G298" s="55"/>
      <c r="H298" s="56"/>
      <c r="I298" s="56"/>
      <c r="J298" s="56"/>
      <c r="K298" s="56"/>
      <c r="L298" s="56"/>
      <c r="M298" s="56"/>
      <c r="N298" s="56"/>
      <c r="O298" s="56"/>
      <c r="P298" s="56"/>
      <c r="Q298" s="56"/>
      <c r="R298" s="56"/>
      <c r="S298" s="56"/>
      <c r="T298" s="30"/>
      <c r="U298" s="30"/>
      <c r="V298" s="352" t="str">
        <f t="shared" ca="1" si="10"/>
        <v/>
      </c>
    </row>
    <row r="299" spans="1:22" s="54" customFormat="1" ht="12" customHeight="1">
      <c r="A299" s="130">
        <f t="shared" si="11"/>
        <v>61</v>
      </c>
      <c r="B299" s="155" t="str">
        <f t="shared" ca="1" si="9"/>
        <v/>
      </c>
      <c r="D299" s="29"/>
      <c r="E299" s="55"/>
      <c r="F299" s="55"/>
      <c r="G299" s="55"/>
      <c r="H299" s="56"/>
      <c r="I299" s="56"/>
      <c r="J299" s="56"/>
      <c r="K299" s="56"/>
      <c r="L299" s="56"/>
      <c r="M299" s="56"/>
      <c r="N299" s="56"/>
      <c r="O299" s="56"/>
      <c r="P299" s="56"/>
      <c r="Q299" s="56"/>
      <c r="R299" s="56"/>
      <c r="S299" s="56"/>
      <c r="T299" s="30"/>
      <c r="U299" s="30"/>
      <c r="V299" s="352" t="str">
        <f t="shared" ca="1" si="10"/>
        <v/>
      </c>
    </row>
    <row r="300" spans="1:22" s="54" customFormat="1" ht="12" customHeight="1">
      <c r="A300" s="130">
        <f t="shared" si="11"/>
        <v>62</v>
      </c>
      <c r="B300" s="155" t="str">
        <f t="shared" ca="1" si="9"/>
        <v/>
      </c>
      <c r="D300" s="29"/>
      <c r="E300" s="55"/>
      <c r="F300" s="55"/>
      <c r="G300" s="55"/>
      <c r="H300" s="56"/>
      <c r="I300" s="56"/>
      <c r="J300" s="56"/>
      <c r="K300" s="56"/>
      <c r="L300" s="56"/>
      <c r="M300" s="56"/>
      <c r="N300" s="56"/>
      <c r="O300" s="56"/>
      <c r="P300" s="56"/>
      <c r="Q300" s="56"/>
      <c r="R300" s="56"/>
      <c r="S300" s="56"/>
      <c r="T300" s="30"/>
      <c r="U300" s="30"/>
      <c r="V300" s="352" t="str">
        <f t="shared" ca="1" si="10"/>
        <v/>
      </c>
    </row>
    <row r="301" spans="1:22" s="54" customFormat="1" ht="12" customHeight="1">
      <c r="A301" s="130">
        <f t="shared" si="11"/>
        <v>63</v>
      </c>
      <c r="B301" s="155" t="str">
        <f t="shared" ca="1" si="9"/>
        <v/>
      </c>
      <c r="D301" s="29"/>
      <c r="E301" s="55"/>
      <c r="F301" s="55"/>
      <c r="G301" s="55"/>
      <c r="H301" s="56"/>
      <c r="I301" s="56"/>
      <c r="J301" s="56"/>
      <c r="K301" s="56"/>
      <c r="L301" s="56"/>
      <c r="M301" s="56"/>
      <c r="N301" s="56"/>
      <c r="O301" s="56"/>
      <c r="P301" s="56"/>
      <c r="Q301" s="56"/>
      <c r="R301" s="56"/>
      <c r="S301" s="56"/>
      <c r="T301" s="30"/>
      <c r="U301" s="30"/>
      <c r="V301" s="352" t="str">
        <f t="shared" ca="1" si="10"/>
        <v/>
      </c>
    </row>
    <row r="302" spans="1:22" s="626" customFormat="1" ht="12" customHeight="1">
      <c r="A302" s="130">
        <f t="shared" si="11"/>
        <v>64</v>
      </c>
      <c r="B302" s="155" t="str">
        <f t="shared" ca="1" si="9"/>
        <v/>
      </c>
      <c r="C302" s="625"/>
      <c r="D302" s="625"/>
      <c r="E302" s="625"/>
      <c r="F302" s="625"/>
      <c r="G302" s="625"/>
      <c r="H302" s="625"/>
      <c r="I302" s="625"/>
      <c r="J302" s="625"/>
      <c r="K302" s="625"/>
      <c r="L302" s="625"/>
      <c r="M302" s="625"/>
      <c r="N302" s="625"/>
      <c r="O302" s="625"/>
      <c r="P302" s="625"/>
      <c r="Q302" s="625"/>
      <c r="R302" s="625"/>
      <c r="S302" s="625"/>
      <c r="T302" s="625"/>
      <c r="U302" s="625"/>
      <c r="V302" s="352" t="str">
        <f t="shared" ref="V302:V329" ca="1" si="12">IF(ISERROR(VLOOKUP($A302,RDOC,2,0)),"",VLOOKUP($A302,RDOC,2,0))</f>
        <v/>
      </c>
    </row>
    <row r="303" spans="1:22" s="54" customFormat="1" ht="12" customHeight="1">
      <c r="A303" s="130">
        <f t="shared" ref="A303:A304" si="13">A302+1</f>
        <v>65</v>
      </c>
      <c r="B303" s="155" t="str">
        <f t="shared" ref="B303:B341" ca="1" si="14">IF(ISERROR(VLOOKUP($A303,RDOC,3,0)),"",VLOOKUP($A303,RDOC,3,0))</f>
        <v/>
      </c>
      <c r="D303" s="29"/>
      <c r="E303" s="55"/>
      <c r="F303" s="55"/>
      <c r="G303" s="55"/>
      <c r="H303" s="56"/>
      <c r="I303" s="56"/>
      <c r="J303" s="56"/>
      <c r="K303" s="56"/>
      <c r="L303" s="56"/>
      <c r="M303" s="56"/>
      <c r="N303" s="56"/>
      <c r="O303" s="56"/>
      <c r="P303" s="56"/>
      <c r="Q303" s="56"/>
      <c r="R303" s="56"/>
      <c r="S303" s="56"/>
      <c r="T303" s="30"/>
      <c r="U303" s="30"/>
      <c r="V303" s="352" t="str">
        <f t="shared" ca="1" si="12"/>
        <v/>
      </c>
    </row>
    <row r="304" spans="1:22" s="54" customFormat="1" ht="12" customHeight="1">
      <c r="A304" s="130">
        <f t="shared" si="13"/>
        <v>66</v>
      </c>
      <c r="B304" s="155" t="str">
        <f t="shared" ca="1" si="14"/>
        <v/>
      </c>
      <c r="D304" s="29"/>
      <c r="E304" s="55"/>
      <c r="F304" s="55"/>
      <c r="G304" s="55"/>
      <c r="H304" s="56"/>
      <c r="I304" s="56"/>
      <c r="J304" s="56"/>
      <c r="K304" s="56"/>
      <c r="L304" s="56"/>
      <c r="M304" s="56"/>
      <c r="N304" s="56"/>
      <c r="O304" s="56"/>
      <c r="P304" s="56"/>
      <c r="Q304" s="56"/>
      <c r="R304" s="56"/>
      <c r="S304" s="56"/>
      <c r="T304" s="30"/>
      <c r="U304" s="30"/>
      <c r="V304" s="352" t="str">
        <f t="shared" ca="1" si="12"/>
        <v/>
      </c>
    </row>
    <row r="305" spans="1:22" s="54" customFormat="1" ht="12" customHeight="1">
      <c r="A305" s="130">
        <f t="shared" ref="A305:A329" si="15">A304+1</f>
        <v>67</v>
      </c>
      <c r="B305" s="155" t="str">
        <f t="shared" ca="1" si="14"/>
        <v/>
      </c>
      <c r="D305" s="29"/>
      <c r="E305" s="55"/>
      <c r="F305" s="55"/>
      <c r="G305" s="55"/>
      <c r="H305" s="56"/>
      <c r="I305" s="56"/>
      <c r="J305" s="56"/>
      <c r="K305" s="56"/>
      <c r="L305" s="56"/>
      <c r="M305" s="56"/>
      <c r="N305" s="56"/>
      <c r="O305" s="56"/>
      <c r="P305" s="56"/>
      <c r="Q305" s="56"/>
      <c r="R305" s="56"/>
      <c r="S305" s="56"/>
      <c r="T305" s="30"/>
      <c r="U305" s="30"/>
      <c r="V305" s="352" t="str">
        <f t="shared" ca="1" si="12"/>
        <v/>
      </c>
    </row>
    <row r="306" spans="1:22" s="54" customFormat="1" ht="12" customHeight="1">
      <c r="A306" s="130">
        <f t="shared" si="15"/>
        <v>68</v>
      </c>
      <c r="B306" s="155" t="str">
        <f t="shared" ca="1" si="14"/>
        <v/>
      </c>
      <c r="D306" s="29"/>
      <c r="E306" s="55"/>
      <c r="F306" s="55"/>
      <c r="G306" s="55"/>
      <c r="H306" s="56"/>
      <c r="I306" s="56"/>
      <c r="J306" s="56"/>
      <c r="K306" s="56"/>
      <c r="L306" s="56"/>
      <c r="M306" s="56"/>
      <c r="N306" s="56"/>
      <c r="O306" s="56"/>
      <c r="P306" s="56"/>
      <c r="Q306" s="56"/>
      <c r="R306" s="56"/>
      <c r="S306" s="56"/>
      <c r="T306" s="30"/>
      <c r="U306" s="30"/>
      <c r="V306" s="352" t="str">
        <f t="shared" ca="1" si="12"/>
        <v/>
      </c>
    </row>
    <row r="307" spans="1:22" s="54" customFormat="1" ht="12" customHeight="1">
      <c r="A307" s="130">
        <f t="shared" si="15"/>
        <v>69</v>
      </c>
      <c r="B307" s="155" t="str">
        <f t="shared" ca="1" si="14"/>
        <v/>
      </c>
      <c r="D307" s="29"/>
      <c r="E307" s="55"/>
      <c r="F307" s="55"/>
      <c r="G307" s="55"/>
      <c r="H307" s="56"/>
      <c r="I307" s="56"/>
      <c r="J307" s="56"/>
      <c r="K307" s="56"/>
      <c r="L307" s="56"/>
      <c r="M307" s="56"/>
      <c r="N307" s="56"/>
      <c r="O307" s="56"/>
      <c r="P307" s="56"/>
      <c r="Q307" s="56"/>
      <c r="R307" s="56"/>
      <c r="S307" s="56"/>
      <c r="T307" s="30"/>
      <c r="U307" s="30"/>
      <c r="V307" s="352" t="str">
        <f t="shared" ca="1" si="12"/>
        <v/>
      </c>
    </row>
    <row r="308" spans="1:22" s="54" customFormat="1" ht="12" customHeight="1">
      <c r="A308" s="130">
        <f t="shared" si="15"/>
        <v>70</v>
      </c>
      <c r="B308" s="155" t="str">
        <f t="shared" ca="1" si="14"/>
        <v/>
      </c>
      <c r="D308" s="29"/>
      <c r="E308" s="55"/>
      <c r="F308" s="55"/>
      <c r="G308" s="55"/>
      <c r="H308" s="56"/>
      <c r="I308" s="56"/>
      <c r="J308" s="56"/>
      <c r="K308" s="56"/>
      <c r="L308" s="56"/>
      <c r="M308" s="56"/>
      <c r="N308" s="56"/>
      <c r="O308" s="56"/>
      <c r="P308" s="56"/>
      <c r="Q308" s="56"/>
      <c r="R308" s="56"/>
      <c r="S308" s="56"/>
      <c r="T308" s="30"/>
      <c r="U308" s="30"/>
      <c r="V308" s="352" t="str">
        <f t="shared" ca="1" si="12"/>
        <v/>
      </c>
    </row>
    <row r="309" spans="1:22" s="54" customFormat="1" ht="12" customHeight="1">
      <c r="A309" s="130">
        <f t="shared" si="15"/>
        <v>71</v>
      </c>
      <c r="B309" s="155" t="str">
        <f t="shared" ca="1" si="14"/>
        <v/>
      </c>
      <c r="D309" s="29"/>
      <c r="E309" s="55"/>
      <c r="F309" s="55"/>
      <c r="G309" s="55"/>
      <c r="H309" s="56"/>
      <c r="I309" s="56"/>
      <c r="J309" s="56"/>
      <c r="K309" s="56"/>
      <c r="L309" s="56"/>
      <c r="M309" s="56"/>
      <c r="N309" s="56"/>
      <c r="O309" s="56"/>
      <c r="P309" s="56"/>
      <c r="Q309" s="56"/>
      <c r="R309" s="56"/>
      <c r="S309" s="56"/>
      <c r="T309" s="30"/>
      <c r="U309" s="30"/>
      <c r="V309" s="352" t="str">
        <f t="shared" ca="1" si="12"/>
        <v/>
      </c>
    </row>
    <row r="310" spans="1:22" s="54" customFormat="1" ht="12" customHeight="1">
      <c r="A310" s="130">
        <f t="shared" si="15"/>
        <v>72</v>
      </c>
      <c r="B310" s="155" t="str">
        <f t="shared" ca="1" si="14"/>
        <v/>
      </c>
      <c r="D310" s="29"/>
      <c r="E310" s="55"/>
      <c r="F310" s="55"/>
      <c r="G310" s="55"/>
      <c r="H310" s="56"/>
      <c r="I310" s="56"/>
      <c r="J310" s="56"/>
      <c r="K310" s="56"/>
      <c r="L310" s="56"/>
      <c r="M310" s="56"/>
      <c r="N310" s="56"/>
      <c r="O310" s="56"/>
      <c r="P310" s="56"/>
      <c r="Q310" s="56"/>
      <c r="R310" s="56"/>
      <c r="S310" s="56"/>
      <c r="T310" s="30"/>
      <c r="U310" s="30"/>
      <c r="V310" s="352" t="str">
        <f t="shared" ca="1" si="12"/>
        <v/>
      </c>
    </row>
    <row r="311" spans="1:22" s="54" customFormat="1" ht="12" customHeight="1">
      <c r="A311" s="130">
        <f t="shared" si="15"/>
        <v>73</v>
      </c>
      <c r="B311" s="155" t="str">
        <f t="shared" ca="1" si="14"/>
        <v/>
      </c>
      <c r="D311" s="29"/>
      <c r="E311" s="55"/>
      <c r="F311" s="55"/>
      <c r="G311" s="55"/>
      <c r="H311" s="56"/>
      <c r="I311" s="56"/>
      <c r="J311" s="56"/>
      <c r="K311" s="56"/>
      <c r="L311" s="56"/>
      <c r="M311" s="56"/>
      <c r="N311" s="56"/>
      <c r="O311" s="56"/>
      <c r="P311" s="56"/>
      <c r="Q311" s="56"/>
      <c r="R311" s="56"/>
      <c r="S311" s="56"/>
      <c r="T311" s="30"/>
      <c r="U311" s="30"/>
      <c r="V311" s="352" t="str">
        <f t="shared" ca="1" si="12"/>
        <v/>
      </c>
    </row>
    <row r="312" spans="1:22" s="54" customFormat="1" ht="12" customHeight="1">
      <c r="A312" s="130">
        <f t="shared" si="15"/>
        <v>74</v>
      </c>
      <c r="B312" s="155" t="str">
        <f t="shared" ca="1" si="14"/>
        <v/>
      </c>
      <c r="D312" s="29"/>
      <c r="E312" s="55"/>
      <c r="F312" s="55"/>
      <c r="G312" s="55"/>
      <c r="H312" s="56"/>
      <c r="I312" s="56"/>
      <c r="J312" s="56"/>
      <c r="K312" s="56"/>
      <c r="L312" s="56"/>
      <c r="M312" s="56"/>
      <c r="N312" s="56"/>
      <c r="O312" s="56"/>
      <c r="P312" s="56"/>
      <c r="Q312" s="56"/>
      <c r="R312" s="56"/>
      <c r="S312" s="56"/>
      <c r="T312" s="30"/>
      <c r="U312" s="30"/>
      <c r="V312" s="352" t="str">
        <f t="shared" ca="1" si="12"/>
        <v/>
      </c>
    </row>
    <row r="313" spans="1:22" s="54" customFormat="1" ht="12" customHeight="1">
      <c r="A313" s="130">
        <f t="shared" si="15"/>
        <v>75</v>
      </c>
      <c r="B313" s="155" t="str">
        <f t="shared" ca="1" si="14"/>
        <v/>
      </c>
      <c r="D313" s="29"/>
      <c r="E313" s="55"/>
      <c r="F313" s="55"/>
      <c r="G313" s="55"/>
      <c r="H313" s="56"/>
      <c r="I313" s="56"/>
      <c r="J313" s="56"/>
      <c r="K313" s="56"/>
      <c r="L313" s="56"/>
      <c r="M313" s="56"/>
      <c r="N313" s="56"/>
      <c r="O313" s="56"/>
      <c r="P313" s="56"/>
      <c r="Q313" s="56"/>
      <c r="R313" s="56"/>
      <c r="S313" s="56"/>
      <c r="T313" s="30"/>
      <c r="U313" s="30"/>
      <c r="V313" s="352" t="str">
        <f t="shared" ca="1" si="12"/>
        <v/>
      </c>
    </row>
    <row r="314" spans="1:22" s="54" customFormat="1" ht="12" customHeight="1">
      <c r="A314" s="130">
        <f t="shared" si="15"/>
        <v>76</v>
      </c>
      <c r="B314" s="155" t="str">
        <f t="shared" ca="1" si="14"/>
        <v/>
      </c>
      <c r="D314" s="29"/>
      <c r="E314" s="55"/>
      <c r="F314" s="55"/>
      <c r="G314" s="55"/>
      <c r="H314" s="56"/>
      <c r="I314" s="56"/>
      <c r="J314" s="56"/>
      <c r="K314" s="56"/>
      <c r="L314" s="56"/>
      <c r="M314" s="56"/>
      <c r="N314" s="56"/>
      <c r="O314" s="56"/>
      <c r="P314" s="56"/>
      <c r="Q314" s="56"/>
      <c r="R314" s="56"/>
      <c r="S314" s="56"/>
      <c r="T314" s="30"/>
      <c r="U314" s="30"/>
      <c r="V314" s="352" t="str">
        <f t="shared" ca="1" si="12"/>
        <v/>
      </c>
    </row>
    <row r="315" spans="1:22" s="54" customFormat="1" ht="12" customHeight="1">
      <c r="A315" s="130">
        <f t="shared" si="15"/>
        <v>77</v>
      </c>
      <c r="B315" s="155" t="str">
        <f t="shared" ca="1" si="14"/>
        <v/>
      </c>
      <c r="D315" s="29"/>
      <c r="E315" s="55"/>
      <c r="F315" s="55"/>
      <c r="G315" s="55"/>
      <c r="H315" s="56"/>
      <c r="I315" s="56"/>
      <c r="J315" s="56"/>
      <c r="K315" s="56"/>
      <c r="L315" s="56"/>
      <c r="M315" s="56"/>
      <c r="N315" s="56"/>
      <c r="O315" s="56"/>
      <c r="P315" s="56"/>
      <c r="Q315" s="56"/>
      <c r="R315" s="56"/>
      <c r="S315" s="56"/>
      <c r="T315" s="30"/>
      <c r="U315" s="30"/>
      <c r="V315" s="352" t="str">
        <f t="shared" ca="1" si="12"/>
        <v/>
      </c>
    </row>
    <row r="316" spans="1:22" s="54" customFormat="1" ht="12" customHeight="1">
      <c r="A316" s="130">
        <f t="shared" si="15"/>
        <v>78</v>
      </c>
      <c r="B316" s="155" t="str">
        <f t="shared" ca="1" si="14"/>
        <v/>
      </c>
      <c r="D316" s="29"/>
      <c r="E316" s="55"/>
      <c r="F316" s="55"/>
      <c r="G316" s="55"/>
      <c r="H316" s="56"/>
      <c r="I316" s="56"/>
      <c r="J316" s="56"/>
      <c r="K316" s="56"/>
      <c r="L316" s="56"/>
      <c r="M316" s="56"/>
      <c r="N316" s="56"/>
      <c r="O316" s="56"/>
      <c r="P316" s="56"/>
      <c r="Q316" s="56"/>
      <c r="R316" s="56"/>
      <c r="S316" s="56"/>
      <c r="T316" s="30"/>
      <c r="U316" s="30"/>
      <c r="V316" s="352" t="str">
        <f t="shared" ca="1" si="12"/>
        <v/>
      </c>
    </row>
    <row r="317" spans="1:22" s="54" customFormat="1" ht="12" customHeight="1">
      <c r="A317" s="130">
        <f t="shared" si="15"/>
        <v>79</v>
      </c>
      <c r="B317" s="155" t="str">
        <f t="shared" ca="1" si="14"/>
        <v/>
      </c>
      <c r="D317" s="29"/>
      <c r="E317" s="55"/>
      <c r="F317" s="55"/>
      <c r="G317" s="55"/>
      <c r="H317" s="56"/>
      <c r="I317" s="56"/>
      <c r="J317" s="56"/>
      <c r="K317" s="56"/>
      <c r="L317" s="56"/>
      <c r="M317" s="56"/>
      <c r="N317" s="56"/>
      <c r="O317" s="56"/>
      <c r="P317" s="56"/>
      <c r="Q317" s="56"/>
      <c r="R317" s="56"/>
      <c r="S317" s="56"/>
      <c r="T317" s="30"/>
      <c r="U317" s="30"/>
      <c r="V317" s="352" t="str">
        <f t="shared" ca="1" si="12"/>
        <v/>
      </c>
    </row>
    <row r="318" spans="1:22" s="54" customFormat="1" ht="12" customHeight="1">
      <c r="A318" s="130">
        <f t="shared" si="15"/>
        <v>80</v>
      </c>
      <c r="B318" s="155" t="str">
        <f t="shared" ca="1" si="14"/>
        <v/>
      </c>
      <c r="D318" s="29"/>
      <c r="E318" s="55"/>
      <c r="F318" s="55"/>
      <c r="G318" s="55"/>
      <c r="H318" s="56"/>
      <c r="I318" s="56"/>
      <c r="J318" s="56"/>
      <c r="K318" s="56"/>
      <c r="L318" s="56"/>
      <c r="M318" s="56"/>
      <c r="N318" s="56"/>
      <c r="O318" s="56"/>
      <c r="P318" s="56"/>
      <c r="Q318" s="56"/>
      <c r="R318" s="56"/>
      <c r="S318" s="56"/>
      <c r="T318" s="30"/>
      <c r="U318" s="30"/>
      <c r="V318" s="352" t="str">
        <f t="shared" ca="1" si="12"/>
        <v/>
      </c>
    </row>
    <row r="319" spans="1:22" s="54" customFormat="1" ht="12" customHeight="1">
      <c r="A319" s="130">
        <f t="shared" si="15"/>
        <v>81</v>
      </c>
      <c r="B319" s="155" t="str">
        <f t="shared" ca="1" si="14"/>
        <v/>
      </c>
      <c r="D319" s="29"/>
      <c r="E319" s="55"/>
      <c r="F319" s="55"/>
      <c r="G319" s="55"/>
      <c r="H319" s="56"/>
      <c r="I319" s="56"/>
      <c r="J319" s="56"/>
      <c r="K319" s="56"/>
      <c r="L319" s="56"/>
      <c r="M319" s="56"/>
      <c r="N319" s="56"/>
      <c r="O319" s="56"/>
      <c r="P319" s="56"/>
      <c r="Q319" s="56"/>
      <c r="R319" s="56"/>
      <c r="S319" s="56"/>
      <c r="T319" s="30"/>
      <c r="U319" s="30"/>
      <c r="V319" s="352" t="str">
        <f t="shared" ca="1" si="12"/>
        <v/>
      </c>
    </row>
    <row r="320" spans="1:22" s="54" customFormat="1" ht="12" customHeight="1">
      <c r="A320" s="130">
        <f t="shared" si="15"/>
        <v>82</v>
      </c>
      <c r="B320" s="155" t="str">
        <f t="shared" ca="1" si="14"/>
        <v/>
      </c>
      <c r="D320" s="29"/>
      <c r="E320" s="55"/>
      <c r="F320" s="55"/>
      <c r="G320" s="55"/>
      <c r="H320" s="56"/>
      <c r="I320" s="56"/>
      <c r="J320" s="56"/>
      <c r="K320" s="56"/>
      <c r="L320" s="56"/>
      <c r="M320" s="56"/>
      <c r="N320" s="56"/>
      <c r="O320" s="56"/>
      <c r="P320" s="56"/>
      <c r="Q320" s="56"/>
      <c r="R320" s="56"/>
      <c r="S320" s="56"/>
      <c r="T320" s="30"/>
      <c r="U320" s="30"/>
      <c r="V320" s="352" t="str">
        <f t="shared" ca="1" si="12"/>
        <v/>
      </c>
    </row>
    <row r="321" spans="1:22" s="54" customFormat="1" ht="12" customHeight="1">
      <c r="A321" s="130">
        <f t="shared" si="15"/>
        <v>83</v>
      </c>
      <c r="B321" s="155" t="str">
        <f t="shared" ca="1" si="14"/>
        <v/>
      </c>
      <c r="D321" s="29"/>
      <c r="E321" s="55"/>
      <c r="F321" s="55"/>
      <c r="G321" s="55"/>
      <c r="H321" s="56"/>
      <c r="I321" s="56"/>
      <c r="J321" s="56"/>
      <c r="K321" s="56"/>
      <c r="L321" s="56"/>
      <c r="M321" s="56"/>
      <c r="N321" s="56"/>
      <c r="O321" s="56"/>
      <c r="P321" s="56"/>
      <c r="Q321" s="56"/>
      <c r="R321" s="56"/>
      <c r="S321" s="56"/>
      <c r="T321" s="30"/>
      <c r="U321" s="30"/>
      <c r="V321" s="352" t="str">
        <f t="shared" ca="1" si="12"/>
        <v/>
      </c>
    </row>
    <row r="322" spans="1:22" s="54" customFormat="1" ht="12" customHeight="1">
      <c r="A322" s="130">
        <f t="shared" si="15"/>
        <v>84</v>
      </c>
      <c r="B322" s="155" t="str">
        <f t="shared" ca="1" si="14"/>
        <v/>
      </c>
      <c r="D322" s="29"/>
      <c r="E322" s="55"/>
      <c r="F322" s="55"/>
      <c r="G322" s="55"/>
      <c r="H322" s="56"/>
      <c r="I322" s="56"/>
      <c r="J322" s="56"/>
      <c r="K322" s="56"/>
      <c r="L322" s="56"/>
      <c r="M322" s="56"/>
      <c r="N322" s="56"/>
      <c r="O322" s="56"/>
      <c r="P322" s="56"/>
      <c r="Q322" s="56"/>
      <c r="R322" s="56"/>
      <c r="S322" s="56"/>
      <c r="T322" s="30"/>
      <c r="U322" s="30"/>
      <c r="V322" s="352" t="str">
        <f t="shared" ca="1" si="12"/>
        <v/>
      </c>
    </row>
    <row r="323" spans="1:22" s="54" customFormat="1" ht="12" customHeight="1">
      <c r="A323" s="130">
        <f t="shared" si="15"/>
        <v>85</v>
      </c>
      <c r="B323" s="155" t="str">
        <f t="shared" ca="1" si="14"/>
        <v/>
      </c>
      <c r="D323" s="29"/>
      <c r="E323" s="55"/>
      <c r="F323" s="55"/>
      <c r="G323" s="55"/>
      <c r="H323" s="56"/>
      <c r="I323" s="56"/>
      <c r="J323" s="56"/>
      <c r="K323" s="56"/>
      <c r="L323" s="56"/>
      <c r="M323" s="56"/>
      <c r="N323" s="56"/>
      <c r="O323" s="56"/>
      <c r="P323" s="56"/>
      <c r="Q323" s="56"/>
      <c r="R323" s="56"/>
      <c r="S323" s="56"/>
      <c r="T323" s="30"/>
      <c r="U323" s="30"/>
      <c r="V323" s="352" t="str">
        <f t="shared" ca="1" si="12"/>
        <v/>
      </c>
    </row>
    <row r="324" spans="1:22" s="54" customFormat="1" ht="12" customHeight="1">
      <c r="A324" s="130">
        <f t="shared" si="15"/>
        <v>86</v>
      </c>
      <c r="B324" s="155" t="str">
        <f t="shared" ca="1" si="14"/>
        <v/>
      </c>
      <c r="D324" s="29"/>
      <c r="E324" s="55"/>
      <c r="F324" s="55"/>
      <c r="G324" s="55"/>
      <c r="H324" s="56"/>
      <c r="I324" s="56"/>
      <c r="J324" s="56"/>
      <c r="K324" s="56"/>
      <c r="L324" s="56"/>
      <c r="M324" s="56"/>
      <c r="N324" s="56"/>
      <c r="O324" s="56"/>
      <c r="P324" s="56"/>
      <c r="Q324" s="56"/>
      <c r="R324" s="56"/>
      <c r="S324" s="56"/>
      <c r="T324" s="30"/>
      <c r="U324" s="30"/>
      <c r="V324" s="352" t="str">
        <f t="shared" ca="1" si="12"/>
        <v/>
      </c>
    </row>
    <row r="325" spans="1:22" s="54" customFormat="1" ht="12" customHeight="1">
      <c r="A325" s="130">
        <f t="shared" si="15"/>
        <v>87</v>
      </c>
      <c r="B325" s="155" t="str">
        <f t="shared" ca="1" si="14"/>
        <v/>
      </c>
      <c r="D325" s="29"/>
      <c r="E325" s="55"/>
      <c r="F325" s="55"/>
      <c r="G325" s="55"/>
      <c r="H325" s="56"/>
      <c r="I325" s="56"/>
      <c r="J325" s="56"/>
      <c r="K325" s="56"/>
      <c r="L325" s="56"/>
      <c r="M325" s="56"/>
      <c r="N325" s="56"/>
      <c r="O325" s="56"/>
      <c r="P325" s="56"/>
      <c r="Q325" s="56"/>
      <c r="R325" s="56"/>
      <c r="S325" s="56"/>
      <c r="T325" s="30"/>
      <c r="U325" s="30"/>
      <c r="V325" s="352" t="str">
        <f t="shared" ca="1" si="12"/>
        <v/>
      </c>
    </row>
    <row r="326" spans="1:22" s="54" customFormat="1" ht="12" customHeight="1">
      <c r="A326" s="130">
        <f t="shared" si="15"/>
        <v>88</v>
      </c>
      <c r="B326" s="155" t="str">
        <f t="shared" ca="1" si="14"/>
        <v/>
      </c>
      <c r="D326" s="29"/>
      <c r="E326" s="55"/>
      <c r="F326" s="55"/>
      <c r="G326" s="55"/>
      <c r="H326" s="56"/>
      <c r="I326" s="56"/>
      <c r="J326" s="56"/>
      <c r="K326" s="56"/>
      <c r="L326" s="56"/>
      <c r="M326" s="56"/>
      <c r="N326" s="56"/>
      <c r="O326" s="56"/>
      <c r="P326" s="56"/>
      <c r="Q326" s="56"/>
      <c r="R326" s="56"/>
      <c r="S326" s="56"/>
      <c r="T326" s="30"/>
      <c r="U326" s="30"/>
      <c r="V326" s="352" t="str">
        <f t="shared" ca="1" si="12"/>
        <v/>
      </c>
    </row>
    <row r="327" spans="1:22" s="54" customFormat="1" ht="12" customHeight="1">
      <c r="A327" s="130">
        <f t="shared" si="15"/>
        <v>89</v>
      </c>
      <c r="B327" s="155" t="str">
        <f t="shared" ca="1" si="14"/>
        <v/>
      </c>
      <c r="D327" s="29"/>
      <c r="E327" s="55"/>
      <c r="F327" s="55"/>
      <c r="G327" s="55"/>
      <c r="H327" s="56"/>
      <c r="I327" s="56"/>
      <c r="J327" s="56"/>
      <c r="K327" s="56"/>
      <c r="L327" s="56"/>
      <c r="M327" s="56"/>
      <c r="N327" s="56"/>
      <c r="O327" s="56"/>
      <c r="P327" s="56"/>
      <c r="Q327" s="56"/>
      <c r="R327" s="56"/>
      <c r="S327" s="56"/>
      <c r="T327" s="30"/>
      <c r="U327" s="30"/>
      <c r="V327" s="352" t="str">
        <f t="shared" ca="1" si="12"/>
        <v/>
      </c>
    </row>
    <row r="328" spans="1:22" s="54" customFormat="1" ht="12" customHeight="1">
      <c r="A328" s="130">
        <f t="shared" si="15"/>
        <v>90</v>
      </c>
      <c r="B328" s="155" t="str">
        <f t="shared" ca="1" si="14"/>
        <v/>
      </c>
      <c r="D328" s="29"/>
      <c r="E328" s="55"/>
      <c r="F328" s="55"/>
      <c r="G328" s="55"/>
      <c r="H328" s="56"/>
      <c r="I328" s="56"/>
      <c r="J328" s="56"/>
      <c r="K328" s="56"/>
      <c r="L328" s="56"/>
      <c r="M328" s="56"/>
      <c r="N328" s="56"/>
      <c r="O328" s="56"/>
      <c r="P328" s="56"/>
      <c r="Q328" s="56"/>
      <c r="R328" s="56"/>
      <c r="S328" s="56"/>
      <c r="T328" s="30"/>
      <c r="U328" s="30"/>
      <c r="V328" s="352" t="str">
        <f t="shared" ca="1" si="12"/>
        <v/>
      </c>
    </row>
    <row r="329" spans="1:22" s="54" customFormat="1" ht="12" customHeight="1">
      <c r="A329" s="130">
        <f t="shared" si="15"/>
        <v>91</v>
      </c>
      <c r="B329" s="155" t="str">
        <f t="shared" ca="1" si="14"/>
        <v/>
      </c>
      <c r="D329" s="29"/>
      <c r="E329" s="55"/>
      <c r="F329" s="55"/>
      <c r="G329" s="55"/>
      <c r="H329" s="56"/>
      <c r="I329" s="56"/>
      <c r="J329" s="56"/>
      <c r="K329" s="56"/>
      <c r="L329" s="56"/>
      <c r="M329" s="56"/>
      <c r="N329" s="56"/>
      <c r="O329" s="56"/>
      <c r="P329" s="56"/>
      <c r="Q329" s="56"/>
      <c r="R329" s="56"/>
      <c r="S329" s="56"/>
      <c r="T329" s="30"/>
      <c r="U329" s="30"/>
      <c r="V329" s="352" t="str">
        <f t="shared" ca="1" si="12"/>
        <v/>
      </c>
    </row>
    <row r="330" spans="1:22" s="54" customFormat="1" ht="3.75" customHeight="1">
      <c r="A330" s="130"/>
      <c r="B330" s="155"/>
      <c r="D330" s="29"/>
      <c r="E330" s="55"/>
      <c r="F330" s="55"/>
      <c r="G330" s="55"/>
      <c r="H330" s="56"/>
      <c r="I330" s="56"/>
      <c r="J330" s="56"/>
      <c r="K330" s="56"/>
      <c r="L330" s="56"/>
      <c r="M330" s="56"/>
      <c r="N330" s="56"/>
      <c r="O330" s="56"/>
      <c r="P330" s="56"/>
      <c r="Q330" s="56"/>
      <c r="R330" s="56"/>
      <c r="S330" s="56"/>
      <c r="T330" s="30"/>
      <c r="U330" s="30"/>
      <c r="V330" s="352"/>
    </row>
    <row r="331" spans="1:22" ht="12" customHeight="1">
      <c r="B331" s="766" t="s">
        <v>119</v>
      </c>
      <c r="C331" s="766"/>
      <c r="D331" s="766"/>
      <c r="E331" s="766"/>
      <c r="F331" s="766"/>
      <c r="G331" s="766"/>
      <c r="H331" s="766"/>
      <c r="I331" s="766"/>
      <c r="J331" s="766"/>
      <c r="K331" s="766"/>
      <c r="L331" s="766"/>
      <c r="M331" s="766"/>
      <c r="N331" s="766"/>
      <c r="O331" s="766"/>
      <c r="P331" s="766"/>
      <c r="Q331" s="766"/>
      <c r="R331" s="766"/>
      <c r="S331" s="766"/>
      <c r="T331" s="766"/>
      <c r="U331" s="766"/>
    </row>
    <row r="332" spans="1:22" ht="11.25" customHeight="1">
      <c r="B332" s="631"/>
      <c r="C332" s="764" t="str">
        <f ca="1">"※本契約("&amp;IF(AND(OP!$D$53="",'OP1'!$D$53=""),OP!$C$22&amp;"、"&amp;'OP1'!$C$22,IF(OP!$D$53="",OP!$C$22,'OP1'!$C$22))&amp;")條款樣張須於訂立契約前提供要保人至少三日審閱期間"</f>
        <v>※本契約(AIJ、SWUC)條款樣張須於訂立契約前提供要保人至少三日審閱期間</v>
      </c>
      <c r="D332" s="903"/>
      <c r="E332" s="903"/>
      <c r="F332" s="903"/>
      <c r="G332" s="903"/>
      <c r="H332" s="903"/>
      <c r="I332" s="903"/>
      <c r="J332" s="903"/>
      <c r="K332" s="903"/>
      <c r="L332" s="903"/>
      <c r="M332" s="903"/>
      <c r="N332" s="903"/>
      <c r="O332" s="903"/>
      <c r="P332" s="801" t="str">
        <f ca="1">OP!$C$54&amp;" 試算日："&amp;TEXT(YEAR(OP!$C$3)-1911,"000")&amp;TEXT(MONTH(OP!$C$3),"00")&amp;TEXT(DAY(OP!$C$3),"00")</f>
        <v>V3.0A-1111001 試算日：1111001</v>
      </c>
      <c r="Q332" s="904"/>
      <c r="R332" s="904"/>
      <c r="S332" s="904"/>
      <c r="T332" s="904"/>
      <c r="U332" s="904"/>
    </row>
    <row r="333" spans="1:22" s="54" customFormat="1" ht="12" customHeight="1">
      <c r="A333" s="130"/>
      <c r="B333" s="155"/>
      <c r="D333" s="29"/>
      <c r="E333" s="55"/>
      <c r="F333" s="55"/>
      <c r="G333" s="55"/>
      <c r="H333" s="56"/>
      <c r="I333" s="56"/>
      <c r="J333" s="56"/>
      <c r="K333" s="56"/>
      <c r="L333" s="56"/>
      <c r="M333" s="56"/>
      <c r="N333" s="56"/>
      <c r="O333" s="56"/>
      <c r="P333" s="56"/>
      <c r="Q333" s="56"/>
      <c r="R333" s="56"/>
      <c r="S333" s="56"/>
      <c r="T333" s="30"/>
      <c r="U333" s="30"/>
      <c r="V333" s="352"/>
    </row>
    <row r="334" spans="1:22" s="54" customFormat="1" ht="12" customHeight="1">
      <c r="A334" s="130">
        <f>A329+1</f>
        <v>92</v>
      </c>
      <c r="B334" s="155" t="str">
        <f t="shared" ca="1" si="14"/>
        <v/>
      </c>
      <c r="D334" s="29"/>
      <c r="E334" s="55"/>
      <c r="F334" s="55"/>
      <c r="G334" s="55"/>
      <c r="H334" s="56"/>
      <c r="I334" s="56"/>
      <c r="J334" s="56"/>
      <c r="K334" s="56"/>
      <c r="L334" s="56"/>
      <c r="M334" s="56"/>
      <c r="N334" s="56"/>
      <c r="O334" s="56"/>
      <c r="P334" s="56"/>
      <c r="Q334" s="56"/>
      <c r="R334" s="56"/>
      <c r="S334" s="56"/>
      <c r="T334" s="30"/>
      <c r="U334" s="30"/>
      <c r="V334" s="372" t="str">
        <f t="shared" ref="V334:V341" ca="1" si="16">IF(ISERROR(VLOOKUP($A334,RDOC,2,0)),"",VLOOKUP($A334,RDOC,2,0))</f>
        <v/>
      </c>
    </row>
    <row r="335" spans="1:22" s="54" customFormat="1" ht="12" customHeight="1">
      <c r="A335" s="27">
        <f t="shared" ref="A335:A341" si="17">A334+1</f>
        <v>93</v>
      </c>
      <c r="B335" s="155" t="str">
        <f t="shared" ca="1" si="14"/>
        <v/>
      </c>
      <c r="D335" s="29"/>
      <c r="E335" s="55"/>
      <c r="F335" s="55"/>
      <c r="G335" s="55"/>
      <c r="H335" s="56"/>
      <c r="I335" s="56"/>
      <c r="J335" s="56"/>
      <c r="K335" s="56"/>
      <c r="L335" s="56"/>
      <c r="M335" s="56"/>
      <c r="N335" s="56"/>
      <c r="O335" s="56"/>
      <c r="P335" s="56"/>
      <c r="Q335" s="56"/>
      <c r="R335" s="56"/>
      <c r="S335" s="56"/>
      <c r="T335" s="30"/>
      <c r="U335" s="30"/>
      <c r="V335" s="372" t="str">
        <f t="shared" ca="1" si="16"/>
        <v/>
      </c>
    </row>
    <row r="336" spans="1:22" s="54" customFormat="1" ht="12" customHeight="1">
      <c r="A336" s="27">
        <f t="shared" si="17"/>
        <v>94</v>
      </c>
      <c r="B336" s="155" t="str">
        <f t="shared" ca="1" si="14"/>
        <v/>
      </c>
      <c r="D336" s="29"/>
      <c r="E336" s="55"/>
      <c r="F336" s="55"/>
      <c r="G336" s="55"/>
      <c r="H336" s="56"/>
      <c r="I336" s="56"/>
      <c r="J336" s="56"/>
      <c r="K336" s="56"/>
      <c r="L336" s="56"/>
      <c r="M336" s="56"/>
      <c r="N336" s="56"/>
      <c r="O336" s="56"/>
      <c r="P336" s="56"/>
      <c r="Q336" s="56"/>
      <c r="R336" s="56"/>
      <c r="S336" s="56"/>
      <c r="T336" s="30"/>
      <c r="U336" s="30"/>
      <c r="V336" s="372" t="str">
        <f t="shared" ca="1" si="16"/>
        <v/>
      </c>
    </row>
    <row r="337" spans="1:22" s="54" customFormat="1" ht="12" customHeight="1">
      <c r="A337" s="27">
        <f t="shared" si="17"/>
        <v>95</v>
      </c>
      <c r="B337" s="155" t="str">
        <f t="shared" ca="1" si="14"/>
        <v/>
      </c>
      <c r="D337" s="29"/>
      <c r="E337" s="55"/>
      <c r="F337" s="55"/>
      <c r="G337" s="55"/>
      <c r="H337" s="56"/>
      <c r="I337" s="56"/>
      <c r="J337" s="56"/>
      <c r="K337" s="56"/>
      <c r="L337" s="56"/>
      <c r="M337" s="56"/>
      <c r="N337" s="56"/>
      <c r="O337" s="56"/>
      <c r="P337" s="56"/>
      <c r="Q337" s="56"/>
      <c r="R337" s="56"/>
      <c r="S337" s="56"/>
      <c r="T337" s="30"/>
      <c r="U337" s="30"/>
      <c r="V337" s="372" t="str">
        <f t="shared" ca="1" si="16"/>
        <v/>
      </c>
    </row>
    <row r="338" spans="1:22" s="54" customFormat="1" ht="12" customHeight="1">
      <c r="A338" s="27">
        <f t="shared" si="17"/>
        <v>96</v>
      </c>
      <c r="B338" s="155" t="str">
        <f t="shared" ca="1" si="14"/>
        <v/>
      </c>
      <c r="D338" s="29"/>
      <c r="E338" s="55"/>
      <c r="F338" s="55"/>
      <c r="G338" s="55"/>
      <c r="H338" s="56"/>
      <c r="I338" s="56"/>
      <c r="J338" s="56"/>
      <c r="K338" s="56"/>
      <c r="L338" s="56"/>
      <c r="M338" s="56"/>
      <c r="N338" s="56"/>
      <c r="O338" s="56"/>
      <c r="P338" s="56"/>
      <c r="Q338" s="56"/>
      <c r="R338" s="56"/>
      <c r="S338" s="56"/>
      <c r="T338" s="30"/>
      <c r="U338" s="30"/>
      <c r="V338" s="372" t="str">
        <f t="shared" ca="1" si="16"/>
        <v/>
      </c>
    </row>
    <row r="339" spans="1:22" s="54" customFormat="1" ht="12" customHeight="1">
      <c r="A339" s="27">
        <f t="shared" si="17"/>
        <v>97</v>
      </c>
      <c r="B339" s="155" t="str">
        <f t="shared" ca="1" si="14"/>
        <v/>
      </c>
      <c r="D339" s="29"/>
      <c r="E339" s="55"/>
      <c r="F339" s="55"/>
      <c r="G339" s="55"/>
      <c r="H339" s="56"/>
      <c r="I339" s="56"/>
      <c r="J339" s="56"/>
      <c r="K339" s="56"/>
      <c r="L339" s="56"/>
      <c r="M339" s="56"/>
      <c r="N339" s="56"/>
      <c r="O339" s="56"/>
      <c r="P339" s="56"/>
      <c r="Q339" s="56"/>
      <c r="R339" s="56"/>
      <c r="S339" s="56"/>
      <c r="T339" s="30"/>
      <c r="U339" s="30"/>
      <c r="V339" s="372" t="str">
        <f t="shared" ca="1" si="16"/>
        <v/>
      </c>
    </row>
    <row r="340" spans="1:22" s="54" customFormat="1" ht="12" customHeight="1">
      <c r="A340" s="27">
        <f t="shared" si="17"/>
        <v>98</v>
      </c>
      <c r="B340" s="155" t="str">
        <f t="shared" ca="1" si="14"/>
        <v/>
      </c>
      <c r="D340" s="29"/>
      <c r="E340" s="55"/>
      <c r="F340" s="55"/>
      <c r="G340" s="55"/>
      <c r="H340" s="56"/>
      <c r="I340" s="56"/>
      <c r="J340" s="56"/>
      <c r="K340" s="56"/>
      <c r="L340" s="56"/>
      <c r="M340" s="56"/>
      <c r="N340" s="56"/>
      <c r="O340" s="56"/>
      <c r="P340" s="56"/>
      <c r="Q340" s="56"/>
      <c r="R340" s="56"/>
      <c r="S340" s="56"/>
      <c r="T340" s="30"/>
      <c r="U340" s="30"/>
      <c r="V340" s="372" t="str">
        <f t="shared" ca="1" si="16"/>
        <v/>
      </c>
    </row>
    <row r="341" spans="1:22" s="54" customFormat="1" ht="12.75">
      <c r="A341" s="27">
        <f t="shared" si="17"/>
        <v>99</v>
      </c>
      <c r="B341" s="155" t="str">
        <f t="shared" ca="1" si="14"/>
        <v/>
      </c>
      <c r="D341" s="29"/>
      <c r="E341" s="55"/>
      <c r="F341" s="55"/>
      <c r="G341" s="55"/>
      <c r="H341" s="56"/>
      <c r="I341" s="56"/>
      <c r="J341" s="56"/>
      <c r="K341" s="56"/>
      <c r="L341" s="56"/>
      <c r="M341" s="56"/>
      <c r="N341" s="56"/>
      <c r="O341" s="56"/>
      <c r="P341" s="56"/>
      <c r="Q341" s="56"/>
      <c r="R341" s="56"/>
      <c r="S341" s="56"/>
      <c r="T341" s="30"/>
      <c r="U341" s="30"/>
      <c r="V341" s="372" t="str">
        <f t="shared" ca="1" si="16"/>
        <v/>
      </c>
    </row>
    <row r="342" spans="1:22" s="54" customFormat="1" ht="12.75">
      <c r="A342" s="27"/>
      <c r="B342" s="155"/>
      <c r="D342" s="29"/>
      <c r="E342" s="55"/>
      <c r="F342" s="55"/>
      <c r="G342" s="55"/>
      <c r="H342" s="56"/>
      <c r="I342" s="56"/>
      <c r="J342" s="56"/>
      <c r="K342" s="56"/>
      <c r="L342" s="56"/>
      <c r="M342" s="56"/>
      <c r="N342" s="56"/>
      <c r="O342" s="56"/>
      <c r="P342" s="56"/>
      <c r="Q342" s="56"/>
      <c r="R342" s="56"/>
      <c r="S342" s="56"/>
      <c r="T342" s="30"/>
      <c r="U342" s="30"/>
      <c r="V342" s="372"/>
    </row>
    <row r="343" spans="1:22" s="54" customFormat="1" ht="12.75">
      <c r="A343" s="27"/>
      <c r="B343" s="155"/>
      <c r="D343" s="29"/>
      <c r="E343" s="55"/>
      <c r="F343" s="55"/>
      <c r="G343" s="55"/>
      <c r="H343" s="56"/>
      <c r="I343" s="56"/>
      <c r="J343" s="56"/>
      <c r="K343" s="56"/>
      <c r="L343" s="56"/>
      <c r="M343" s="56"/>
      <c r="N343" s="56"/>
      <c r="O343" s="56"/>
      <c r="P343" s="56"/>
      <c r="Q343" s="56"/>
      <c r="R343" s="56"/>
      <c r="S343" s="56"/>
      <c r="T343" s="30"/>
      <c r="U343" s="30"/>
      <c r="V343" s="372"/>
    </row>
    <row r="344" spans="1:22" s="54" customFormat="1" ht="12" customHeight="1">
      <c r="A344" s="27" t="str">
        <f ca="1">'OP1'!$D$53</f>
        <v/>
      </c>
      <c r="B344" s="156" t="str">
        <f ca="1">IF('OP1'!$D$53=1,"",'OP1'!$C$23&amp;"揭露事項：")</f>
        <v>富邦人壽家有醫寶重大傷病定期健康保險(V1)揭露事項：</v>
      </c>
      <c r="C344" s="11"/>
      <c r="D344" s="169"/>
      <c r="E344" s="170"/>
      <c r="F344" s="170"/>
      <c r="G344" s="170"/>
      <c r="H344" s="170"/>
      <c r="I344" s="170"/>
      <c r="J344" s="170"/>
      <c r="K344" s="170"/>
      <c r="L344" s="170"/>
      <c r="M344" s="170"/>
      <c r="N344" s="170"/>
      <c r="O344" s="170"/>
      <c r="P344" s="170"/>
      <c r="Q344" s="170"/>
      <c r="R344" s="170"/>
      <c r="S344" s="170"/>
      <c r="T344" s="583" t="str">
        <f ca="1">IF('OP1'!$D$53=1,"","繳費期間： "&amp;'OP1'!$C$24&amp;" 年期")</f>
        <v>繳費期間： 10 年期</v>
      </c>
      <c r="U344" s="30"/>
      <c r="V344" s="372"/>
    </row>
    <row r="345" spans="1:22" s="54" customFormat="1" ht="12" customHeight="1">
      <c r="A345" s="27"/>
      <c r="B345" s="27"/>
      <c r="C345" s="11"/>
      <c r="D345" s="297" t="str">
        <f ca="1">IF('OP1'!$D$53=1,"","依92.03.31台財保字第0920012416號令補充訂定分紅人壽與不分紅人壽保險單資訊揭露相關規範，")</f>
        <v>依92.03.31台財保字第0920012416號令補充訂定分紅人壽與不分紅人壽保險單資訊揭露相關規範，</v>
      </c>
      <c r="E345" s="170"/>
      <c r="F345" s="170"/>
      <c r="G345" s="170"/>
      <c r="H345" s="170"/>
      <c r="I345" s="170"/>
      <c r="J345" s="170"/>
      <c r="K345" s="170"/>
      <c r="L345" s="170"/>
      <c r="M345" s="170"/>
      <c r="N345" s="170"/>
      <c r="O345" s="170"/>
      <c r="P345" s="170"/>
      <c r="Q345" s="170"/>
      <c r="R345" s="170"/>
      <c r="S345" s="170"/>
      <c r="T345" s="169"/>
      <c r="U345" s="30"/>
      <c r="V345" s="372"/>
    </row>
    <row r="346" spans="1:22" s="54" customFormat="1" ht="12" customHeight="1">
      <c r="A346" s="27"/>
      <c r="B346" s="27"/>
      <c r="C346" s="11"/>
      <c r="D346" s="297" t="str">
        <f ca="1">IF('OP1'!$D$53=1,"","揭露各保單年度末之解約金、生存保險金及預估紅利總和與加計利息之應繳保險費累積值之差異情形。")</f>
        <v>揭露各保單年度末之解約金、生存保險金及預估紅利總和與加計利息之應繳保險費累積值之差異情形。</v>
      </c>
      <c r="E346" s="170"/>
      <c r="F346" s="170"/>
      <c r="G346" s="170"/>
      <c r="H346" s="170"/>
      <c r="I346" s="170"/>
      <c r="J346" s="170"/>
      <c r="K346" s="170"/>
      <c r="L346" s="170"/>
      <c r="M346" s="170"/>
      <c r="N346" s="170"/>
      <c r="O346" s="170"/>
      <c r="P346" s="170"/>
      <c r="Q346" s="170"/>
      <c r="R346" s="170"/>
      <c r="S346" s="170"/>
      <c r="T346" s="171"/>
      <c r="U346" s="30"/>
      <c r="V346" s="372"/>
    </row>
    <row r="347" spans="1:22" s="54" customFormat="1" ht="3.75" customHeight="1">
      <c r="A347" s="27"/>
      <c r="B347" s="27"/>
      <c r="C347" s="11"/>
      <c r="D347" s="52"/>
      <c r="E347" s="53"/>
      <c r="F347" s="53"/>
      <c r="G347" s="53"/>
      <c r="H347" s="53"/>
      <c r="I347" s="53"/>
      <c r="J347" s="53"/>
      <c r="K347" s="53"/>
      <c r="L347" s="53"/>
      <c r="M347" s="53"/>
      <c r="N347" s="53"/>
      <c r="O347" s="53"/>
      <c r="P347" s="53"/>
      <c r="Q347" s="53"/>
      <c r="R347" s="53"/>
      <c r="S347" s="11"/>
      <c r="T347" s="28"/>
      <c r="U347" s="30"/>
      <c r="V347" s="372"/>
    </row>
    <row r="348" spans="1:22" s="54" customFormat="1" ht="12" customHeight="1">
      <c r="A348" s="27"/>
      <c r="B348" s="11"/>
      <c r="C348" s="11"/>
      <c r="D348" s="791" t="str">
        <f ca="1">IF('OP1'!$D$53=1,"",揭露1!$C6)</f>
        <v>保單年度</v>
      </c>
      <c r="E348" s="792"/>
      <c r="F348" s="792"/>
      <c r="G348" s="777"/>
      <c r="H348" s="776" t="str">
        <f ca="1">IF('OP1'!$D$53=1,"",揭露1!$D6)</f>
        <v>15足歲男性</v>
      </c>
      <c r="I348" s="777"/>
      <c r="J348" s="776" t="str">
        <f ca="1">IF('OP1'!$D$53=1,"",揭露1!$E6)</f>
        <v>35歲男性</v>
      </c>
      <c r="K348" s="777"/>
      <c r="L348" s="776" t="str">
        <f ca="1">IF('OP1'!$D$53=1,"",揭露1!$F6)</f>
        <v>61歲男性</v>
      </c>
      <c r="M348" s="777"/>
      <c r="N348" s="776" t="str">
        <f ca="1">IF('OP1'!$D$53=1,"",揭露1!$G6)</f>
        <v>15足歲女性</v>
      </c>
      <c r="O348" s="777"/>
      <c r="P348" s="776" t="str">
        <f ca="1">IF('OP1'!$D$53=1,"",揭露1!$H6)</f>
        <v>35歲女性</v>
      </c>
      <c r="Q348" s="777"/>
      <c r="R348" s="776" t="str">
        <f ca="1">IF('OP1'!$D$53=1,"",揭露1!$I6)</f>
        <v>61歲女性</v>
      </c>
      <c r="S348" s="777"/>
      <c r="T348" s="30"/>
      <c r="U348" s="30"/>
      <c r="V348" s="372"/>
    </row>
    <row r="349" spans="1:22" s="54" customFormat="1" ht="12" customHeight="1">
      <c r="A349" s="27"/>
      <c r="B349" s="11"/>
      <c r="C349" s="11"/>
      <c r="D349" s="791">
        <f ca="1">IF('OP1'!$D$53=1,"",揭露1!$C7)</f>
        <v>5</v>
      </c>
      <c r="E349" s="792"/>
      <c r="F349" s="792"/>
      <c r="G349" s="777"/>
      <c r="H349" s="776" t="str">
        <f ca="1">IF('OP1'!$D$53=1,"",揭露1!$D7)</f>
        <v>6.51%</v>
      </c>
      <c r="I349" s="777"/>
      <c r="J349" s="776" t="str">
        <f ca="1">IF('OP1'!$D$53=1,"",揭露1!$E7)</f>
        <v>6.61%</v>
      </c>
      <c r="K349" s="777"/>
      <c r="L349" s="776" t="str">
        <f ca="1">IF('OP1'!$D$53=1,"",揭露1!$F7)</f>
        <v>6.40%</v>
      </c>
      <c r="M349" s="777"/>
      <c r="N349" s="776" t="str">
        <f ca="1">IF('OP1'!$D$53=1,"",揭露1!$G7)</f>
        <v>6.51%</v>
      </c>
      <c r="O349" s="777"/>
      <c r="P349" s="776" t="str">
        <f ca="1">IF('OP1'!$D$53=1,"",揭露1!$H7)</f>
        <v>6.35%</v>
      </c>
      <c r="Q349" s="777"/>
      <c r="R349" s="776" t="str">
        <f ca="1">IF('OP1'!$D$53=1,"",揭露1!$I7)</f>
        <v>6.59%</v>
      </c>
      <c r="S349" s="777"/>
      <c r="T349" s="30"/>
      <c r="U349" s="30"/>
      <c r="V349" s="372"/>
    </row>
    <row r="350" spans="1:22" s="54" customFormat="1" ht="12" customHeight="1">
      <c r="A350" s="27"/>
      <c r="B350" s="11"/>
      <c r="C350" s="11"/>
      <c r="D350" s="791">
        <f ca="1">IF('OP1'!$D$53=1,"",揭露1!$C8)</f>
        <v>10</v>
      </c>
      <c r="E350" s="792"/>
      <c r="F350" s="792"/>
      <c r="G350" s="777"/>
      <c r="H350" s="776" t="str">
        <f ca="1">IF('OP1'!$D$53=1,"",揭露1!$D8)</f>
        <v>9.56%</v>
      </c>
      <c r="I350" s="777"/>
      <c r="J350" s="776" t="str">
        <f ca="1">IF('OP1'!$D$53=1,"",揭露1!$E8)</f>
        <v>9.49%</v>
      </c>
      <c r="K350" s="777"/>
      <c r="L350" s="776" t="str">
        <f ca="1">IF('OP1'!$D$53=1,"",揭露1!$F8)</f>
        <v>9.47%</v>
      </c>
      <c r="M350" s="777"/>
      <c r="N350" s="776" t="str">
        <f ca="1">IF('OP1'!$D$53=1,"",揭露1!$G8)</f>
        <v>9.56%</v>
      </c>
      <c r="O350" s="777"/>
      <c r="P350" s="776" t="str">
        <f ca="1">IF('OP1'!$D$53=1,"",揭露1!$H8)</f>
        <v>9.49%</v>
      </c>
      <c r="Q350" s="777"/>
      <c r="R350" s="776" t="str">
        <f ca="1">IF('OP1'!$D$53=1,"",揭露1!$I8)</f>
        <v>9.48%</v>
      </c>
      <c r="S350" s="777"/>
      <c r="T350" s="30"/>
      <c r="U350" s="30"/>
      <c r="V350" s="372"/>
    </row>
    <row r="351" spans="1:22" s="54" customFormat="1" ht="12" hidden="1" customHeight="1">
      <c r="A351" s="27"/>
      <c r="B351" s="11"/>
      <c r="C351" s="11"/>
      <c r="D351" s="791" t="str">
        <f ca="1">IF('OP1'!$D$53=1,"",揭露!$C9)</f>
        <v/>
      </c>
      <c r="E351" s="792"/>
      <c r="F351" s="792"/>
      <c r="G351" s="777"/>
      <c r="H351" s="776" t="str">
        <f ca="1">IF('OP1'!$D$53=1,"",揭露1!$D9)</f>
        <v/>
      </c>
      <c r="I351" s="777"/>
      <c r="J351" s="776" t="str">
        <f ca="1">IF(OP!$D$53=1,"",揭露!$E9)</f>
        <v/>
      </c>
      <c r="K351" s="777"/>
      <c r="L351" s="776" t="str">
        <f ca="1">IF(OP!$D$53=1,"",揭露!$F9)</f>
        <v/>
      </c>
      <c r="M351" s="777"/>
      <c r="N351" s="776" t="str">
        <f ca="1">IF(OP!$D$53=1,"",揭露!$G9)</f>
        <v/>
      </c>
      <c r="O351" s="777"/>
      <c r="P351" s="776" t="str">
        <f ca="1">IF(OP!$D$53=1,"",揭露!$H9)</f>
        <v/>
      </c>
      <c r="Q351" s="777"/>
      <c r="R351" s="776" t="str">
        <f ca="1">IF(OP!$D$53=1,"",揭露!$I9)</f>
        <v/>
      </c>
      <c r="S351" s="777"/>
      <c r="T351" s="30"/>
      <c r="U351" s="30"/>
      <c r="V351" s="372"/>
    </row>
    <row r="352" spans="1:22" s="54" customFormat="1" ht="12" hidden="1" customHeight="1">
      <c r="A352" s="27"/>
      <c r="B352" s="11"/>
      <c r="C352" s="11"/>
      <c r="D352" s="791" t="str">
        <f ca="1">IF('OP1'!$D$53=1,"",揭露!$C10)</f>
        <v/>
      </c>
      <c r="E352" s="792"/>
      <c r="F352" s="792"/>
      <c r="G352" s="777"/>
      <c r="H352" s="776" t="str">
        <f ca="1">IF('OP1'!$D$53=1,"",揭露1!$D10)</f>
        <v/>
      </c>
      <c r="I352" s="777"/>
      <c r="J352" s="776" t="str">
        <f ca="1">IF(OP!$D$53=1,"",揭露!$E10)</f>
        <v/>
      </c>
      <c r="K352" s="777"/>
      <c r="L352" s="776" t="str">
        <f ca="1">IF(OP!$D$53=1,"",揭露!$F10)</f>
        <v/>
      </c>
      <c r="M352" s="777"/>
      <c r="N352" s="776" t="str">
        <f ca="1">IF(OP!$D$53=1,"",揭露!$G10)</f>
        <v/>
      </c>
      <c r="O352" s="777"/>
      <c r="P352" s="776" t="str">
        <f ca="1">IF(OP!$D$53=1,"",揭露!$H10)</f>
        <v/>
      </c>
      <c r="Q352" s="777"/>
      <c r="R352" s="776" t="str">
        <f ca="1">IF(OP!$D$53=1,"",揭露!$I10)</f>
        <v/>
      </c>
      <c r="S352" s="777"/>
      <c r="T352" s="30"/>
      <c r="U352" s="30"/>
      <c r="V352" s="372"/>
    </row>
    <row r="353" spans="1:22" s="54" customFormat="1" ht="12" customHeight="1">
      <c r="A353" s="27"/>
      <c r="D353" s="148" t="str">
        <f ca="1">IF('OP1'!$D$53=1,"","「"&amp;'OP1'!$C$23&amp;"」於早期解約對保戶是不利的。")</f>
        <v>「富邦人壽家有醫寶重大傷病定期健康保險(V1)」於早期解約對保戶是不利的。</v>
      </c>
      <c r="E353" s="55"/>
      <c r="F353" s="55"/>
      <c r="G353" s="55"/>
      <c r="H353" s="56"/>
      <c r="I353" s="56"/>
      <c r="J353" s="56"/>
      <c r="K353" s="56"/>
      <c r="L353" s="56"/>
      <c r="M353" s="56"/>
      <c r="N353" s="56"/>
      <c r="O353" s="56"/>
      <c r="P353" s="56"/>
      <c r="Q353" s="56"/>
      <c r="R353" s="56"/>
      <c r="S353" s="56"/>
      <c r="T353" s="30"/>
      <c r="U353" s="30"/>
      <c r="V353" s="372"/>
    </row>
    <row r="354" spans="1:22" s="54" customFormat="1" ht="12.75">
      <c r="A354" s="27"/>
      <c r="B354" s="155"/>
      <c r="D354" s="29"/>
      <c r="E354" s="55"/>
      <c r="F354" s="55"/>
      <c r="G354" s="55"/>
      <c r="H354" s="56"/>
      <c r="I354" s="56"/>
      <c r="J354" s="56"/>
      <c r="K354" s="56"/>
      <c r="L354" s="56"/>
      <c r="M354" s="56"/>
      <c r="N354" s="56"/>
      <c r="O354" s="56"/>
      <c r="P354" s="56"/>
      <c r="Q354" s="56"/>
      <c r="R354" s="56"/>
      <c r="S354" s="56"/>
      <c r="T354" s="30"/>
      <c r="U354" s="30"/>
      <c r="V354" s="372"/>
    </row>
    <row r="355" spans="1:22" s="54" customFormat="1" ht="12" customHeight="1">
      <c r="A355" s="27" t="str">
        <f ca="1">OP!$D$53</f>
        <v/>
      </c>
      <c r="B355" s="156" t="str">
        <f ca="1">IF(OP!$D$53=1,"",OP!$C$23&amp;"揭露事項：")</f>
        <v>富邦人壽安心好漾定期保險揭露事項：</v>
      </c>
      <c r="C355" s="52"/>
      <c r="D355" s="156"/>
      <c r="E355" s="582"/>
      <c r="F355" s="582"/>
      <c r="G355" s="582"/>
      <c r="H355" s="582"/>
      <c r="I355" s="582"/>
      <c r="J355" s="582"/>
      <c r="K355" s="582"/>
      <c r="L355" s="582"/>
      <c r="M355" s="582"/>
      <c r="N355" s="582"/>
      <c r="O355" s="582"/>
      <c r="P355" s="582"/>
      <c r="Q355" s="582"/>
      <c r="R355" s="582"/>
      <c r="S355" s="582"/>
      <c r="T355" s="583" t="str">
        <f ca="1">IF(OP!$D$53=1,"","繳費期間： "&amp;OP!$C$24&amp;" 年期")</f>
        <v>繳費期間： 10 年期</v>
      </c>
      <c r="U355" s="30"/>
      <c r="V355" s="372"/>
    </row>
    <row r="356" spans="1:22" s="54" customFormat="1" ht="12" customHeight="1">
      <c r="A356" s="27"/>
      <c r="B356" s="584"/>
      <c r="C356" s="52"/>
      <c r="D356" s="297" t="str">
        <f ca="1">IF(OP!$D$53=1,"","依92.03.31台財保字第0920012416號令補充訂定分紅人壽與不分紅人壽保險單資訊揭露相關規範，")</f>
        <v>依92.03.31台財保字第0920012416號令補充訂定分紅人壽與不分紅人壽保險單資訊揭露相關規範，</v>
      </c>
      <c r="E356" s="582"/>
      <c r="F356" s="582"/>
      <c r="G356" s="582"/>
      <c r="H356" s="582"/>
      <c r="I356" s="582"/>
      <c r="J356" s="582"/>
      <c r="K356" s="582"/>
      <c r="L356" s="582"/>
      <c r="M356" s="582"/>
      <c r="N356" s="582"/>
      <c r="O356" s="582"/>
      <c r="P356" s="582"/>
      <c r="Q356" s="582"/>
      <c r="R356" s="582"/>
      <c r="S356" s="582"/>
      <c r="T356" s="156"/>
      <c r="U356" s="30"/>
      <c r="V356" s="372"/>
    </row>
    <row r="357" spans="1:22" s="54" customFormat="1" ht="12" customHeight="1">
      <c r="A357" s="27"/>
      <c r="B357" s="584"/>
      <c r="C357" s="52"/>
      <c r="D357" s="297" t="str">
        <f ca="1">IF(OP!$D$53=1,"","揭露各保單年度末之解約金、生存保險金及預估紅利總和與加計利息之應繳保險費累積值之差異情形。")</f>
        <v>揭露各保單年度末之解約金、生存保險金及預估紅利總和與加計利息之應繳保險費累積值之差異情形。</v>
      </c>
      <c r="E357" s="582"/>
      <c r="F357" s="582"/>
      <c r="G357" s="582"/>
      <c r="H357" s="582"/>
      <c r="I357" s="582"/>
      <c r="J357" s="582"/>
      <c r="K357" s="582"/>
      <c r="L357" s="582"/>
      <c r="M357" s="582"/>
      <c r="N357" s="582"/>
      <c r="O357" s="582"/>
      <c r="P357" s="582"/>
      <c r="Q357" s="582"/>
      <c r="R357" s="582"/>
      <c r="S357" s="582"/>
      <c r="T357" s="585"/>
      <c r="U357" s="30"/>
      <c r="V357" s="372"/>
    </row>
    <row r="358" spans="1:22" s="54" customFormat="1" ht="4.5" customHeight="1">
      <c r="A358" s="27"/>
      <c r="B358" s="27"/>
      <c r="C358" s="11"/>
      <c r="D358" s="52"/>
      <c r="E358" s="53"/>
      <c r="F358" s="53"/>
      <c r="G358" s="53"/>
      <c r="H358" s="53"/>
      <c r="I358" s="53"/>
      <c r="J358" s="53"/>
      <c r="K358" s="53"/>
      <c r="L358" s="53"/>
      <c r="M358" s="53"/>
      <c r="N358" s="53"/>
      <c r="O358" s="53"/>
      <c r="P358" s="53"/>
      <c r="Q358" s="53"/>
      <c r="R358" s="53"/>
      <c r="S358" s="11"/>
      <c r="T358" s="28"/>
      <c r="U358" s="30"/>
      <c r="V358" s="372"/>
    </row>
    <row r="359" spans="1:22" s="54" customFormat="1" ht="12" customHeight="1">
      <c r="A359" s="27"/>
      <c r="B359" s="11"/>
      <c r="C359" s="11"/>
      <c r="D359" s="791" t="str">
        <f ca="1">IF(OP!$D$53=1,"",揭露!$C6)</f>
        <v>保單年度</v>
      </c>
      <c r="E359" s="792"/>
      <c r="F359" s="792"/>
      <c r="G359" s="777"/>
      <c r="H359" s="776" t="str">
        <f ca="1">IF(OP!$D$53=1,"",揭露!$D6)</f>
        <v>15足歲男性</v>
      </c>
      <c r="I359" s="777"/>
      <c r="J359" s="776" t="str">
        <f ca="1">IF(OP!$D$53=1,"",揭露!$E6)</f>
        <v>35歲男性</v>
      </c>
      <c r="K359" s="777"/>
      <c r="L359" s="776" t="str">
        <f ca="1">IF(OP!$D$53=1,"",揭露!$F6)</f>
        <v>61歲男性</v>
      </c>
      <c r="M359" s="777"/>
      <c r="N359" s="776" t="str">
        <f ca="1">IF(OP!$D$53=1,"",揭露!$G6)</f>
        <v>15足歲女性</v>
      </c>
      <c r="O359" s="777"/>
      <c r="P359" s="776" t="str">
        <f ca="1">IF(OP!$D$53=1,"",揭露!$H6)</f>
        <v>35歲女性</v>
      </c>
      <c r="Q359" s="777"/>
      <c r="R359" s="776" t="str">
        <f ca="1">IF(OP!$D$53=1,"",揭露!$I6)</f>
        <v>61歲女性</v>
      </c>
      <c r="S359" s="777"/>
      <c r="T359" s="30"/>
      <c r="U359" s="30"/>
      <c r="V359" s="372"/>
    </row>
    <row r="360" spans="1:22" s="54" customFormat="1" ht="12" customHeight="1">
      <c r="A360" s="27"/>
      <c r="B360" s="11"/>
      <c r="C360" s="11"/>
      <c r="D360" s="791">
        <f ca="1">IF(OP!$D$53=1,"",揭露!$C7)</f>
        <v>5</v>
      </c>
      <c r="E360" s="792"/>
      <c r="F360" s="792"/>
      <c r="G360" s="777"/>
      <c r="H360" s="776" t="str">
        <f ca="1">IF(OP!$D$53=1,"",揭露!$D7)</f>
        <v>6.64%</v>
      </c>
      <c r="I360" s="777"/>
      <c r="J360" s="776" t="str">
        <f ca="1">IF(OP!$D$53=1,"",揭露!$E7)</f>
        <v>9.13%</v>
      </c>
      <c r="K360" s="777"/>
      <c r="L360" s="776" t="str">
        <f ca="1">IF(OP!$D$53=1,"",揭露!$F7)</f>
        <v>12.34%</v>
      </c>
      <c r="M360" s="777"/>
      <c r="N360" s="776" t="str">
        <f ca="1">IF(OP!$D$53=1,"",揭露!$G7)</f>
        <v>6.19%</v>
      </c>
      <c r="O360" s="777"/>
      <c r="P360" s="776" t="str">
        <f ca="1">IF(OP!$D$53=1,"",揭露!$H7)</f>
        <v>7.28%</v>
      </c>
      <c r="Q360" s="777"/>
      <c r="R360" s="776" t="str">
        <f ca="1">IF(OP!$D$53=1,"",揭露!$I7)</f>
        <v>12.18%</v>
      </c>
      <c r="S360" s="777"/>
      <c r="T360" s="30"/>
      <c r="U360" s="30"/>
      <c r="V360" s="372"/>
    </row>
    <row r="361" spans="1:22" s="54" customFormat="1" ht="12" customHeight="1">
      <c r="A361" s="27"/>
      <c r="B361" s="11"/>
      <c r="C361" s="11"/>
      <c r="D361" s="791">
        <f ca="1">IF(OP!$D$53=1,"",揭露!$C8)</f>
        <v>10</v>
      </c>
      <c r="E361" s="792"/>
      <c r="F361" s="792"/>
      <c r="G361" s="777"/>
      <c r="H361" s="776" t="str">
        <f ca="1">IF(OP!$D$53=1,"",揭露!$D8)</f>
        <v>8.03%</v>
      </c>
      <c r="I361" s="777"/>
      <c r="J361" s="776" t="str">
        <f ca="1">IF(OP!$D$53=1,"",揭露!$E8)</f>
        <v>8.07%</v>
      </c>
      <c r="K361" s="777"/>
      <c r="L361" s="776" t="str">
        <f ca="1">IF(OP!$D$53=1,"",揭露!$F8)</f>
        <v>8.11%</v>
      </c>
      <c r="M361" s="777"/>
      <c r="N361" s="776" t="str">
        <f ca="1">IF(OP!$D$53=1,"",揭露!$G8)</f>
        <v>8.16%</v>
      </c>
      <c r="O361" s="777"/>
      <c r="P361" s="776" t="str">
        <f ca="1">IF(OP!$D$53=1,"",揭露!$H8)</f>
        <v>8.10%</v>
      </c>
      <c r="Q361" s="777"/>
      <c r="R361" s="776" t="str">
        <f ca="1">IF(OP!$D$53=1,"",揭露!$I8)</f>
        <v>8.08%</v>
      </c>
      <c r="S361" s="777"/>
      <c r="T361" s="30"/>
      <c r="U361" s="30"/>
      <c r="V361" s="372"/>
    </row>
    <row r="362" spans="1:22" s="54" customFormat="1" ht="12" hidden="1" customHeight="1">
      <c r="A362" s="27"/>
      <c r="B362" s="11"/>
      <c r="C362" s="11"/>
      <c r="D362" s="791" t="str">
        <f ca="1">IF('OP1'!$D$53=1,"",揭露1!$C9)</f>
        <v/>
      </c>
      <c r="E362" s="792"/>
      <c r="F362" s="792"/>
      <c r="G362" s="777"/>
      <c r="H362" s="776" t="str">
        <f ca="1">IF('OP1'!$D$53=1,"",揭露1!$D9)</f>
        <v/>
      </c>
      <c r="I362" s="777"/>
      <c r="J362" s="776" t="str">
        <f ca="1">IF('OP1'!$D$53=1,"",揭露1!$E9)</f>
        <v/>
      </c>
      <c r="K362" s="777"/>
      <c r="L362" s="776" t="str">
        <f ca="1">IF(OP!$D$53=1,"",揭露!$F9)</f>
        <v/>
      </c>
      <c r="M362" s="777"/>
      <c r="N362" s="776" t="str">
        <f ca="1">IF(OP!$D$53=1,"",揭露!$G9)</f>
        <v/>
      </c>
      <c r="O362" s="777"/>
      <c r="P362" s="776" t="str">
        <f ca="1">IF('OP1'!$D$53=1,"",揭露1!$H9)</f>
        <v/>
      </c>
      <c r="Q362" s="777"/>
      <c r="R362" s="776" t="str">
        <f ca="1">IF('OP1'!$D$53=1,"",揭露1!$I9)</f>
        <v/>
      </c>
      <c r="S362" s="777"/>
      <c r="T362" s="30"/>
      <c r="U362" s="30"/>
      <c r="V362" s="372"/>
    </row>
    <row r="363" spans="1:22" s="54" customFormat="1" ht="12" hidden="1" customHeight="1">
      <c r="A363" s="27"/>
      <c r="B363" s="11"/>
      <c r="C363" s="11"/>
      <c r="D363" s="791" t="str">
        <f ca="1">IF('OP1'!$D$53=1,"",揭露1!$C10)</f>
        <v/>
      </c>
      <c r="E363" s="792"/>
      <c r="F363" s="792"/>
      <c r="G363" s="777"/>
      <c r="H363" s="776" t="str">
        <f ca="1">IF('OP1'!$D$53=1,"",揭露1!$D10)</f>
        <v/>
      </c>
      <c r="I363" s="777"/>
      <c r="J363" s="776" t="str">
        <f ca="1">IF('OP1'!$D$53=1,"",揭露1!$E10)</f>
        <v/>
      </c>
      <c r="K363" s="777"/>
      <c r="L363" s="776" t="str">
        <f ca="1">IF(OP!$D$53=1,"",揭露!$F10)</f>
        <v/>
      </c>
      <c r="M363" s="777"/>
      <c r="N363" s="776" t="str">
        <f ca="1">IF(OP!$D$53=1,"",揭露!$G10)</f>
        <v/>
      </c>
      <c r="O363" s="777"/>
      <c r="P363" s="776" t="str">
        <f ca="1">IF('OP1'!$D$53=1,"",揭露1!$H10)</f>
        <v/>
      </c>
      <c r="Q363" s="777"/>
      <c r="R363" s="776" t="str">
        <f ca="1">IF('OP1'!$D$53=1,"",揭露1!$I10)</f>
        <v/>
      </c>
      <c r="S363" s="777"/>
      <c r="T363" s="30"/>
      <c r="U363" s="30"/>
      <c r="V363" s="372"/>
    </row>
    <row r="364" spans="1:22" s="54" customFormat="1" ht="12" customHeight="1">
      <c r="A364" s="27"/>
      <c r="D364" s="148" t="str">
        <f ca="1">IF(OP!$D$53=1,"","「"&amp;OP!$C$23&amp;"」於早期解約對保戶是不利的。")</f>
        <v>「富邦人壽安心好漾定期保險」於早期解約對保戶是不利的。</v>
      </c>
      <c r="E364" s="55"/>
      <c r="F364" s="55"/>
      <c r="G364" s="55"/>
      <c r="H364" s="56"/>
      <c r="I364" s="56"/>
      <c r="J364" s="56"/>
      <c r="K364" s="56"/>
      <c r="L364" s="56"/>
      <c r="M364" s="56"/>
      <c r="N364" s="56"/>
      <c r="O364" s="56"/>
      <c r="P364" s="56"/>
      <c r="Q364" s="56"/>
      <c r="R364" s="56"/>
      <c r="S364" s="56"/>
      <c r="T364" s="30"/>
      <c r="U364" s="30"/>
      <c r="V364" s="372"/>
    </row>
    <row r="365" spans="1:22" s="54" customFormat="1" ht="12.75">
      <c r="A365" s="27"/>
      <c r="D365" s="148"/>
      <c r="E365" s="55"/>
      <c r="F365" s="55"/>
      <c r="G365" s="55"/>
      <c r="H365" s="56"/>
      <c r="I365" s="56"/>
      <c r="J365" s="56"/>
      <c r="K365" s="56"/>
      <c r="L365" s="56"/>
      <c r="M365" s="56"/>
      <c r="N365" s="56"/>
      <c r="O365" s="56"/>
      <c r="P365" s="56"/>
      <c r="Q365" s="56"/>
      <c r="R365" s="56"/>
      <c r="S365" s="56"/>
      <c r="T365" s="30"/>
      <c r="U365" s="30"/>
      <c r="V365" s="372"/>
    </row>
    <row r="366" spans="1:22" s="54" customFormat="1" ht="12" customHeight="1">
      <c r="A366" s="27">
        <f ca="1">ROP!$C$33</f>
        <v>1</v>
      </c>
      <c r="B366" s="156" t="str">
        <f ca="1">IF(ROP!$C$33=1,"",ROP!$B$16&amp;"揭露事項：")</f>
        <v/>
      </c>
      <c r="C366" s="29"/>
      <c r="D366" s="148"/>
      <c r="E366" s="586"/>
      <c r="F366" s="586"/>
      <c r="G366" s="586"/>
      <c r="H366" s="587"/>
      <c r="I366" s="587"/>
      <c r="J366" s="587"/>
      <c r="K366" s="587"/>
      <c r="L366" s="587"/>
      <c r="M366" s="587"/>
      <c r="N366" s="587"/>
      <c r="O366" s="587"/>
      <c r="P366" s="587"/>
      <c r="Q366" s="587"/>
      <c r="R366" s="587"/>
      <c r="S366" s="587"/>
      <c r="T366" s="583" t="str">
        <f ca="1">IF(ROP!$C$33=1,"","繳費期間： "&amp;ROP!$C$36&amp;" 年期")</f>
        <v/>
      </c>
      <c r="U366" s="30"/>
      <c r="V366" s="372"/>
    </row>
    <row r="367" spans="1:22" s="54" customFormat="1" ht="12" customHeight="1">
      <c r="A367" s="27"/>
      <c r="B367" s="29"/>
      <c r="C367" s="29"/>
      <c r="D367" s="297" t="str">
        <f ca="1">IF(ROP!$C$33=1,"","依92.03.31台財保字第0920012416號令補充訂定分紅人壽與不分紅人壽保險單資訊揭露相關規範，")</f>
        <v/>
      </c>
      <c r="E367" s="586"/>
      <c r="F367" s="586"/>
      <c r="G367" s="586"/>
      <c r="H367" s="587"/>
      <c r="I367" s="587"/>
      <c r="J367" s="587"/>
      <c r="K367" s="587"/>
      <c r="L367" s="587"/>
      <c r="M367" s="587"/>
      <c r="N367" s="587"/>
      <c r="O367" s="587"/>
      <c r="P367" s="587"/>
      <c r="Q367" s="587"/>
      <c r="R367" s="587"/>
      <c r="S367" s="587"/>
      <c r="T367" s="588"/>
      <c r="U367" s="30"/>
      <c r="V367" s="372"/>
    </row>
    <row r="368" spans="1:22" s="54" customFormat="1" ht="12" customHeight="1">
      <c r="A368" s="27"/>
      <c r="B368" s="29"/>
      <c r="C368" s="29"/>
      <c r="D368" s="297" t="str">
        <f ca="1">IF(ROP!$C$33=1,"","揭露各保單年度末之解約金、生存保險金及預估紅利總和與加計利息之應繳保險費累積值之差異情形。")</f>
        <v/>
      </c>
      <c r="E368" s="586"/>
      <c r="F368" s="586"/>
      <c r="G368" s="586"/>
      <c r="H368" s="587"/>
      <c r="I368" s="587"/>
      <c r="J368" s="587"/>
      <c r="K368" s="587"/>
      <c r="L368" s="587"/>
      <c r="M368" s="587"/>
      <c r="N368" s="587"/>
      <c r="O368" s="587"/>
      <c r="P368" s="587"/>
      <c r="Q368" s="587"/>
      <c r="R368" s="587"/>
      <c r="S368" s="587"/>
      <c r="T368" s="588"/>
      <c r="U368" s="30"/>
      <c r="V368" s="372"/>
    </row>
    <row r="369" spans="1:22" s="54" customFormat="1" ht="3.75" customHeight="1">
      <c r="A369" s="27"/>
      <c r="D369" s="297"/>
      <c r="E369" s="55"/>
      <c r="F369" s="55"/>
      <c r="G369" s="55"/>
      <c r="H369" s="56"/>
      <c r="I369" s="56"/>
      <c r="J369" s="56"/>
      <c r="K369" s="56"/>
      <c r="L369" s="56"/>
      <c r="M369" s="56"/>
      <c r="N369" s="56"/>
      <c r="O369" s="56"/>
      <c r="P369" s="56"/>
      <c r="Q369" s="56"/>
      <c r="R369" s="56"/>
      <c r="S369" s="56"/>
      <c r="T369" s="30"/>
      <c r="U369" s="30"/>
      <c r="V369" s="372"/>
    </row>
    <row r="370" spans="1:22" s="54" customFormat="1" ht="12" customHeight="1">
      <c r="A370" s="27"/>
      <c r="D370" s="791" t="str">
        <f ca="1">IF(ROP!$C$33=1,"",揭露AOR!$C6)</f>
        <v/>
      </c>
      <c r="E370" s="792"/>
      <c r="F370" s="792"/>
      <c r="G370" s="777"/>
      <c r="H370" s="776" t="str">
        <f ca="1">IF(ROP!$C$33=1,"",揭露AOR!$D6)</f>
        <v/>
      </c>
      <c r="I370" s="777"/>
      <c r="J370" s="776" t="str">
        <f ca="1">IF(ROP!$C$33=1,"",揭露AOR!$E6)</f>
        <v/>
      </c>
      <c r="K370" s="777"/>
      <c r="L370" s="776" t="str">
        <f ca="1">IF(ROP!$C$33=1,"",揭露AOR!$F6)</f>
        <v/>
      </c>
      <c r="M370" s="777"/>
      <c r="N370" s="776" t="str">
        <f ca="1">IF(ROP!$C$33=1,"",揭露AOR!$G6)</f>
        <v/>
      </c>
      <c r="O370" s="777"/>
      <c r="P370" s="776" t="str">
        <f ca="1">IF(ROP!$C$33=1,"",揭露AOR!$H6)</f>
        <v/>
      </c>
      <c r="Q370" s="777"/>
      <c r="R370" s="776" t="str">
        <f ca="1">IF(ROP!$C$33=1,"",揭露AOR!$I6)</f>
        <v/>
      </c>
      <c r="S370" s="777"/>
      <c r="T370" s="30"/>
      <c r="U370" s="30"/>
      <c r="V370" s="372"/>
    </row>
    <row r="371" spans="1:22" s="54" customFormat="1" ht="12" customHeight="1">
      <c r="A371" s="27"/>
      <c r="D371" s="791" t="str">
        <f ca="1">IF(ROP!$C$33=1,"",揭露AOR!$C7)</f>
        <v/>
      </c>
      <c r="E371" s="792"/>
      <c r="F371" s="792"/>
      <c r="G371" s="777"/>
      <c r="H371" s="776" t="str">
        <f ca="1">IF(ROP!$C$33=1,"",揭露AOR!$D7)</f>
        <v/>
      </c>
      <c r="I371" s="777"/>
      <c r="J371" s="776" t="str">
        <f ca="1">IF(ROP!$C$33=1,"",揭露AOR!$E7)</f>
        <v/>
      </c>
      <c r="K371" s="777"/>
      <c r="L371" s="776" t="str">
        <f ca="1">IF(ROP!$C$33=1,"",揭露AOR!$F7)</f>
        <v/>
      </c>
      <c r="M371" s="777"/>
      <c r="N371" s="776" t="str">
        <f ca="1">IF(ROP!$C$33=1,"",揭露AOR!$G7)</f>
        <v/>
      </c>
      <c r="O371" s="777"/>
      <c r="P371" s="776" t="str">
        <f ca="1">IF(ROP!$C$33=1,"",揭露AOR!$H7)</f>
        <v/>
      </c>
      <c r="Q371" s="777"/>
      <c r="R371" s="776" t="str">
        <f ca="1">IF(ROP!$C$33=1,"",揭露AOR!$I7)</f>
        <v/>
      </c>
      <c r="S371" s="777"/>
      <c r="T371" s="30"/>
      <c r="U371" s="30"/>
      <c r="V371" s="372"/>
    </row>
    <row r="372" spans="1:22" s="54" customFormat="1" ht="12" customHeight="1">
      <c r="A372" s="27"/>
      <c r="D372" s="791" t="str">
        <f ca="1">IF(ROP!$C$33=1,"",揭露AOR!$C8)</f>
        <v/>
      </c>
      <c r="E372" s="792"/>
      <c r="F372" s="792"/>
      <c r="G372" s="777"/>
      <c r="H372" s="776" t="str">
        <f ca="1">IF(ROP!$C$33=1,"",揭露AOR!$D8)</f>
        <v/>
      </c>
      <c r="I372" s="777"/>
      <c r="J372" s="776" t="str">
        <f ca="1">IF(ROP!$C$33=1,"",揭露AOR!$E8)</f>
        <v/>
      </c>
      <c r="K372" s="777"/>
      <c r="L372" s="776" t="str">
        <f ca="1">IF(ROP!$C$33=1,"",揭露AOR!$F8)</f>
        <v/>
      </c>
      <c r="M372" s="777"/>
      <c r="N372" s="776" t="str">
        <f ca="1">IF(ROP!$C$33=1,"",揭露AOR!$G8)</f>
        <v/>
      </c>
      <c r="O372" s="777"/>
      <c r="P372" s="776" t="str">
        <f ca="1">IF(ROP!$C$33=1,"",揭露AOR!$H8)</f>
        <v/>
      </c>
      <c r="Q372" s="777"/>
      <c r="R372" s="776" t="str">
        <f ca="1">IF(ROP!$C$33=1,"",揭露AOR!$I8)</f>
        <v/>
      </c>
      <c r="S372" s="777"/>
      <c r="T372" s="30"/>
      <c r="U372" s="30"/>
      <c r="V372" s="372"/>
    </row>
    <row r="373" spans="1:22" s="54" customFormat="1" ht="12" customHeight="1">
      <c r="A373" s="27"/>
      <c r="D373" s="148" t="str">
        <f ca="1">IF(ROP!$C$33=1,"","「"&amp;ROP!$B$16&amp;"」於早期解約對保戶是不利的。")</f>
        <v/>
      </c>
      <c r="E373" s="55"/>
      <c r="F373" s="55"/>
      <c r="G373" s="55"/>
      <c r="H373" s="56"/>
      <c r="I373" s="56"/>
      <c r="J373" s="56"/>
      <c r="K373" s="56"/>
      <c r="L373" s="56"/>
      <c r="M373" s="56"/>
      <c r="N373" s="56"/>
      <c r="O373" s="56"/>
      <c r="P373" s="56"/>
      <c r="Q373" s="56"/>
      <c r="R373" s="56"/>
      <c r="S373" s="56"/>
      <c r="T373" s="30"/>
      <c r="U373" s="30"/>
      <c r="V373" s="372"/>
    </row>
    <row r="374" spans="1:22" s="54" customFormat="1" ht="12.75">
      <c r="A374" s="27"/>
      <c r="D374" s="148"/>
      <c r="E374" s="55"/>
      <c r="F374" s="55"/>
      <c r="G374" s="55"/>
      <c r="H374" s="56"/>
      <c r="I374" s="56"/>
      <c r="J374" s="56"/>
      <c r="K374" s="56"/>
      <c r="L374" s="56"/>
      <c r="M374" s="56"/>
      <c r="N374" s="56"/>
      <c r="O374" s="56"/>
      <c r="P374" s="56"/>
      <c r="Q374" s="56"/>
      <c r="R374" s="56"/>
      <c r="S374" s="56"/>
      <c r="T374" s="30"/>
      <c r="U374" s="30"/>
      <c r="V374" s="372"/>
    </row>
    <row r="375" spans="1:22"/>
    <row r="376" spans="1:22"/>
    <row r="377" spans="1:22" ht="12" customHeight="1">
      <c r="B377" s="622"/>
      <c r="C377" s="623"/>
      <c r="D377" s="621"/>
      <c r="E377" s="621"/>
      <c r="F377" s="621"/>
      <c r="G377" s="621"/>
      <c r="H377" s="621"/>
      <c r="I377" s="621"/>
      <c r="J377" s="621"/>
      <c r="K377" s="621"/>
      <c r="L377" s="621"/>
      <c r="M377" s="621"/>
      <c r="N377" s="621"/>
      <c r="O377" s="621"/>
      <c r="P377" s="621"/>
      <c r="Q377" s="620"/>
      <c r="R377" s="620"/>
      <c r="S377" s="620"/>
      <c r="T377" s="620"/>
      <c r="U377" s="620"/>
    </row>
    <row r="378" spans="1:22" ht="12" customHeight="1">
      <c r="B378" s="622"/>
      <c r="C378" s="623"/>
      <c r="D378" s="621"/>
      <c r="E378" s="621"/>
      <c r="F378" s="621"/>
      <c r="G378" s="621"/>
      <c r="H378" s="621"/>
      <c r="I378" s="621"/>
      <c r="J378" s="621"/>
      <c r="K378" s="621"/>
      <c r="L378" s="621"/>
      <c r="M378" s="621"/>
      <c r="N378" s="621"/>
      <c r="O378" s="621"/>
      <c r="P378" s="621"/>
      <c r="Q378" s="620"/>
      <c r="R378" s="620"/>
      <c r="S378" s="620"/>
      <c r="T378" s="620"/>
      <c r="U378" s="620"/>
    </row>
    <row r="379" spans="1:22" ht="12" customHeight="1">
      <c r="B379" s="622"/>
      <c r="C379" s="623"/>
      <c r="D379" s="621"/>
      <c r="E379" s="621"/>
      <c r="F379" s="621"/>
      <c r="G379" s="621"/>
      <c r="H379" s="621"/>
      <c r="I379" s="621"/>
      <c r="J379" s="621"/>
      <c r="K379" s="621"/>
      <c r="L379" s="621"/>
      <c r="M379" s="621"/>
      <c r="N379" s="621"/>
      <c r="O379" s="621"/>
      <c r="P379" s="621"/>
      <c r="Q379" s="620"/>
      <c r="R379" s="620"/>
      <c r="S379" s="620"/>
      <c r="T379" s="620"/>
      <c r="U379" s="620"/>
    </row>
    <row r="380" spans="1:22" ht="12" customHeight="1">
      <c r="B380" s="622"/>
      <c r="C380" s="623"/>
      <c r="D380" s="621"/>
      <c r="E380" s="621"/>
      <c r="F380" s="621"/>
      <c r="G380" s="621"/>
      <c r="H380" s="621"/>
      <c r="I380" s="621"/>
      <c r="J380" s="621"/>
      <c r="K380" s="621"/>
      <c r="L380" s="621"/>
      <c r="M380" s="621"/>
      <c r="N380" s="621"/>
      <c r="O380" s="621"/>
      <c r="P380" s="621"/>
      <c r="Q380" s="620"/>
      <c r="R380" s="620"/>
      <c r="S380" s="620"/>
      <c r="T380" s="620"/>
      <c r="U380" s="620"/>
    </row>
    <row r="381" spans="1:22" ht="12" customHeight="1">
      <c r="B381" s="622"/>
      <c r="C381" s="623"/>
      <c r="D381" s="621"/>
      <c r="E381" s="621"/>
      <c r="F381" s="621"/>
      <c r="G381" s="621"/>
      <c r="H381" s="621"/>
      <c r="I381" s="621"/>
      <c r="J381" s="621"/>
      <c r="K381" s="621"/>
      <c r="L381" s="621"/>
      <c r="M381" s="621"/>
      <c r="N381" s="621"/>
      <c r="O381" s="621"/>
      <c r="P381" s="621"/>
      <c r="Q381" s="620"/>
      <c r="R381" s="620"/>
      <c r="S381" s="620"/>
      <c r="T381" s="620"/>
      <c r="U381" s="620"/>
    </row>
    <row r="382" spans="1:22" ht="12" customHeight="1">
      <c r="B382" s="622"/>
      <c r="C382" s="623"/>
      <c r="D382" s="621"/>
      <c r="E382" s="621"/>
      <c r="F382" s="621"/>
      <c r="G382" s="621"/>
      <c r="H382" s="621"/>
      <c r="I382" s="621"/>
      <c r="J382" s="621"/>
      <c r="K382" s="621"/>
      <c r="L382" s="621"/>
      <c r="M382" s="621"/>
      <c r="N382" s="621"/>
      <c r="O382" s="621"/>
      <c r="P382" s="621"/>
      <c r="Q382" s="620"/>
      <c r="R382" s="620"/>
      <c r="S382" s="620"/>
      <c r="T382" s="620"/>
      <c r="U382" s="620"/>
    </row>
    <row r="383" spans="1:22" ht="12" customHeight="1">
      <c r="B383" s="622"/>
      <c r="C383" s="623"/>
      <c r="D383" s="621"/>
      <c r="E383" s="621"/>
      <c r="F383" s="621"/>
      <c r="G383" s="621"/>
      <c r="H383" s="621"/>
      <c r="I383" s="621"/>
      <c r="J383" s="621"/>
      <c r="K383" s="621"/>
      <c r="L383" s="621"/>
      <c r="M383" s="621"/>
      <c r="N383" s="621"/>
      <c r="O383" s="621"/>
      <c r="P383" s="621"/>
      <c r="Q383" s="620"/>
      <c r="R383" s="620"/>
      <c r="S383" s="620"/>
      <c r="T383" s="620"/>
      <c r="U383" s="620"/>
    </row>
    <row r="384" spans="1:22" ht="12" customHeight="1">
      <c r="B384" s="622"/>
      <c r="C384" s="623"/>
      <c r="D384" s="621"/>
      <c r="E384" s="621"/>
      <c r="F384" s="621"/>
      <c r="G384" s="621"/>
      <c r="H384" s="621"/>
      <c r="I384" s="621"/>
      <c r="J384" s="621"/>
      <c r="K384" s="621"/>
      <c r="L384" s="621"/>
      <c r="M384" s="621"/>
      <c r="N384" s="621"/>
      <c r="O384" s="621"/>
      <c r="P384" s="621"/>
      <c r="Q384" s="620"/>
      <c r="R384" s="620"/>
      <c r="S384" s="620"/>
      <c r="T384" s="620"/>
      <c r="U384" s="620"/>
    </row>
    <row r="385" spans="1:22" ht="12" customHeight="1">
      <c r="B385" s="622"/>
      <c r="C385" s="623"/>
      <c r="D385" s="621"/>
      <c r="E385" s="621"/>
      <c r="F385" s="621"/>
      <c r="G385" s="621"/>
      <c r="H385" s="621"/>
      <c r="I385" s="621"/>
      <c r="J385" s="621"/>
      <c r="K385" s="621"/>
      <c r="L385" s="621"/>
      <c r="M385" s="621"/>
      <c r="N385" s="621"/>
      <c r="O385" s="621"/>
      <c r="P385" s="621"/>
      <c r="Q385" s="620"/>
      <c r="R385" s="620"/>
      <c r="S385" s="620"/>
      <c r="T385" s="620"/>
      <c r="U385" s="620"/>
    </row>
    <row r="386" spans="1:22" ht="12" customHeight="1">
      <c r="B386" s="622"/>
      <c r="C386" s="623"/>
      <c r="D386" s="621"/>
      <c r="E386" s="621"/>
      <c r="F386" s="621"/>
      <c r="G386" s="621"/>
      <c r="H386" s="621"/>
      <c r="I386" s="621"/>
      <c r="J386" s="621"/>
      <c r="K386" s="621"/>
      <c r="L386" s="621"/>
      <c r="M386" s="621"/>
      <c r="N386" s="621"/>
      <c r="O386" s="621"/>
      <c r="P386" s="621"/>
      <c r="Q386" s="620"/>
      <c r="R386" s="620"/>
      <c r="S386" s="620"/>
      <c r="T386" s="620"/>
      <c r="U386" s="620"/>
    </row>
    <row r="387" spans="1:22" ht="12" customHeight="1">
      <c r="B387" s="622"/>
      <c r="C387" s="623"/>
      <c r="D387" s="621"/>
      <c r="E387" s="621"/>
      <c r="F387" s="621"/>
      <c r="G387" s="621"/>
      <c r="H387" s="621"/>
      <c r="I387" s="621"/>
      <c r="J387" s="621"/>
      <c r="K387" s="621"/>
      <c r="L387" s="621"/>
      <c r="M387" s="621"/>
      <c r="N387" s="621"/>
      <c r="O387" s="621"/>
      <c r="P387" s="621"/>
      <c r="Q387" s="620"/>
      <c r="R387" s="620"/>
      <c r="S387" s="620"/>
      <c r="T387" s="620"/>
      <c r="U387" s="620"/>
    </row>
    <row r="388" spans="1:22" s="54" customFormat="1" ht="12" customHeight="1">
      <c r="A388" s="27"/>
      <c r="B388" s="519" t="s">
        <v>983</v>
      </c>
      <c r="D388" s="29"/>
      <c r="E388" s="55"/>
      <c r="F388" s="55"/>
      <c r="G388" s="55"/>
      <c r="H388" s="56"/>
      <c r="I388" s="56"/>
      <c r="J388" s="56"/>
      <c r="K388" s="56"/>
      <c r="L388" s="56"/>
      <c r="M388" s="56"/>
      <c r="N388" s="56"/>
      <c r="O388" s="56"/>
      <c r="P388" s="56"/>
      <c r="Q388" s="56"/>
      <c r="R388" s="56"/>
      <c r="S388" s="56"/>
      <c r="T388" s="30"/>
      <c r="U388" s="30"/>
      <c r="V388" s="372">
        <f>COUNTIF(RTEX,B388)</f>
        <v>0</v>
      </c>
    </row>
    <row r="389" spans="1:22" s="54" customFormat="1" ht="12" customHeight="1">
      <c r="A389" s="27"/>
      <c r="B389" s="374" t="s">
        <v>984</v>
      </c>
      <c r="D389" s="29"/>
      <c r="E389" s="55"/>
      <c r="G389" s="55"/>
      <c r="H389" s="56"/>
      <c r="I389" s="56"/>
      <c r="J389" s="56"/>
      <c r="K389" s="56"/>
      <c r="L389" s="56"/>
      <c r="M389" s="56"/>
      <c r="N389" s="56"/>
      <c r="O389" s="56"/>
      <c r="P389" s="56"/>
      <c r="Q389" s="56"/>
      <c r="R389" s="56"/>
      <c r="S389" s="56"/>
      <c r="T389" s="30"/>
      <c r="U389" s="30"/>
      <c r="V389" s="372"/>
    </row>
    <row r="390" spans="1:22" s="54" customFormat="1" ht="12" customHeight="1">
      <c r="A390" s="27"/>
      <c r="B390" s="374" t="s">
        <v>985</v>
      </c>
      <c r="D390" s="29"/>
      <c r="E390" s="55"/>
      <c r="F390" s="55"/>
      <c r="G390" s="55"/>
      <c r="H390" s="56"/>
      <c r="I390" s="56"/>
      <c r="J390" s="56"/>
      <c r="K390" s="56"/>
      <c r="L390" s="56"/>
      <c r="M390" s="56"/>
      <c r="N390" s="56"/>
      <c r="O390" s="56"/>
      <c r="P390" s="56"/>
      <c r="Q390" s="56"/>
      <c r="R390" s="56"/>
      <c r="S390" s="56"/>
      <c r="T390" s="30"/>
      <c r="U390" s="30"/>
      <c r="V390" s="372"/>
    </row>
    <row r="391" spans="1:22" s="54" customFormat="1" ht="12" customHeight="1">
      <c r="A391" s="27"/>
      <c r="B391" s="365" t="s">
        <v>982</v>
      </c>
      <c r="D391" s="29"/>
      <c r="E391" s="55"/>
      <c r="F391" s="55"/>
      <c r="G391" s="55"/>
      <c r="H391" s="56"/>
      <c r="I391" s="56"/>
      <c r="J391" s="56"/>
      <c r="K391" s="56"/>
      <c r="L391" s="56"/>
      <c r="M391" s="56"/>
      <c r="N391" s="56"/>
      <c r="O391" s="56"/>
      <c r="P391" s="56"/>
      <c r="Q391" s="56"/>
      <c r="R391" s="56"/>
      <c r="S391" s="56"/>
      <c r="T391" s="30"/>
      <c r="U391" s="30"/>
      <c r="V391" s="372"/>
    </row>
    <row r="392" spans="1:22" s="54" customFormat="1" ht="12" customHeight="1">
      <c r="A392" s="27"/>
      <c r="B392" s="155" t="s">
        <v>709</v>
      </c>
      <c r="D392" s="29"/>
      <c r="E392" s="55"/>
      <c r="F392" s="55"/>
      <c r="G392" s="55"/>
      <c r="H392" s="56"/>
      <c r="I392" s="56"/>
      <c r="J392" s="56"/>
      <c r="K392" s="56"/>
      <c r="L392" s="56"/>
      <c r="M392" s="56"/>
      <c r="N392" s="56"/>
      <c r="O392" s="56"/>
      <c r="P392" s="56"/>
      <c r="Q392" s="56"/>
      <c r="R392" s="56"/>
      <c r="S392" s="56"/>
      <c r="T392" s="30"/>
      <c r="U392" s="30"/>
      <c r="V392" s="372"/>
    </row>
    <row r="393" spans="1:22" s="54" customFormat="1" ht="12" customHeight="1">
      <c r="A393" s="27"/>
      <c r="B393" s="374" t="s">
        <v>1020</v>
      </c>
      <c r="D393" s="29"/>
      <c r="E393" s="55"/>
      <c r="F393" s="55"/>
      <c r="G393" s="55"/>
      <c r="H393" s="56"/>
      <c r="I393" s="56"/>
      <c r="J393" s="56"/>
      <c r="K393" s="56"/>
      <c r="L393" s="56"/>
      <c r="M393" s="56"/>
      <c r="N393" s="56"/>
      <c r="O393" s="56"/>
      <c r="P393" s="56"/>
      <c r="Q393" s="56"/>
      <c r="R393" s="56"/>
      <c r="S393" s="56"/>
      <c r="T393" s="30"/>
      <c r="U393" s="30"/>
      <c r="V393" s="372"/>
    </row>
    <row r="394" spans="1:22" s="54" customFormat="1" ht="12" customHeight="1">
      <c r="A394" s="27"/>
      <c r="B394" s="374" t="s">
        <v>103</v>
      </c>
      <c r="D394" s="29"/>
      <c r="E394" s="55"/>
      <c r="F394" s="55"/>
      <c r="G394" s="55"/>
      <c r="H394" s="56"/>
      <c r="I394" s="56"/>
      <c r="J394" s="56"/>
      <c r="K394" s="56"/>
      <c r="L394" s="56"/>
      <c r="M394" s="56"/>
      <c r="N394" s="56"/>
      <c r="O394" s="56"/>
      <c r="P394" s="56"/>
      <c r="Q394" s="56"/>
      <c r="R394" s="56"/>
      <c r="S394" s="56"/>
      <c r="T394" s="30"/>
      <c r="U394" s="30"/>
      <c r="V394" s="372"/>
    </row>
    <row r="395" spans="1:22" s="54" customFormat="1" ht="12" customHeight="1">
      <c r="A395" s="27"/>
      <c r="B395" s="632" t="s">
        <v>1128</v>
      </c>
      <c r="D395" s="29"/>
      <c r="E395" s="55"/>
      <c r="F395" s="55"/>
      <c r="G395" s="55"/>
      <c r="H395" s="56"/>
      <c r="I395" s="56"/>
      <c r="J395" s="56"/>
      <c r="K395" s="56"/>
      <c r="L395" s="56"/>
      <c r="M395" s="56"/>
      <c r="N395" s="56"/>
      <c r="O395" s="56"/>
      <c r="P395" s="56"/>
      <c r="Q395" s="56"/>
      <c r="R395" s="56"/>
      <c r="S395" s="56"/>
      <c r="T395" s="30"/>
      <c r="U395" s="30"/>
      <c r="V395" s="372"/>
    </row>
    <row r="396" spans="1:22" s="54" customFormat="1" ht="12" customHeight="1">
      <c r="A396" s="27"/>
      <c r="B396" s="632" t="s">
        <v>1130</v>
      </c>
      <c r="C396" s="128"/>
      <c r="D396" s="129"/>
      <c r="E396" s="55"/>
      <c r="F396" s="55"/>
      <c r="G396" s="55"/>
      <c r="H396" s="56"/>
      <c r="I396" s="56"/>
      <c r="J396" s="56"/>
      <c r="K396" s="56"/>
      <c r="L396" s="56"/>
      <c r="M396" s="56"/>
      <c r="N396" s="56"/>
      <c r="O396" s="56"/>
      <c r="P396" s="56"/>
      <c r="Q396" s="56"/>
      <c r="R396" s="56"/>
      <c r="S396" s="56"/>
      <c r="T396" s="30"/>
      <c r="U396" s="30"/>
      <c r="V396" s="372"/>
    </row>
    <row r="397" spans="1:22" s="54" customFormat="1" ht="12" customHeight="1">
      <c r="A397" s="27"/>
      <c r="B397" s="632" t="s">
        <v>1129</v>
      </c>
      <c r="C397" s="128"/>
      <c r="D397" s="129"/>
      <c r="E397" s="55"/>
      <c r="F397" s="55"/>
      <c r="G397" s="55"/>
      <c r="H397" s="56"/>
      <c r="I397" s="56"/>
      <c r="J397" s="56"/>
      <c r="K397" s="56"/>
      <c r="L397" s="56"/>
      <c r="M397" s="56"/>
      <c r="N397" s="56"/>
      <c r="O397" s="56"/>
      <c r="P397" s="56"/>
      <c r="Q397" s="56"/>
      <c r="R397" s="56"/>
      <c r="S397" s="56"/>
      <c r="T397" s="30"/>
      <c r="U397" s="30"/>
      <c r="V397" s="372"/>
    </row>
    <row r="398" spans="1:22" s="54" customFormat="1" ht="12" customHeight="1">
      <c r="A398" s="27"/>
      <c r="B398" s="353" t="s">
        <v>759</v>
      </c>
      <c r="C398" s="128"/>
      <c r="D398" s="129"/>
      <c r="E398" s="55"/>
      <c r="F398" s="55"/>
      <c r="G398" s="55"/>
      <c r="H398" s="56"/>
      <c r="I398" s="56"/>
      <c r="J398" s="56"/>
      <c r="K398" s="56"/>
      <c r="L398" s="56"/>
      <c r="M398" s="56"/>
      <c r="N398" s="56"/>
      <c r="O398" s="56"/>
      <c r="P398" s="56"/>
      <c r="Q398" s="56"/>
      <c r="R398" s="56"/>
      <c r="S398" s="56"/>
      <c r="T398" s="30"/>
      <c r="U398" s="30"/>
      <c r="V398" s="372"/>
    </row>
    <row r="399" spans="1:22" ht="12" customHeight="1">
      <c r="B399" s="353" t="s">
        <v>793</v>
      </c>
      <c r="C399" s="15"/>
      <c r="D399" s="15"/>
      <c r="E399" s="13"/>
      <c r="F399" s="13"/>
      <c r="G399" s="13"/>
      <c r="H399" s="13"/>
      <c r="I399" s="13"/>
      <c r="J399" s="13"/>
      <c r="K399" s="13"/>
      <c r="L399" s="13"/>
      <c r="M399" s="13"/>
      <c r="N399" s="13"/>
      <c r="O399" s="13"/>
      <c r="P399" s="13"/>
      <c r="Q399" s="13"/>
      <c r="R399" s="13"/>
      <c r="S399" s="13"/>
      <c r="T399" s="13"/>
      <c r="U399" s="13"/>
    </row>
    <row r="400" spans="1:22" ht="12" customHeight="1">
      <c r="B400" s="353" t="s">
        <v>794</v>
      </c>
      <c r="C400" s="8"/>
      <c r="D400" s="15"/>
      <c r="E400" s="13"/>
      <c r="F400" s="13"/>
      <c r="G400" s="13"/>
      <c r="H400" s="13"/>
      <c r="I400" s="13"/>
      <c r="J400" s="13"/>
      <c r="K400" s="13"/>
      <c r="L400" s="13"/>
      <c r="M400" s="13"/>
      <c r="N400" s="13"/>
      <c r="O400" s="13"/>
      <c r="P400" s="13"/>
      <c r="Q400" s="13"/>
      <c r="R400" s="13"/>
      <c r="S400" s="13"/>
      <c r="T400" s="13"/>
      <c r="U400" s="13"/>
    </row>
    <row r="401" spans="1:21" ht="12" customHeight="1">
      <c r="B401" s="353" t="s">
        <v>756</v>
      </c>
      <c r="C401" s="8"/>
      <c r="D401" s="15"/>
      <c r="E401" s="13"/>
      <c r="F401" s="13"/>
      <c r="G401" s="13"/>
      <c r="H401" s="13"/>
      <c r="I401" s="13"/>
      <c r="J401" s="13"/>
      <c r="K401" s="13"/>
      <c r="L401" s="13"/>
      <c r="M401" s="13"/>
      <c r="N401" s="13"/>
      <c r="O401" s="13"/>
      <c r="P401" s="13"/>
      <c r="Q401" s="13"/>
      <c r="R401" s="13"/>
      <c r="S401" s="13"/>
      <c r="T401" s="13"/>
      <c r="U401" s="13"/>
    </row>
    <row r="402" spans="1:21" ht="12" customHeight="1">
      <c r="B402" s="353" t="s">
        <v>757</v>
      </c>
      <c r="C402" s="15"/>
      <c r="D402" s="15"/>
      <c r="E402" s="13"/>
      <c r="F402" s="13"/>
      <c r="G402" s="13"/>
      <c r="H402" s="13"/>
      <c r="I402" s="13"/>
      <c r="J402" s="13"/>
      <c r="K402" s="13"/>
      <c r="L402" s="13"/>
      <c r="M402" s="13"/>
      <c r="N402" s="13"/>
      <c r="O402" s="13"/>
      <c r="P402" s="13"/>
      <c r="Q402" s="13"/>
      <c r="R402" s="13"/>
      <c r="S402" s="13"/>
      <c r="T402" s="13"/>
      <c r="U402" s="13"/>
    </row>
    <row r="403" spans="1:21" ht="12" customHeight="1">
      <c r="B403" s="353" t="s">
        <v>758</v>
      </c>
      <c r="C403" s="15"/>
      <c r="D403" s="15"/>
      <c r="E403" s="13"/>
      <c r="F403" s="13"/>
      <c r="G403" s="13"/>
      <c r="H403" s="13"/>
      <c r="I403" s="13"/>
      <c r="J403" s="13"/>
      <c r="K403" s="13"/>
      <c r="L403" s="13"/>
      <c r="M403" s="13"/>
      <c r="N403" s="13"/>
      <c r="O403" s="13"/>
      <c r="P403" s="13"/>
      <c r="Q403" s="13"/>
      <c r="R403" s="13"/>
      <c r="S403" s="13"/>
      <c r="T403" s="13"/>
      <c r="U403" s="13"/>
    </row>
    <row r="404" spans="1:21" ht="12" customHeight="1">
      <c r="B404" s="297" t="s">
        <v>760</v>
      </c>
      <c r="C404" s="8"/>
      <c r="D404" s="15"/>
      <c r="E404" s="13"/>
      <c r="F404" s="13"/>
      <c r="G404" s="13"/>
      <c r="H404" s="13"/>
      <c r="I404" s="13"/>
      <c r="J404" s="13"/>
      <c r="K404" s="13"/>
      <c r="L404" s="13"/>
      <c r="M404" s="13"/>
      <c r="N404" s="13"/>
      <c r="O404" s="13"/>
      <c r="P404" s="13"/>
      <c r="Q404" s="13"/>
      <c r="R404" s="13"/>
      <c r="S404" s="13"/>
      <c r="T404" s="13"/>
      <c r="U404" s="13"/>
    </row>
    <row r="405" spans="1:21" ht="12" customHeight="1">
      <c r="B405" s="297" t="s">
        <v>761</v>
      </c>
      <c r="C405" s="8"/>
      <c r="D405" s="15"/>
      <c r="E405" s="13"/>
      <c r="F405" s="13"/>
      <c r="G405" s="13"/>
      <c r="H405" s="13"/>
      <c r="I405" s="13"/>
      <c r="J405" s="13"/>
      <c r="K405" s="13"/>
      <c r="L405" s="13"/>
      <c r="M405" s="13"/>
      <c r="N405" s="13"/>
      <c r="O405" s="13"/>
      <c r="P405" s="13"/>
      <c r="Q405" s="13"/>
      <c r="R405" s="13"/>
      <c r="S405" s="13"/>
      <c r="T405" s="13"/>
      <c r="U405" s="13"/>
    </row>
    <row r="406" spans="1:21" ht="12" customHeight="1">
      <c r="B406" s="297" t="s">
        <v>762</v>
      </c>
      <c r="C406" s="8"/>
      <c r="D406" s="15"/>
      <c r="E406" s="13"/>
      <c r="F406" s="13"/>
      <c r="G406" s="13"/>
      <c r="H406" s="13"/>
      <c r="I406" s="13"/>
      <c r="J406" s="13"/>
      <c r="K406" s="13"/>
      <c r="L406" s="13"/>
      <c r="M406" s="13"/>
      <c r="N406" s="13"/>
      <c r="O406" s="13"/>
      <c r="P406" s="13"/>
      <c r="Q406" s="13"/>
      <c r="R406" s="13"/>
      <c r="S406" s="13"/>
      <c r="T406" s="13"/>
      <c r="U406" s="13"/>
    </row>
    <row r="407" spans="1:21" ht="12" customHeight="1">
      <c r="B407" s="297" t="s">
        <v>763</v>
      </c>
      <c r="C407" s="8"/>
      <c r="D407" s="15"/>
      <c r="E407" s="13"/>
      <c r="F407" s="13"/>
      <c r="G407" s="13"/>
      <c r="H407" s="13"/>
      <c r="I407" s="13"/>
      <c r="J407" s="13"/>
      <c r="K407" s="13"/>
      <c r="L407" s="13"/>
      <c r="M407" s="13"/>
      <c r="N407" s="13"/>
      <c r="O407" s="13"/>
      <c r="P407" s="13"/>
      <c r="Q407" s="13"/>
      <c r="R407" s="13"/>
      <c r="S407" s="13"/>
      <c r="T407" s="13"/>
      <c r="U407" s="13"/>
    </row>
    <row r="408" spans="1:21" ht="12" customHeight="1">
      <c r="B408" s="297" t="s">
        <v>106</v>
      </c>
      <c r="C408" s="8"/>
      <c r="D408" s="15"/>
      <c r="E408" s="13"/>
      <c r="F408" s="13"/>
      <c r="G408" s="13"/>
      <c r="H408" s="13"/>
      <c r="I408" s="13"/>
      <c r="J408" s="13"/>
      <c r="K408" s="13"/>
      <c r="L408" s="13"/>
      <c r="M408" s="13"/>
      <c r="N408" s="13"/>
      <c r="O408" s="13"/>
      <c r="P408" s="13"/>
      <c r="Q408" s="13"/>
      <c r="R408" s="13"/>
      <c r="S408" s="13"/>
      <c r="T408" s="13"/>
      <c r="U408" s="13"/>
    </row>
    <row r="409" spans="1:21" ht="12" customHeight="1">
      <c r="B409" s="297"/>
      <c r="C409" s="8"/>
      <c r="D409" s="15"/>
      <c r="E409" s="13"/>
      <c r="F409" s="13"/>
      <c r="G409" s="13"/>
      <c r="H409" s="13"/>
      <c r="I409" s="13"/>
      <c r="J409" s="13"/>
      <c r="K409" s="13"/>
      <c r="L409" s="13"/>
      <c r="M409" s="13"/>
      <c r="N409" s="13"/>
      <c r="O409" s="13"/>
      <c r="P409" s="13"/>
      <c r="Q409" s="13"/>
      <c r="R409" s="13"/>
      <c r="S409" s="13"/>
      <c r="T409" s="13"/>
      <c r="U409" s="13"/>
    </row>
    <row r="410" spans="1:21" ht="12" customHeight="1">
      <c r="B410" s="766" t="s">
        <v>120</v>
      </c>
      <c r="C410" s="766"/>
      <c r="D410" s="766"/>
      <c r="E410" s="766"/>
      <c r="F410" s="766"/>
      <c r="G410" s="766"/>
      <c r="H410" s="766"/>
      <c r="I410" s="766"/>
      <c r="J410" s="766"/>
      <c r="K410" s="766"/>
      <c r="L410" s="766"/>
      <c r="M410" s="766"/>
      <c r="N410" s="766"/>
      <c r="O410" s="766"/>
      <c r="P410" s="766"/>
      <c r="Q410" s="766"/>
      <c r="R410" s="766"/>
      <c r="S410" s="766"/>
      <c r="T410" s="766"/>
      <c r="U410" s="766"/>
    </row>
    <row r="411" spans="1:21" ht="11.25" customHeight="1">
      <c r="B411" s="631"/>
      <c r="C411" s="764" t="str">
        <f ca="1">"※本契約("&amp;IF(AND(OP!$D$53="",'OP1'!$D$53=""),OP!$C$22&amp;"、"&amp;'OP1'!$C$22,IF(OP!$D$53="",OP!$C$22,'OP1'!$C$22))&amp;")條款樣張須於訂立契約前提供要保人至少三日審閱期間"</f>
        <v>※本契約(AIJ、SWUC)條款樣張須於訂立契約前提供要保人至少三日審閱期間</v>
      </c>
      <c r="D411" s="903"/>
      <c r="E411" s="903"/>
      <c r="F411" s="903"/>
      <c r="G411" s="903"/>
      <c r="H411" s="903"/>
      <c r="I411" s="903"/>
      <c r="J411" s="903"/>
      <c r="K411" s="903"/>
      <c r="L411" s="903"/>
      <c r="M411" s="903"/>
      <c r="N411" s="903"/>
      <c r="O411" s="903"/>
      <c r="P411" s="801" t="str">
        <f ca="1">OP!$C$54&amp;" 試算日："&amp;TEXT(YEAR(OP!$C$3)-1911,"000")&amp;TEXT(MONTH(OP!$C$3),"00")&amp;TEXT(DAY(OP!$C$3),"00")</f>
        <v>V3.0A-1111001 試算日：1111001</v>
      </c>
      <c r="Q411" s="904"/>
      <c r="R411" s="904"/>
      <c r="S411" s="904"/>
      <c r="T411" s="904"/>
      <c r="U411" s="904"/>
    </row>
    <row r="412" spans="1:21" ht="15" customHeight="1">
      <c r="B412" s="231"/>
      <c r="C412" s="232"/>
      <c r="D412" s="233"/>
      <c r="E412" s="233"/>
      <c r="F412" s="233"/>
      <c r="G412" s="233"/>
      <c r="H412" s="233"/>
      <c r="I412" s="233"/>
      <c r="J412" s="233"/>
      <c r="K412" s="233"/>
      <c r="L412" s="233"/>
      <c r="M412" s="233"/>
      <c r="N412" s="233"/>
      <c r="O412" s="233"/>
      <c r="P412" s="233"/>
      <c r="Q412" s="230"/>
      <c r="R412" s="230"/>
      <c r="S412" s="230"/>
      <c r="T412" s="230"/>
      <c r="U412" s="230"/>
    </row>
    <row r="413" spans="1:21" ht="15" customHeight="1">
      <c r="B413" s="231"/>
      <c r="C413" s="232"/>
      <c r="D413" s="233"/>
      <c r="E413" s="233"/>
      <c r="F413" s="233"/>
      <c r="G413" s="233"/>
      <c r="H413" s="233"/>
      <c r="I413" s="233"/>
      <c r="J413" s="233"/>
      <c r="K413" s="233"/>
      <c r="L413" s="233"/>
      <c r="M413" s="233"/>
      <c r="N413" s="233"/>
      <c r="O413" s="233"/>
      <c r="P413" s="233"/>
      <c r="Q413" s="230"/>
      <c r="R413" s="230"/>
      <c r="S413" s="230"/>
      <c r="T413" s="230"/>
      <c r="U413" s="230"/>
    </row>
    <row r="414" spans="1:21" ht="25.5">
      <c r="A414" s="255">
        <v>1</v>
      </c>
      <c r="B414" s="830" t="str">
        <f>IF(ISERROR(VLOOKUP(A414,PI,2,0)),"",VLOOKUP(A414,PI,2,0))</f>
        <v>富邦人壽保險股份有限公司履行個人資料保護法告知說明書</v>
      </c>
      <c r="C414" s="830"/>
      <c r="D414" s="830"/>
      <c r="E414" s="830"/>
      <c r="F414" s="830"/>
      <c r="G414" s="830"/>
      <c r="H414" s="830"/>
      <c r="I414" s="830"/>
      <c r="J414" s="830"/>
      <c r="K414" s="830"/>
      <c r="L414" s="830"/>
      <c r="M414" s="830"/>
      <c r="N414" s="830"/>
      <c r="O414" s="830"/>
      <c r="P414" s="830"/>
      <c r="Q414" s="830"/>
      <c r="R414" s="830"/>
      <c r="S414" s="830"/>
      <c r="T414" s="830"/>
      <c r="U414" s="830"/>
    </row>
    <row r="415" spans="1:21" ht="15" customHeight="1">
      <c r="A415" s="255">
        <v>2</v>
      </c>
      <c r="B415" s="256"/>
      <c r="C415" s="256" t="str">
        <f t="shared" ref="C415:C453" si="18">IF(ISERROR(VLOOKUP(A415,PI,2,0)),"",VLOOKUP(A415,PI,2,0))</f>
        <v xml:space="preserve"> </v>
      </c>
      <c r="D415" s="233"/>
      <c r="E415" s="233"/>
      <c r="F415" s="233"/>
      <c r="G415" s="233"/>
      <c r="H415" s="233"/>
      <c r="I415" s="233"/>
      <c r="J415" s="233"/>
      <c r="K415" s="233"/>
      <c r="L415" s="233"/>
      <c r="M415" s="233"/>
      <c r="N415" s="233"/>
      <c r="O415" s="233"/>
      <c r="P415" s="233"/>
      <c r="Q415" s="230"/>
      <c r="R415" s="230"/>
      <c r="S415" s="230"/>
      <c r="T415" s="230"/>
      <c r="U415" s="230"/>
    </row>
    <row r="416" spans="1:21" ht="16.5">
      <c r="A416" s="255">
        <v>3</v>
      </c>
      <c r="B416" s="256"/>
      <c r="C416" s="256" t="str">
        <f t="shared" si="18"/>
        <v>富邦人壽保險股份有限公司（下稱本公司）依據個人資料保護法（以下稱個資法）</v>
      </c>
    </row>
    <row r="417" spans="1:3" ht="16.5">
      <c r="A417" s="255">
        <v>4</v>
      </c>
      <c r="B417" s="256"/>
      <c r="C417" s="256" t="str">
        <f t="shared" si="18"/>
        <v>規定，向 台端告知下列事項，請 台端詳閱：</v>
      </c>
    </row>
    <row r="418" spans="1:3" ht="16.5">
      <c r="A418" s="255">
        <v>5</v>
      </c>
      <c r="B418" s="256"/>
      <c r="C418" s="256" t="str">
        <f t="shared" si="18"/>
        <v>一、蒐集之目的：</v>
      </c>
    </row>
    <row r="419" spans="1:3" ht="16.5">
      <c r="A419" s="255">
        <v>6</v>
      </c>
      <c r="B419" s="256"/>
      <c r="C419" s="256" t="str">
        <f t="shared" si="18"/>
        <v>（一）人身保險（００一）</v>
      </c>
    </row>
    <row r="420" spans="1:3" ht="16.5">
      <c r="A420" s="255">
        <v>7</v>
      </c>
      <c r="B420" s="256"/>
      <c r="C420" s="256" t="str">
        <f t="shared" si="18"/>
        <v>（二）其他經營合於營業登記項目或組織章程所定之業務（一八一）</v>
      </c>
    </row>
    <row r="421" spans="1:3" ht="16.5">
      <c r="A421" s="255">
        <v>8</v>
      </c>
      <c r="B421" s="256"/>
      <c r="C421" s="256" t="str">
        <f t="shared" si="18"/>
        <v>二、蒐集之個人資料類別：</v>
      </c>
    </row>
    <row r="422" spans="1:3" ht="16.5">
      <c r="A422" s="255">
        <v>9</v>
      </c>
      <c r="B422" s="256"/>
      <c r="C422" s="256" t="str">
        <f t="shared" si="18"/>
        <v>（一）姓名。</v>
      </c>
    </row>
    <row r="423" spans="1:3" ht="16.5">
      <c r="A423" s="255">
        <v>10</v>
      </c>
      <c r="B423" s="256"/>
      <c r="C423" s="256" t="str">
        <f t="shared" si="18"/>
        <v>（二）身分證統一編號。</v>
      </c>
    </row>
    <row r="424" spans="1:3" ht="16.5">
      <c r="A424" s="255">
        <v>11</v>
      </c>
      <c r="B424" s="256"/>
      <c r="C424" s="256" t="str">
        <f t="shared" si="18"/>
        <v>（三）地址。</v>
      </c>
    </row>
    <row r="425" spans="1:3" ht="16.5">
      <c r="A425" s="255">
        <v>12</v>
      </c>
      <c r="B425" s="256"/>
      <c r="C425" s="256" t="str">
        <f t="shared" si="18"/>
        <v>（四）病歷、醫療、健康檢查 。</v>
      </c>
    </row>
    <row r="426" spans="1:3" ht="16.5">
      <c r="A426" s="255">
        <v>13</v>
      </c>
      <c r="B426" s="256"/>
      <c r="C426" s="256" t="str">
        <f t="shared" si="18"/>
        <v>（五）要保書、要保文件等其他基於保險契約所提供之個人資料。</v>
      </c>
    </row>
    <row r="427" spans="1:3" ht="16.5">
      <c r="A427" s="255">
        <v>14</v>
      </c>
      <c r="B427" s="256"/>
      <c r="C427" s="256" t="str">
        <f t="shared" si="18"/>
        <v>三、個人資料利用之期間、地區、對象、方式：</v>
      </c>
    </row>
    <row r="428" spans="1:3" ht="16.5">
      <c r="A428" s="255">
        <v>15</v>
      </c>
      <c r="B428" s="256"/>
      <c r="C428" s="256" t="str">
        <f t="shared" si="18"/>
        <v>（一）期間：因執行業務所必須及依法令規定要求之期間。</v>
      </c>
    </row>
    <row r="429" spans="1:3" ht="16.5">
      <c r="A429" s="255">
        <v>16</v>
      </c>
      <c r="B429" s="256"/>
      <c r="C429" s="256" t="str">
        <f t="shared" si="18"/>
        <v>（二）對象：本公司、本公司的委外服務或委外業務之廠商、中華民國人壽保險</v>
      </c>
    </row>
    <row r="430" spans="1:3" ht="16.5">
      <c r="A430" s="255">
        <v>17</v>
      </c>
      <c r="B430" s="256"/>
      <c r="C430" s="256" t="str">
        <f t="shared" si="18"/>
        <v xml:space="preserve">      商業同業公會、財團法人保險事業發展中心、財團法人金融消費評議中心、</v>
      </c>
    </row>
    <row r="431" spans="1:3" ht="16.5">
      <c r="A431" s="255">
        <v>18</v>
      </c>
      <c r="B431" s="256"/>
      <c r="C431" s="256" t="str">
        <f t="shared" si="18"/>
        <v xml:space="preserve">      與本公司有再保業務往來之公司、本公司所屬金控公司、本公司之共同行</v>
      </c>
    </row>
    <row r="432" spans="1:3" ht="16.5">
      <c r="A432" s="255">
        <v>19</v>
      </c>
      <c r="B432" s="256"/>
      <c r="C432" s="256" t="str">
        <f t="shared" si="18"/>
        <v xml:space="preserve">      銷對象、依法有調查權機關或金融監理機關。</v>
      </c>
    </row>
    <row r="433" spans="1:3" ht="16.5">
      <c r="A433" s="255">
        <v>20</v>
      </c>
      <c r="B433" s="256"/>
      <c r="C433" s="256" t="str">
        <f t="shared" si="18"/>
        <v>（三）地區：上述對象所在之地區。</v>
      </c>
    </row>
    <row r="434" spans="1:3" ht="16.5">
      <c r="A434" s="255">
        <v>21</v>
      </c>
      <c r="B434" s="256"/>
      <c r="C434" s="256" t="str">
        <f t="shared" si="18"/>
        <v>（四）方式：合於法令規定之利用方式。</v>
      </c>
    </row>
    <row r="435" spans="1:3" ht="16.5">
      <c r="A435" s="255">
        <v>22</v>
      </c>
      <c r="B435" s="256"/>
      <c r="C435" s="256" t="str">
        <f t="shared" si="18"/>
        <v>四、依據個資法第三條規定，台端就本公司保有 台端之個人資料得行使之權利及</v>
      </c>
    </row>
    <row r="436" spans="1:3" ht="16.5">
      <c r="A436" s="255">
        <v>23</v>
      </c>
      <c r="B436" s="256"/>
      <c r="C436" s="256" t="str">
        <f t="shared" si="18"/>
        <v xml:space="preserve">    方式：</v>
      </c>
    </row>
    <row r="437" spans="1:3" ht="16.5">
      <c r="A437" s="255">
        <v>24</v>
      </c>
      <c r="B437" s="256"/>
      <c r="C437" s="256" t="str">
        <f t="shared" si="18"/>
        <v>（一）得向本公司行使之權利：</v>
      </c>
    </row>
    <row r="438" spans="1:3" ht="16.5">
      <c r="A438" s="255">
        <v>25</v>
      </c>
      <c r="B438" s="256"/>
      <c r="C438" s="256" t="str">
        <f t="shared" si="18"/>
        <v xml:space="preserve">      1.向本公司查詢、請求閱覽或請求製給複製本。</v>
      </c>
    </row>
    <row r="439" spans="1:3" ht="16.5">
      <c r="A439" s="255">
        <v>26</v>
      </c>
      <c r="B439" s="256"/>
      <c r="C439" s="256" t="str">
        <f t="shared" si="18"/>
        <v xml:space="preserve">      2.向本公司請求補充或更正。</v>
      </c>
    </row>
    <row r="440" spans="1:3" ht="16.5">
      <c r="A440" s="255">
        <v>27</v>
      </c>
      <c r="B440" s="256"/>
      <c r="C440" s="256" t="str">
        <f t="shared" si="18"/>
        <v xml:space="preserve">      3.向本公司請求停止蒐集、處理或利用及請求刪除。</v>
      </c>
    </row>
    <row r="441" spans="1:3" ht="16.5">
      <c r="A441" s="255">
        <v>28</v>
      </c>
      <c r="B441" s="256"/>
      <c r="C441" s="256" t="str">
        <f t="shared" si="18"/>
        <v>（二）行使權利之方式：</v>
      </c>
    </row>
    <row r="442" spans="1:3" ht="16.5">
      <c r="A442" s="255">
        <v>29</v>
      </c>
      <c r="B442" s="256"/>
      <c r="C442" s="256" t="str">
        <f t="shared" si="18"/>
        <v xml:space="preserve">      您可以透過書面（包含電子郵件、傳真、電子文件）或致電本公司客戶服</v>
      </c>
    </row>
    <row r="443" spans="1:3" ht="16.5">
      <c r="A443" s="255">
        <v>30</v>
      </c>
      <c r="B443" s="256"/>
      <c r="C443" s="256" t="str">
        <f t="shared" si="18"/>
        <v xml:space="preserve">      務專線（電話：0809-000-550）之方式行使權利。</v>
      </c>
    </row>
    <row r="444" spans="1:3" ht="16.5">
      <c r="A444" s="255">
        <v>31</v>
      </c>
      <c r="B444" s="256"/>
      <c r="C444" s="256" t="str">
        <f t="shared" si="18"/>
        <v>五、台端不提供個人資料所致權益之影響：</v>
      </c>
    </row>
    <row r="445" spans="1:3" ht="16.5">
      <c r="A445" s="255">
        <v>32</v>
      </c>
      <c r="B445" s="256"/>
      <c r="C445" s="256" t="str">
        <f t="shared" si="18"/>
        <v xml:space="preserve">    台端若未能提供相關個人資料時，本公司將可能延後或無法進行必要之審核</v>
      </c>
    </row>
    <row r="446" spans="1:3" ht="16.5">
      <c r="A446" s="255">
        <v>33</v>
      </c>
      <c r="B446" s="256"/>
      <c r="C446" s="256" t="str">
        <f t="shared" si="18"/>
        <v xml:space="preserve">    及處理作業，因此可能婉謝承保、遲延或無法承保。</v>
      </c>
    </row>
    <row r="447" spans="1:3" ht="16.5">
      <c r="A447" s="255">
        <v>34</v>
      </c>
      <c r="B447" s="256"/>
      <c r="C447" s="256" t="str">
        <f t="shared" si="18"/>
        <v/>
      </c>
    </row>
    <row r="448" spans="1:3" ht="16.5">
      <c r="A448" s="255">
        <v>35</v>
      </c>
      <c r="B448" s="256"/>
      <c r="C448" s="256" t="str">
        <f t="shared" si="18"/>
        <v/>
      </c>
    </row>
    <row r="449" spans="1:3" ht="16.5">
      <c r="A449" s="255">
        <v>36</v>
      </c>
      <c r="B449" s="256"/>
      <c r="C449" s="256" t="str">
        <f t="shared" si="18"/>
        <v/>
      </c>
    </row>
    <row r="450" spans="1:3" ht="16.5">
      <c r="A450" s="255">
        <v>37</v>
      </c>
      <c r="B450" s="256"/>
      <c r="C450" s="256" t="str">
        <f t="shared" si="18"/>
        <v/>
      </c>
    </row>
    <row r="451" spans="1:3" ht="16.5">
      <c r="A451" s="255">
        <v>38</v>
      </c>
      <c r="B451" s="256"/>
      <c r="C451" s="256" t="str">
        <f t="shared" si="18"/>
        <v/>
      </c>
    </row>
    <row r="452" spans="1:3" ht="16.5">
      <c r="A452" s="255">
        <v>39</v>
      </c>
      <c r="B452" s="256"/>
      <c r="C452" s="256" t="str">
        <f t="shared" si="18"/>
        <v/>
      </c>
    </row>
    <row r="453" spans="1:3" ht="16.5">
      <c r="A453" s="255">
        <v>40</v>
      </c>
      <c r="B453" s="256"/>
      <c r="C453" s="256" t="str">
        <f t="shared" si="18"/>
        <v/>
      </c>
    </row>
    <row r="454" spans="1:3"/>
    <row r="455" spans="1:3"/>
    <row r="456" spans="1:3"/>
    <row r="457" spans="1:3"/>
    <row r="458" spans="1:3"/>
    <row r="459" spans="1:3"/>
    <row r="460" spans="1:3"/>
    <row r="461" spans="1:3"/>
    <row r="462" spans="1:3"/>
    <row r="463" spans="1:3"/>
    <row r="464" spans="1:3"/>
    <row r="465" spans="21:21"/>
    <row r="466" spans="21:21">
      <c r="U466" s="18" t="str">
        <f>OP!B69&amp;OP!C69</f>
        <v>適用通路：業務、服展、北富銀</v>
      </c>
    </row>
    <row r="467" spans="21:21" hidden="1"/>
    <row r="468" spans="21:21" hidden="1"/>
    <row r="469" spans="21:21" hidden="1"/>
    <row r="470" spans="21:21" hidden="1"/>
    <row r="471" spans="21:21" hidden="1"/>
    <row r="472" spans="21:21" hidden="1"/>
    <row r="473" spans="21:21" hidden="1"/>
    <row r="474" spans="21:21" hidden="1"/>
    <row r="475" spans="21:21" hidden="1"/>
    <row r="476" spans="21:21" hidden="1"/>
    <row r="477" spans="21:21" hidden="1"/>
    <row r="478" spans="21:21" hidden="1"/>
    <row r="479" spans="21:21" hidden="1"/>
    <row r="480" spans="21:21"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sheetData>
  <sheetProtection algorithmName="SHA-512" hashValue="TVrT4hefH1ESnP7UpND7uK7MpH/YQCPj+a76hTUcg+oRBdFHalimbexfjdx4JZ5x14HnRb1N2KHV6giEE7CpFg==" saltValue="VVRql2A0elJAPoH4cSnkCw==" spinCount="100000" sheet="1" objects="1" scenarios="1" selectLockedCells="1" selectUnlockedCells="1"/>
  <mergeCells count="951">
    <mergeCell ref="C411:O411"/>
    <mergeCell ref="P411:U411"/>
    <mergeCell ref="C332:O332"/>
    <mergeCell ref="P332:U332"/>
    <mergeCell ref="C257:O257"/>
    <mergeCell ref="P257:U257"/>
    <mergeCell ref="C125:O125"/>
    <mergeCell ref="P125:U125"/>
    <mergeCell ref="C61:O61"/>
    <mergeCell ref="P61:U61"/>
    <mergeCell ref="G136:J136"/>
    <mergeCell ref="G137:J137"/>
    <mergeCell ref="B256:U256"/>
    <mergeCell ref="B147:U147"/>
    <mergeCell ref="B138:F138"/>
    <mergeCell ref="B139:F139"/>
    <mergeCell ref="B140:F140"/>
    <mergeCell ref="B141:F141"/>
    <mergeCell ref="B142:F142"/>
    <mergeCell ref="B143:F143"/>
    <mergeCell ref="B144:F144"/>
    <mergeCell ref="B145:F145"/>
    <mergeCell ref="G144:J144"/>
    <mergeCell ref="N158:O158"/>
    <mergeCell ref="B149:E149"/>
    <mergeCell ref="B150:E150"/>
    <mergeCell ref="J161:K161"/>
    <mergeCell ref="L161:M161"/>
    <mergeCell ref="N161:O161"/>
    <mergeCell ref="R161:S161"/>
    <mergeCell ref="T161:U161"/>
    <mergeCell ref="B331:U331"/>
    <mergeCell ref="L164:M164"/>
    <mergeCell ref="N164:O164"/>
    <mergeCell ref="D167:G167"/>
    <mergeCell ref="R167:S167"/>
    <mergeCell ref="H167:I167"/>
    <mergeCell ref="J167:K167"/>
    <mergeCell ref="D164:G164"/>
    <mergeCell ref="P166:Q166"/>
    <mergeCell ref="H165:I165"/>
    <mergeCell ref="J165:K165"/>
    <mergeCell ref="L165:M165"/>
    <mergeCell ref="H166:I166"/>
    <mergeCell ref="J166:K166"/>
    <mergeCell ref="H164:I164"/>
    <mergeCell ref="J164:K164"/>
    <mergeCell ref="N166:O166"/>
    <mergeCell ref="N165:O165"/>
    <mergeCell ref="T169:U169"/>
    <mergeCell ref="T170:U170"/>
    <mergeCell ref="R170:S170"/>
    <mergeCell ref="T32:U32"/>
    <mergeCell ref="F35:G35"/>
    <mergeCell ref="H37:I37"/>
    <mergeCell ref="N39:O39"/>
    <mergeCell ref="F37:G37"/>
    <mergeCell ref="T35:U35"/>
    <mergeCell ref="G135:J135"/>
    <mergeCell ref="D162:G162"/>
    <mergeCell ref="D163:G163"/>
    <mergeCell ref="P35:Q35"/>
    <mergeCell ref="P32:Q32"/>
    <mergeCell ref="B50:G50"/>
    <mergeCell ref="H50:J50"/>
    <mergeCell ref="K50:U50"/>
    <mergeCell ref="J41:K41"/>
    <mergeCell ref="L41:M41"/>
    <mergeCell ref="B60:U60"/>
    <mergeCell ref="K57:U57"/>
    <mergeCell ref="K55:U55"/>
    <mergeCell ref="K56:U56"/>
    <mergeCell ref="H57:J57"/>
    <mergeCell ref="G132:J132"/>
    <mergeCell ref="G133:J133"/>
    <mergeCell ref="G134:J134"/>
    <mergeCell ref="T160:U160"/>
    <mergeCell ref="H161:I161"/>
    <mergeCell ref="B19:U19"/>
    <mergeCell ref="B21:F21"/>
    <mergeCell ref="B22:F22"/>
    <mergeCell ref="B23:F23"/>
    <mergeCell ref="B24:F24"/>
    <mergeCell ref="R36:S36"/>
    <mergeCell ref="N35:O35"/>
    <mergeCell ref="J40:K40"/>
    <mergeCell ref="J36:K36"/>
    <mergeCell ref="J37:K37"/>
    <mergeCell ref="J38:K38"/>
    <mergeCell ref="J39:K39"/>
    <mergeCell ref="P36:Q36"/>
    <mergeCell ref="P37:Q37"/>
    <mergeCell ref="L35:M35"/>
    <mergeCell ref="H34:I34"/>
    <mergeCell ref="K108:U108"/>
    <mergeCell ref="K142:U142"/>
    <mergeCell ref="F149:I149"/>
    <mergeCell ref="R159:S159"/>
    <mergeCell ref="T159:U159"/>
    <mergeCell ref="H160:I160"/>
    <mergeCell ref="J160:K160"/>
    <mergeCell ref="L160:M160"/>
    <mergeCell ref="N160:O160"/>
    <mergeCell ref="P160:Q160"/>
    <mergeCell ref="R160:S160"/>
    <mergeCell ref="H159:I159"/>
    <mergeCell ref="J159:K159"/>
    <mergeCell ref="L159:M159"/>
    <mergeCell ref="N159:O159"/>
    <mergeCell ref="B113:U113"/>
    <mergeCell ref="B102:G102"/>
    <mergeCell ref="H101:J101"/>
    <mergeCell ref="H110:J110"/>
    <mergeCell ref="D157:G157"/>
    <mergeCell ref="D158:G158"/>
    <mergeCell ref="F151:I151"/>
    <mergeCell ref="B86:G86"/>
    <mergeCell ref="B87:G87"/>
    <mergeCell ref="G138:J138"/>
    <mergeCell ref="G139:J139"/>
    <mergeCell ref="G140:J140"/>
    <mergeCell ref="G141:J141"/>
    <mergeCell ref="G142:J142"/>
    <mergeCell ref="G143:J143"/>
    <mergeCell ref="H100:J100"/>
    <mergeCell ref="B131:J131"/>
    <mergeCell ref="B96:J96"/>
    <mergeCell ref="G145:U145"/>
    <mergeCell ref="B132:F132"/>
    <mergeCell ref="B133:F133"/>
    <mergeCell ref="B134:F134"/>
    <mergeCell ref="B135:F135"/>
    <mergeCell ref="B136:F136"/>
    <mergeCell ref="B137:F137"/>
    <mergeCell ref="D159:G159"/>
    <mergeCell ref="B127:U127"/>
    <mergeCell ref="H111:J111"/>
    <mergeCell ref="H112:U112"/>
    <mergeCell ref="C79:G79"/>
    <mergeCell ref="B98:G98"/>
    <mergeCell ref="B85:G85"/>
    <mergeCell ref="B82:B83"/>
    <mergeCell ref="K81:U81"/>
    <mergeCell ref="B97:G97"/>
    <mergeCell ref="K98:U98"/>
    <mergeCell ref="H85:J85"/>
    <mergeCell ref="H83:J83"/>
    <mergeCell ref="C82:G82"/>
    <mergeCell ref="B99:G99"/>
    <mergeCell ref="B155:U155"/>
    <mergeCell ref="K110:U110"/>
    <mergeCell ref="B112:G112"/>
    <mergeCell ref="B110:G110"/>
    <mergeCell ref="B111:G111"/>
    <mergeCell ref="K109:U109"/>
    <mergeCell ref="T157:U157"/>
    <mergeCell ref="K85:U86"/>
    <mergeCell ref="B101:G101"/>
    <mergeCell ref="K76:U77"/>
    <mergeCell ref="K78:U78"/>
    <mergeCell ref="C77:G77"/>
    <mergeCell ref="H77:J77"/>
    <mergeCell ref="C78:G78"/>
    <mergeCell ref="B68:D70"/>
    <mergeCell ref="H78:J78"/>
    <mergeCell ref="H81:J81"/>
    <mergeCell ref="B71:G71"/>
    <mergeCell ref="H79:J79"/>
    <mergeCell ref="B75:J75"/>
    <mergeCell ref="L372:M372"/>
    <mergeCell ref="N372:O372"/>
    <mergeCell ref="P372:Q372"/>
    <mergeCell ref="D371:G371"/>
    <mergeCell ref="H371:I371"/>
    <mergeCell ref="J371:K371"/>
    <mergeCell ref="L371:M371"/>
    <mergeCell ref="N371:O371"/>
    <mergeCell ref="P371:Q371"/>
    <mergeCell ref="B67:J67"/>
    <mergeCell ref="E70:G70"/>
    <mergeCell ref="B100:G100"/>
    <mergeCell ref="H58:U58"/>
    <mergeCell ref="K67:U67"/>
    <mergeCell ref="K99:U99"/>
    <mergeCell ref="H76:J76"/>
    <mergeCell ref="B58:G58"/>
    <mergeCell ref="K134:U134"/>
    <mergeCell ref="B63:U63"/>
    <mergeCell ref="H71:U71"/>
    <mergeCell ref="H68:J68"/>
    <mergeCell ref="K131:U131"/>
    <mergeCell ref="K68:U70"/>
    <mergeCell ref="K82:U83"/>
    <mergeCell ref="K75:U75"/>
    <mergeCell ref="H82:J82"/>
    <mergeCell ref="E69:G69"/>
    <mergeCell ref="K100:U100"/>
    <mergeCell ref="B81:G81"/>
    <mergeCell ref="C80:G80"/>
    <mergeCell ref="H80:J80"/>
    <mergeCell ref="K79:U80"/>
    <mergeCell ref="B84:U84"/>
    <mergeCell ref="P33:Q33"/>
    <mergeCell ref="R33:S33"/>
    <mergeCell ref="T37:U37"/>
    <mergeCell ref="B55:J55"/>
    <mergeCell ref="H70:J70"/>
    <mergeCell ref="H69:J69"/>
    <mergeCell ref="B109:G109"/>
    <mergeCell ref="H109:J109"/>
    <mergeCell ref="H107:J107"/>
    <mergeCell ref="B108:G108"/>
    <mergeCell ref="B107:G107"/>
    <mergeCell ref="E68:G68"/>
    <mergeCell ref="C83:G83"/>
    <mergeCell ref="D41:E41"/>
    <mergeCell ref="H56:J56"/>
    <mergeCell ref="R34:S34"/>
    <mergeCell ref="T33:U33"/>
    <mergeCell ref="K106:U106"/>
    <mergeCell ref="K101:U101"/>
    <mergeCell ref="N37:O37"/>
    <mergeCell ref="R41:S41"/>
    <mergeCell ref="B56:D57"/>
    <mergeCell ref="E56:G56"/>
    <mergeCell ref="E57:G57"/>
    <mergeCell ref="B414:U414"/>
    <mergeCell ref="K111:U111"/>
    <mergeCell ref="D370:G370"/>
    <mergeCell ref="N370:O370"/>
    <mergeCell ref="N36:O36"/>
    <mergeCell ref="P39:Q39"/>
    <mergeCell ref="T36:U36"/>
    <mergeCell ref="N38:O38"/>
    <mergeCell ref="H108:J108"/>
    <mergeCell ref="H97:J97"/>
    <mergeCell ref="H98:J98"/>
    <mergeCell ref="K96:U96"/>
    <mergeCell ref="H99:J99"/>
    <mergeCell ref="H102:U102"/>
    <mergeCell ref="K97:U97"/>
    <mergeCell ref="L36:M36"/>
    <mergeCell ref="F41:G41"/>
    <mergeCell ref="H51:U51"/>
    <mergeCell ref="L37:M37"/>
    <mergeCell ref="R38:S38"/>
    <mergeCell ref="R37:S37"/>
    <mergeCell ref="R39:S39"/>
    <mergeCell ref="B51:G51"/>
    <mergeCell ref="D36:E36"/>
    <mergeCell ref="F36:G36"/>
    <mergeCell ref="D35:E35"/>
    <mergeCell ref="D38:E38"/>
    <mergeCell ref="D39:E39"/>
    <mergeCell ref="D40:E40"/>
    <mergeCell ref="F38:G38"/>
    <mergeCell ref="F39:G39"/>
    <mergeCell ref="F40:G40"/>
    <mergeCell ref="M22:U22"/>
    <mergeCell ref="M23:U23"/>
    <mergeCell ref="M24:U24"/>
    <mergeCell ref="D37:E37"/>
    <mergeCell ref="P31:Q31"/>
    <mergeCell ref="D32:E32"/>
    <mergeCell ref="R32:S32"/>
    <mergeCell ref="L34:M34"/>
    <mergeCell ref="J33:K33"/>
    <mergeCell ref="J34:K34"/>
    <mergeCell ref="N30:O31"/>
    <mergeCell ref="T30:U31"/>
    <mergeCell ref="P30:S30"/>
    <mergeCell ref="R31:S31"/>
    <mergeCell ref="H35:I35"/>
    <mergeCell ref="J35:K35"/>
    <mergeCell ref="R35:S35"/>
    <mergeCell ref="D34:E34"/>
    <mergeCell ref="P34:Q34"/>
    <mergeCell ref="N32:O32"/>
    <mergeCell ref="N33:O33"/>
    <mergeCell ref="N34:O34"/>
    <mergeCell ref="T34:U34"/>
    <mergeCell ref="L33:M33"/>
    <mergeCell ref="B8:D8"/>
    <mergeCell ref="B9:D9"/>
    <mergeCell ref="B10:D10"/>
    <mergeCell ref="F34:G34"/>
    <mergeCell ref="B11:D11"/>
    <mergeCell ref="F33:G33"/>
    <mergeCell ref="H32:I32"/>
    <mergeCell ref="H33:I33"/>
    <mergeCell ref="D33:E33"/>
    <mergeCell ref="B15:U15"/>
    <mergeCell ref="B12:D12"/>
    <mergeCell ref="B17:U17"/>
    <mergeCell ref="B27:U27"/>
    <mergeCell ref="F32:G32"/>
    <mergeCell ref="J32:K32"/>
    <mergeCell ref="B14:U14"/>
    <mergeCell ref="B16:U16"/>
    <mergeCell ref="B30:B31"/>
    <mergeCell ref="C30:C31"/>
    <mergeCell ref="D30:E31"/>
    <mergeCell ref="F30:G31"/>
    <mergeCell ref="H30:I31"/>
    <mergeCell ref="J30:K31"/>
    <mergeCell ref="M21:U21"/>
    <mergeCell ref="L30:M31"/>
    <mergeCell ref="G21:L21"/>
    <mergeCell ref="G22:L22"/>
    <mergeCell ref="G23:L23"/>
    <mergeCell ref="G24:L24"/>
    <mergeCell ref="H38:I38"/>
    <mergeCell ref="R40:S40"/>
    <mergeCell ref="P38:Q38"/>
    <mergeCell ref="L39:M39"/>
    <mergeCell ref="L40:M40"/>
    <mergeCell ref="P41:Q41"/>
    <mergeCell ref="H41:I41"/>
    <mergeCell ref="H39:I39"/>
    <mergeCell ref="H40:I40"/>
    <mergeCell ref="P40:Q40"/>
    <mergeCell ref="N41:O41"/>
    <mergeCell ref="N40:O40"/>
    <mergeCell ref="L38:M38"/>
    <mergeCell ref="T38:U38"/>
    <mergeCell ref="T39:U39"/>
    <mergeCell ref="T40:U40"/>
    <mergeCell ref="T41:U41"/>
    <mergeCell ref="L32:M32"/>
    <mergeCell ref="H36:I36"/>
    <mergeCell ref="B234:U234"/>
    <mergeCell ref="P362:Q362"/>
    <mergeCell ref="H362:I362"/>
    <mergeCell ref="N360:O360"/>
    <mergeCell ref="D361:G361"/>
    <mergeCell ref="R362:S362"/>
    <mergeCell ref="L361:M361"/>
    <mergeCell ref="R360:S360"/>
    <mergeCell ref="P360:Q360"/>
    <mergeCell ref="P363:Q363"/>
    <mergeCell ref="R363:S363"/>
    <mergeCell ref="L363:M363"/>
    <mergeCell ref="L360:M360"/>
    <mergeCell ref="N361:O361"/>
    <mergeCell ref="B410:U410"/>
    <mergeCell ref="R371:S371"/>
    <mergeCell ref="R372:S372"/>
    <mergeCell ref="P349:Q349"/>
    <mergeCell ref="K143:U143"/>
    <mergeCell ref="H87:U87"/>
    <mergeCell ref="B76:B80"/>
    <mergeCell ref="C76:G76"/>
    <mergeCell ref="K136:U136"/>
    <mergeCell ref="K107:U107"/>
    <mergeCell ref="K132:U133"/>
    <mergeCell ref="K135:U135"/>
    <mergeCell ref="K137:U137"/>
    <mergeCell ref="K138:U138"/>
    <mergeCell ref="K139:U139"/>
    <mergeCell ref="K140:U140"/>
    <mergeCell ref="K141:U141"/>
    <mergeCell ref="B124:U124"/>
    <mergeCell ref="B106:J106"/>
    <mergeCell ref="D372:G372"/>
    <mergeCell ref="H372:I372"/>
    <mergeCell ref="J372:K372"/>
    <mergeCell ref="J370:K370"/>
    <mergeCell ref="L370:M370"/>
    <mergeCell ref="R361:S361"/>
    <mergeCell ref="J361:K361"/>
    <mergeCell ref="D362:G362"/>
    <mergeCell ref="N362:O362"/>
    <mergeCell ref="J362:K362"/>
    <mergeCell ref="P361:Q361"/>
    <mergeCell ref="L362:M362"/>
    <mergeCell ref="N363:O363"/>
    <mergeCell ref="P370:Q370"/>
    <mergeCell ref="R370:S370"/>
    <mergeCell ref="H363:I363"/>
    <mergeCell ref="D363:G363"/>
    <mergeCell ref="J363:K363"/>
    <mergeCell ref="H370:I370"/>
    <mergeCell ref="R351:S351"/>
    <mergeCell ref="N348:O348"/>
    <mergeCell ref="P348:Q348"/>
    <mergeCell ref="R348:S348"/>
    <mergeCell ref="D349:G349"/>
    <mergeCell ref="N359:O359"/>
    <mergeCell ref="P359:Q359"/>
    <mergeCell ref="R359:S359"/>
    <mergeCell ref="D359:G359"/>
    <mergeCell ref="H359:I359"/>
    <mergeCell ref="N352:O352"/>
    <mergeCell ref="N349:O349"/>
    <mergeCell ref="D350:G350"/>
    <mergeCell ref="H349:I349"/>
    <mergeCell ref="J349:K349"/>
    <mergeCell ref="L349:M349"/>
    <mergeCell ref="L352:M352"/>
    <mergeCell ref="P352:Q352"/>
    <mergeCell ref="N350:O350"/>
    <mergeCell ref="P350:Q350"/>
    <mergeCell ref="R350:S350"/>
    <mergeCell ref="R352:S352"/>
    <mergeCell ref="R349:S349"/>
    <mergeCell ref="H351:I351"/>
    <mergeCell ref="N351:O351"/>
    <mergeCell ref="H360:I360"/>
    <mergeCell ref="H361:I361"/>
    <mergeCell ref="L359:M359"/>
    <mergeCell ref="D348:G348"/>
    <mergeCell ref="H350:I350"/>
    <mergeCell ref="J350:K350"/>
    <mergeCell ref="D352:G352"/>
    <mergeCell ref="H352:I352"/>
    <mergeCell ref="J352:K352"/>
    <mergeCell ref="J359:K359"/>
    <mergeCell ref="L350:M350"/>
    <mergeCell ref="H348:I348"/>
    <mergeCell ref="D351:G351"/>
    <mergeCell ref="J351:K351"/>
    <mergeCell ref="L351:M351"/>
    <mergeCell ref="D360:G360"/>
    <mergeCell ref="J360:K360"/>
    <mergeCell ref="J348:K348"/>
    <mergeCell ref="L348:M348"/>
    <mergeCell ref="P351:Q351"/>
    <mergeCell ref="B2:U2"/>
    <mergeCell ref="B4:C4"/>
    <mergeCell ref="B5:D5"/>
    <mergeCell ref="E5:M5"/>
    <mergeCell ref="N5:O5"/>
    <mergeCell ref="P5:Q5"/>
    <mergeCell ref="R5:S5"/>
    <mergeCell ref="T5:U5"/>
    <mergeCell ref="B6:D7"/>
    <mergeCell ref="N6:O6"/>
    <mergeCell ref="N7:O7"/>
    <mergeCell ref="E6:M6"/>
    <mergeCell ref="E7:M7"/>
    <mergeCell ref="L157:M157"/>
    <mergeCell ref="N157:O157"/>
    <mergeCell ref="F150:I150"/>
    <mergeCell ref="P159:Q159"/>
    <mergeCell ref="P157:Q157"/>
    <mergeCell ref="R157:S157"/>
    <mergeCell ref="D170:G170"/>
    <mergeCell ref="D169:G169"/>
    <mergeCell ref="P162:Q162"/>
    <mergeCell ref="L166:M166"/>
    <mergeCell ref="J163:K163"/>
    <mergeCell ref="L163:M163"/>
    <mergeCell ref="N163:O163"/>
    <mergeCell ref="P158:Q158"/>
    <mergeCell ref="B151:E151"/>
    <mergeCell ref="H158:I158"/>
    <mergeCell ref="J158:K158"/>
    <mergeCell ref="L158:M158"/>
    <mergeCell ref="L167:M167"/>
    <mergeCell ref="N167:O167"/>
    <mergeCell ref="D160:G160"/>
    <mergeCell ref="D161:G161"/>
    <mergeCell ref="H162:I162"/>
    <mergeCell ref="J162:K162"/>
    <mergeCell ref="L162:M162"/>
    <mergeCell ref="N162:O162"/>
    <mergeCell ref="P161:Q161"/>
    <mergeCell ref="D165:G165"/>
    <mergeCell ref="D166:G166"/>
    <mergeCell ref="R158:S158"/>
    <mergeCell ref="T158:U158"/>
    <mergeCell ref="H86:J86"/>
    <mergeCell ref="H170:I170"/>
    <mergeCell ref="J170:K170"/>
    <mergeCell ref="L170:M170"/>
    <mergeCell ref="N170:O170"/>
    <mergeCell ref="P170:Q170"/>
    <mergeCell ref="H169:I169"/>
    <mergeCell ref="J169:K169"/>
    <mergeCell ref="L169:M169"/>
    <mergeCell ref="N169:O169"/>
    <mergeCell ref="P169:Q169"/>
    <mergeCell ref="K144:U144"/>
    <mergeCell ref="H157:I157"/>
    <mergeCell ref="J157:K157"/>
    <mergeCell ref="R162:S162"/>
    <mergeCell ref="T162:U162"/>
    <mergeCell ref="H163:I163"/>
    <mergeCell ref="R169:S169"/>
    <mergeCell ref="T165:U165"/>
    <mergeCell ref="T167:U167"/>
    <mergeCell ref="T166:U166"/>
    <mergeCell ref="T164:U164"/>
    <mergeCell ref="R163:S163"/>
    <mergeCell ref="T163:U163"/>
    <mergeCell ref="P167:Q167"/>
    <mergeCell ref="P165:Q165"/>
    <mergeCell ref="R165:S165"/>
    <mergeCell ref="P164:Q164"/>
    <mergeCell ref="R164:S164"/>
    <mergeCell ref="R166:S166"/>
    <mergeCell ref="P163:Q163"/>
    <mergeCell ref="T171:U171"/>
    <mergeCell ref="D173:G173"/>
    <mergeCell ref="H173:I173"/>
    <mergeCell ref="J173:K173"/>
    <mergeCell ref="T173:U173"/>
    <mergeCell ref="H171:I171"/>
    <mergeCell ref="D171:G171"/>
    <mergeCell ref="L173:M173"/>
    <mergeCell ref="N173:O173"/>
    <mergeCell ref="P173:Q173"/>
    <mergeCell ref="R173:S173"/>
    <mergeCell ref="P171:Q171"/>
    <mergeCell ref="R171:S171"/>
    <mergeCell ref="J171:K171"/>
    <mergeCell ref="D172:G172"/>
    <mergeCell ref="H172:I172"/>
    <mergeCell ref="J172:K172"/>
    <mergeCell ref="L172:M172"/>
    <mergeCell ref="N172:O172"/>
    <mergeCell ref="P172:Q172"/>
    <mergeCell ref="R172:S172"/>
    <mergeCell ref="T172:U172"/>
    <mergeCell ref="L171:M171"/>
    <mergeCell ref="N171:O171"/>
    <mergeCell ref="D175:G175"/>
    <mergeCell ref="H175:I175"/>
    <mergeCell ref="J175:K175"/>
    <mergeCell ref="L175:M175"/>
    <mergeCell ref="N175:O175"/>
    <mergeCell ref="P175:Q175"/>
    <mergeCell ref="R175:S175"/>
    <mergeCell ref="T175:U175"/>
    <mergeCell ref="L174:M174"/>
    <mergeCell ref="N174:O174"/>
    <mergeCell ref="P174:Q174"/>
    <mergeCell ref="R174:S174"/>
    <mergeCell ref="T174:U174"/>
    <mergeCell ref="D174:G174"/>
    <mergeCell ref="H174:I174"/>
    <mergeCell ref="J174:K174"/>
    <mergeCell ref="P176:Q176"/>
    <mergeCell ref="R176:S176"/>
    <mergeCell ref="T176:U176"/>
    <mergeCell ref="D177:G177"/>
    <mergeCell ref="H177:I177"/>
    <mergeCell ref="J177:K177"/>
    <mergeCell ref="L177:M177"/>
    <mergeCell ref="N177:O177"/>
    <mergeCell ref="P177:Q177"/>
    <mergeCell ref="R177:S177"/>
    <mergeCell ref="T177:U177"/>
    <mergeCell ref="D176:G176"/>
    <mergeCell ref="H176:I176"/>
    <mergeCell ref="J176:K176"/>
    <mergeCell ref="L176:M176"/>
    <mergeCell ref="N176:O176"/>
    <mergeCell ref="P178:Q178"/>
    <mergeCell ref="R178:S178"/>
    <mergeCell ref="T178:U178"/>
    <mergeCell ref="D180:G180"/>
    <mergeCell ref="H180:I180"/>
    <mergeCell ref="J180:K180"/>
    <mergeCell ref="L180:M180"/>
    <mergeCell ref="N180:O180"/>
    <mergeCell ref="P180:Q180"/>
    <mergeCell ref="R180:S180"/>
    <mergeCell ref="T180:U180"/>
    <mergeCell ref="D178:G178"/>
    <mergeCell ref="H178:I178"/>
    <mergeCell ref="J178:K178"/>
    <mergeCell ref="L178:M178"/>
    <mergeCell ref="N178:O178"/>
    <mergeCell ref="L181:M181"/>
    <mergeCell ref="N181:O181"/>
    <mergeCell ref="P181:Q181"/>
    <mergeCell ref="R181:S181"/>
    <mergeCell ref="T181:U181"/>
    <mergeCell ref="D182:G182"/>
    <mergeCell ref="H182:I182"/>
    <mergeCell ref="J182:K182"/>
    <mergeCell ref="L182:M182"/>
    <mergeCell ref="N182:O182"/>
    <mergeCell ref="P182:Q182"/>
    <mergeCell ref="R182:S182"/>
    <mergeCell ref="T182:U182"/>
    <mergeCell ref="D181:G181"/>
    <mergeCell ref="H181:I181"/>
    <mergeCell ref="J181:K181"/>
    <mergeCell ref="D183:G183"/>
    <mergeCell ref="H183:I183"/>
    <mergeCell ref="J183:K183"/>
    <mergeCell ref="L183:M183"/>
    <mergeCell ref="N183:O183"/>
    <mergeCell ref="P183:Q183"/>
    <mergeCell ref="R183:S183"/>
    <mergeCell ref="T183:U183"/>
    <mergeCell ref="D184:G184"/>
    <mergeCell ref="H184:I184"/>
    <mergeCell ref="J184:K184"/>
    <mergeCell ref="L184:M184"/>
    <mergeCell ref="N184:O184"/>
    <mergeCell ref="P184:Q184"/>
    <mergeCell ref="R184:S184"/>
    <mergeCell ref="T184:U184"/>
    <mergeCell ref="D185:G185"/>
    <mergeCell ref="H185:I185"/>
    <mergeCell ref="J185:K185"/>
    <mergeCell ref="L185:M185"/>
    <mergeCell ref="N185:O185"/>
    <mergeCell ref="P185:Q185"/>
    <mergeCell ref="R185:S185"/>
    <mergeCell ref="T185:U185"/>
    <mergeCell ref="D186:G186"/>
    <mergeCell ref="H186:I186"/>
    <mergeCell ref="J186:K186"/>
    <mergeCell ref="L186:M186"/>
    <mergeCell ref="N186:O186"/>
    <mergeCell ref="P186:Q186"/>
    <mergeCell ref="R186:S186"/>
    <mergeCell ref="T186:U186"/>
    <mergeCell ref="D187:G187"/>
    <mergeCell ref="H187:I187"/>
    <mergeCell ref="J187:K187"/>
    <mergeCell ref="L187:M187"/>
    <mergeCell ref="N187:O187"/>
    <mergeCell ref="P187:Q187"/>
    <mergeCell ref="R187:S187"/>
    <mergeCell ref="T187:U187"/>
    <mergeCell ref="D188:G188"/>
    <mergeCell ref="H188:I188"/>
    <mergeCell ref="J188:K188"/>
    <mergeCell ref="L188:M188"/>
    <mergeCell ref="N188:O188"/>
    <mergeCell ref="P188:Q188"/>
    <mergeCell ref="R188:S188"/>
    <mergeCell ref="T188:U188"/>
    <mergeCell ref="D189:G189"/>
    <mergeCell ref="H189:I189"/>
    <mergeCell ref="J189:K189"/>
    <mergeCell ref="L189:M189"/>
    <mergeCell ref="N189:O189"/>
    <mergeCell ref="P189:Q189"/>
    <mergeCell ref="R189:S189"/>
    <mergeCell ref="T189:U189"/>
    <mergeCell ref="D191:G191"/>
    <mergeCell ref="H191:I191"/>
    <mergeCell ref="J191:K191"/>
    <mergeCell ref="L191:M191"/>
    <mergeCell ref="N191:O191"/>
    <mergeCell ref="P191:Q191"/>
    <mergeCell ref="R191:S191"/>
    <mergeCell ref="T191:U191"/>
    <mergeCell ref="D192:G192"/>
    <mergeCell ref="H192:I192"/>
    <mergeCell ref="J192:K192"/>
    <mergeCell ref="L192:M192"/>
    <mergeCell ref="N192:O192"/>
    <mergeCell ref="P192:Q192"/>
    <mergeCell ref="R192:S192"/>
    <mergeCell ref="T192:U192"/>
    <mergeCell ref="D193:G193"/>
    <mergeCell ref="H193:I193"/>
    <mergeCell ref="J193:K193"/>
    <mergeCell ref="L193:M193"/>
    <mergeCell ref="N193:O193"/>
    <mergeCell ref="P193:Q193"/>
    <mergeCell ref="R193:S193"/>
    <mergeCell ref="T193:U193"/>
    <mergeCell ref="D194:G194"/>
    <mergeCell ref="H194:I194"/>
    <mergeCell ref="J194:K194"/>
    <mergeCell ref="L194:M194"/>
    <mergeCell ref="N194:O194"/>
    <mergeCell ref="P194:Q194"/>
    <mergeCell ref="R194:S194"/>
    <mergeCell ref="T194:U194"/>
    <mergeCell ref="D195:G195"/>
    <mergeCell ref="H195:I195"/>
    <mergeCell ref="J195:K195"/>
    <mergeCell ref="L195:M195"/>
    <mergeCell ref="N195:O195"/>
    <mergeCell ref="P195:Q195"/>
    <mergeCell ref="R195:S195"/>
    <mergeCell ref="T195:U195"/>
    <mergeCell ref="D196:G196"/>
    <mergeCell ref="H196:I196"/>
    <mergeCell ref="J196:K196"/>
    <mergeCell ref="L196:M196"/>
    <mergeCell ref="N196:O196"/>
    <mergeCell ref="P196:Q196"/>
    <mergeCell ref="R196:S196"/>
    <mergeCell ref="T196:U196"/>
    <mergeCell ref="D197:G197"/>
    <mergeCell ref="H197:I197"/>
    <mergeCell ref="J197:K197"/>
    <mergeCell ref="L197:M197"/>
    <mergeCell ref="N197:O197"/>
    <mergeCell ref="P197:Q197"/>
    <mergeCell ref="R197:S197"/>
    <mergeCell ref="T197:U197"/>
    <mergeCell ref="D198:G198"/>
    <mergeCell ref="H198:I198"/>
    <mergeCell ref="J198:K198"/>
    <mergeCell ref="L198:M198"/>
    <mergeCell ref="N198:O198"/>
    <mergeCell ref="P198:Q198"/>
    <mergeCell ref="R198:S198"/>
    <mergeCell ref="T198:U198"/>
    <mergeCell ref="D199:G199"/>
    <mergeCell ref="H199:I199"/>
    <mergeCell ref="J199:K199"/>
    <mergeCell ref="L199:M199"/>
    <mergeCell ref="N199:O199"/>
    <mergeCell ref="P199:Q199"/>
    <mergeCell ref="R199:S199"/>
    <mergeCell ref="T199:U199"/>
    <mergeCell ref="D200:G200"/>
    <mergeCell ref="H200:I200"/>
    <mergeCell ref="J200:K200"/>
    <mergeCell ref="L200:M200"/>
    <mergeCell ref="N200:O200"/>
    <mergeCell ref="P200:Q200"/>
    <mergeCell ref="R200:S200"/>
    <mergeCell ref="T200:U200"/>
    <mergeCell ref="D202:G202"/>
    <mergeCell ref="H202:I202"/>
    <mergeCell ref="J202:K202"/>
    <mergeCell ref="L202:M202"/>
    <mergeCell ref="N202:O202"/>
    <mergeCell ref="P202:Q202"/>
    <mergeCell ref="R202:S202"/>
    <mergeCell ref="T202:U202"/>
    <mergeCell ref="D203:G203"/>
    <mergeCell ref="H203:I203"/>
    <mergeCell ref="J203:K203"/>
    <mergeCell ref="L203:M203"/>
    <mergeCell ref="N203:O203"/>
    <mergeCell ref="P203:Q203"/>
    <mergeCell ref="R203:S203"/>
    <mergeCell ref="T203:U203"/>
    <mergeCell ref="D204:G204"/>
    <mergeCell ref="H204:I204"/>
    <mergeCell ref="J204:K204"/>
    <mergeCell ref="L204:M204"/>
    <mergeCell ref="N204:O204"/>
    <mergeCell ref="P204:Q204"/>
    <mergeCell ref="R204:S204"/>
    <mergeCell ref="T204:U204"/>
    <mergeCell ref="D205:G205"/>
    <mergeCell ref="H205:I205"/>
    <mergeCell ref="J205:K205"/>
    <mergeCell ref="L205:M205"/>
    <mergeCell ref="N205:O205"/>
    <mergeCell ref="P205:Q205"/>
    <mergeCell ref="R205:S205"/>
    <mergeCell ref="T205:U205"/>
    <mergeCell ref="D206:G206"/>
    <mergeCell ref="H206:I206"/>
    <mergeCell ref="J206:K206"/>
    <mergeCell ref="L206:M206"/>
    <mergeCell ref="N206:O206"/>
    <mergeCell ref="P206:Q206"/>
    <mergeCell ref="R206:S206"/>
    <mergeCell ref="T206:U206"/>
    <mergeCell ref="D207:G207"/>
    <mergeCell ref="H207:I207"/>
    <mergeCell ref="J207:K207"/>
    <mergeCell ref="L207:M207"/>
    <mergeCell ref="N207:O207"/>
    <mergeCell ref="P207:Q207"/>
    <mergeCell ref="R207:S207"/>
    <mergeCell ref="T207:U207"/>
    <mergeCell ref="D208:G208"/>
    <mergeCell ref="H208:I208"/>
    <mergeCell ref="J208:K208"/>
    <mergeCell ref="L208:M208"/>
    <mergeCell ref="N208:O208"/>
    <mergeCell ref="P208:Q208"/>
    <mergeCell ref="R208:S208"/>
    <mergeCell ref="T208:U208"/>
    <mergeCell ref="B232:C232"/>
    <mergeCell ref="D232:P232"/>
    <mergeCell ref="Q232:U232"/>
    <mergeCell ref="D213:G213"/>
    <mergeCell ref="H213:I213"/>
    <mergeCell ref="J213:K213"/>
    <mergeCell ref="L213:M213"/>
    <mergeCell ref="N213:O213"/>
    <mergeCell ref="P213:Q213"/>
    <mergeCell ref="R213:S213"/>
    <mergeCell ref="T213:U213"/>
    <mergeCell ref="D214:G214"/>
    <mergeCell ref="H214:I214"/>
    <mergeCell ref="J214:K214"/>
    <mergeCell ref="L214:M214"/>
    <mergeCell ref="N214:O214"/>
    <mergeCell ref="B231:U231"/>
    <mergeCell ref="D217:G217"/>
    <mergeCell ref="H217:I217"/>
    <mergeCell ref="J217:K217"/>
    <mergeCell ref="L217:M217"/>
    <mergeCell ref="N217:O217"/>
    <mergeCell ref="P217:Q217"/>
    <mergeCell ref="R217:S217"/>
    <mergeCell ref="T214:U214"/>
    <mergeCell ref="D215:G215"/>
    <mergeCell ref="H215:I215"/>
    <mergeCell ref="J215:K215"/>
    <mergeCell ref="L215:M215"/>
    <mergeCell ref="D216:G216"/>
    <mergeCell ref="B225:C225"/>
    <mergeCell ref="D224:G224"/>
    <mergeCell ref="D225:G225"/>
    <mergeCell ref="H224:I224"/>
    <mergeCell ref="H225:I225"/>
    <mergeCell ref="J224:K224"/>
    <mergeCell ref="J225:K225"/>
    <mergeCell ref="L224:M224"/>
    <mergeCell ref="L225:M225"/>
    <mergeCell ref="D221:G221"/>
    <mergeCell ref="H221:I221"/>
    <mergeCell ref="T216:U216"/>
    <mergeCell ref="J221:K221"/>
    <mergeCell ref="L221:M221"/>
    <mergeCell ref="N221:O221"/>
    <mergeCell ref="P221:Q221"/>
    <mergeCell ref="T217:U217"/>
    <mergeCell ref="D218:G218"/>
    <mergeCell ref="B224:C224"/>
    <mergeCell ref="D222:G222"/>
    <mergeCell ref="H222:I222"/>
    <mergeCell ref="J222:K222"/>
    <mergeCell ref="L222:M222"/>
    <mergeCell ref="N222:O222"/>
    <mergeCell ref="P222:Q222"/>
    <mergeCell ref="R222:S222"/>
    <mergeCell ref="P214:Q214"/>
    <mergeCell ref="R214:S214"/>
    <mergeCell ref="H218:I218"/>
    <mergeCell ref="J218:K218"/>
    <mergeCell ref="L218:M218"/>
    <mergeCell ref="N218:O218"/>
    <mergeCell ref="P218:Q218"/>
    <mergeCell ref="R218:S218"/>
    <mergeCell ref="H220:I220"/>
    <mergeCell ref="J220:K220"/>
    <mergeCell ref="L220:M220"/>
    <mergeCell ref="N220:O220"/>
    <mergeCell ref="P220:Q220"/>
    <mergeCell ref="D219:G219"/>
    <mergeCell ref="H219:I219"/>
    <mergeCell ref="J219:K219"/>
    <mergeCell ref="L219:M219"/>
    <mergeCell ref="N219:O219"/>
    <mergeCell ref="P219:Q219"/>
    <mergeCell ref="D220:G220"/>
    <mergeCell ref="H216:I216"/>
    <mergeCell ref="J216:K216"/>
    <mergeCell ref="L216:M216"/>
    <mergeCell ref="R149:U149"/>
    <mergeCell ref="R150:U150"/>
    <mergeCell ref="R151:U151"/>
    <mergeCell ref="J149:M149"/>
    <mergeCell ref="J150:M150"/>
    <mergeCell ref="J151:M151"/>
    <mergeCell ref="N149:Q149"/>
    <mergeCell ref="N150:Q150"/>
    <mergeCell ref="N151:Q151"/>
    <mergeCell ref="D211:G211"/>
    <mergeCell ref="H211:I211"/>
    <mergeCell ref="J211:K211"/>
    <mergeCell ref="L211:M211"/>
    <mergeCell ref="N211:O211"/>
    <mergeCell ref="P211:Q211"/>
    <mergeCell ref="R211:S211"/>
    <mergeCell ref="T211:U211"/>
    <mergeCell ref="D209:G209"/>
    <mergeCell ref="H209:I209"/>
    <mergeCell ref="J209:K209"/>
    <mergeCell ref="L209:M209"/>
    <mergeCell ref="N209:O209"/>
    <mergeCell ref="P209:Q209"/>
    <mergeCell ref="R209:S209"/>
    <mergeCell ref="T209:U209"/>
    <mergeCell ref="D210:G210"/>
    <mergeCell ref="H210:I210"/>
    <mergeCell ref="J210:K210"/>
    <mergeCell ref="L210:M210"/>
    <mergeCell ref="N210:O210"/>
    <mergeCell ref="P210:Q210"/>
    <mergeCell ref="R210:S210"/>
    <mergeCell ref="T210:U210"/>
    <mergeCell ref="T225:U225"/>
    <mergeCell ref="N215:O215"/>
    <mergeCell ref="P215:Q215"/>
    <mergeCell ref="R215:S215"/>
    <mergeCell ref="T215:U215"/>
    <mergeCell ref="N224:O224"/>
    <mergeCell ref="N225:O225"/>
    <mergeCell ref="P224:Q224"/>
    <mergeCell ref="P225:Q225"/>
    <mergeCell ref="R224:S224"/>
    <mergeCell ref="R225:S225"/>
    <mergeCell ref="N216:O216"/>
    <mergeCell ref="P216:Q216"/>
    <mergeCell ref="R216:S216"/>
    <mergeCell ref="R219:S219"/>
    <mergeCell ref="T219:U219"/>
    <mergeCell ref="T218:U218"/>
    <mergeCell ref="R220:S220"/>
    <mergeCell ref="T220:U220"/>
    <mergeCell ref="T221:U221"/>
    <mergeCell ref="T224:U224"/>
    <mergeCell ref="T222:U222"/>
    <mergeCell ref="R221:S221"/>
    <mergeCell ref="N10:O10"/>
    <mergeCell ref="N11:O11"/>
    <mergeCell ref="N12:O12"/>
    <mergeCell ref="P6:Q6"/>
    <mergeCell ref="P7:Q7"/>
    <mergeCell ref="P8:Q8"/>
    <mergeCell ref="P9:Q9"/>
    <mergeCell ref="P10:Q10"/>
    <mergeCell ref="P11:Q11"/>
    <mergeCell ref="P12:Q12"/>
    <mergeCell ref="E8:M8"/>
    <mergeCell ref="E9:M9"/>
    <mergeCell ref="E10:M10"/>
    <mergeCell ref="E11:M11"/>
    <mergeCell ref="E12:M12"/>
    <mergeCell ref="R4:U4"/>
    <mergeCell ref="M4:N4"/>
    <mergeCell ref="I4:J4"/>
    <mergeCell ref="R6:S6"/>
    <mergeCell ref="R7:S7"/>
    <mergeCell ref="R8:S8"/>
    <mergeCell ref="R9:S9"/>
    <mergeCell ref="R10:S10"/>
    <mergeCell ref="R11:S11"/>
    <mergeCell ref="R12:S12"/>
    <mergeCell ref="T6:U6"/>
    <mergeCell ref="T7:U7"/>
    <mergeCell ref="T8:U8"/>
    <mergeCell ref="T9:U9"/>
    <mergeCell ref="T10:U10"/>
    <mergeCell ref="T11:U11"/>
    <mergeCell ref="T12:U12"/>
    <mergeCell ref="N8:O8"/>
    <mergeCell ref="N9:O9"/>
  </mergeCells>
  <phoneticPr fontId="7" type="noConversion"/>
  <conditionalFormatting sqref="B48:U51">
    <cfRule type="expression" dxfId="28" priority="4" stopIfTrue="1">
      <formula>$A$48=1</formula>
    </cfRule>
    <cfRule type="expression" dxfId="27" priority="37" stopIfTrue="1">
      <formula>$A$48=1</formula>
    </cfRule>
  </conditionalFormatting>
  <conditionalFormatting sqref="B53:U58">
    <cfRule type="expression" dxfId="26" priority="36" stopIfTrue="1">
      <formula>$A$53</formula>
    </cfRule>
  </conditionalFormatting>
  <conditionalFormatting sqref="B65:U71">
    <cfRule type="expression" dxfId="25" priority="35" stopIfTrue="1">
      <formula>$A$65</formula>
    </cfRule>
  </conditionalFormatting>
  <conditionalFormatting sqref="B73:U87">
    <cfRule type="expression" dxfId="24" priority="34" stopIfTrue="1">
      <formula>$A$73</formula>
    </cfRule>
  </conditionalFormatting>
  <conditionalFormatting sqref="B94:U102">
    <cfRule type="expression" dxfId="23" priority="33" stopIfTrue="1">
      <formula>$A$94</formula>
    </cfRule>
  </conditionalFormatting>
  <conditionalFormatting sqref="B129:U145">
    <cfRule type="expression" dxfId="22" priority="32" stopIfTrue="1">
      <formula>$A$129</formula>
    </cfRule>
  </conditionalFormatting>
  <conditionalFormatting sqref="B104:U112 B112:U112">
    <cfRule type="expression" dxfId="21" priority="31" stopIfTrue="1">
      <formula>$A$104</formula>
    </cfRule>
  </conditionalFormatting>
  <conditionalFormatting sqref="B393">
    <cfRule type="expression" dxfId="20" priority="30" stopIfTrue="1">
      <formula>#REF!=0</formula>
    </cfRule>
  </conditionalFormatting>
  <conditionalFormatting sqref="B394">
    <cfRule type="expression" dxfId="19" priority="29" stopIfTrue="1">
      <formula>#REF!=0</formula>
    </cfRule>
  </conditionalFormatting>
  <conditionalFormatting sqref="B398:B403">
    <cfRule type="expression" dxfId="18" priority="28" stopIfTrue="1">
      <formula>#REF!=0</formula>
    </cfRule>
  </conditionalFormatting>
  <conditionalFormatting sqref="B404:B406">
    <cfRule type="expression" dxfId="17" priority="27" stopIfTrue="1">
      <formula>#REF!=0</formula>
    </cfRule>
  </conditionalFormatting>
  <conditionalFormatting sqref="B408:B409">
    <cfRule type="expression" dxfId="16" priority="26" stopIfTrue="1">
      <formula>#REF!=0</formula>
    </cfRule>
  </conditionalFormatting>
  <conditionalFormatting sqref="B344:U353">
    <cfRule type="expression" dxfId="15" priority="25" stopIfTrue="1">
      <formula>$A$344=1</formula>
    </cfRule>
  </conditionalFormatting>
  <conditionalFormatting sqref="B355:U364">
    <cfRule type="expression" dxfId="14" priority="24" stopIfTrue="1">
      <formula>$A$355</formula>
    </cfRule>
  </conditionalFormatting>
  <conditionalFormatting sqref="B366:U374">
    <cfRule type="expression" dxfId="13" priority="23" stopIfTrue="1">
      <formula>$A$366=1</formula>
    </cfRule>
  </conditionalFormatting>
  <conditionalFormatting sqref="B58:D58">
    <cfRule type="expression" dxfId="12" priority="22" stopIfTrue="1">
      <formula>$A$53</formula>
    </cfRule>
  </conditionalFormatting>
  <conditionalFormatting sqref="H58">
    <cfRule type="expression" dxfId="11" priority="18" stopIfTrue="1">
      <formula>$A$53</formula>
    </cfRule>
  </conditionalFormatting>
  <conditionalFormatting sqref="H57:J57">
    <cfRule type="expression" dxfId="10" priority="16" stopIfTrue="1">
      <formula>$A$53</formula>
    </cfRule>
  </conditionalFormatting>
  <conditionalFormatting sqref="E56:G56">
    <cfRule type="expression" dxfId="9" priority="15" stopIfTrue="1">
      <formula>$A$53</formula>
    </cfRule>
  </conditionalFormatting>
  <conditionalFormatting sqref="E57:G57">
    <cfRule type="expression" dxfId="8" priority="14" stopIfTrue="1">
      <formula>$A$53</formula>
    </cfRule>
  </conditionalFormatting>
  <conditionalFormatting sqref="B147:U153">
    <cfRule type="expression" dxfId="7" priority="12" stopIfTrue="1">
      <formula>$A$149=1</formula>
    </cfRule>
  </conditionalFormatting>
  <conditionalFormatting sqref="B389">
    <cfRule type="expression" dxfId="6" priority="10" stopIfTrue="1">
      <formula>#REF!=0</formula>
    </cfRule>
  </conditionalFormatting>
  <conditionalFormatting sqref="B390">
    <cfRule type="expression" dxfId="5" priority="9" stopIfTrue="1">
      <formula>#REF!=0</formula>
    </cfRule>
  </conditionalFormatting>
  <conditionalFormatting sqref="B19:U25">
    <cfRule type="expression" dxfId="4" priority="3">
      <formula>$A$48=1</formula>
    </cfRule>
  </conditionalFormatting>
  <conditionalFormatting sqref="B235:B255 B333:B341 B258:B330">
    <cfRule type="expression" dxfId="3" priority="38" stopIfTrue="1">
      <formula>V235=2</formula>
    </cfRule>
    <cfRule type="expression" dxfId="2" priority="48" stopIfTrue="1">
      <formula>V235=1</formula>
    </cfRule>
  </conditionalFormatting>
  <conditionalFormatting sqref="B133:B145">
    <cfRule type="expression" dxfId="1" priority="2" stopIfTrue="1">
      <formula>$A$129</formula>
    </cfRule>
  </conditionalFormatting>
  <conditionalFormatting sqref="B395:B397">
    <cfRule type="expression" dxfId="0" priority="1" stopIfTrue="1">
      <formula>#REF!=0</formula>
    </cfRule>
  </conditionalFormatting>
  <printOptions horizontalCentered="1" verticalCentered="1"/>
  <pageMargins left="0.19685039370078741" right="0.19685039370078741" top="0.19685039370078741" bottom="0.19685039370078741" header="0.51181102362204722" footer="0.23622047244094491"/>
  <pageSetup paperSize="9" fitToHeight="6" orientation="portrait" r:id="rId1"/>
  <headerFooter alignWithMargins="0">
    <oddFooter>&amp;L&amp;9第&amp;"Arial,標準"&amp;P&amp;"新細明體,標準"頁&amp;"Arial,標準"/&amp;"新細明體,標準"共&amp;"Arial,標準"&amp;N&amp;"新細明體,標準"頁</oddFooter>
  </headerFooter>
  <ignoredErrors>
    <ignoredError sqref="B15:B16"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54</vt:i4>
      </vt:variant>
    </vt:vector>
  </HeadingPairs>
  <TitlesOfParts>
    <vt:vector size="56" baseType="lpstr">
      <vt:lpstr>輸入頁</vt:lpstr>
      <vt:lpstr>列印頁</vt:lpstr>
      <vt:lpstr>_BGP1</vt:lpstr>
      <vt:lpstr>_DIE1</vt:lpstr>
      <vt:lpstr>_INS1</vt:lpstr>
      <vt:lpstr>_MGP1</vt:lpstr>
      <vt:lpstr>_PM1</vt:lpstr>
      <vt:lpstr>AORCV</vt:lpstr>
      <vt:lpstr>AORGP</vt:lpstr>
      <vt:lpstr>BD</vt:lpstr>
      <vt:lpstr>BGP</vt:lpstr>
      <vt:lpstr>CLRGP</vt:lpstr>
      <vt:lpstr>CV</vt:lpstr>
      <vt:lpstr>CV_1</vt:lpstr>
      <vt:lpstr>DIE</vt:lpstr>
      <vt:lpstr>DIE_A</vt:lpstr>
      <vt:lpstr>DINS</vt:lpstr>
      <vt:lpstr>GP</vt:lpstr>
      <vt:lpstr>GP_1</vt:lpstr>
      <vt:lpstr>HL</vt:lpstr>
      <vt:lpstr>HL_1</vt:lpstr>
      <vt:lpstr>HNRGP</vt:lpstr>
      <vt:lpstr>HORGP</vt:lpstr>
      <vt:lpstr>HSGGP</vt:lpstr>
      <vt:lpstr>IN</vt:lpstr>
      <vt:lpstr>INS</vt:lpstr>
      <vt:lpstr>List</vt:lpstr>
      <vt:lpstr>MGP</vt:lpstr>
      <vt:lpstr>PA</vt:lpstr>
      <vt:lpstr>PAY</vt:lpstr>
      <vt:lpstr>PAYAll</vt:lpstr>
      <vt:lpstr>PI</vt:lpstr>
      <vt:lpstr>PM</vt:lpstr>
      <vt:lpstr>列印頁!Print_Area</vt:lpstr>
      <vt:lpstr>輸入頁!Print_Area</vt:lpstr>
      <vt:lpstr>RDOC</vt:lpstr>
      <vt:lpstr>RList</vt:lpstr>
      <vt:lpstr>RTEX</vt:lpstr>
      <vt:lpstr>SEX</vt:lpstr>
      <vt:lpstr>SM</vt:lpstr>
      <vt:lpstr>SUMP</vt:lpstr>
      <vt:lpstr>SUMY</vt:lpstr>
      <vt:lpstr>WORDING</vt:lpstr>
      <vt:lpstr>WORDING1</vt:lpstr>
      <vt:lpstr>WORDINGP</vt:lpstr>
      <vt:lpstr>WORDINGP1</vt:lpstr>
      <vt:lpstr>YPN</vt:lpstr>
      <vt:lpstr>YPN1</vt:lpstr>
      <vt:lpstr>主約1</vt:lpstr>
      <vt:lpstr>保額倍數</vt:lpstr>
      <vt:lpstr>繳</vt:lpstr>
      <vt:lpstr>繳1</vt:lpstr>
      <vt:lpstr>繳別首</vt:lpstr>
      <vt:lpstr>繳別首1</vt:lpstr>
      <vt:lpstr>繳別續</vt:lpstr>
      <vt:lpstr>繳別續1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吳幸旻</dc:creator>
  <cp:lastModifiedBy>鄭靜怡</cp:lastModifiedBy>
  <cp:lastPrinted>2022-05-20T05:30:53Z</cp:lastPrinted>
  <dcterms:created xsi:type="dcterms:W3CDTF">2006-07-31T15:34:04Z</dcterms:created>
  <dcterms:modified xsi:type="dcterms:W3CDTF">2022-09-07T05:36:08Z</dcterms:modified>
</cp:coreProperties>
</file>