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GRAD SCHOOL\YEAR ONE\283\Final Project\"/>
    </mc:Choice>
  </mc:AlternateContent>
  <bookViews>
    <workbookView xWindow="720" yWindow="228" windowWidth="11112" windowHeight="9168" firstSheet="8" activeTab="9"/>
  </bookViews>
  <sheets>
    <sheet name="InputData" sheetId="1" r:id="rId1"/>
    <sheet name="BI Trends" sheetId="17" r:id="rId2"/>
    <sheet name="PD Trends" sheetId="19" r:id="rId3"/>
    <sheet name="PIP Trends" sheetId="20" r:id="rId4"/>
    <sheet name="COLL Trends" sheetId="22" r:id="rId5"/>
    <sheet name="COMP Trends" sheetId="21" r:id="rId6"/>
    <sheet name="Loss Projection Factors" sheetId="13" r:id="rId7"/>
    <sheet name="Deductible Factors" sheetId="7" r:id="rId8"/>
    <sheet name="Age Sex Factors" sheetId="8" r:id="rId9"/>
    <sheet name="Indicated Change" sheetId="9" r:id="rId10"/>
  </sheets>
  <definedNames>
    <definedName name="_xlnm._FilterDatabase" localSheetId="0" hidden="1">InputData!$P$2:$P$549</definedName>
    <definedName name="_xlnm.Print_Area" localSheetId="8">'Age Sex Factors'!$B$1:$K$44</definedName>
    <definedName name="_xlnm.Print_Area" localSheetId="1">'BI Trends'!$B$1:$N$56</definedName>
    <definedName name="_xlnm.Print_Area" localSheetId="4">'COLL Trends'!$B$1:$N$56</definedName>
    <definedName name="_xlnm.Print_Area" localSheetId="5">'COMP Trends'!$B$1:$N$56</definedName>
    <definedName name="_xlnm.Print_Area" localSheetId="7">'Deductible Factors'!$A$1:$I$18</definedName>
    <definedName name="_xlnm.Print_Area" localSheetId="6">'Loss Projection Factors'!$A$1:$K$39</definedName>
    <definedName name="_xlnm.Print_Area" localSheetId="2">'PD Trends'!$B$1:$N$56</definedName>
    <definedName name="_xlnm.Print_Area" localSheetId="3">'PIP Trends'!$B$1:$N$56</definedName>
  </definedNames>
  <calcPr calcId="152511"/>
</workbook>
</file>

<file path=xl/calcChain.xml><?xml version="1.0" encoding="utf-8"?>
<calcChain xmlns="http://schemas.openxmlformats.org/spreadsheetml/2006/main">
  <c r="D8" i="7" l="1" a="1"/>
  <c r="D8" i="7" s="1"/>
  <c r="D9" i="9" l="1" a="1"/>
  <c r="D9" i="9" s="1"/>
  <c r="C9" i="9" a="1"/>
  <c r="C9" i="9" s="1"/>
  <c r="D10" i="9" a="1"/>
  <c r="D10" i="9" s="1"/>
  <c r="D11" i="9" a="1"/>
  <c r="D11" i="9" s="1"/>
  <c r="C11" i="9" a="1"/>
  <c r="C11" i="9" s="1"/>
  <c r="C10" i="9" a="1"/>
  <c r="C10" i="9" s="1"/>
  <c r="E25" i="8" a="1"/>
  <c r="E25" i="8" s="1"/>
  <c r="F25" i="8" a="1"/>
  <c r="F25" i="8" s="1"/>
  <c r="G25" i="8" a="1"/>
  <c r="G25" i="8" s="1"/>
  <c r="E26" i="8" a="1"/>
  <c r="E26" i="8" s="1"/>
  <c r="F26" i="8" a="1"/>
  <c r="F26" i="8" s="1"/>
  <c r="G26" i="8" a="1"/>
  <c r="G26" i="8" s="1"/>
  <c r="E27" i="8" a="1"/>
  <c r="E27" i="8" s="1"/>
  <c r="F27" i="8" a="1"/>
  <c r="F27" i="8" s="1"/>
  <c r="G27" i="8" a="1"/>
  <c r="G27" i="8" s="1"/>
  <c r="E28" i="8" a="1"/>
  <c r="E28" i="8" s="1"/>
  <c r="F28" i="8" a="1"/>
  <c r="F28" i="8" s="1"/>
  <c r="G28" i="8" a="1"/>
  <c r="G28" i="8" s="1"/>
  <c r="E29" i="8" a="1"/>
  <c r="E29" i="8" s="1"/>
  <c r="F29" i="8" a="1"/>
  <c r="F29" i="8" s="1"/>
  <c r="G29" i="8" a="1"/>
  <c r="G29" i="8" s="1"/>
  <c r="E30" i="8" a="1"/>
  <c r="E30" i="8" s="1"/>
  <c r="F30" i="8" a="1"/>
  <c r="F30" i="8" s="1"/>
  <c r="G30" i="8" a="1"/>
  <c r="G30" i="8" s="1"/>
  <c r="E31" i="8" a="1"/>
  <c r="E31" i="8" s="1"/>
  <c r="F31" i="8" a="1"/>
  <c r="F31" i="8" s="1"/>
  <c r="G31" i="8" a="1"/>
  <c r="G31" i="8" s="1"/>
  <c r="E32" i="8" a="1"/>
  <c r="E32" i="8" s="1"/>
  <c r="F32" i="8" a="1"/>
  <c r="F32" i="8" s="1"/>
  <c r="G32" i="8" a="1"/>
  <c r="G32" i="8" s="1"/>
  <c r="E33" i="8" a="1"/>
  <c r="E33" i="8" s="1"/>
  <c r="F33" i="8" a="1"/>
  <c r="F33" i="8" s="1"/>
  <c r="G33" i="8" a="1"/>
  <c r="G33" i="8" s="1"/>
  <c r="E34" i="8" a="1"/>
  <c r="E34" i="8" s="1"/>
  <c r="F34" i="8" a="1"/>
  <c r="F34" i="8" s="1"/>
  <c r="G34" i="8" a="1"/>
  <c r="G34" i="8" s="1"/>
  <c r="E35" i="8" a="1"/>
  <c r="E35" i="8" s="1"/>
  <c r="F35" i="8" a="1"/>
  <c r="F35" i="8" s="1"/>
  <c r="G35" i="8" a="1"/>
  <c r="G35" i="8" s="1"/>
  <c r="E36" i="8" a="1"/>
  <c r="E36" i="8" s="1"/>
  <c r="F36" i="8" a="1"/>
  <c r="F36" i="8" s="1"/>
  <c r="G36" i="8" a="1"/>
  <c r="G36" i="8" s="1"/>
  <c r="E37" i="8" a="1"/>
  <c r="E37" i="8" s="1"/>
  <c r="F37" i="8" a="1"/>
  <c r="F37" i="8" s="1"/>
  <c r="G37" i="8" a="1"/>
  <c r="G37" i="8" s="1"/>
  <c r="E38" i="8" a="1"/>
  <c r="E38" i="8" s="1"/>
  <c r="F38" i="8" a="1"/>
  <c r="F38" i="8" s="1"/>
  <c r="G38" i="8" a="1"/>
  <c r="G38" i="8" s="1"/>
  <c r="G24" i="8" a="1"/>
  <c r="G24" i="8" s="1"/>
  <c r="F24" i="8" a="1"/>
  <c r="F24" i="8" s="1"/>
  <c r="E24" i="8" a="1"/>
  <c r="E24" i="8" s="1"/>
  <c r="G14" i="8" a="1"/>
  <c r="G14" i="8" s="1"/>
  <c r="G15" i="8" a="1"/>
  <c r="G15" i="8" s="1"/>
  <c r="G16" i="8" a="1"/>
  <c r="G16" i="8" s="1"/>
  <c r="G17" i="8" a="1"/>
  <c r="G17" i="8" s="1"/>
  <c r="G18" i="8" a="1"/>
  <c r="G18" i="8" s="1"/>
  <c r="G19" i="8" a="1"/>
  <c r="G19" i="8" s="1"/>
  <c r="G20" i="8" a="1"/>
  <c r="G20" i="8" s="1"/>
  <c r="G21" i="8" a="1"/>
  <c r="G21" i="8" s="1"/>
  <c r="G22" i="8" a="1"/>
  <c r="G22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H14" i="8" s="1"/>
  <c r="F15" i="8" a="1"/>
  <c r="F15" i="8" s="1"/>
  <c r="F16" i="8" a="1"/>
  <c r="F16" i="8" s="1"/>
  <c r="H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G8" i="8" a="1"/>
  <c r="G8" i="8" s="1"/>
  <c r="F8" i="8" a="1"/>
  <c r="F8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F13" i="7" s="1"/>
  <c r="E8" i="7" a="1"/>
  <c r="E8" i="7" s="1"/>
  <c r="D9" i="7" a="1"/>
  <c r="D9" i="7" s="1"/>
  <c r="D10" i="7" a="1"/>
  <c r="D10" i="7" s="1"/>
  <c r="D11" i="7" a="1"/>
  <c r="D11" i="7" s="1"/>
  <c r="F11" i="7" s="1"/>
  <c r="D12" i="7" a="1"/>
  <c r="D12" i="7" s="1"/>
  <c r="D13" i="7" a="1"/>
  <c r="D13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8" i="7" a="1"/>
  <c r="C8" i="7" s="1"/>
  <c r="K7" i="21" a="1"/>
  <c r="K7" i="21" s="1"/>
  <c r="L7" i="21" a="1"/>
  <c r="L7" i="21" s="1"/>
  <c r="K8" i="21" a="1"/>
  <c r="K8" i="21" s="1"/>
  <c r="L8" i="21" a="1"/>
  <c r="L8" i="21" s="1"/>
  <c r="K9" i="21" a="1"/>
  <c r="K9" i="21" s="1"/>
  <c r="L9" i="21" a="1"/>
  <c r="L9" i="21" s="1"/>
  <c r="K10" i="21" a="1"/>
  <c r="K10" i="21" s="1"/>
  <c r="L10" i="21" a="1"/>
  <c r="L10" i="21" s="1"/>
  <c r="K11" i="21" a="1"/>
  <c r="K11" i="21" s="1"/>
  <c r="L11" i="21" a="1"/>
  <c r="L11" i="21" s="1"/>
  <c r="K12" i="21" a="1"/>
  <c r="K12" i="21" s="1"/>
  <c r="L12" i="21" a="1"/>
  <c r="L12" i="21" s="1"/>
  <c r="K13" i="21" a="1"/>
  <c r="K13" i="21" s="1"/>
  <c r="L13" i="21" a="1"/>
  <c r="L13" i="21" s="1"/>
  <c r="K14" i="21" a="1"/>
  <c r="K14" i="21" s="1"/>
  <c r="L14" i="21" a="1"/>
  <c r="L14" i="21" s="1"/>
  <c r="K15" i="21" a="1"/>
  <c r="K15" i="21" s="1"/>
  <c r="L15" i="21" a="1"/>
  <c r="L15" i="21" s="1"/>
  <c r="K16" i="21" a="1"/>
  <c r="K16" i="21" s="1"/>
  <c r="L16" i="21" a="1"/>
  <c r="L16" i="21" s="1"/>
  <c r="K17" i="21" a="1"/>
  <c r="K17" i="21" s="1"/>
  <c r="L17" i="21" a="1"/>
  <c r="L17" i="21" s="1"/>
  <c r="K18" i="21" a="1"/>
  <c r="K18" i="21" s="1"/>
  <c r="L18" i="21" a="1"/>
  <c r="L18" i="21" s="1"/>
  <c r="K19" i="21" a="1"/>
  <c r="K19" i="21" s="1"/>
  <c r="L19" i="21" a="1"/>
  <c r="L19" i="21" s="1"/>
  <c r="M19" i="21" s="1"/>
  <c r="K20" i="21" a="1"/>
  <c r="K20" i="21" s="1"/>
  <c r="L20" i="21" a="1"/>
  <c r="L20" i="21" s="1"/>
  <c r="K21" i="21" a="1"/>
  <c r="K21" i="21" s="1"/>
  <c r="L21" i="21" a="1"/>
  <c r="L21" i="21" s="1"/>
  <c r="K22" i="21" a="1"/>
  <c r="K22" i="21" s="1"/>
  <c r="L22" i="21" a="1"/>
  <c r="L22" i="21" s="1"/>
  <c r="K23" i="21" a="1"/>
  <c r="K23" i="21" s="1"/>
  <c r="L23" i="21" a="1"/>
  <c r="L23" i="21" s="1"/>
  <c r="K24" i="21" a="1"/>
  <c r="K24" i="21" s="1"/>
  <c r="F10" i="13" s="1"/>
  <c r="G10" i="13" s="1" a="1"/>
  <c r="G10" i="13" s="1"/>
  <c r="L24" i="21" a="1"/>
  <c r="L24" i="21" s="1"/>
  <c r="J8" i="21" a="1"/>
  <c r="J8" i="21" s="1"/>
  <c r="J9" i="21" a="1"/>
  <c r="J9" i="21" s="1"/>
  <c r="J10" i="21" a="1"/>
  <c r="J10" i="21" s="1"/>
  <c r="J11" i="21" a="1"/>
  <c r="J11" i="21" s="1"/>
  <c r="M11" i="21" s="1"/>
  <c r="J12" i="21" a="1"/>
  <c r="J12" i="21" s="1"/>
  <c r="J13" i="21" a="1"/>
  <c r="J13" i="21" s="1"/>
  <c r="J14" i="21" a="1"/>
  <c r="J14" i="21" s="1"/>
  <c r="J15" i="21" a="1"/>
  <c r="J15" i="21"/>
  <c r="M15" i="21" s="1"/>
  <c r="J16" i="21" a="1"/>
  <c r="J16" i="21" s="1"/>
  <c r="J17" i="21" a="1"/>
  <c r="J17" i="21" s="1"/>
  <c r="J18" i="21" a="1"/>
  <c r="J18" i="21" s="1"/>
  <c r="J19" i="21" a="1"/>
  <c r="J19" i="21" s="1"/>
  <c r="J20" i="21" a="1"/>
  <c r="J20" i="21" s="1"/>
  <c r="J21" i="21" a="1"/>
  <c r="J21" i="21" s="1"/>
  <c r="J22" i="21" a="1"/>
  <c r="J22" i="21" s="1"/>
  <c r="J23" i="21" a="1"/>
  <c r="J23" i="21" s="1"/>
  <c r="J24" i="21" a="1"/>
  <c r="J24" i="21" s="1"/>
  <c r="J7" i="21" a="1"/>
  <c r="J7" i="21" s="1"/>
  <c r="E7" i="21" a="1"/>
  <c r="E7" i="21" s="1"/>
  <c r="F7" i="21" a="1"/>
  <c r="F7" i="21" s="1"/>
  <c r="E8" i="21" a="1"/>
  <c r="E8" i="21" s="1"/>
  <c r="F8" i="21" a="1"/>
  <c r="F8" i="21"/>
  <c r="E9" i="21" a="1"/>
  <c r="E9" i="21" s="1"/>
  <c r="F9" i="21" a="1"/>
  <c r="F9" i="21" s="1"/>
  <c r="E10" i="21" a="1"/>
  <c r="E10" i="21" s="1"/>
  <c r="F10" i="21" a="1"/>
  <c r="F10" i="21" s="1"/>
  <c r="E11" i="21" a="1"/>
  <c r="E11" i="21" s="1"/>
  <c r="F11" i="21" a="1"/>
  <c r="F11" i="21" s="1"/>
  <c r="E12" i="21" a="1"/>
  <c r="E12" i="21" s="1"/>
  <c r="F12" i="21" a="1"/>
  <c r="F12" i="21" s="1"/>
  <c r="G12" i="21" s="1"/>
  <c r="E13" i="21" a="1"/>
  <c r="E13" i="21" s="1"/>
  <c r="F13" i="21" a="1"/>
  <c r="F13" i="21" s="1"/>
  <c r="E14" i="21" a="1"/>
  <c r="E14" i="21" s="1"/>
  <c r="F14" i="21" a="1"/>
  <c r="F14" i="21" s="1"/>
  <c r="E15" i="21" a="1"/>
  <c r="E15" i="21" s="1"/>
  <c r="F15" i="21" a="1"/>
  <c r="F15" i="21" s="1"/>
  <c r="E16" i="21" a="1"/>
  <c r="E16" i="21" s="1"/>
  <c r="F16" i="21" a="1"/>
  <c r="F16" i="21"/>
  <c r="E17" i="21" a="1"/>
  <c r="E17" i="21" s="1"/>
  <c r="F17" i="21" a="1"/>
  <c r="F17" i="21" s="1"/>
  <c r="E18" i="21" a="1"/>
  <c r="E18" i="21" s="1"/>
  <c r="F18" i="21" a="1"/>
  <c r="F18" i="21" s="1"/>
  <c r="E19" i="21" a="1"/>
  <c r="E19" i="21" s="1"/>
  <c r="F19" i="21" a="1"/>
  <c r="F19" i="21" s="1"/>
  <c r="E20" i="21" a="1"/>
  <c r="E20" i="21" s="1"/>
  <c r="F20" i="21" a="1"/>
  <c r="F20" i="21"/>
  <c r="G20" i="21" s="1"/>
  <c r="E21" i="21" a="1"/>
  <c r="E21" i="21" s="1"/>
  <c r="F21" i="21" a="1"/>
  <c r="F21" i="21" s="1"/>
  <c r="E22" i="21" a="1"/>
  <c r="E22" i="21" s="1"/>
  <c r="F22" i="21" a="1"/>
  <c r="F22" i="21" s="1"/>
  <c r="E23" i="21" a="1"/>
  <c r="E23" i="21" s="1"/>
  <c r="F23" i="21" a="1"/>
  <c r="F23" i="21" s="1"/>
  <c r="E24" i="21" a="1"/>
  <c r="E24" i="21" s="1"/>
  <c r="F24" i="21" a="1"/>
  <c r="F24" i="21" s="1"/>
  <c r="G24" i="21" s="1"/>
  <c r="D8" i="21" a="1"/>
  <c r="D8" i="21" s="1"/>
  <c r="D9" i="21" a="1"/>
  <c r="D9" i="21" s="1"/>
  <c r="D10" i="21" a="1"/>
  <c r="D10" i="21" s="1"/>
  <c r="D11" i="21" a="1"/>
  <c r="D11" i="21" s="1"/>
  <c r="D12" i="21" a="1"/>
  <c r="D12" i="21" s="1"/>
  <c r="D13" i="21" a="1"/>
  <c r="D13" i="21" s="1"/>
  <c r="D14" i="21" a="1"/>
  <c r="D14" i="21" s="1"/>
  <c r="D15" i="21" a="1"/>
  <c r="D15" i="21" s="1"/>
  <c r="D16" i="21" a="1"/>
  <c r="D16" i="21" s="1"/>
  <c r="D17" i="21" a="1"/>
  <c r="D17" i="21" s="1"/>
  <c r="D18" i="21" a="1"/>
  <c r="D18" i="21" s="1"/>
  <c r="D19" i="21" a="1"/>
  <c r="D19" i="21" s="1"/>
  <c r="D20" i="21" a="1"/>
  <c r="D20" i="21" s="1"/>
  <c r="D21" i="21" a="1"/>
  <c r="D21" i="21"/>
  <c r="D22" i="21" a="1"/>
  <c r="D22" i="21" s="1"/>
  <c r="D23" i="21" a="1"/>
  <c r="D23" i="21" s="1"/>
  <c r="D24" i="21" a="1"/>
  <c r="D24" i="21" s="1"/>
  <c r="D7" i="21" a="1"/>
  <c r="D7" i="21" s="1"/>
  <c r="G14" i="22"/>
  <c r="K7" i="22" a="1"/>
  <c r="K7" i="22" s="1"/>
  <c r="L7" i="22" a="1"/>
  <c r="L7" i="22" s="1"/>
  <c r="K8" i="22" a="1"/>
  <c r="K8" i="22" s="1"/>
  <c r="L8" i="22" a="1"/>
  <c r="L8" i="22" s="1"/>
  <c r="M8" i="22" s="1"/>
  <c r="K9" i="22" a="1"/>
  <c r="K9" i="22" s="1"/>
  <c r="L9" i="22" a="1"/>
  <c r="L9" i="22"/>
  <c r="M9" i="22" s="1"/>
  <c r="K10" i="22" a="1"/>
  <c r="K10" i="22" s="1"/>
  <c r="L10" i="22" a="1"/>
  <c r="L10" i="22" s="1"/>
  <c r="M10" i="22" s="1"/>
  <c r="K11" i="22" a="1"/>
  <c r="K11" i="22" s="1"/>
  <c r="L11" i="22" a="1"/>
  <c r="L11" i="22" s="1"/>
  <c r="K12" i="22" a="1"/>
  <c r="K12" i="22" s="1"/>
  <c r="L12" i="22" a="1"/>
  <c r="L12" i="22" s="1"/>
  <c r="K13" i="22" a="1"/>
  <c r="K13" i="22" s="1"/>
  <c r="L13" i="22" a="1"/>
  <c r="L13" i="22" s="1"/>
  <c r="K14" i="22" a="1"/>
  <c r="K14" i="22" s="1"/>
  <c r="L14" i="22" a="1"/>
  <c r="L14" i="22"/>
  <c r="K15" i="22" a="1"/>
  <c r="K15" i="22" s="1"/>
  <c r="L15" i="22" a="1"/>
  <c r="L15" i="22" s="1"/>
  <c r="K16" i="22" a="1"/>
  <c r="K16" i="22" s="1"/>
  <c r="L16" i="22" a="1"/>
  <c r="L16" i="22" s="1"/>
  <c r="M16" i="22" s="1"/>
  <c r="K17" i="22" a="1"/>
  <c r="K17" i="22" s="1"/>
  <c r="L17" i="22" a="1"/>
  <c r="L17" i="22" s="1"/>
  <c r="K18" i="22" a="1"/>
  <c r="K18" i="22" s="1"/>
  <c r="L18" i="22" a="1"/>
  <c r="L18" i="22"/>
  <c r="K19" i="22" a="1"/>
  <c r="K19" i="22" s="1"/>
  <c r="L19" i="22" a="1"/>
  <c r="L19" i="22" s="1"/>
  <c r="M19" i="22" s="1"/>
  <c r="K20" i="22" a="1"/>
  <c r="K20" i="22" s="1"/>
  <c r="L20" i="22" a="1"/>
  <c r="L20" i="22" s="1"/>
  <c r="K21" i="22" a="1"/>
  <c r="K21" i="22" s="1"/>
  <c r="L21" i="22" a="1"/>
  <c r="L21" i="22" s="1"/>
  <c r="K22" i="22" a="1"/>
  <c r="K22" i="22" s="1"/>
  <c r="L22" i="22" a="1"/>
  <c r="L22" i="22" s="1"/>
  <c r="K23" i="22" a="1"/>
  <c r="K23" i="22" s="1"/>
  <c r="L23" i="22" a="1"/>
  <c r="L23" i="22" s="1"/>
  <c r="K24" i="22" a="1"/>
  <c r="K24" i="22" s="1"/>
  <c r="F11" i="13" s="1"/>
  <c r="G11" i="13" s="1" a="1"/>
  <c r="G11" i="13" s="1"/>
  <c r="L24" i="22" a="1"/>
  <c r="L24" i="22" s="1"/>
  <c r="J11" i="13" s="1"/>
  <c r="J8" i="22" a="1"/>
  <c r="J8" i="22" s="1"/>
  <c r="J9" i="22" a="1"/>
  <c r="J9" i="22"/>
  <c r="J10" i="22" a="1"/>
  <c r="J10" i="22" s="1"/>
  <c r="J11" i="22" a="1"/>
  <c r="J11" i="22" s="1"/>
  <c r="J12" i="22" a="1"/>
  <c r="J12" i="22" s="1"/>
  <c r="J13" i="22" a="1"/>
  <c r="J13" i="22" s="1"/>
  <c r="J14" i="22" a="1"/>
  <c r="J14" i="22" s="1"/>
  <c r="J15" i="22" a="1"/>
  <c r="J15" i="22" s="1"/>
  <c r="J16" i="22" a="1"/>
  <c r="J16" i="22" s="1"/>
  <c r="J17" i="22" a="1"/>
  <c r="J17" i="22" s="1"/>
  <c r="J18" i="22" a="1"/>
  <c r="J18" i="22" s="1"/>
  <c r="J19" i="22" a="1"/>
  <c r="J19" i="22"/>
  <c r="J20" i="22" a="1"/>
  <c r="J20" i="22" s="1"/>
  <c r="J21" i="22" a="1"/>
  <c r="J21" i="22" s="1"/>
  <c r="J22" i="22" a="1"/>
  <c r="J22" i="22" s="1"/>
  <c r="J23" i="22" a="1"/>
  <c r="J23" i="22" s="1"/>
  <c r="J24" i="22" a="1"/>
  <c r="J24" i="22" s="1"/>
  <c r="J7" i="22" a="1"/>
  <c r="J7" i="22" s="1"/>
  <c r="E7" i="22" a="1"/>
  <c r="E7" i="22" s="1"/>
  <c r="F7" i="22" a="1"/>
  <c r="F7" i="22" s="1"/>
  <c r="E8" i="22" a="1"/>
  <c r="E8" i="22" s="1"/>
  <c r="F8" i="22" a="1"/>
  <c r="F8" i="22" s="1"/>
  <c r="G8" i="22" s="1"/>
  <c r="E9" i="22" a="1"/>
  <c r="E9" i="22" s="1"/>
  <c r="F9" i="22" a="1"/>
  <c r="F9" i="22"/>
  <c r="G9" i="22" s="1"/>
  <c r="E10" i="22" a="1"/>
  <c r="E10" i="22" s="1"/>
  <c r="F10" i="22" a="1"/>
  <c r="F10" i="22" s="1"/>
  <c r="E11" i="22" a="1"/>
  <c r="E11" i="22" s="1"/>
  <c r="F11" i="22" a="1"/>
  <c r="F11" i="22" s="1"/>
  <c r="E12" i="22" a="1"/>
  <c r="E12" i="22" s="1"/>
  <c r="F12" i="22" a="1"/>
  <c r="F12" i="22" s="1"/>
  <c r="E13" i="22" a="1"/>
  <c r="E13" i="22" s="1"/>
  <c r="F13" i="22" a="1"/>
  <c r="F13" i="22" s="1"/>
  <c r="E14" i="22" a="1"/>
  <c r="E14" i="22" s="1"/>
  <c r="F14" i="22" a="1"/>
  <c r="F14" i="22" s="1"/>
  <c r="E15" i="22" a="1"/>
  <c r="E15" i="22" s="1"/>
  <c r="F15" i="22" a="1"/>
  <c r="F15" i="22" s="1"/>
  <c r="E16" i="22" a="1"/>
  <c r="E16" i="22" s="1"/>
  <c r="F16" i="22" a="1"/>
  <c r="F16" i="22" s="1"/>
  <c r="E17" i="22" a="1"/>
  <c r="E17" i="22" s="1"/>
  <c r="F17" i="22" a="1"/>
  <c r="F17" i="22"/>
  <c r="E18" i="22" a="1"/>
  <c r="E18" i="22" s="1"/>
  <c r="F18" i="22" a="1"/>
  <c r="F18" i="22" s="1"/>
  <c r="E19" i="22" a="1"/>
  <c r="E19" i="22" s="1"/>
  <c r="F19" i="22" a="1"/>
  <c r="F19" i="22" s="1"/>
  <c r="E20" i="22" a="1"/>
  <c r="E20" i="22" s="1"/>
  <c r="F20" i="22" a="1"/>
  <c r="F20" i="22" s="1"/>
  <c r="G20" i="22" s="1"/>
  <c r="E21" i="22" a="1"/>
  <c r="E21" i="22" s="1"/>
  <c r="F21" i="22" a="1"/>
  <c r="F21" i="22"/>
  <c r="G21" i="22" s="1"/>
  <c r="E22" i="22" a="1"/>
  <c r="E22" i="22" s="1"/>
  <c r="F22" i="22" a="1"/>
  <c r="F22" i="22" s="1"/>
  <c r="G22" i="22" s="1"/>
  <c r="E23" i="22" a="1"/>
  <c r="E23" i="22" s="1"/>
  <c r="F23" i="22" a="1"/>
  <c r="F23" i="22" s="1"/>
  <c r="G23" i="22" s="1"/>
  <c r="E24" i="22" a="1"/>
  <c r="E24" i="22" s="1"/>
  <c r="F24" i="22" a="1"/>
  <c r="F24" i="22" s="1"/>
  <c r="D8" i="22" a="1"/>
  <c r="D8" i="22" s="1"/>
  <c r="D9" i="22" a="1"/>
  <c r="D9" i="22" s="1"/>
  <c r="D10" i="22" a="1"/>
  <c r="D10" i="22" s="1"/>
  <c r="D11" i="22" a="1"/>
  <c r="D11" i="22"/>
  <c r="D12" i="22" a="1"/>
  <c r="D12" i="22" s="1"/>
  <c r="D13" i="22" a="1"/>
  <c r="D13" i="22" s="1"/>
  <c r="D14" i="22" a="1"/>
  <c r="D14" i="22" s="1"/>
  <c r="D15" i="22" a="1"/>
  <c r="D15" i="22" s="1"/>
  <c r="D16" i="22" a="1"/>
  <c r="D16" i="22" s="1"/>
  <c r="D17" i="22" a="1"/>
  <c r="D17" i="22" s="1"/>
  <c r="D18" i="22" a="1"/>
  <c r="D18" i="22" s="1"/>
  <c r="D19" i="22" a="1"/>
  <c r="D19" i="22" s="1"/>
  <c r="D20" i="22" a="1"/>
  <c r="D20" i="22" s="1"/>
  <c r="D21" i="22" a="1"/>
  <c r="D21" i="22" s="1"/>
  <c r="D22" i="22" a="1"/>
  <c r="D22" i="22" s="1"/>
  <c r="D23" i="22" a="1"/>
  <c r="D23" i="22"/>
  <c r="D24" i="22" a="1"/>
  <c r="D24" i="22" s="1"/>
  <c r="D7" i="22" a="1"/>
  <c r="D7" i="22" s="1"/>
  <c r="K7" i="20" a="1"/>
  <c r="K7" i="20" s="1"/>
  <c r="L7" i="20" a="1"/>
  <c r="L7" i="20"/>
  <c r="K8" i="20" a="1"/>
  <c r="K8" i="20" s="1"/>
  <c r="L8" i="20" a="1"/>
  <c r="L8" i="20"/>
  <c r="K9" i="20" a="1"/>
  <c r="K9" i="20" s="1"/>
  <c r="L9" i="20" a="1"/>
  <c r="L9" i="20"/>
  <c r="K10" i="20" a="1"/>
  <c r="K10" i="20" s="1"/>
  <c r="L10" i="20" a="1"/>
  <c r="L10" i="20" s="1"/>
  <c r="K11" i="20" a="1"/>
  <c r="K11" i="20" s="1"/>
  <c r="L11" i="20" a="1"/>
  <c r="L11" i="20"/>
  <c r="K12" i="20" a="1"/>
  <c r="K12" i="20" s="1"/>
  <c r="L12" i="20" a="1"/>
  <c r="L12" i="20"/>
  <c r="K13" i="20" a="1"/>
  <c r="K13" i="20" s="1"/>
  <c r="L13" i="20" a="1"/>
  <c r="L13" i="20" s="1"/>
  <c r="M13" i="20" s="1"/>
  <c r="K14" i="20" a="1"/>
  <c r="K14" i="20" s="1"/>
  <c r="L14" i="20" a="1"/>
  <c r="L14" i="20" s="1"/>
  <c r="M14" i="20" s="1"/>
  <c r="K15" i="20" a="1"/>
  <c r="K15" i="20" s="1"/>
  <c r="L15" i="20" a="1"/>
  <c r="L15" i="20"/>
  <c r="K16" i="20" a="1"/>
  <c r="K16" i="20" s="1"/>
  <c r="L16" i="20" a="1"/>
  <c r="L16" i="20" s="1"/>
  <c r="K17" i="20" a="1"/>
  <c r="K17" i="20" s="1"/>
  <c r="L17" i="20" a="1"/>
  <c r="L17" i="20"/>
  <c r="K18" i="20" a="1"/>
  <c r="K18" i="20" s="1"/>
  <c r="L18" i="20" a="1"/>
  <c r="L18" i="20" s="1"/>
  <c r="K19" i="20" a="1"/>
  <c r="K19" i="20" s="1"/>
  <c r="L19" i="20" a="1"/>
  <c r="L19" i="20"/>
  <c r="K20" i="20" a="1"/>
  <c r="K20" i="20" s="1"/>
  <c r="L20" i="20" a="1"/>
  <c r="L20" i="20" s="1"/>
  <c r="K21" i="20" a="1"/>
  <c r="K21" i="20" s="1"/>
  <c r="L21" i="20" a="1"/>
  <c r="L21" i="20" s="1"/>
  <c r="M21" i="20" s="1"/>
  <c r="K22" i="20" a="1"/>
  <c r="K22" i="20" s="1"/>
  <c r="L22" i="20" a="1"/>
  <c r="L22" i="20" s="1"/>
  <c r="K23" i="20" a="1"/>
  <c r="K23" i="20" s="1"/>
  <c r="L23" i="20" a="1"/>
  <c r="L23" i="20"/>
  <c r="K24" i="20" a="1"/>
  <c r="K24" i="20" s="1"/>
  <c r="F9" i="13" s="1"/>
  <c r="G9" i="13" s="1" a="1"/>
  <c r="G9" i="13" s="1"/>
  <c r="L24" i="20" a="1"/>
  <c r="L24" i="20" s="1"/>
  <c r="J8" i="20" a="1"/>
  <c r="J8" i="20" s="1"/>
  <c r="J9" i="20" a="1"/>
  <c r="J9" i="20"/>
  <c r="M9" i="20" s="1"/>
  <c r="J10" i="20" a="1"/>
  <c r="J10" i="20" s="1"/>
  <c r="J11" i="20" a="1"/>
  <c r="J11" i="20" s="1"/>
  <c r="J12" i="20" a="1"/>
  <c r="J12" i="20" s="1"/>
  <c r="J13" i="20" a="1"/>
  <c r="J13" i="20"/>
  <c r="J14" i="20" a="1"/>
  <c r="J14" i="20" s="1"/>
  <c r="J15" i="20" a="1"/>
  <c r="J15" i="20" s="1"/>
  <c r="J16" i="20" a="1"/>
  <c r="J16" i="20" s="1"/>
  <c r="J17" i="20" a="1"/>
  <c r="J17" i="20" s="1"/>
  <c r="J18" i="20" a="1"/>
  <c r="J18" i="20" s="1"/>
  <c r="J19" i="20" a="1"/>
  <c r="J19" i="20" s="1"/>
  <c r="J20" i="20" a="1"/>
  <c r="J20" i="20" s="1"/>
  <c r="J21" i="20" a="1"/>
  <c r="J21" i="20"/>
  <c r="J22" i="20" a="1"/>
  <c r="J22" i="20" s="1"/>
  <c r="J23" i="20" a="1"/>
  <c r="J23" i="20" s="1"/>
  <c r="J24" i="20" a="1"/>
  <c r="J24" i="20" s="1"/>
  <c r="J7" i="20" a="1"/>
  <c r="J7" i="20" s="1"/>
  <c r="E7" i="20" a="1"/>
  <c r="E7" i="20" s="1"/>
  <c r="F7" i="20" a="1"/>
  <c r="F7" i="20" s="1"/>
  <c r="E8" i="20" a="1"/>
  <c r="E8" i="20" s="1"/>
  <c r="F8" i="20" a="1"/>
  <c r="F8" i="20" s="1"/>
  <c r="G8" i="20" s="1"/>
  <c r="E9" i="20" a="1"/>
  <c r="E9" i="20" s="1"/>
  <c r="F9" i="20" a="1"/>
  <c r="F9" i="20" s="1"/>
  <c r="E10" i="20" a="1"/>
  <c r="E10" i="20" s="1"/>
  <c r="F10" i="20" a="1"/>
  <c r="F10" i="20" s="1"/>
  <c r="E11" i="20" a="1"/>
  <c r="E11" i="20" s="1"/>
  <c r="F11" i="20" a="1"/>
  <c r="F11" i="20" s="1"/>
  <c r="E12" i="20" a="1"/>
  <c r="E12" i="20" s="1"/>
  <c r="F12" i="20" a="1"/>
  <c r="F12" i="20" s="1"/>
  <c r="G12" i="20" s="1"/>
  <c r="E13" i="20" a="1"/>
  <c r="E13" i="20" s="1"/>
  <c r="F13" i="20" a="1"/>
  <c r="F13" i="20" s="1"/>
  <c r="E14" i="20" a="1"/>
  <c r="E14" i="20" s="1"/>
  <c r="F14" i="20" a="1"/>
  <c r="F14" i="20" s="1"/>
  <c r="E15" i="20" a="1"/>
  <c r="E15" i="20" s="1"/>
  <c r="F15" i="20" a="1"/>
  <c r="F15" i="20" s="1"/>
  <c r="E16" i="20" a="1"/>
  <c r="E16" i="20" s="1"/>
  <c r="F16" i="20" a="1"/>
  <c r="F16" i="20" s="1"/>
  <c r="E17" i="20" a="1"/>
  <c r="E17" i="20" s="1"/>
  <c r="F17" i="20" a="1"/>
  <c r="F17" i="20" s="1"/>
  <c r="E18" i="20" a="1"/>
  <c r="E18" i="20" s="1"/>
  <c r="F18" i="20" a="1"/>
  <c r="F18" i="20" s="1"/>
  <c r="E19" i="20" a="1"/>
  <c r="E19" i="20" s="1"/>
  <c r="F19" i="20" a="1"/>
  <c r="F19" i="20" s="1"/>
  <c r="E20" i="20" a="1"/>
  <c r="E20" i="20" s="1"/>
  <c r="F20" i="20" a="1"/>
  <c r="F20" i="20" s="1"/>
  <c r="G20" i="20" s="1"/>
  <c r="E21" i="20" a="1"/>
  <c r="E21" i="20" s="1"/>
  <c r="F21" i="20" a="1"/>
  <c r="F21" i="20" s="1"/>
  <c r="E22" i="20" a="1"/>
  <c r="E22" i="20" s="1"/>
  <c r="F22" i="20" a="1"/>
  <c r="F22" i="20" s="1"/>
  <c r="E23" i="20" a="1"/>
  <c r="E23" i="20" s="1"/>
  <c r="F23" i="20" a="1"/>
  <c r="F23" i="20" s="1"/>
  <c r="E24" i="20" a="1"/>
  <c r="E24" i="20" s="1"/>
  <c r="F24" i="20" a="1"/>
  <c r="F24" i="20" s="1"/>
  <c r="D8" i="20" a="1"/>
  <c r="D8" i="20" s="1"/>
  <c r="D9" i="20" a="1"/>
  <c r="D9" i="20" s="1"/>
  <c r="D10" i="20" a="1"/>
  <c r="D10" i="20" s="1"/>
  <c r="D11" i="20" a="1"/>
  <c r="D11" i="20"/>
  <c r="D12" i="20" a="1"/>
  <c r="D12" i="20" s="1"/>
  <c r="D13" i="20" a="1"/>
  <c r="D13" i="20" s="1"/>
  <c r="D14" i="20" a="1"/>
  <c r="D14" i="20" s="1"/>
  <c r="D15" i="20" a="1"/>
  <c r="D15" i="20" s="1"/>
  <c r="D16" i="20" a="1"/>
  <c r="D16" i="20" s="1"/>
  <c r="D17" i="20" a="1"/>
  <c r="D17" i="20" s="1"/>
  <c r="D18" i="20" a="1"/>
  <c r="D18" i="20" s="1"/>
  <c r="D19" i="20" a="1"/>
  <c r="D19" i="20" s="1"/>
  <c r="D20" i="20" a="1"/>
  <c r="D20" i="20" s="1"/>
  <c r="D21" i="20" a="1"/>
  <c r="D21" i="20"/>
  <c r="D22" i="20" a="1"/>
  <c r="D22" i="20" s="1"/>
  <c r="D23" i="20" a="1"/>
  <c r="D23" i="20"/>
  <c r="D24" i="20" a="1"/>
  <c r="D24" i="20" s="1"/>
  <c r="G24" i="20" s="1"/>
  <c r="D7" i="20" a="1"/>
  <c r="D7" i="20" s="1"/>
  <c r="M23" i="19"/>
  <c r="G7" i="19"/>
  <c r="K7" i="19" a="1"/>
  <c r="K7" i="19" s="1"/>
  <c r="L7" i="19" a="1"/>
  <c r="L7" i="19" s="1"/>
  <c r="M7" i="19" s="1"/>
  <c r="K8" i="19" a="1"/>
  <c r="K8" i="19"/>
  <c r="L8" i="19" a="1"/>
  <c r="L8" i="19" s="1"/>
  <c r="K9" i="19" a="1"/>
  <c r="K9" i="19" s="1"/>
  <c r="L9" i="19" a="1"/>
  <c r="L9" i="19"/>
  <c r="K10" i="19" a="1"/>
  <c r="K10" i="19" s="1"/>
  <c r="L10" i="19" a="1"/>
  <c r="L10" i="19" s="1"/>
  <c r="K11" i="19" a="1"/>
  <c r="K11" i="19" s="1"/>
  <c r="L11" i="19" a="1"/>
  <c r="L11" i="19" s="1"/>
  <c r="M11" i="19" s="1"/>
  <c r="K12" i="19" a="1"/>
  <c r="K12" i="19" s="1"/>
  <c r="L12" i="19" a="1"/>
  <c r="L12" i="19" s="1"/>
  <c r="M12" i="19" s="1"/>
  <c r="K13" i="19" a="1"/>
  <c r="K13" i="19" s="1"/>
  <c r="L13" i="19" a="1"/>
  <c r="L13" i="19" s="1"/>
  <c r="M13" i="19" s="1"/>
  <c r="K14" i="19" a="1"/>
  <c r="K14" i="19" s="1"/>
  <c r="L14" i="19" a="1"/>
  <c r="L14" i="19" s="1"/>
  <c r="K15" i="19" a="1"/>
  <c r="K15" i="19" s="1"/>
  <c r="L15" i="19" a="1"/>
  <c r="L15" i="19" s="1"/>
  <c r="K16" i="19" a="1"/>
  <c r="K16" i="19"/>
  <c r="L16" i="19" a="1"/>
  <c r="L16" i="19" s="1"/>
  <c r="M16" i="19" s="1"/>
  <c r="K17" i="19" a="1"/>
  <c r="K17" i="19" s="1"/>
  <c r="L17" i="19" a="1"/>
  <c r="L17" i="19"/>
  <c r="K18" i="19" a="1"/>
  <c r="K18" i="19" s="1"/>
  <c r="L18" i="19" a="1"/>
  <c r="L18" i="19" s="1"/>
  <c r="K19" i="19" a="1"/>
  <c r="K19" i="19" s="1"/>
  <c r="L19" i="19" a="1"/>
  <c r="L19" i="19" s="1"/>
  <c r="K20" i="19" a="1"/>
  <c r="K20" i="19" s="1"/>
  <c r="L20" i="19" a="1"/>
  <c r="L20" i="19" s="1"/>
  <c r="M20" i="19" s="1"/>
  <c r="K21" i="19" a="1"/>
  <c r="K21" i="19" s="1"/>
  <c r="L21" i="19" a="1"/>
  <c r="L21" i="19" s="1"/>
  <c r="K22" i="19" a="1"/>
  <c r="K22" i="19" s="1"/>
  <c r="L22" i="19" a="1"/>
  <c r="L22" i="19" s="1"/>
  <c r="K23" i="19" a="1"/>
  <c r="K23" i="19" s="1"/>
  <c r="L23" i="19" a="1"/>
  <c r="L23" i="19" s="1"/>
  <c r="K24" i="19" a="1"/>
  <c r="K24" i="19"/>
  <c r="F8" i="13" s="1"/>
  <c r="G8" i="13" s="1" a="1"/>
  <c r="G8" i="13" s="1"/>
  <c r="L24" i="19" a="1"/>
  <c r="L24" i="19" s="1"/>
  <c r="J8" i="13" s="1"/>
  <c r="J8" i="19" a="1"/>
  <c r="J8" i="19" s="1"/>
  <c r="J9" i="19" a="1"/>
  <c r="J9" i="19"/>
  <c r="J10" i="19" a="1"/>
  <c r="J10" i="19" s="1"/>
  <c r="J11" i="19" a="1"/>
  <c r="J11" i="19"/>
  <c r="J12" i="19" a="1"/>
  <c r="J12" i="19" s="1"/>
  <c r="J13" i="19" a="1"/>
  <c r="J13" i="19" s="1"/>
  <c r="J14" i="19" a="1"/>
  <c r="J14" i="19" s="1"/>
  <c r="J15" i="19" a="1"/>
  <c r="J15" i="19"/>
  <c r="M15" i="19" s="1"/>
  <c r="J16" i="19" a="1"/>
  <c r="J16" i="19" s="1"/>
  <c r="J17" i="19" a="1"/>
  <c r="J17" i="19"/>
  <c r="M17" i="19" s="1"/>
  <c r="J18" i="19" a="1"/>
  <c r="J18" i="19" s="1"/>
  <c r="J19" i="19" a="1"/>
  <c r="J19" i="19" s="1"/>
  <c r="J20" i="19" a="1"/>
  <c r="J20" i="19" s="1"/>
  <c r="J21" i="19" a="1"/>
  <c r="J21" i="19" s="1"/>
  <c r="J22" i="19" a="1"/>
  <c r="J22" i="19" s="1"/>
  <c r="J23" i="19" a="1"/>
  <c r="J23" i="19" s="1"/>
  <c r="J24" i="19" a="1"/>
  <c r="J24" i="19" s="1"/>
  <c r="J7" i="19" a="1"/>
  <c r="J7" i="19" s="1"/>
  <c r="E7" i="19" a="1"/>
  <c r="E7" i="19" s="1"/>
  <c r="F7" i="19" a="1"/>
  <c r="F7" i="19"/>
  <c r="E8" i="19" a="1"/>
  <c r="E8" i="19" s="1"/>
  <c r="F8" i="19" a="1"/>
  <c r="F8" i="19" s="1"/>
  <c r="E9" i="19" a="1"/>
  <c r="E9" i="19" s="1"/>
  <c r="F9" i="19" a="1"/>
  <c r="F9" i="19" s="1"/>
  <c r="G9" i="19" s="1"/>
  <c r="E10" i="19" a="1"/>
  <c r="E10" i="19"/>
  <c r="F10" i="19" a="1"/>
  <c r="F10" i="19" s="1"/>
  <c r="G10" i="19" s="1"/>
  <c r="E11" i="19" a="1"/>
  <c r="E11" i="19" s="1"/>
  <c r="F11" i="19" a="1"/>
  <c r="F11" i="19"/>
  <c r="E12" i="19" a="1"/>
  <c r="E12" i="19" s="1"/>
  <c r="F12" i="19" a="1"/>
  <c r="F12" i="19" s="1"/>
  <c r="E13" i="19" a="1"/>
  <c r="E13" i="19" s="1"/>
  <c r="F13" i="19" a="1"/>
  <c r="F13" i="19" s="1"/>
  <c r="E14" i="19" a="1"/>
  <c r="E14" i="19" s="1"/>
  <c r="F14" i="19" a="1"/>
  <c r="F14" i="19" s="1"/>
  <c r="E15" i="19" a="1"/>
  <c r="E15" i="19" s="1"/>
  <c r="F15" i="19" a="1"/>
  <c r="F15" i="19" s="1"/>
  <c r="G15" i="19" s="1"/>
  <c r="E16" i="19" a="1"/>
  <c r="E16" i="19" s="1"/>
  <c r="F16" i="19" a="1"/>
  <c r="F16" i="19" s="1"/>
  <c r="E17" i="19" a="1"/>
  <c r="E17" i="19" s="1"/>
  <c r="F17" i="19" a="1"/>
  <c r="F17" i="19" s="1"/>
  <c r="G17" i="19" s="1"/>
  <c r="E18" i="19" a="1"/>
  <c r="E18" i="19"/>
  <c r="F18" i="19" a="1"/>
  <c r="F18" i="19" s="1"/>
  <c r="G18" i="19" s="1"/>
  <c r="E19" i="19" a="1"/>
  <c r="E19" i="19" s="1"/>
  <c r="F19" i="19" a="1"/>
  <c r="F19" i="19"/>
  <c r="E20" i="19" a="1"/>
  <c r="E20" i="19" s="1"/>
  <c r="F20" i="19" a="1"/>
  <c r="F20" i="19" s="1"/>
  <c r="G20" i="19" s="1"/>
  <c r="E21" i="19" a="1"/>
  <c r="E21" i="19" s="1"/>
  <c r="F21" i="19" a="1"/>
  <c r="F21" i="19" s="1"/>
  <c r="G21" i="19" s="1"/>
  <c r="E22" i="19" a="1"/>
  <c r="E22" i="19" s="1"/>
  <c r="F22" i="19" a="1"/>
  <c r="F22" i="19" s="1"/>
  <c r="E23" i="19" a="1"/>
  <c r="E23" i="19" s="1"/>
  <c r="F23" i="19" a="1"/>
  <c r="F23" i="19" s="1"/>
  <c r="G23" i="19" s="1"/>
  <c r="E24" i="19" a="1"/>
  <c r="E24" i="19" s="1"/>
  <c r="F24" i="19" a="1"/>
  <c r="F24" i="19" s="1"/>
  <c r="G24" i="19" s="1"/>
  <c r="D8" i="19" a="1"/>
  <c r="D8" i="19" s="1"/>
  <c r="D9" i="19" a="1"/>
  <c r="D9" i="19" s="1"/>
  <c r="D10" i="19" a="1"/>
  <c r="D10" i="19" s="1"/>
  <c r="D11" i="19" a="1"/>
  <c r="D11" i="19" s="1"/>
  <c r="D12" i="19" a="1"/>
  <c r="D12" i="19" s="1"/>
  <c r="D13" i="19" a="1"/>
  <c r="D13" i="19"/>
  <c r="G13" i="19" s="1"/>
  <c r="D14" i="19" a="1"/>
  <c r="D14" i="19" s="1"/>
  <c r="D15" i="19" a="1"/>
  <c r="D15" i="19"/>
  <c r="D16" i="19" a="1"/>
  <c r="D16" i="19" s="1"/>
  <c r="D17" i="19" a="1"/>
  <c r="D17" i="19" s="1"/>
  <c r="D18" i="19" a="1"/>
  <c r="D18" i="19" s="1"/>
  <c r="D19" i="19" a="1"/>
  <c r="D19" i="19"/>
  <c r="D20" i="19" a="1"/>
  <c r="D20" i="19" s="1"/>
  <c r="D21" i="19" a="1"/>
  <c r="D21" i="19"/>
  <c r="D22" i="19" a="1"/>
  <c r="D22" i="19" s="1"/>
  <c r="D23" i="19" a="1"/>
  <c r="D23" i="19" s="1"/>
  <c r="D24" i="19" a="1"/>
  <c r="D24" i="19" s="1"/>
  <c r="D7" i="19" a="1"/>
  <c r="D7" i="19" s="1"/>
  <c r="M9" i="17"/>
  <c r="G10" i="17"/>
  <c r="E7" i="17" a="1"/>
  <c r="E7" i="17" s="1"/>
  <c r="F7" i="17" a="1"/>
  <c r="F7" i="17" s="1"/>
  <c r="E8" i="17" a="1"/>
  <c r="E8" i="17" s="1"/>
  <c r="F8" i="17" a="1"/>
  <c r="F8" i="17"/>
  <c r="E9" i="17" a="1"/>
  <c r="E9" i="17" s="1"/>
  <c r="F9" i="17" a="1"/>
  <c r="F9" i="17"/>
  <c r="G9" i="17" s="1"/>
  <c r="E10" i="17" a="1"/>
  <c r="E10" i="17" s="1"/>
  <c r="F10" i="17" a="1"/>
  <c r="F10" i="17"/>
  <c r="E11" i="17" a="1"/>
  <c r="E11" i="17" s="1"/>
  <c r="F11" i="17" a="1"/>
  <c r="F11" i="17" s="1"/>
  <c r="G11" i="17" s="1"/>
  <c r="E12" i="17" a="1"/>
  <c r="E12" i="17" s="1"/>
  <c r="F12" i="17" a="1"/>
  <c r="F12" i="17"/>
  <c r="E13" i="17" a="1"/>
  <c r="E13" i="17" s="1"/>
  <c r="F13" i="17" a="1"/>
  <c r="F13" i="17"/>
  <c r="G13" i="17" s="1"/>
  <c r="E14" i="17" a="1"/>
  <c r="E14" i="17" s="1"/>
  <c r="F14" i="17" a="1"/>
  <c r="F14" i="17" s="1"/>
  <c r="G14" i="17" s="1"/>
  <c r="E15" i="17" a="1"/>
  <c r="E15" i="17" s="1"/>
  <c r="F15" i="17" a="1"/>
  <c r="F15" i="17" s="1"/>
  <c r="E16" i="17" a="1"/>
  <c r="E16" i="17" s="1"/>
  <c r="F16" i="17" a="1"/>
  <c r="F16" i="17"/>
  <c r="E17" i="17" a="1"/>
  <c r="E17" i="17" s="1"/>
  <c r="F17" i="17" a="1"/>
  <c r="F17" i="17" s="1"/>
  <c r="G17" i="17" s="1"/>
  <c r="E18" i="17" a="1"/>
  <c r="E18" i="17" s="1"/>
  <c r="F18" i="17" a="1"/>
  <c r="F18" i="17"/>
  <c r="G18" i="17" s="1"/>
  <c r="E19" i="17" a="1"/>
  <c r="E19" i="17" s="1"/>
  <c r="F19" i="17" a="1"/>
  <c r="F19" i="17" s="1"/>
  <c r="E20" i="17" a="1"/>
  <c r="E20" i="17" s="1"/>
  <c r="F20" i="17" a="1"/>
  <c r="F20" i="17" s="1"/>
  <c r="G20" i="17" s="1"/>
  <c r="E21" i="17" a="1"/>
  <c r="E21" i="17" s="1"/>
  <c r="F21" i="17" a="1"/>
  <c r="F21" i="17"/>
  <c r="G21" i="17" s="1"/>
  <c r="E22" i="17" a="1"/>
  <c r="E22" i="17" s="1"/>
  <c r="F22" i="17" a="1"/>
  <c r="F22" i="17"/>
  <c r="G22" i="17" s="1"/>
  <c r="E23" i="17" a="1"/>
  <c r="E23" i="17" s="1"/>
  <c r="F23" i="17" a="1"/>
  <c r="F23" i="17" s="1"/>
  <c r="E24" i="17" a="1"/>
  <c r="E24" i="17" s="1"/>
  <c r="F24" i="17" a="1"/>
  <c r="F24" i="17" s="1"/>
  <c r="D8" i="17" a="1"/>
  <c r="D8" i="17" s="1"/>
  <c r="D9" i="17" a="1"/>
  <c r="D9" i="17" s="1"/>
  <c r="D10" i="17" a="1"/>
  <c r="D10" i="17" s="1"/>
  <c r="D11" i="17" a="1"/>
  <c r="D11" i="17" s="1"/>
  <c r="D12" i="17" a="1"/>
  <c r="D12" i="17" s="1"/>
  <c r="D13" i="17" a="1"/>
  <c r="D13" i="17" s="1"/>
  <c r="D14" i="17" a="1"/>
  <c r="D14" i="17" s="1"/>
  <c r="D15" i="17" a="1"/>
  <c r="D15" i="17" s="1"/>
  <c r="D16" i="17" a="1"/>
  <c r="D16" i="17" s="1"/>
  <c r="D17" i="17" a="1"/>
  <c r="D17" i="17" s="1"/>
  <c r="D18" i="17" a="1"/>
  <c r="D18" i="17" s="1"/>
  <c r="D19" i="17" a="1"/>
  <c r="D19" i="17" s="1"/>
  <c r="D20" i="17" a="1"/>
  <c r="D20" i="17" s="1"/>
  <c r="D21" i="17" a="1"/>
  <c r="D21" i="17" s="1"/>
  <c r="D22" i="17" a="1"/>
  <c r="D22" i="17" s="1"/>
  <c r="D23" i="17" a="1"/>
  <c r="D23" i="17" s="1"/>
  <c r="D24" i="17" a="1"/>
  <c r="D24" i="17" s="1"/>
  <c r="K7" i="17" a="1"/>
  <c r="K7" i="17"/>
  <c r="L7" i="17" a="1"/>
  <c r="L7" i="17"/>
  <c r="K8" i="17" a="1"/>
  <c r="K8" i="17"/>
  <c r="L8" i="17" a="1"/>
  <c r="L8" i="17" s="1"/>
  <c r="K9" i="17" a="1"/>
  <c r="K9" i="17" s="1"/>
  <c r="L9" i="17" a="1"/>
  <c r="L9" i="17"/>
  <c r="K10" i="17" a="1"/>
  <c r="K10" i="17"/>
  <c r="L10" i="17" a="1"/>
  <c r="L10" i="17" s="1"/>
  <c r="K11" i="17" a="1"/>
  <c r="K11" i="17" s="1"/>
  <c r="L11" i="17" a="1"/>
  <c r="L11" i="17"/>
  <c r="M11" i="17" s="1"/>
  <c r="K12" i="17" a="1"/>
  <c r="K12" i="17" s="1"/>
  <c r="L12" i="17" a="1"/>
  <c r="L12" i="17" s="1"/>
  <c r="K13" i="17" a="1"/>
  <c r="K13" i="17" s="1"/>
  <c r="L13" i="17" a="1"/>
  <c r="L13" i="17" s="1"/>
  <c r="M13" i="17" s="1"/>
  <c r="K14" i="17" a="1"/>
  <c r="K14" i="17"/>
  <c r="L14" i="17" a="1"/>
  <c r="L14" i="17" s="1"/>
  <c r="K15" i="17" a="1"/>
  <c r="K15" i="17" s="1"/>
  <c r="L15" i="17" a="1"/>
  <c r="L15" i="17"/>
  <c r="M15" i="17" s="1"/>
  <c r="K16" i="17" a="1"/>
  <c r="K16" i="17" s="1"/>
  <c r="L16" i="17" a="1"/>
  <c r="L16" i="17" s="1"/>
  <c r="K17" i="17" a="1"/>
  <c r="K17" i="17" s="1"/>
  <c r="L17" i="17" a="1"/>
  <c r="L17" i="17" s="1"/>
  <c r="M17" i="17" s="1"/>
  <c r="K18" i="17" a="1"/>
  <c r="K18" i="17"/>
  <c r="L18" i="17" a="1"/>
  <c r="L18" i="17" s="1"/>
  <c r="M18" i="17" s="1"/>
  <c r="K19" i="17" a="1"/>
  <c r="K19" i="17" s="1"/>
  <c r="L19" i="17" a="1"/>
  <c r="L19" i="17"/>
  <c r="M19" i="17" s="1"/>
  <c r="K20" i="17" a="1"/>
  <c r="K20" i="17" s="1"/>
  <c r="L20" i="17" a="1"/>
  <c r="L20" i="17" s="1"/>
  <c r="K21" i="17" a="1"/>
  <c r="K21" i="17" s="1"/>
  <c r="L21" i="17" a="1"/>
  <c r="L21" i="17" s="1"/>
  <c r="M21" i="17" s="1"/>
  <c r="K22" i="17" a="1"/>
  <c r="K22" i="17"/>
  <c r="L22" i="17" a="1"/>
  <c r="L22" i="17" s="1"/>
  <c r="M22" i="17" s="1"/>
  <c r="K23" i="17" a="1"/>
  <c r="K23" i="17" s="1"/>
  <c r="L23" i="17" a="1"/>
  <c r="L23" i="17"/>
  <c r="M23" i="17" s="1"/>
  <c r="K24" i="17" a="1"/>
  <c r="K24" i="17" s="1"/>
  <c r="F7" i="13" s="1"/>
  <c r="G7" i="13" s="1" a="1"/>
  <c r="G7" i="13" s="1"/>
  <c r="L24" i="17" a="1"/>
  <c r="L24" i="17" s="1"/>
  <c r="J7" i="13" s="1"/>
  <c r="J8" i="17" a="1"/>
  <c r="J8" i="17" s="1"/>
  <c r="J9" i="17" a="1"/>
  <c r="J9" i="17" s="1"/>
  <c r="J10" i="17" a="1"/>
  <c r="J10" i="17" s="1"/>
  <c r="J11" i="17" a="1"/>
  <c r="J11" i="17" s="1"/>
  <c r="J12" i="17" a="1"/>
  <c r="J12" i="17" s="1"/>
  <c r="J13" i="17" a="1"/>
  <c r="J13" i="17" s="1"/>
  <c r="J14" i="17" a="1"/>
  <c r="J14" i="17" s="1"/>
  <c r="J15" i="17" a="1"/>
  <c r="J15" i="17" s="1"/>
  <c r="J16" i="17" a="1"/>
  <c r="J16" i="17" s="1"/>
  <c r="J17" i="17" a="1"/>
  <c r="J17" i="17" s="1"/>
  <c r="J18" i="17" a="1"/>
  <c r="J18" i="17" s="1"/>
  <c r="J19" i="17" a="1"/>
  <c r="J19" i="17" s="1"/>
  <c r="J20" i="17" a="1"/>
  <c r="J20" i="17" s="1"/>
  <c r="J21" i="17" a="1"/>
  <c r="J21" i="17" s="1"/>
  <c r="J22" i="17" a="1"/>
  <c r="J22" i="17" s="1"/>
  <c r="J23" i="17" a="1"/>
  <c r="J23" i="17" s="1"/>
  <c r="J24" i="17" a="1"/>
  <c r="J24" i="17" s="1"/>
  <c r="J7" i="17" a="1"/>
  <c r="J7" i="17" s="1"/>
  <c r="D7" i="17" a="1"/>
  <c r="D7" i="17" s="1"/>
  <c r="M23" i="21" l="1"/>
  <c r="M7" i="17"/>
  <c r="M16" i="17"/>
  <c r="M8" i="17"/>
  <c r="G15" i="17"/>
  <c r="G11" i="19"/>
  <c r="M22" i="20"/>
  <c r="G16" i="22"/>
  <c r="M12" i="22"/>
  <c r="M7" i="22"/>
  <c r="M24" i="22"/>
  <c r="G17" i="21"/>
  <c r="G13" i="21"/>
  <c r="M22" i="21"/>
  <c r="M20" i="21"/>
  <c r="M16" i="21"/>
  <c r="M14" i="21"/>
  <c r="M12" i="21"/>
  <c r="M8" i="21"/>
  <c r="G8" i="17"/>
  <c r="G27" i="17" s="1"/>
  <c r="M9" i="19"/>
  <c r="M20" i="17"/>
  <c r="M12" i="17"/>
  <c r="G24" i="17"/>
  <c r="G12" i="17"/>
  <c r="G19" i="17"/>
  <c r="G16" i="17"/>
  <c r="G19" i="19"/>
  <c r="G12" i="19"/>
  <c r="M21" i="19"/>
  <c r="M19" i="19"/>
  <c r="M14" i="19"/>
  <c r="M23" i="20"/>
  <c r="M20" i="20"/>
  <c r="M15" i="20"/>
  <c r="G17" i="22"/>
  <c r="G12" i="22"/>
  <c r="G10" i="22"/>
  <c r="G7" i="22"/>
  <c r="M20" i="22"/>
  <c r="M18" i="22"/>
  <c r="M15" i="22"/>
  <c r="G23" i="21"/>
  <c r="G21" i="21"/>
  <c r="G18" i="21"/>
  <c r="G16" i="21"/>
  <c r="G9" i="21"/>
  <c r="G22" i="19"/>
  <c r="M10" i="20"/>
  <c r="M21" i="22"/>
  <c r="M14" i="22"/>
  <c r="M14" i="17"/>
  <c r="M10" i="17"/>
  <c r="G23" i="17"/>
  <c r="G7" i="17"/>
  <c r="G14" i="19"/>
  <c r="M8" i="19"/>
  <c r="G17" i="20"/>
  <c r="G11" i="20"/>
  <c r="M18" i="20"/>
  <c r="G15" i="22"/>
  <c r="M23" i="22"/>
  <c r="M13" i="22"/>
  <c r="M11" i="22"/>
  <c r="M27" i="22" s="1"/>
  <c r="G7" i="21"/>
  <c r="M7" i="21"/>
  <c r="H22" i="8"/>
  <c r="D15" i="7"/>
  <c r="F10" i="7"/>
  <c r="H10" i="8"/>
  <c r="H21" i="8"/>
  <c r="F12" i="7"/>
  <c r="H12" i="8"/>
  <c r="H11" i="8"/>
  <c r="H15" i="8"/>
  <c r="F9" i="7"/>
  <c r="H9" i="8"/>
  <c r="H20" i="8"/>
  <c r="H17" i="8"/>
  <c r="H36" i="8"/>
  <c r="H32" i="8"/>
  <c r="H28" i="8"/>
  <c r="C13" i="9"/>
  <c r="H18" i="8"/>
  <c r="H13" i="8"/>
  <c r="H19" i="8"/>
  <c r="C15" i="7"/>
  <c r="E15" i="7"/>
  <c r="F15" i="7" s="1"/>
  <c r="G15" i="7" s="1"/>
  <c r="H8" i="8"/>
  <c r="H38" i="8"/>
  <c r="H34" i="8"/>
  <c r="H30" i="8"/>
  <c r="H26" i="8"/>
  <c r="G26" i="17"/>
  <c r="G19" i="20"/>
  <c r="G13" i="20"/>
  <c r="G16" i="19"/>
  <c r="G23" i="20"/>
  <c r="G21" i="20"/>
  <c r="G15" i="20"/>
  <c r="G9" i="20"/>
  <c r="M17" i="22"/>
  <c r="G18" i="22"/>
  <c r="G7" i="20"/>
  <c r="J9" i="13"/>
  <c r="M24" i="20"/>
  <c r="M19" i="20"/>
  <c r="M16" i="20"/>
  <c r="M7" i="20"/>
  <c r="G19" i="22"/>
  <c r="M24" i="17"/>
  <c r="M27" i="17" s="1"/>
  <c r="M22" i="19"/>
  <c r="G8" i="19"/>
  <c r="G26" i="19" s="1"/>
  <c r="M18" i="19"/>
  <c r="M10" i="19"/>
  <c r="M26" i="19" s="1"/>
  <c r="M24" i="19"/>
  <c r="G22" i="20"/>
  <c r="G18" i="20"/>
  <c r="G16" i="20"/>
  <c r="G14" i="20"/>
  <c r="G10" i="20"/>
  <c r="G26" i="20" s="1"/>
  <c r="G29" i="20" s="1"/>
  <c r="M17" i="20"/>
  <c r="M11" i="20"/>
  <c r="G13" i="22"/>
  <c r="G11" i="21"/>
  <c r="M12" i="20"/>
  <c r="M8" i="20"/>
  <c r="G11" i="22"/>
  <c r="M26" i="22"/>
  <c r="G19" i="21"/>
  <c r="G14" i="21"/>
  <c r="M21" i="21"/>
  <c r="M17" i="21"/>
  <c r="M26" i="21" s="1"/>
  <c r="M13" i="21"/>
  <c r="M9" i="21"/>
  <c r="G24" i="22"/>
  <c r="G22" i="21"/>
  <c r="G10" i="21"/>
  <c r="G8" i="21"/>
  <c r="G26" i="21" s="1"/>
  <c r="M22" i="22"/>
  <c r="G15" i="21"/>
  <c r="J10" i="13"/>
  <c r="K10" i="13" s="1"/>
  <c r="M24" i="21"/>
  <c r="M18" i="21"/>
  <c r="M10" i="21"/>
  <c r="G10" i="7"/>
  <c r="I10" i="7" s="1"/>
  <c r="G9" i="7"/>
  <c r="I9" i="7" s="1"/>
  <c r="G11" i="7"/>
  <c r="I11" i="7" s="1"/>
  <c r="G13" i="7"/>
  <c r="I13" i="7" s="1"/>
  <c r="G12" i="7"/>
  <c r="I12" i="7" s="1"/>
  <c r="F8" i="7"/>
  <c r="G8" i="7" s="1"/>
  <c r="I8" i="7" s="1"/>
  <c r="H35" i="8"/>
  <c r="H31" i="8"/>
  <c r="H27" i="8"/>
  <c r="H37" i="8"/>
  <c r="H33" i="8"/>
  <c r="H29" i="8"/>
  <c r="H25" i="8"/>
  <c r="F40" i="8"/>
  <c r="E40" i="8"/>
  <c r="H24" i="8"/>
  <c r="G40" i="8"/>
  <c r="M27" i="21" l="1"/>
  <c r="M27" i="20"/>
  <c r="G27" i="21"/>
  <c r="H14" i="21" s="1"/>
  <c r="G27" i="22"/>
  <c r="H40" i="8"/>
  <c r="M29" i="19"/>
  <c r="N21" i="19"/>
  <c r="G29" i="21"/>
  <c r="H10" i="21"/>
  <c r="H22" i="21"/>
  <c r="H7" i="21"/>
  <c r="H19" i="21"/>
  <c r="H23" i="21"/>
  <c r="H16" i="21"/>
  <c r="H20" i="21"/>
  <c r="H21" i="21"/>
  <c r="H9" i="21"/>
  <c r="M29" i="21"/>
  <c r="N9" i="21"/>
  <c r="N13" i="21"/>
  <c r="N17" i="21"/>
  <c r="N21" i="21"/>
  <c r="N7" i="21"/>
  <c r="N10" i="21"/>
  <c r="N14" i="21"/>
  <c r="N18" i="21"/>
  <c r="N22" i="21"/>
  <c r="N11" i="21"/>
  <c r="N15" i="21"/>
  <c r="N19" i="21"/>
  <c r="N23" i="21"/>
  <c r="N20" i="21"/>
  <c r="N8" i="21"/>
  <c r="N24" i="21"/>
  <c r="N12" i="21"/>
  <c r="N16" i="21"/>
  <c r="G29" i="19"/>
  <c r="K9" i="13"/>
  <c r="G27" i="20"/>
  <c r="H7" i="20" s="1"/>
  <c r="G27" i="19"/>
  <c r="H12" i="19" s="1"/>
  <c r="G26" i="22"/>
  <c r="K8" i="13"/>
  <c r="M27" i="19"/>
  <c r="N22" i="19" s="1"/>
  <c r="K7" i="13"/>
  <c r="K11" i="13"/>
  <c r="M26" i="17"/>
  <c r="H12" i="20"/>
  <c r="H23" i="20"/>
  <c r="M29" i="22"/>
  <c r="N8" i="22"/>
  <c r="N12" i="22"/>
  <c r="N16" i="22"/>
  <c r="N20" i="22"/>
  <c r="N24" i="22"/>
  <c r="N9" i="22"/>
  <c r="N13" i="22"/>
  <c r="N17" i="22"/>
  <c r="N21" i="22"/>
  <c r="N10" i="22"/>
  <c r="N18" i="22"/>
  <c r="N11" i="22"/>
  <c r="N19" i="22"/>
  <c r="N14" i="22"/>
  <c r="N22" i="22"/>
  <c r="N15" i="22"/>
  <c r="N7" i="22"/>
  <c r="N23" i="22"/>
  <c r="H10" i="17"/>
  <c r="H14" i="17"/>
  <c r="H8" i="17"/>
  <c r="H13" i="17"/>
  <c r="H18" i="17"/>
  <c r="H22" i="17"/>
  <c r="H11" i="17"/>
  <c r="H16" i="17"/>
  <c r="H20" i="17"/>
  <c r="H24" i="17"/>
  <c r="H12" i="17"/>
  <c r="H17" i="17"/>
  <c r="H21" i="17"/>
  <c r="H9" i="17"/>
  <c r="H15" i="17"/>
  <c r="H19" i="17"/>
  <c r="H23" i="17"/>
  <c r="G30" i="17"/>
  <c r="G31" i="17" s="1"/>
  <c r="C7" i="13" s="1"/>
  <c r="H7" i="17"/>
  <c r="H16" i="20"/>
  <c r="H10" i="20"/>
  <c r="H19" i="20"/>
  <c r="M26" i="20"/>
  <c r="H24" i="20"/>
  <c r="G30" i="20" s="1"/>
  <c r="C9" i="13" s="1"/>
  <c r="J13" i="13"/>
  <c r="D13" i="9"/>
  <c r="I14" i="8"/>
  <c r="K14" i="8" s="1"/>
  <c r="I31" i="8"/>
  <c r="K31" i="8" s="1"/>
  <c r="I12" i="8"/>
  <c r="K12" i="8" s="1"/>
  <c r="I29" i="8"/>
  <c r="K29" i="8" s="1"/>
  <c r="I13" i="8"/>
  <c r="K13" i="8" s="1"/>
  <c r="I30" i="8"/>
  <c r="K30" i="8" s="1"/>
  <c r="I19" i="8"/>
  <c r="K19" i="8" s="1"/>
  <c r="I8" i="8"/>
  <c r="K8" i="8" s="1"/>
  <c r="I27" i="8"/>
  <c r="K27" i="8" s="1"/>
  <c r="I25" i="8"/>
  <c r="K25" i="8" s="1"/>
  <c r="I26" i="8"/>
  <c r="K26" i="8" s="1"/>
  <c r="I36" i="8"/>
  <c r="K36" i="8" s="1"/>
  <c r="I18" i="8"/>
  <c r="K18" i="8" s="1"/>
  <c r="I35" i="8"/>
  <c r="K35" i="8" s="1"/>
  <c r="I16" i="8"/>
  <c r="K16" i="8" s="1"/>
  <c r="I33" i="8"/>
  <c r="K33" i="8" s="1"/>
  <c r="I17" i="8"/>
  <c r="K17" i="8" s="1"/>
  <c r="I34" i="8"/>
  <c r="K34" i="8" s="1"/>
  <c r="I28" i="8"/>
  <c r="K28" i="8" s="1"/>
  <c r="I24" i="8"/>
  <c r="K24" i="8" s="1"/>
  <c r="I10" i="8"/>
  <c r="K10" i="8" s="1"/>
  <c r="I9" i="8"/>
  <c r="K9" i="8" s="1"/>
  <c r="I15" i="8"/>
  <c r="K15" i="8" s="1"/>
  <c r="I22" i="8"/>
  <c r="K22" i="8" s="1"/>
  <c r="I40" i="8"/>
  <c r="I20" i="8"/>
  <c r="K20" i="8" s="1"/>
  <c r="I37" i="8"/>
  <c r="K37" i="8" s="1"/>
  <c r="I21" i="8"/>
  <c r="K21" i="8" s="1"/>
  <c r="I38" i="8"/>
  <c r="K38" i="8" s="1"/>
  <c r="I32" i="8"/>
  <c r="K32" i="8" s="1"/>
  <c r="I11" i="8"/>
  <c r="K11" i="8" s="1"/>
  <c r="N18" i="19" l="1"/>
  <c r="H17" i="21"/>
  <c r="H12" i="21"/>
  <c r="H15" i="21"/>
  <c r="H18" i="21"/>
  <c r="N9" i="19"/>
  <c r="H21" i="20"/>
  <c r="H14" i="20"/>
  <c r="H13" i="21"/>
  <c r="H24" i="21"/>
  <c r="G30" i="21" s="1"/>
  <c r="C10" i="13" s="1"/>
  <c r="H8" i="21"/>
  <c r="H11" i="21"/>
  <c r="N23" i="19"/>
  <c r="H24" i="19"/>
  <c r="G30" i="19" s="1"/>
  <c r="C8" i="13" s="1"/>
  <c r="H22" i="20"/>
  <c r="H15" i="20"/>
  <c r="H8" i="20"/>
  <c r="H17" i="20"/>
  <c r="N8" i="17"/>
  <c r="N12" i="17"/>
  <c r="N16" i="17"/>
  <c r="N20" i="17"/>
  <c r="N24" i="17"/>
  <c r="M30" i="17"/>
  <c r="M31" i="17" s="1"/>
  <c r="D7" i="13" s="1"/>
  <c r="H7" i="13" s="1"/>
  <c r="N10" i="17"/>
  <c r="N14" i="17"/>
  <c r="N18" i="17"/>
  <c r="N22" i="17"/>
  <c r="N11" i="17"/>
  <c r="N19" i="17"/>
  <c r="N23" i="17"/>
  <c r="N9" i="17"/>
  <c r="N13" i="17"/>
  <c r="N17" i="17"/>
  <c r="N21" i="17"/>
  <c r="N7" i="17"/>
  <c r="N15" i="17"/>
  <c r="H11" i="20"/>
  <c r="H21" i="19"/>
  <c r="H23" i="19"/>
  <c r="H19" i="19"/>
  <c r="H20" i="19"/>
  <c r="H9" i="20"/>
  <c r="N7" i="19"/>
  <c r="N24" i="19"/>
  <c r="N17" i="19"/>
  <c r="N16" i="19"/>
  <c r="N14" i="19"/>
  <c r="H11" i="19"/>
  <c r="H7" i="19"/>
  <c r="H8" i="19"/>
  <c r="H18" i="20"/>
  <c r="N16" i="20"/>
  <c r="N17" i="20"/>
  <c r="N23" i="20"/>
  <c r="N22" i="20"/>
  <c r="N24" i="20"/>
  <c r="N20" i="20"/>
  <c r="N19" i="20"/>
  <c r="N18" i="20"/>
  <c r="N7" i="20"/>
  <c r="M29" i="20"/>
  <c r="M30" i="20" s="1"/>
  <c r="D9" i="13" s="1"/>
  <c r="H9" i="13" s="1"/>
  <c r="N15" i="20"/>
  <c r="N14" i="20"/>
  <c r="N8" i="20"/>
  <c r="N9" i="20"/>
  <c r="N21" i="20"/>
  <c r="N10" i="20"/>
  <c r="N12" i="20"/>
  <c r="N13" i="20"/>
  <c r="N11" i="20"/>
  <c r="H20" i="20"/>
  <c r="M30" i="22"/>
  <c r="D11" i="13" s="1"/>
  <c r="H13" i="20"/>
  <c r="H18" i="19"/>
  <c r="H15" i="19"/>
  <c r="H22" i="19"/>
  <c r="H14" i="19"/>
  <c r="H16" i="19"/>
  <c r="N20" i="19"/>
  <c r="N19" i="19"/>
  <c r="N12" i="19"/>
  <c r="N11" i="19"/>
  <c r="N10" i="19"/>
  <c r="K13" i="13"/>
  <c r="G29" i="22"/>
  <c r="H11" i="22"/>
  <c r="H15" i="22"/>
  <c r="H19" i="22"/>
  <c r="H23" i="22"/>
  <c r="H8" i="22"/>
  <c r="H12" i="22"/>
  <c r="H16" i="22"/>
  <c r="H20" i="22"/>
  <c r="H24" i="22"/>
  <c r="H9" i="22"/>
  <c r="H17" i="22"/>
  <c r="H7" i="22"/>
  <c r="H10" i="22"/>
  <c r="H18" i="22"/>
  <c r="H13" i="22"/>
  <c r="H21" i="22"/>
  <c r="H22" i="22"/>
  <c r="H14" i="22"/>
  <c r="H13" i="19"/>
  <c r="H10" i="19"/>
  <c r="H17" i="19"/>
  <c r="H9" i="19"/>
  <c r="M30" i="21"/>
  <c r="D10" i="13" s="1"/>
  <c r="N15" i="19"/>
  <c r="N8" i="19"/>
  <c r="N13" i="19"/>
  <c r="M30" i="19"/>
  <c r="D8" i="13" s="1"/>
  <c r="H10" i="13" l="1"/>
  <c r="H8" i="13"/>
  <c r="G30" i="22"/>
  <c r="C11" i="13" s="1"/>
  <c r="H11" i="13" s="1"/>
  <c r="A1" i="9"/>
  <c r="B1" i="8"/>
  <c r="A1" i="7"/>
  <c r="A1" i="13"/>
  <c r="B1" i="21"/>
  <c r="B1" i="22"/>
  <c r="B1" i="20"/>
  <c r="B1" i="19"/>
  <c r="B1" i="17"/>
  <c r="H13" i="13" l="1"/>
  <c r="J3" i="13"/>
  <c r="F4" i="13" s="1"/>
  <c r="G27" i="13"/>
  <c r="G26" i="13"/>
  <c r="G19" i="13"/>
  <c r="G21" i="13"/>
  <c r="G22" i="13"/>
  <c r="G23" i="13"/>
  <c r="G24" i="13"/>
  <c r="G25" i="13"/>
  <c r="G20" i="13"/>
  <c r="D38" i="13"/>
  <c r="D37" i="13"/>
  <c r="D36" i="13"/>
  <c r="F37" i="13" l="1"/>
  <c r="G37" i="13" s="1"/>
  <c r="E10" i="9" s="1"/>
  <c r="F10" i="9" s="1"/>
  <c r="G10" i="9" s="1"/>
  <c r="F38" i="13"/>
  <c r="G38" i="13" s="1"/>
  <c r="E11" i="9" s="1"/>
  <c r="F11" i="9" s="1"/>
  <c r="G11" i="9" s="1"/>
  <c r="F36" i="13"/>
  <c r="G36" i="13" s="1"/>
  <c r="E9" i="9" s="1"/>
  <c r="E13" i="9" l="1"/>
  <c r="F9" i="9"/>
  <c r="G9" i="9" l="1"/>
  <c r="F13" i="9"/>
  <c r="G13" i="9" s="1"/>
  <c r="G19" i="9" s="1"/>
  <c r="G26" i="9" s="1"/>
</calcChain>
</file>

<file path=xl/sharedStrings.xml><?xml version="1.0" encoding="utf-8"?>
<sst xmlns="http://schemas.openxmlformats.org/spreadsheetml/2006/main" count="1734" uniqueCount="164">
  <si>
    <t>STATE</t>
  </si>
  <si>
    <t>F16-19</t>
  </si>
  <si>
    <t>F20–24</t>
  </si>
  <si>
    <t>F25–29</t>
  </si>
  <si>
    <t>F30–34</t>
  </si>
  <si>
    <t>F35–39</t>
  </si>
  <si>
    <t>F40–44</t>
  </si>
  <si>
    <t>F45–49</t>
  </si>
  <si>
    <t>F50–54</t>
  </si>
  <si>
    <t>F55–59</t>
  </si>
  <si>
    <t>F60–64</t>
  </si>
  <si>
    <t>F65–69</t>
  </si>
  <si>
    <t>F70–74</t>
  </si>
  <si>
    <t>F75–79</t>
  </si>
  <si>
    <t>F80–84</t>
  </si>
  <si>
    <t>F85-UP</t>
  </si>
  <si>
    <t>M16-19</t>
  </si>
  <si>
    <t>M20–24</t>
  </si>
  <si>
    <t>M25–29</t>
  </si>
  <si>
    <t>M30–34</t>
  </si>
  <si>
    <t>M35–39</t>
  </si>
  <si>
    <t>M40–44</t>
  </si>
  <si>
    <t>M45–49</t>
  </si>
  <si>
    <t>M50–54</t>
  </si>
  <si>
    <t>M55–59</t>
  </si>
  <si>
    <t>M60–64</t>
  </si>
  <si>
    <t>M65–69</t>
  </si>
  <si>
    <t>M70–74</t>
  </si>
  <si>
    <t>M75–79</t>
  </si>
  <si>
    <t>M80–84</t>
  </si>
  <si>
    <t>M85-UP</t>
  </si>
  <si>
    <t>YYYYQ</t>
  </si>
  <si>
    <t>Cov</t>
  </si>
  <si>
    <t>BI</t>
  </si>
  <si>
    <t>COLL</t>
  </si>
  <si>
    <t>COMP</t>
  </si>
  <si>
    <t>LIAB</t>
  </si>
  <si>
    <t>PD</t>
  </si>
  <si>
    <t>PIP</t>
  </si>
  <si>
    <t>2005 Q4</t>
  </si>
  <si>
    <t>2006 Q1</t>
  </si>
  <si>
    <t>Illinois</t>
  </si>
  <si>
    <t>Industry Loss Trend Data for Countrywide and State</t>
  </si>
  <si>
    <t>Period</t>
  </si>
  <si>
    <t>Car Years</t>
  </si>
  <si>
    <t>CW Trends</t>
  </si>
  <si>
    <t>Claim</t>
  </si>
  <si>
    <t>Count</t>
  </si>
  <si>
    <t>Loss</t>
  </si>
  <si>
    <t>Amount</t>
  </si>
  <si>
    <t>Pure</t>
  </si>
  <si>
    <t>Premium</t>
  </si>
  <si>
    <t>Fitted</t>
  </si>
  <si>
    <t>Value</t>
  </si>
  <si>
    <t>Coverage</t>
  </si>
  <si>
    <t>Weighted Average Trend</t>
  </si>
  <si>
    <t>CW</t>
  </si>
  <si>
    <t>Trend</t>
  </si>
  <si>
    <t xml:space="preserve">State </t>
  </si>
  <si>
    <t>Weighted</t>
  </si>
  <si>
    <t>% Total</t>
  </si>
  <si>
    <t>Loss Dist. For State</t>
  </si>
  <si>
    <t>Based on State Distribution by Coverage</t>
  </si>
  <si>
    <t>Total</t>
  </si>
  <si>
    <t>Experience</t>
  </si>
  <si>
    <t>Year</t>
  </si>
  <si>
    <t>Projection</t>
  </si>
  <si>
    <t># Years</t>
  </si>
  <si>
    <t>Projected</t>
  </si>
  <si>
    <t>Selected</t>
  </si>
  <si>
    <t># Claims</t>
  </si>
  <si>
    <t>State</t>
  </si>
  <si>
    <t>Credibility</t>
  </si>
  <si>
    <t>Weight</t>
  </si>
  <si>
    <t>Credibility Weight Table:</t>
  </si>
  <si>
    <t>Loss Projection Factor Calculation:</t>
  </si>
  <si>
    <t>LPF</t>
  </si>
  <si>
    <t>Deductible</t>
  </si>
  <si>
    <t># Policies</t>
  </si>
  <si>
    <t>Ratio</t>
  </si>
  <si>
    <t>Indicated</t>
  </si>
  <si>
    <t>Current</t>
  </si>
  <si>
    <t>Factors</t>
  </si>
  <si>
    <t>Sex</t>
  </si>
  <si>
    <t>Age Range</t>
  </si>
  <si>
    <t>16-19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</si>
  <si>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</si>
  <si>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</si>
  <si>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</si>
  <si>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</si>
  <si>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</si>
  <si>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</si>
  <si>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</si>
  <si>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</si>
  <si>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</si>
  <si>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</si>
  <si>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</si>
  <si>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75–79</t>
  </si>
  <si>
    <t>80–84</t>
  </si>
  <si>
    <t>85-UP</t>
  </si>
  <si>
    <t>Female</t>
  </si>
  <si>
    <t>Male</t>
  </si>
  <si>
    <t>All</t>
  </si>
  <si>
    <t># Claims In Last Qtr</t>
  </si>
  <si>
    <t>From</t>
  </si>
  <si>
    <t>To</t>
  </si>
  <si>
    <t>Actual</t>
  </si>
  <si>
    <t>Losses</t>
  </si>
  <si>
    <t>Loss Ratio</t>
  </si>
  <si>
    <t>Indicated Change =</t>
  </si>
  <si>
    <t>PLR x (1 + VER)</t>
  </si>
  <si>
    <t>PLR</t>
  </si>
  <si>
    <t>Projected Loss Ratio</t>
  </si>
  <si>
    <t>VER</t>
  </si>
  <si>
    <t>Variable Expense Ratio</t>
  </si>
  <si>
    <t>FER</t>
  </si>
  <si>
    <t>Fixed Expense Ratio</t>
  </si>
  <si>
    <t>PPC</t>
  </si>
  <si>
    <t>INV</t>
  </si>
  <si>
    <t>Investment Income Yield</t>
  </si>
  <si>
    <t>Provision for Proft and Contingencies</t>
  </si>
  <si>
    <t>(from separate exhibit)</t>
  </si>
  <si>
    <t>1 - FER - PPC + (1.5 x INV)</t>
  </si>
  <si>
    <t>Indicated Rate Change =</t>
  </si>
  <si>
    <r>
      <t>LPF</t>
    </r>
    <r>
      <rPr>
        <u/>
        <vertAlign val="superscript"/>
        <sz val="10"/>
        <rFont val="Arial"/>
        <family val="2"/>
      </rPr>
      <t>1</t>
    </r>
  </si>
  <si>
    <t>From Loss Projection Factor Exhibit</t>
  </si>
  <si>
    <r>
      <t>Change</t>
    </r>
    <r>
      <rPr>
        <u/>
        <vertAlign val="superscript"/>
        <sz val="10"/>
        <rFont val="Arial"/>
        <family val="2"/>
      </rPr>
      <t>1</t>
    </r>
  </si>
  <si>
    <t>Based on forumla: Loss Ratio for Group / Overall Loss Ratio - 1</t>
  </si>
  <si>
    <t>Illinois Trends</t>
  </si>
  <si>
    <t>Company Loss Experience Data for State:  2007 - 2009</t>
  </si>
  <si>
    <t>2010 Q1</t>
  </si>
  <si>
    <t>2009 Q1</t>
  </si>
  <si>
    <t>2009 Q2</t>
  </si>
  <si>
    <t>2009 Q3</t>
  </si>
  <si>
    <t>2009 Q4</t>
  </si>
  <si>
    <t>2008 Q1</t>
  </si>
  <si>
    <t>2008 Q2</t>
  </si>
  <si>
    <t>2008 Q3</t>
  </si>
  <si>
    <t>2008 Q4</t>
  </si>
  <si>
    <t>2007 Q1</t>
  </si>
  <si>
    <t>2007 Q2</t>
  </si>
  <si>
    <t>2007 Q3</t>
  </si>
  <si>
    <t>2007 Q4</t>
  </si>
  <si>
    <t>2006 Q2</t>
  </si>
  <si>
    <t>2006 Q3</t>
  </si>
  <si>
    <t>2006 Q4</t>
  </si>
  <si>
    <t>Based on Company Loss Experience Data From 2007-2009</t>
  </si>
  <si>
    <t>SLOPE</t>
  </si>
  <si>
    <t>LINEST</t>
  </si>
  <si>
    <t>INERCEPT</t>
  </si>
  <si>
    <t>AVERAGE ANNUAL INCREASE</t>
  </si>
  <si>
    <t>ANNUAL TREND</t>
  </si>
  <si>
    <t>Class Code</t>
  </si>
  <si>
    <t>CountOfKey</t>
  </si>
  <si>
    <t>SumOfPremium</t>
  </si>
  <si>
    <t>SumOfClaim Indicator</t>
  </si>
  <si>
    <t>SumOfClaim Amount</t>
  </si>
  <si>
    <t>SumOfCW_CARYEARS</t>
  </si>
  <si>
    <t>SumOfCW_PDCOUND</t>
  </si>
  <si>
    <t>SumOfCW_PDAMT</t>
  </si>
  <si>
    <t>SumOfSTATE_CARYEARS</t>
  </si>
  <si>
    <t>SumOfSTATE_PDCOUNT</t>
  </si>
  <si>
    <t>SumOfSTATE_PDAMT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</si>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</sst>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0.000"/>
    <numFmt numFmtId="165" formatCode="&quot;$&quot;#,##0"/>
    <numFmt numFmtId="166" formatCode="0.000%"/>
    <numFmt numFmtId="167" formatCode="0.00000"/>
  </numFmts>
  <fonts count="11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vertAlign val="superscript"/>
      <sz val="10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4" fillId="0" borderId="0" xfId="0" applyFont="1"/>
    <xf numFmtId="0" fontId="3" fillId="0" borderId="0" xfId="0" applyFon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0" fontId="2" fillId="0" borderId="0" xfId="1" applyFont="1" applyFill="1" applyBorder="1" applyAlignment="1">
      <alignment horizontal="center"/>
    </xf>
    <xf numFmtId="0" fontId="0" fillId="0" borderId="1" xfId="0" applyBorder="1" applyAlignment="1">
      <alignment horizontal="centerContinuous"/>
    </xf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Continuous"/>
    </xf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1" applyFont="1" applyFill="1" applyBorder="1" applyAlignment="1"/>
    <xf numFmtId="3" fontId="0" fillId="0" borderId="0" xfId="0" applyNumberFormat="1" applyBorder="1"/>
    <xf numFmtId="3" fontId="0" fillId="0" borderId="0" xfId="0" applyNumberFormat="1" applyAlignment="1">
      <alignment horizontal="right"/>
    </xf>
    <xf numFmtId="10" fontId="3" fillId="0" borderId="0" xfId="0" applyNumberFormat="1" applyFont="1"/>
    <xf numFmtId="10" fontId="7" fillId="0" borderId="0" xfId="0" applyNumberFormat="1" applyFont="1"/>
    <xf numFmtId="4" fontId="7" fillId="0" borderId="0" xfId="0" applyNumberFormat="1" applyFont="1"/>
    <xf numFmtId="4" fontId="7" fillId="0" borderId="0" xfId="0" applyNumberFormat="1" applyFont="1" applyBorder="1"/>
    <xf numFmtId="0" fontId="7" fillId="0" borderId="0" xfId="0" applyFont="1" applyBorder="1"/>
    <xf numFmtId="10" fontId="0" fillId="0" borderId="0" xfId="0" applyNumberFormat="1" applyAlignment="1">
      <alignment horizontal="centerContinuous"/>
    </xf>
    <xf numFmtId="0" fontId="9" fillId="0" borderId="0" xfId="0" applyFont="1" applyBorder="1"/>
    <xf numFmtId="0" fontId="0" fillId="0" borderId="0" xfId="0" applyFill="1" applyBorder="1" applyAlignment="1">
      <alignment horizontal="left"/>
    </xf>
    <xf numFmtId="0" fontId="9" fillId="0" borderId="0" xfId="0" applyFont="1"/>
    <xf numFmtId="10" fontId="0" fillId="0" borderId="0" xfId="3" applyNumberFormat="1" applyFont="1"/>
    <xf numFmtId="166" fontId="0" fillId="0" borderId="0" xfId="3" applyNumberFormat="1" applyFont="1"/>
    <xf numFmtId="166" fontId="0" fillId="0" borderId="0" xfId="0" applyNumberFormat="1"/>
    <xf numFmtId="166" fontId="3" fillId="0" borderId="2" xfId="0" applyNumberFormat="1" applyFont="1" applyBorder="1"/>
    <xf numFmtId="44" fontId="0" fillId="0" borderId="0" xfId="2" applyFont="1"/>
    <xf numFmtId="0" fontId="6" fillId="0" borderId="0" xfId="0" quotePrefix="1" applyFont="1" applyAlignment="1">
      <alignment horizontal="center"/>
    </xf>
    <xf numFmtId="1" fontId="0" fillId="0" borderId="0" xfId="0" applyNumberFormat="1"/>
    <xf numFmtId="164" fontId="0" fillId="0" borderId="0" xfId="0" applyNumberFormat="1"/>
    <xf numFmtId="10" fontId="3" fillId="0" borderId="3" xfId="0" applyNumberFormat="1" applyFont="1" applyBorder="1"/>
    <xf numFmtId="167" fontId="0" fillId="0" borderId="0" xfId="0" applyNumberFormat="1"/>
    <xf numFmtId="2" fontId="0" fillId="0" borderId="0" xfId="0" applyNumberFormat="1"/>
  </cellXfs>
  <cellStyles count="4">
    <cellStyle name="Currency" xfId="2" builtinId="4"/>
    <cellStyle name="Normal" xfId="0" builtinId="0"/>
    <cellStyle name="Normal_InputData" xfId="1"/>
    <cellStyle name="Percent" xfId="3" builtinId="5"/>
  </cellStyles>
  <dxfs count="2"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Pure Premium Trend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CW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'BI Trends'!$G$6:$G$24</c:f>
              <c:numCache>
                <c:formatCode>0.00</c:formatCode>
                <c:ptCount val="19"/>
                <c:pt idx="1">
                  <c:v>110.11402717275325</c:v>
                </c:pt>
                <c:pt idx="2">
                  <c:v>109.40153121605735</c:v>
                </c:pt>
                <c:pt idx="3">
                  <c:v>109.08782418185965</c:v>
                </c:pt>
                <c:pt idx="4">
                  <c:v>109.29984821787687</c:v>
                </c:pt>
                <c:pt idx="5">
                  <c:v>108.64329636304893</c:v>
                </c:pt>
                <c:pt idx="6">
                  <c:v>108.94981845640308</c:v>
                </c:pt>
                <c:pt idx="7">
                  <c:v>109.89191554358321</c:v>
                </c:pt>
                <c:pt idx="8">
                  <c:v>110.67586991436194</c:v>
                </c:pt>
                <c:pt idx="9">
                  <c:v>111.2738398617897</c:v>
                </c:pt>
                <c:pt idx="10">
                  <c:v>112.22150438095154</c:v>
                </c:pt>
                <c:pt idx="11">
                  <c:v>112.39675585664848</c:v>
                </c:pt>
                <c:pt idx="12">
                  <c:v>112.78406989562438</c:v>
                </c:pt>
                <c:pt idx="13">
                  <c:v>112.94284119789583</c:v>
                </c:pt>
                <c:pt idx="14">
                  <c:v>112.53377446619217</c:v>
                </c:pt>
                <c:pt idx="15">
                  <c:v>111.96242872413143</c:v>
                </c:pt>
                <c:pt idx="16">
                  <c:v>111.2813137195309</c:v>
                </c:pt>
                <c:pt idx="17">
                  <c:v>109.63039526621013</c:v>
                </c:pt>
                <c:pt idx="18">
                  <c:v>109.04797757252123</c:v>
                </c:pt>
              </c:numCache>
            </c:numRef>
          </c:val>
          <c:smooth val="0"/>
        </c:ser>
        <c:ser>
          <c:idx val="1"/>
          <c:order val="1"/>
          <c:tx>
            <c:v>CW Fitted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'BI Trends'!$H$6:$H$24</c:f>
              <c:numCache>
                <c:formatCode>0.00</c:formatCode>
                <c:ptCount val="19"/>
                <c:pt idx="1">
                  <c:v>109.56342204136212</c:v>
                </c:pt>
                <c:pt idx="2">
                  <c:v>109.69412423262305</c:v>
                </c:pt>
                <c:pt idx="3">
                  <c:v>109.82482642388398</c:v>
                </c:pt>
                <c:pt idx="4">
                  <c:v>109.95552861514491</c:v>
                </c:pt>
                <c:pt idx="5">
                  <c:v>110.08623080640584</c:v>
                </c:pt>
                <c:pt idx="6">
                  <c:v>110.21693299766676</c:v>
                </c:pt>
                <c:pt idx="7">
                  <c:v>110.3476351889277</c:v>
                </c:pt>
                <c:pt idx="8">
                  <c:v>110.47833738018862</c:v>
                </c:pt>
                <c:pt idx="9">
                  <c:v>110.60903957144954</c:v>
                </c:pt>
                <c:pt idx="10">
                  <c:v>110.73974176271048</c:v>
                </c:pt>
                <c:pt idx="11">
                  <c:v>110.8704439539714</c:v>
                </c:pt>
                <c:pt idx="12">
                  <c:v>111.00114614523234</c:v>
                </c:pt>
                <c:pt idx="13">
                  <c:v>111.13184833649326</c:v>
                </c:pt>
                <c:pt idx="14">
                  <c:v>111.26255052775419</c:v>
                </c:pt>
                <c:pt idx="15">
                  <c:v>111.39325271901512</c:v>
                </c:pt>
                <c:pt idx="16">
                  <c:v>111.52395491027605</c:v>
                </c:pt>
                <c:pt idx="17">
                  <c:v>111.65465710153697</c:v>
                </c:pt>
                <c:pt idx="18">
                  <c:v>111.78535929279791</c:v>
                </c:pt>
              </c:numCache>
            </c:numRef>
          </c:val>
          <c:smooth val="0"/>
        </c:ser>
        <c:ser>
          <c:idx val="2"/>
          <c:order val="2"/>
          <c:tx>
            <c:v>State Actual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'BI Trends'!$M$6:$M$24</c:f>
              <c:numCache>
                <c:formatCode>0.00</c:formatCode>
                <c:ptCount val="19"/>
                <c:pt idx="1">
                  <c:v>90.779239798731155</c:v>
                </c:pt>
                <c:pt idx="2">
                  <c:v>88.980222341339172</c:v>
                </c:pt>
                <c:pt idx="3">
                  <c:v>88.496091218432568</c:v>
                </c:pt>
                <c:pt idx="4">
                  <c:v>88.434031059632318</c:v>
                </c:pt>
                <c:pt idx="5">
                  <c:v>86.880662691822565</c:v>
                </c:pt>
                <c:pt idx="6">
                  <c:v>88.474511825672124</c:v>
                </c:pt>
                <c:pt idx="7">
                  <c:v>90.160146238936903</c:v>
                </c:pt>
                <c:pt idx="8">
                  <c:v>89.715402518490365</c:v>
                </c:pt>
                <c:pt idx="9">
                  <c:v>89.753724797573526</c:v>
                </c:pt>
                <c:pt idx="10">
                  <c:v>91.003729607832128</c:v>
                </c:pt>
                <c:pt idx="11">
                  <c:v>91.578123243174105</c:v>
                </c:pt>
                <c:pt idx="12">
                  <c:v>93.061867272654482</c:v>
                </c:pt>
                <c:pt idx="13">
                  <c:v>92.99839021405478</c:v>
                </c:pt>
                <c:pt idx="14">
                  <c:v>91.850039422200595</c:v>
                </c:pt>
                <c:pt idx="15">
                  <c:v>89.837285365304396</c:v>
                </c:pt>
                <c:pt idx="16">
                  <c:v>88.71920956539698</c:v>
                </c:pt>
                <c:pt idx="17">
                  <c:v>89.096610947789003</c:v>
                </c:pt>
                <c:pt idx="18">
                  <c:v>90.275152692156496</c:v>
                </c:pt>
              </c:numCache>
            </c:numRef>
          </c:val>
          <c:smooth val="0"/>
        </c:ser>
        <c:ser>
          <c:idx val="3"/>
          <c:order val="3"/>
          <c:tx>
            <c:v>State Fitted Value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'BI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'BI Trends'!$N$6:$N$24</c:f>
              <c:numCache>
                <c:formatCode>0.00</c:formatCode>
                <c:ptCount val="19"/>
                <c:pt idx="1">
                  <c:v>89.046904645596541</c:v>
                </c:pt>
                <c:pt idx="2">
                  <c:v>89.159650771089716</c:v>
                </c:pt>
                <c:pt idx="3">
                  <c:v>89.27239689658289</c:v>
                </c:pt>
                <c:pt idx="4">
                  <c:v>89.385143022076065</c:v>
                </c:pt>
                <c:pt idx="5">
                  <c:v>89.497889147569239</c:v>
                </c:pt>
                <c:pt idx="6">
                  <c:v>89.610635273062414</c:v>
                </c:pt>
                <c:pt idx="7">
                  <c:v>89.723381398555588</c:v>
                </c:pt>
                <c:pt idx="8">
                  <c:v>89.836127524048777</c:v>
                </c:pt>
                <c:pt idx="9">
                  <c:v>89.948873649541952</c:v>
                </c:pt>
                <c:pt idx="10">
                  <c:v>90.061619775035126</c:v>
                </c:pt>
                <c:pt idx="11">
                  <c:v>90.174365900528301</c:v>
                </c:pt>
                <c:pt idx="12">
                  <c:v>90.287112026021475</c:v>
                </c:pt>
                <c:pt idx="13">
                  <c:v>90.39985815151465</c:v>
                </c:pt>
                <c:pt idx="14">
                  <c:v>90.512604277007824</c:v>
                </c:pt>
                <c:pt idx="15">
                  <c:v>90.625350402500999</c:v>
                </c:pt>
                <c:pt idx="16">
                  <c:v>90.738096527994173</c:v>
                </c:pt>
                <c:pt idx="17">
                  <c:v>90.850842653487348</c:v>
                </c:pt>
                <c:pt idx="18">
                  <c:v>90.963588778980522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358000"/>
        <c:axId val="491335696"/>
      </c:lineChart>
      <c:catAx>
        <c:axId val="49135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35696"/>
        <c:crosses val="autoZero"/>
        <c:auto val="1"/>
        <c:lblAlgn val="ctr"/>
        <c:lblOffset val="100"/>
        <c:noMultiLvlLbl val="0"/>
      </c:catAx>
      <c:valAx>
        <c:axId val="4913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58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Pure</a:t>
            </a:r>
            <a:r>
              <a:rPr lang="en-US" baseline="0"/>
              <a:t> Premium Trend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CW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'PD Trends'!$G$6:$G$24</c:f>
              <c:numCache>
                <c:formatCode>0.00</c:formatCode>
                <c:ptCount val="19"/>
                <c:pt idx="1">
                  <c:v>93.964385315004904</c:v>
                </c:pt>
                <c:pt idx="2">
                  <c:v>93.681578752740066</c:v>
                </c:pt>
                <c:pt idx="3">
                  <c:v>94.221056919699393</c:v>
                </c:pt>
                <c:pt idx="4">
                  <c:v>95.099983231216456</c:v>
                </c:pt>
                <c:pt idx="5">
                  <c:v>95.219921987335169</c:v>
                </c:pt>
                <c:pt idx="6">
                  <c:v>95.557304754074366</c:v>
                </c:pt>
                <c:pt idx="7">
                  <c:v>95.641227768297938</c:v>
                </c:pt>
                <c:pt idx="8">
                  <c:v>95.659341558877969</c:v>
                </c:pt>
                <c:pt idx="9">
                  <c:v>95.300706136742335</c:v>
                </c:pt>
                <c:pt idx="10">
                  <c:v>95.439119108632909</c:v>
                </c:pt>
                <c:pt idx="11">
                  <c:v>94.880376624159013</c:v>
                </c:pt>
                <c:pt idx="12">
                  <c:v>94.105787508139002</c:v>
                </c:pt>
                <c:pt idx="13">
                  <c:v>93.626702171725185</c:v>
                </c:pt>
                <c:pt idx="14">
                  <c:v>93.42365659010143</c:v>
                </c:pt>
                <c:pt idx="15">
                  <c:v>94.097418796834205</c:v>
                </c:pt>
                <c:pt idx="16">
                  <c:v>94.723776269461467</c:v>
                </c:pt>
                <c:pt idx="17">
                  <c:v>94.615738601461103</c:v>
                </c:pt>
                <c:pt idx="18">
                  <c:v>94.800602471570215</c:v>
                </c:pt>
              </c:numCache>
            </c:numRef>
          </c:val>
          <c:smooth val="0"/>
        </c:ser>
        <c:ser>
          <c:idx val="1"/>
          <c:order val="1"/>
          <c:tx>
            <c:v>CW Fitted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'PD Trends'!$H$6:$H$24</c:f>
              <c:numCache>
                <c:formatCode>0.00</c:formatCode>
                <c:ptCount val="19"/>
                <c:pt idx="1">
                  <c:v>94.808708127560919</c:v>
                </c:pt>
                <c:pt idx="2">
                  <c:v>94.792380926711104</c:v>
                </c:pt>
                <c:pt idx="3">
                  <c:v>94.776053725861274</c:v>
                </c:pt>
                <c:pt idx="4">
                  <c:v>94.759726525011445</c:v>
                </c:pt>
                <c:pt idx="5">
                  <c:v>94.743399324161615</c:v>
                </c:pt>
                <c:pt idx="6">
                  <c:v>94.7270721233118</c:v>
                </c:pt>
                <c:pt idx="7">
                  <c:v>94.71074492246197</c:v>
                </c:pt>
                <c:pt idx="8">
                  <c:v>94.69441772161214</c:v>
                </c:pt>
                <c:pt idx="9">
                  <c:v>94.678090520762325</c:v>
                </c:pt>
                <c:pt idx="10">
                  <c:v>94.661763319912495</c:v>
                </c:pt>
                <c:pt idx="11">
                  <c:v>94.645436119062666</c:v>
                </c:pt>
                <c:pt idx="12">
                  <c:v>94.62910891821285</c:v>
                </c:pt>
                <c:pt idx="13">
                  <c:v>94.612781717363021</c:v>
                </c:pt>
                <c:pt idx="14">
                  <c:v>94.596454516513191</c:v>
                </c:pt>
                <c:pt idx="15">
                  <c:v>94.580127315663361</c:v>
                </c:pt>
                <c:pt idx="16">
                  <c:v>94.563800114813546</c:v>
                </c:pt>
                <c:pt idx="17">
                  <c:v>94.547472913963716</c:v>
                </c:pt>
                <c:pt idx="18">
                  <c:v>94.531145713113887</c:v>
                </c:pt>
              </c:numCache>
            </c:numRef>
          </c:val>
          <c:smooth val="0"/>
        </c:ser>
        <c:ser>
          <c:idx val="2"/>
          <c:order val="2"/>
          <c:tx>
            <c:v>State Actual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'PD Trends'!$M$6:$M$24</c:f>
              <c:numCache>
                <c:formatCode>0.00</c:formatCode>
                <c:ptCount val="19"/>
                <c:pt idx="1">
                  <c:v>84.334500074126467</c:v>
                </c:pt>
                <c:pt idx="2">
                  <c:v>82.133221496416425</c:v>
                </c:pt>
                <c:pt idx="3">
                  <c:v>81.973743026096486</c:v>
                </c:pt>
                <c:pt idx="4">
                  <c:v>83.188864479935717</c:v>
                </c:pt>
                <c:pt idx="5">
                  <c:v>83.246135638606631</c:v>
                </c:pt>
                <c:pt idx="6">
                  <c:v>85.110302352794776</c:v>
                </c:pt>
                <c:pt idx="7">
                  <c:v>85.469560761652431</c:v>
                </c:pt>
                <c:pt idx="8">
                  <c:v>84.859870248542762</c:v>
                </c:pt>
                <c:pt idx="9">
                  <c:v>84.837829940485236</c:v>
                </c:pt>
                <c:pt idx="10">
                  <c:v>84.136341366009631</c:v>
                </c:pt>
                <c:pt idx="11">
                  <c:v>83.759962008720564</c:v>
                </c:pt>
                <c:pt idx="12">
                  <c:v>83.626959459251353</c:v>
                </c:pt>
                <c:pt idx="13">
                  <c:v>83.31327134512037</c:v>
                </c:pt>
                <c:pt idx="14">
                  <c:v>84.611722821288396</c:v>
                </c:pt>
                <c:pt idx="15">
                  <c:v>85.010116851758539</c:v>
                </c:pt>
                <c:pt idx="16">
                  <c:v>84.798335837339863</c:v>
                </c:pt>
                <c:pt idx="17">
                  <c:v>84.110687544988323</c:v>
                </c:pt>
                <c:pt idx="18">
                  <c:v>81.702410954894887</c:v>
                </c:pt>
              </c:numCache>
            </c:numRef>
          </c:val>
          <c:smooth val="0"/>
        </c:ser>
        <c:ser>
          <c:idx val="3"/>
          <c:order val="3"/>
          <c:tx>
            <c:v>State Fitted Value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'PD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'PD Trends'!$N$6:$N$24</c:f>
              <c:numCache>
                <c:formatCode>0.00</c:formatCode>
                <c:ptCount val="19"/>
                <c:pt idx="1">
                  <c:v>83.65424698709235</c:v>
                </c:pt>
                <c:pt idx="2">
                  <c:v>83.683314898467287</c:v>
                </c:pt>
                <c:pt idx="3">
                  <c:v>83.712382809842239</c:v>
                </c:pt>
                <c:pt idx="4">
                  <c:v>83.741450721217191</c:v>
                </c:pt>
                <c:pt idx="5">
                  <c:v>83.770518632592129</c:v>
                </c:pt>
                <c:pt idx="6">
                  <c:v>83.799586543967081</c:v>
                </c:pt>
                <c:pt idx="7">
                  <c:v>83.828654455342033</c:v>
                </c:pt>
                <c:pt idx="8">
                  <c:v>83.85772236671697</c:v>
                </c:pt>
                <c:pt idx="9">
                  <c:v>83.886790278091922</c:v>
                </c:pt>
                <c:pt idx="10">
                  <c:v>83.915858189466874</c:v>
                </c:pt>
                <c:pt idx="11">
                  <c:v>83.944926100841826</c:v>
                </c:pt>
                <c:pt idx="12">
                  <c:v>83.973994012216764</c:v>
                </c:pt>
                <c:pt idx="13">
                  <c:v>84.003061923591716</c:v>
                </c:pt>
                <c:pt idx="14">
                  <c:v>84.032129834966668</c:v>
                </c:pt>
                <c:pt idx="15">
                  <c:v>84.061197746341605</c:v>
                </c:pt>
                <c:pt idx="16">
                  <c:v>84.090265657716557</c:v>
                </c:pt>
                <c:pt idx="17">
                  <c:v>84.119333569091509</c:v>
                </c:pt>
                <c:pt idx="18">
                  <c:v>84.148401480466447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359088"/>
        <c:axId val="491344400"/>
      </c:lineChart>
      <c:catAx>
        <c:axId val="49135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44400"/>
        <c:crosses val="autoZero"/>
        <c:auto val="1"/>
        <c:lblAlgn val="ctr"/>
        <c:lblOffset val="100"/>
        <c:noMultiLvlLbl val="0"/>
      </c:catAx>
      <c:valAx>
        <c:axId val="49134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5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CW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'PIP Trends'!$G$6:$G$24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CW Fitted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'PIP Trends'!$H$6:$H$24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State Actual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'PIP Trends'!$M$6:$M$24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State Fittted Value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'PIP Trends'!$N$6:$N$24</c:f>
              <c:numCache>
                <c:formatCode>General</c:formatCode>
                <c:ptCount val="1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360720"/>
        <c:axId val="491336784"/>
      </c:lineChart>
      <c:catAx>
        <c:axId val="49136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36784"/>
        <c:crosses val="autoZero"/>
        <c:auto val="1"/>
        <c:lblAlgn val="ctr"/>
        <c:lblOffset val="100"/>
        <c:noMultiLvlLbl val="0"/>
      </c:catAx>
      <c:valAx>
        <c:axId val="4913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6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CW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'COLL Trends'!$G$6:$G$24</c:f>
              <c:numCache>
                <c:formatCode>0.00</c:formatCode>
                <c:ptCount val="19"/>
                <c:pt idx="1">
                  <c:v>177.94520316761785</c:v>
                </c:pt>
                <c:pt idx="2">
                  <c:v>175.24785833949039</c:v>
                </c:pt>
                <c:pt idx="3">
                  <c:v>175.79206039114322</c:v>
                </c:pt>
                <c:pt idx="4">
                  <c:v>176.72570415080727</c:v>
                </c:pt>
                <c:pt idx="5">
                  <c:v>177.30901601600462</c:v>
                </c:pt>
                <c:pt idx="6">
                  <c:v>179.16447714932835</c:v>
                </c:pt>
                <c:pt idx="7">
                  <c:v>178.18213408010445</c:v>
                </c:pt>
                <c:pt idx="8">
                  <c:v>176.8293861770334</c:v>
                </c:pt>
                <c:pt idx="9">
                  <c:v>174.64584244118038</c:v>
                </c:pt>
                <c:pt idx="10">
                  <c:v>173.63823784413015</c:v>
                </c:pt>
                <c:pt idx="11">
                  <c:v>171.60834698735391</c:v>
                </c:pt>
                <c:pt idx="12">
                  <c:v>170.16073311072606</c:v>
                </c:pt>
                <c:pt idx="13">
                  <c:v>169.37832524007644</c:v>
                </c:pt>
                <c:pt idx="14">
                  <c:v>169.71114842370829</c:v>
                </c:pt>
                <c:pt idx="15">
                  <c:v>171.34289244059238</c:v>
                </c:pt>
                <c:pt idx="16">
                  <c:v>171.82673240653401</c:v>
                </c:pt>
                <c:pt idx="17">
                  <c:v>172.6737129503629</c:v>
                </c:pt>
                <c:pt idx="18">
                  <c:v>171.94532975253392</c:v>
                </c:pt>
              </c:numCache>
            </c:numRef>
          </c:val>
          <c:smooth val="0"/>
        </c:ser>
        <c:ser>
          <c:idx val="1"/>
          <c:order val="1"/>
          <c:tx>
            <c:v>CW Fitted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'COLL Trends'!$H$6:$H$24</c:f>
              <c:numCache>
                <c:formatCode>0.00</c:formatCode>
                <c:ptCount val="19"/>
                <c:pt idx="1">
                  <c:v>178.02196240043261</c:v>
                </c:pt>
                <c:pt idx="2">
                  <c:v>177.56269323612503</c:v>
                </c:pt>
                <c:pt idx="3">
                  <c:v>177.10342407181747</c:v>
                </c:pt>
                <c:pt idx="4">
                  <c:v>176.64415490750989</c:v>
                </c:pt>
                <c:pt idx="5">
                  <c:v>176.18488574320233</c:v>
                </c:pt>
                <c:pt idx="6">
                  <c:v>175.72561657889477</c:v>
                </c:pt>
                <c:pt idx="7">
                  <c:v>175.26634741458719</c:v>
                </c:pt>
                <c:pt idx="8">
                  <c:v>174.80707825027963</c:v>
                </c:pt>
                <c:pt idx="9">
                  <c:v>174.34780908597205</c:v>
                </c:pt>
                <c:pt idx="10">
                  <c:v>173.88853992166449</c:v>
                </c:pt>
                <c:pt idx="11">
                  <c:v>173.4292707573569</c:v>
                </c:pt>
                <c:pt idx="12">
                  <c:v>172.97000159304935</c:v>
                </c:pt>
                <c:pt idx="13">
                  <c:v>172.51073242874179</c:v>
                </c:pt>
                <c:pt idx="14">
                  <c:v>172.0514632644342</c:v>
                </c:pt>
                <c:pt idx="15">
                  <c:v>171.59219410012665</c:v>
                </c:pt>
                <c:pt idx="16">
                  <c:v>171.13292493581906</c:v>
                </c:pt>
                <c:pt idx="17">
                  <c:v>170.67365577151151</c:v>
                </c:pt>
                <c:pt idx="18">
                  <c:v>170.21438660720395</c:v>
                </c:pt>
              </c:numCache>
            </c:numRef>
          </c:val>
          <c:smooth val="0"/>
        </c:ser>
        <c:ser>
          <c:idx val="2"/>
          <c:order val="2"/>
          <c:tx>
            <c:v>State Actual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'COLL Trends'!$M$6:$M$24</c:f>
              <c:numCache>
                <c:formatCode>0.00</c:formatCode>
                <c:ptCount val="19"/>
                <c:pt idx="1">
                  <c:v>145.40899315224212</c:v>
                </c:pt>
                <c:pt idx="2">
                  <c:v>138.73130699202878</c:v>
                </c:pt>
                <c:pt idx="3">
                  <c:v>139.71579482674926</c:v>
                </c:pt>
                <c:pt idx="4">
                  <c:v>141.13229611220481</c:v>
                </c:pt>
                <c:pt idx="5">
                  <c:v>142.24245154764989</c:v>
                </c:pt>
                <c:pt idx="6">
                  <c:v>151.29994236321909</c:v>
                </c:pt>
                <c:pt idx="7">
                  <c:v>149.25737811825078</c:v>
                </c:pt>
                <c:pt idx="8">
                  <c:v>148.23800602740602</c:v>
                </c:pt>
                <c:pt idx="9">
                  <c:v>147.06762556975292</c:v>
                </c:pt>
                <c:pt idx="10">
                  <c:v>143.93441168633913</c:v>
                </c:pt>
                <c:pt idx="11">
                  <c:v>144.54157057626554</c:v>
                </c:pt>
                <c:pt idx="12">
                  <c:v>143.33124471478558</c:v>
                </c:pt>
                <c:pt idx="13">
                  <c:v>141.64586248842849</c:v>
                </c:pt>
                <c:pt idx="14">
                  <c:v>143.8089686987081</c:v>
                </c:pt>
                <c:pt idx="15">
                  <c:v>144.59003045985366</c:v>
                </c:pt>
                <c:pt idx="16">
                  <c:v>143.16196563201009</c:v>
                </c:pt>
                <c:pt idx="17">
                  <c:v>143.72646996906496</c:v>
                </c:pt>
                <c:pt idx="18">
                  <c:v>135.52056561231527</c:v>
                </c:pt>
              </c:numCache>
            </c:numRef>
          </c:val>
          <c:smooth val="0"/>
        </c:ser>
        <c:ser>
          <c:idx val="3"/>
          <c:order val="3"/>
          <c:tx>
            <c:v>State Fitted Value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'COLL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'COLL Trends'!$N$6:$N$24</c:f>
              <c:numCache>
                <c:formatCode>0.00</c:formatCode>
                <c:ptCount val="19"/>
                <c:pt idx="1">
                  <c:v>144.68644344486779</c:v>
                </c:pt>
                <c:pt idx="2">
                  <c:v>144.57532516081326</c:v>
                </c:pt>
                <c:pt idx="3">
                  <c:v>144.46420687675871</c:v>
                </c:pt>
                <c:pt idx="4">
                  <c:v>144.35308859270415</c:v>
                </c:pt>
                <c:pt idx="5">
                  <c:v>144.2419703086496</c:v>
                </c:pt>
                <c:pt idx="6">
                  <c:v>144.13085202459507</c:v>
                </c:pt>
                <c:pt idx="7">
                  <c:v>144.01973374054052</c:v>
                </c:pt>
                <c:pt idx="8">
                  <c:v>143.90861545648596</c:v>
                </c:pt>
                <c:pt idx="9">
                  <c:v>143.79749717243141</c:v>
                </c:pt>
                <c:pt idx="10">
                  <c:v>143.68637888837688</c:v>
                </c:pt>
                <c:pt idx="11">
                  <c:v>143.57526060432232</c:v>
                </c:pt>
                <c:pt idx="12">
                  <c:v>143.46414232026777</c:v>
                </c:pt>
                <c:pt idx="13">
                  <c:v>143.35302403621321</c:v>
                </c:pt>
                <c:pt idx="14">
                  <c:v>143.24190575215869</c:v>
                </c:pt>
                <c:pt idx="15">
                  <c:v>143.13078746810413</c:v>
                </c:pt>
                <c:pt idx="16">
                  <c:v>143.01966918404958</c:v>
                </c:pt>
                <c:pt idx="17">
                  <c:v>142.90855089999502</c:v>
                </c:pt>
                <c:pt idx="18">
                  <c:v>142.79743261594049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345488"/>
        <c:axId val="491354736"/>
      </c:lineChart>
      <c:catAx>
        <c:axId val="49134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54736"/>
        <c:crosses val="autoZero"/>
        <c:auto val="1"/>
        <c:lblAlgn val="ctr"/>
        <c:lblOffset val="100"/>
        <c:noMultiLvlLbl val="0"/>
      </c:catAx>
      <c:valAx>
        <c:axId val="49135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4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CW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'COMP Trends'!$G$6:$G$24</c:f>
              <c:numCache>
                <c:formatCode>0.000</c:formatCode>
                <c:ptCount val="19"/>
                <c:pt idx="1">
                  <c:v>82.531814245004256</c:v>
                </c:pt>
                <c:pt idx="2">
                  <c:v>82.984054305403447</c:v>
                </c:pt>
                <c:pt idx="3">
                  <c:v>80.063465025349984</c:v>
                </c:pt>
                <c:pt idx="4">
                  <c:v>76.688762316453477</c:v>
                </c:pt>
                <c:pt idx="5">
                  <c:v>75.955093175970433</c:v>
                </c:pt>
                <c:pt idx="6">
                  <c:v>75.511365000817861</c:v>
                </c:pt>
                <c:pt idx="7">
                  <c:v>79.083415925119922</c:v>
                </c:pt>
                <c:pt idx="8">
                  <c:v>80.111912964131534</c:v>
                </c:pt>
                <c:pt idx="9">
                  <c:v>79.563663248312011</c:v>
                </c:pt>
                <c:pt idx="10">
                  <c:v>77.900016946177473</c:v>
                </c:pt>
                <c:pt idx="11">
                  <c:v>70.865069099589974</c:v>
                </c:pt>
                <c:pt idx="12">
                  <c:v>70.351182798630973</c:v>
                </c:pt>
                <c:pt idx="13">
                  <c:v>69.957292091572526</c:v>
                </c:pt>
                <c:pt idx="14">
                  <c:v>69.892167760638131</c:v>
                </c:pt>
                <c:pt idx="15">
                  <c:v>68.78596348784987</c:v>
                </c:pt>
                <c:pt idx="16">
                  <c:v>68.567685308735534</c:v>
                </c:pt>
                <c:pt idx="17">
                  <c:v>77.803414032268648</c:v>
                </c:pt>
                <c:pt idx="18">
                  <c:v>79.128476303462776</c:v>
                </c:pt>
              </c:numCache>
            </c:numRef>
          </c:val>
          <c:smooth val="0"/>
        </c:ser>
        <c:ser>
          <c:idx val="1"/>
          <c:order val="1"/>
          <c:tx>
            <c:v>CW Fitted Value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'COMP Trends'!$H$6:$H$24</c:f>
              <c:numCache>
                <c:formatCode>0.000</c:formatCode>
                <c:ptCount val="19"/>
                <c:pt idx="1">
                  <c:v>80.597979041428601</c:v>
                </c:pt>
                <c:pt idx="2">
                  <c:v>80.042300553126466</c:v>
                </c:pt>
                <c:pt idx="3">
                  <c:v>79.486622064824331</c:v>
                </c:pt>
                <c:pt idx="4">
                  <c:v>78.93094357652221</c:v>
                </c:pt>
                <c:pt idx="5">
                  <c:v>78.375265088220075</c:v>
                </c:pt>
                <c:pt idx="6">
                  <c:v>77.81958659991794</c:v>
                </c:pt>
                <c:pt idx="7">
                  <c:v>77.263908111615805</c:v>
                </c:pt>
                <c:pt idx="8">
                  <c:v>76.70822962331367</c:v>
                </c:pt>
                <c:pt idx="9">
                  <c:v>76.152551135011535</c:v>
                </c:pt>
                <c:pt idx="10">
                  <c:v>75.596872646709414</c:v>
                </c:pt>
                <c:pt idx="11">
                  <c:v>75.041194158407279</c:v>
                </c:pt>
                <c:pt idx="12">
                  <c:v>74.485515670105144</c:v>
                </c:pt>
                <c:pt idx="13">
                  <c:v>73.929837181803009</c:v>
                </c:pt>
                <c:pt idx="14">
                  <c:v>73.374158693500874</c:v>
                </c:pt>
                <c:pt idx="15">
                  <c:v>72.818480205198739</c:v>
                </c:pt>
                <c:pt idx="16">
                  <c:v>72.262801716896604</c:v>
                </c:pt>
                <c:pt idx="17">
                  <c:v>71.707123228594469</c:v>
                </c:pt>
                <c:pt idx="18">
                  <c:v>71.151444740292348</c:v>
                </c:pt>
              </c:numCache>
            </c:numRef>
          </c:val>
          <c:smooth val="0"/>
        </c:ser>
        <c:ser>
          <c:idx val="2"/>
          <c:order val="2"/>
          <c:tx>
            <c:v>State Actual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'COMP Trends'!$M$6:$M$24</c:f>
              <c:numCache>
                <c:formatCode>0.000</c:formatCode>
                <c:ptCount val="19"/>
                <c:pt idx="1">
                  <c:v>59.137847621031462</c:v>
                </c:pt>
                <c:pt idx="2">
                  <c:v>59.487046833939807</c:v>
                </c:pt>
                <c:pt idx="3">
                  <c:v>58.145858557695703</c:v>
                </c:pt>
                <c:pt idx="4">
                  <c:v>57.067714967085656</c:v>
                </c:pt>
                <c:pt idx="5">
                  <c:v>57.747230496915634</c:v>
                </c:pt>
                <c:pt idx="6">
                  <c:v>57.138608853083419</c:v>
                </c:pt>
                <c:pt idx="7">
                  <c:v>55.640892124355595</c:v>
                </c:pt>
                <c:pt idx="8">
                  <c:v>57.391747249224906</c:v>
                </c:pt>
                <c:pt idx="9">
                  <c:v>55.444331399384517</c:v>
                </c:pt>
                <c:pt idx="10">
                  <c:v>54.43096952155468</c:v>
                </c:pt>
                <c:pt idx="11">
                  <c:v>55.088583703707059</c:v>
                </c:pt>
                <c:pt idx="12">
                  <c:v>52.681451225087791</c:v>
                </c:pt>
                <c:pt idx="13">
                  <c:v>52.24463550943392</c:v>
                </c:pt>
                <c:pt idx="14">
                  <c:v>53.589678451277486</c:v>
                </c:pt>
                <c:pt idx="15">
                  <c:v>49.211532952947707</c:v>
                </c:pt>
                <c:pt idx="16">
                  <c:v>47.644460097363996</c:v>
                </c:pt>
                <c:pt idx="17">
                  <c:v>47.068511944014013</c:v>
                </c:pt>
                <c:pt idx="18">
                  <c:v>45.629373382522992</c:v>
                </c:pt>
              </c:numCache>
            </c:numRef>
          </c:val>
          <c:smooth val="0"/>
        </c:ser>
        <c:ser>
          <c:idx val="3"/>
          <c:order val="3"/>
          <c:tx>
            <c:v>State Fitted Value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'COMP Trends'!$B$7:$B$24</c:f>
              <c:strCache>
                <c:ptCount val="18"/>
                <c:pt idx="0">
                  <c:v>2005 Q4</c:v>
                </c:pt>
                <c:pt idx="1">
                  <c:v>2006 Q1</c:v>
                </c:pt>
                <c:pt idx="2">
                  <c:v>2006 Q2</c:v>
                </c:pt>
                <c:pt idx="3">
                  <c:v>2006 Q3</c:v>
                </c:pt>
                <c:pt idx="4">
                  <c:v>2006 Q4</c:v>
                </c:pt>
                <c:pt idx="5">
                  <c:v>2007 Q1</c:v>
                </c:pt>
                <c:pt idx="6">
                  <c:v>2007 Q2</c:v>
                </c:pt>
                <c:pt idx="7">
                  <c:v>2007 Q3</c:v>
                </c:pt>
                <c:pt idx="8">
                  <c:v>2007 Q4</c:v>
                </c:pt>
                <c:pt idx="9">
                  <c:v>2008 Q1</c:v>
                </c:pt>
                <c:pt idx="10">
                  <c:v>2008 Q2</c:v>
                </c:pt>
                <c:pt idx="11">
                  <c:v>2008 Q3</c:v>
                </c:pt>
                <c:pt idx="12">
                  <c:v>2008 Q4</c:v>
                </c:pt>
                <c:pt idx="13">
                  <c:v>2009 Q1</c:v>
                </c:pt>
                <c:pt idx="14">
                  <c:v>2009 Q2</c:v>
                </c:pt>
                <c:pt idx="15">
                  <c:v>2009 Q3</c:v>
                </c:pt>
                <c:pt idx="16">
                  <c:v>2009 Q4</c:v>
                </c:pt>
                <c:pt idx="17">
                  <c:v>2010 Q1</c:v>
                </c:pt>
              </c:strCache>
            </c:strRef>
          </c:cat>
          <c:val>
            <c:numRef>
              <c:f>'COMP Trends'!$N$6:$N$24</c:f>
              <c:numCache>
                <c:formatCode>0.000</c:formatCode>
                <c:ptCount val="19"/>
                <c:pt idx="1">
                  <c:v>60.587079947464964</c:v>
                </c:pt>
                <c:pt idx="2">
                  <c:v>59.830367763388217</c:v>
                </c:pt>
                <c:pt idx="3">
                  <c:v>59.073655579311463</c:v>
                </c:pt>
                <c:pt idx="4">
                  <c:v>58.316943395234709</c:v>
                </c:pt>
                <c:pt idx="5">
                  <c:v>57.560231211157955</c:v>
                </c:pt>
                <c:pt idx="6">
                  <c:v>56.803519027081208</c:v>
                </c:pt>
                <c:pt idx="7">
                  <c:v>56.046806843004454</c:v>
                </c:pt>
                <c:pt idx="8">
                  <c:v>55.2900946589277</c:v>
                </c:pt>
                <c:pt idx="9">
                  <c:v>54.533382474850946</c:v>
                </c:pt>
                <c:pt idx="10">
                  <c:v>53.776670290774199</c:v>
                </c:pt>
                <c:pt idx="11">
                  <c:v>53.019958106697445</c:v>
                </c:pt>
                <c:pt idx="12">
                  <c:v>52.26324592262069</c:v>
                </c:pt>
                <c:pt idx="13">
                  <c:v>51.506533738543936</c:v>
                </c:pt>
                <c:pt idx="14">
                  <c:v>50.749821554467189</c:v>
                </c:pt>
                <c:pt idx="15">
                  <c:v>49.993109370390435</c:v>
                </c:pt>
                <c:pt idx="16">
                  <c:v>49.236397186313681</c:v>
                </c:pt>
                <c:pt idx="17">
                  <c:v>48.479685002236934</c:v>
                </c:pt>
                <c:pt idx="18">
                  <c:v>47.72297281816018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1337328"/>
        <c:axId val="491364528"/>
      </c:lineChart>
      <c:catAx>
        <c:axId val="49133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64528"/>
        <c:crosses val="autoZero"/>
        <c:auto val="1"/>
        <c:lblAlgn val="ctr"/>
        <c:lblOffset val="100"/>
        <c:noMultiLvlLbl val="0"/>
      </c:catAx>
      <c:valAx>
        <c:axId val="49136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3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261257</xdr:colOff>
      <xdr:row>20</xdr:row>
      <xdr:rowOff>130630</xdr:rowOff>
    </xdr:from>
    <xdr:to>
      <xdr:col>29</xdr:col>
      <xdr:colOff>185057</xdr:colOff>
      <xdr:row>52</xdr:row>
      <xdr:rowOff>108859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182880</xdr:colOff>
      <xdr:row>4</xdr:row>
      <xdr:rowOff>152400</xdr:rowOff>
    </xdr:from>
    <xdr:to>
      <xdr:col>21</xdr:col>
      <xdr:colOff>487680</xdr:colOff>
      <xdr:row>21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326571</xdr:colOff>
      <xdr:row>5</xdr:row>
      <xdr:rowOff>10885</xdr:rowOff>
    </xdr:from>
    <xdr:to>
      <xdr:col>23</xdr:col>
      <xdr:colOff>21771</xdr:colOff>
      <xdr:row>21</xdr:row>
      <xdr:rowOff>141514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370114</xdr:colOff>
      <xdr:row>12</xdr:row>
      <xdr:rowOff>10886</xdr:rowOff>
    </xdr:from>
    <xdr:to>
      <xdr:col>25</xdr:col>
      <xdr:colOff>65314</xdr:colOff>
      <xdr:row>28</xdr:row>
      <xdr:rowOff>141515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566057</xdr:colOff>
      <xdr:row>6</xdr:row>
      <xdr:rowOff>54429</xdr:rowOff>
    </xdr:from>
    <xdr:to>
      <xdr:col>26</xdr:col>
      <xdr:colOff>65315</xdr:colOff>
      <xdr:row>23</xdr:row>
      <xdr:rowOff>21772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V549"/>
  <sheetViews>
    <sheetView topLeftCell="A91" zoomScale="85" workbookViewId="0">
      <selection activeCell="M104" sqref="M104"/>
    </sheetView>
  </sheetViews>
  <sheetFormatPr defaultRowHeight="13.2" x14ac:dyDescent="0.25"/>
  <cols>
    <col min="1" max="1" width="13.88671875" customWidth="1"/>
    <col min="3" max="3" width="7" style="1" customWidth="1"/>
    <col min="4" max="4" width="6.109375" style="1" bestFit="1" customWidth="1"/>
    <col min="5" max="5" width="8.44140625" style="1" bestFit="1" customWidth="1"/>
    <col min="6" max="6" width="7.6640625" style="1" bestFit="1" customWidth="1"/>
    <col min="7" max="7" width="11" style="1" bestFit="1" customWidth="1"/>
    <col min="8" max="8" width="12.33203125" style="1" bestFit="1" customWidth="1"/>
    <col min="9" max="9" width="15.5546875" style="1" customWidth="1"/>
    <col min="10" max="10" width="21" bestFit="1" customWidth="1"/>
    <col min="15" max="15" width="8" bestFit="1" customWidth="1"/>
    <col min="16" max="16" width="6.5546875" bestFit="1" customWidth="1"/>
    <col min="17" max="17" width="15.5546875" bestFit="1" customWidth="1"/>
    <col min="18" max="18" width="14.109375" bestFit="1" customWidth="1"/>
    <col min="19" max="19" width="12.44140625" bestFit="1" customWidth="1"/>
    <col min="20" max="20" width="18.44140625" bestFit="1" customWidth="1"/>
    <col min="21" max="21" width="16.88671875" bestFit="1" customWidth="1"/>
    <col min="22" max="22" width="14.44140625" bestFit="1" customWidth="1"/>
  </cols>
  <sheetData>
    <row r="2" spans="1:22" x14ac:dyDescent="0.25">
      <c r="A2" s="1" t="s">
        <v>0</v>
      </c>
      <c r="B2" s="14" t="s">
        <v>41</v>
      </c>
    </row>
    <row r="3" spans="1:22" x14ac:dyDescent="0.25">
      <c r="B3" s="14"/>
    </row>
    <row r="7" spans="1:22" x14ac:dyDescent="0.25">
      <c r="C7" s="2" t="s">
        <v>129</v>
      </c>
      <c r="N7" s="2" t="s">
        <v>42</v>
      </c>
    </row>
    <row r="9" spans="1:22" x14ac:dyDescent="0.25">
      <c r="C9" t="s">
        <v>71</v>
      </c>
      <c r="D9" t="s">
        <v>65</v>
      </c>
      <c r="E9" t="s">
        <v>77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N9" t="s">
        <v>0</v>
      </c>
      <c r="O9" t="s">
        <v>31</v>
      </c>
      <c r="P9" t="s">
        <v>32</v>
      </c>
      <c r="Q9" t="s">
        <v>157</v>
      </c>
      <c r="R9" t="s">
        <v>158</v>
      </c>
      <c r="S9" t="s">
        <v>159</v>
      </c>
      <c r="T9" t="s">
        <v>160</v>
      </c>
      <c r="U9" t="s">
        <v>161</v>
      </c>
      <c r="V9" t="s">
        <v>162</v>
      </c>
    </row>
    <row r="10" spans="1:22" x14ac:dyDescent="0.25">
      <c r="C10" t="s">
        <v>163</v>
      </c>
      <c r="D10">
        <v>2007</v>
      </c>
      <c r="E10">
        <v>0</v>
      </c>
      <c r="F10" t="s">
        <v>1</v>
      </c>
      <c r="G10">
        <v>34</v>
      </c>
      <c r="H10">
        <v>41843.800000000003</v>
      </c>
      <c r="I10">
        <v>2</v>
      </c>
      <c r="J10">
        <v>21714.29</v>
      </c>
      <c r="N10" t="s">
        <v>163</v>
      </c>
      <c r="O10" t="s">
        <v>39</v>
      </c>
      <c r="P10" t="s">
        <v>33</v>
      </c>
      <c r="Q10">
        <v>109530454</v>
      </c>
      <c r="R10">
        <v>1137349</v>
      </c>
      <c r="S10">
        <v>12060839388</v>
      </c>
      <c r="T10">
        <v>3716621</v>
      </c>
      <c r="U10">
        <v>39420</v>
      </c>
      <c r="V10">
        <v>337392029</v>
      </c>
    </row>
    <row r="11" spans="1:22" x14ac:dyDescent="0.25">
      <c r="C11" t="s">
        <v>163</v>
      </c>
      <c r="D11">
        <v>2007</v>
      </c>
      <c r="E11">
        <v>0</v>
      </c>
      <c r="F11" t="s">
        <v>2</v>
      </c>
      <c r="G11">
        <v>55</v>
      </c>
      <c r="H11">
        <v>56407.999999999898</v>
      </c>
      <c r="I11">
        <v>4</v>
      </c>
      <c r="J11">
        <v>43766.92</v>
      </c>
      <c r="N11" t="s">
        <v>163</v>
      </c>
      <c r="O11" t="s">
        <v>39</v>
      </c>
      <c r="P11" t="s">
        <v>34</v>
      </c>
      <c r="Q11">
        <v>86712859</v>
      </c>
      <c r="R11">
        <v>5986159</v>
      </c>
      <c r="S11">
        <v>15430137312</v>
      </c>
      <c r="T11">
        <v>3158114</v>
      </c>
      <c r="U11">
        <v>200155</v>
      </c>
      <c r="V11">
        <v>459218177</v>
      </c>
    </row>
    <row r="12" spans="1:22" x14ac:dyDescent="0.25">
      <c r="C12" t="s">
        <v>163</v>
      </c>
      <c r="D12">
        <v>2007</v>
      </c>
      <c r="E12">
        <v>0</v>
      </c>
      <c r="F12" t="s">
        <v>3</v>
      </c>
      <c r="G12">
        <v>50</v>
      </c>
      <c r="H12">
        <v>45128</v>
      </c>
      <c r="I12">
        <v>4</v>
      </c>
      <c r="J12">
        <v>42253.27</v>
      </c>
      <c r="N12" t="s">
        <v>163</v>
      </c>
      <c r="O12" t="s">
        <v>39</v>
      </c>
      <c r="P12" t="s">
        <v>35</v>
      </c>
      <c r="Q12">
        <v>91772412</v>
      </c>
      <c r="R12">
        <v>7898586</v>
      </c>
      <c r="S12">
        <v>7574143660</v>
      </c>
      <c r="T12">
        <v>3446893</v>
      </c>
      <c r="U12">
        <v>214017</v>
      </c>
      <c r="V12">
        <v>203841833</v>
      </c>
    </row>
    <row r="13" spans="1:22" x14ac:dyDescent="0.25">
      <c r="C13" t="s">
        <v>163</v>
      </c>
      <c r="D13">
        <v>2007</v>
      </c>
      <c r="E13">
        <v>0</v>
      </c>
      <c r="F13" t="s">
        <v>4</v>
      </c>
      <c r="G13">
        <v>54</v>
      </c>
      <c r="H13">
        <v>44307.54</v>
      </c>
      <c r="I13">
        <v>3</v>
      </c>
      <c r="J13">
        <v>32711.79</v>
      </c>
      <c r="N13" t="s">
        <v>163</v>
      </c>
      <c r="O13" t="s">
        <v>39</v>
      </c>
      <c r="P13" t="s">
        <v>36</v>
      </c>
    </row>
    <row r="14" spans="1:22" x14ac:dyDescent="0.25">
      <c r="C14" t="s">
        <v>163</v>
      </c>
      <c r="D14">
        <v>2007</v>
      </c>
      <c r="E14">
        <v>0</v>
      </c>
      <c r="F14" t="s">
        <v>5</v>
      </c>
      <c r="G14">
        <v>66</v>
      </c>
      <c r="H14">
        <v>54153.66</v>
      </c>
      <c r="I14">
        <v>3</v>
      </c>
      <c r="J14">
        <v>33554.120000000003</v>
      </c>
      <c r="N14" t="s">
        <v>163</v>
      </c>
      <c r="O14" t="s">
        <v>39</v>
      </c>
      <c r="P14" t="s">
        <v>37</v>
      </c>
      <c r="Q14">
        <v>109639914</v>
      </c>
      <c r="R14">
        <v>4370394</v>
      </c>
      <c r="S14">
        <v>10302247125</v>
      </c>
      <c r="T14">
        <v>3716621</v>
      </c>
      <c r="U14">
        <v>147115</v>
      </c>
      <c r="V14">
        <v>313439374</v>
      </c>
    </row>
    <row r="15" spans="1:22" x14ac:dyDescent="0.25">
      <c r="C15" t="s">
        <v>163</v>
      </c>
      <c r="D15">
        <v>2007</v>
      </c>
      <c r="E15">
        <v>0</v>
      </c>
      <c r="F15" t="s">
        <v>6</v>
      </c>
      <c r="G15">
        <v>54</v>
      </c>
      <c r="H15">
        <v>39876.839999999997</v>
      </c>
      <c r="I15">
        <v>2</v>
      </c>
      <c r="J15">
        <v>24036.26</v>
      </c>
      <c r="N15" t="s">
        <v>163</v>
      </c>
      <c r="O15" t="s">
        <v>40</v>
      </c>
      <c r="P15" t="s">
        <v>33</v>
      </c>
      <c r="Q15">
        <v>110248452</v>
      </c>
      <c r="R15">
        <v>1133495</v>
      </c>
      <c r="S15">
        <v>12061349463</v>
      </c>
      <c r="T15">
        <v>3742354</v>
      </c>
      <c r="U15">
        <v>38853</v>
      </c>
      <c r="V15">
        <v>332995491</v>
      </c>
    </row>
    <row r="16" spans="1:22" x14ac:dyDescent="0.25">
      <c r="C16" t="s">
        <v>163</v>
      </c>
      <c r="D16">
        <v>2007</v>
      </c>
      <c r="E16">
        <v>0</v>
      </c>
      <c r="F16" t="s">
        <v>7</v>
      </c>
      <c r="G16">
        <v>65</v>
      </c>
      <c r="H16">
        <v>45332.95</v>
      </c>
      <c r="I16">
        <v>6</v>
      </c>
      <c r="J16">
        <v>68829.45</v>
      </c>
      <c r="N16" t="s">
        <v>163</v>
      </c>
      <c r="O16" t="s">
        <v>40</v>
      </c>
      <c r="P16" t="s">
        <v>34</v>
      </c>
      <c r="Q16">
        <v>87356399</v>
      </c>
      <c r="R16">
        <v>5885987</v>
      </c>
      <c r="S16">
        <v>15309021837</v>
      </c>
      <c r="T16">
        <v>3179063</v>
      </c>
      <c r="U16">
        <v>193943</v>
      </c>
      <c r="V16">
        <v>441035565</v>
      </c>
    </row>
    <row r="17" spans="3:22" x14ac:dyDescent="0.25">
      <c r="C17" t="s">
        <v>163</v>
      </c>
      <c r="D17">
        <v>2007</v>
      </c>
      <c r="E17">
        <v>0</v>
      </c>
      <c r="F17" t="s">
        <v>8</v>
      </c>
      <c r="G17">
        <v>58</v>
      </c>
      <c r="H17">
        <v>40450.94</v>
      </c>
      <c r="I17">
        <v>0</v>
      </c>
      <c r="J17">
        <v>0</v>
      </c>
      <c r="N17" t="s">
        <v>163</v>
      </c>
      <c r="O17" t="s">
        <v>40</v>
      </c>
      <c r="P17" t="s">
        <v>35</v>
      </c>
      <c r="Q17">
        <v>92410399</v>
      </c>
      <c r="R17">
        <v>7901695</v>
      </c>
      <c r="S17">
        <v>7668589569</v>
      </c>
      <c r="T17">
        <v>3465948</v>
      </c>
      <c r="U17">
        <v>211832</v>
      </c>
      <c r="V17">
        <v>206179011</v>
      </c>
    </row>
    <row r="18" spans="3:22" x14ac:dyDescent="0.25">
      <c r="C18" t="s">
        <v>163</v>
      </c>
      <c r="D18">
        <v>2007</v>
      </c>
      <c r="E18">
        <v>0</v>
      </c>
      <c r="F18" t="s">
        <v>9</v>
      </c>
      <c r="G18">
        <v>45</v>
      </c>
      <c r="H18">
        <v>29538.45</v>
      </c>
      <c r="I18">
        <v>1</v>
      </c>
      <c r="J18">
        <v>9690.2000000000007</v>
      </c>
      <c r="N18" t="s">
        <v>163</v>
      </c>
      <c r="O18" t="s">
        <v>40</v>
      </c>
      <c r="P18" t="s">
        <v>36</v>
      </c>
    </row>
    <row r="19" spans="3:22" x14ac:dyDescent="0.25">
      <c r="C19" t="s">
        <v>163</v>
      </c>
      <c r="D19">
        <v>2007</v>
      </c>
      <c r="E19">
        <v>0</v>
      </c>
      <c r="F19" t="s">
        <v>10</v>
      </c>
      <c r="G19">
        <v>38</v>
      </c>
      <c r="H19">
        <v>24943.58</v>
      </c>
      <c r="I19">
        <v>2</v>
      </c>
      <c r="J19">
        <v>18288.099999999999</v>
      </c>
      <c r="N19" t="s">
        <v>163</v>
      </c>
      <c r="O19" t="s">
        <v>40</v>
      </c>
      <c r="P19" t="s">
        <v>37</v>
      </c>
      <c r="Q19">
        <v>110345259</v>
      </c>
      <c r="R19">
        <v>4331725</v>
      </c>
      <c r="S19">
        <v>10337318071</v>
      </c>
      <c r="T19">
        <v>3742354</v>
      </c>
      <c r="U19">
        <v>143339</v>
      </c>
      <c r="V19">
        <v>307371590</v>
      </c>
    </row>
    <row r="20" spans="3:22" x14ac:dyDescent="0.25">
      <c r="C20" t="s">
        <v>163</v>
      </c>
      <c r="D20">
        <v>2007</v>
      </c>
      <c r="E20">
        <v>0</v>
      </c>
      <c r="F20" t="s">
        <v>11</v>
      </c>
      <c r="G20">
        <v>24</v>
      </c>
      <c r="H20">
        <v>15753.84</v>
      </c>
      <c r="I20">
        <v>1</v>
      </c>
      <c r="J20">
        <v>10101.799999999999</v>
      </c>
      <c r="N20" t="s">
        <v>163</v>
      </c>
      <c r="O20" t="s">
        <v>143</v>
      </c>
      <c r="P20" t="s">
        <v>33</v>
      </c>
      <c r="Q20">
        <v>110933991</v>
      </c>
      <c r="R20">
        <v>1134028</v>
      </c>
      <c r="S20">
        <v>12101547706</v>
      </c>
      <c r="T20">
        <v>3769589</v>
      </c>
      <c r="U20">
        <v>38645</v>
      </c>
      <c r="V20">
        <v>333593892</v>
      </c>
    </row>
    <row r="21" spans="3:22" x14ac:dyDescent="0.25">
      <c r="C21" t="s">
        <v>163</v>
      </c>
      <c r="D21">
        <v>2007</v>
      </c>
      <c r="E21">
        <v>0</v>
      </c>
      <c r="F21" t="s">
        <v>12</v>
      </c>
      <c r="G21">
        <v>18</v>
      </c>
      <c r="H21">
        <v>13292.28</v>
      </c>
      <c r="I21">
        <v>0</v>
      </c>
      <c r="J21">
        <v>0</v>
      </c>
      <c r="N21" t="s">
        <v>163</v>
      </c>
      <c r="O21" t="s">
        <v>143</v>
      </c>
      <c r="P21" t="s">
        <v>34</v>
      </c>
      <c r="Q21">
        <v>87952897</v>
      </c>
      <c r="R21">
        <v>5901070</v>
      </c>
      <c r="S21">
        <v>15461420981</v>
      </c>
      <c r="T21">
        <v>3201314</v>
      </c>
      <c r="U21">
        <v>193513</v>
      </c>
      <c r="V21">
        <v>447274130</v>
      </c>
    </row>
    <row r="22" spans="3:22" x14ac:dyDescent="0.25">
      <c r="C22" t="s">
        <v>163</v>
      </c>
      <c r="D22">
        <v>2007</v>
      </c>
      <c r="E22">
        <v>0</v>
      </c>
      <c r="F22" t="s">
        <v>13</v>
      </c>
      <c r="G22">
        <v>20</v>
      </c>
      <c r="H22">
        <v>14769.2</v>
      </c>
      <c r="I22">
        <v>3</v>
      </c>
      <c r="J22">
        <v>32499.61</v>
      </c>
      <c r="N22" t="s">
        <v>163</v>
      </c>
      <c r="O22" t="s">
        <v>143</v>
      </c>
      <c r="P22" t="s">
        <v>35</v>
      </c>
      <c r="Q22">
        <v>93005005</v>
      </c>
      <c r="R22">
        <v>7753338</v>
      </c>
      <c r="S22">
        <v>7446302965</v>
      </c>
      <c r="T22">
        <v>3486213</v>
      </c>
      <c r="U22">
        <v>207162</v>
      </c>
      <c r="V22">
        <v>202708848</v>
      </c>
    </row>
    <row r="23" spans="3:22" x14ac:dyDescent="0.25">
      <c r="C23" t="s">
        <v>163</v>
      </c>
      <c r="D23">
        <v>2007</v>
      </c>
      <c r="E23">
        <v>0</v>
      </c>
      <c r="F23" t="s">
        <v>14</v>
      </c>
      <c r="G23">
        <v>8</v>
      </c>
      <c r="H23">
        <v>6564.08</v>
      </c>
      <c r="I23">
        <v>0</v>
      </c>
      <c r="J23">
        <v>0</v>
      </c>
      <c r="N23" t="s">
        <v>163</v>
      </c>
      <c r="O23" t="s">
        <v>143</v>
      </c>
      <c r="P23" t="s">
        <v>36</v>
      </c>
    </row>
    <row r="24" spans="3:22" x14ac:dyDescent="0.25">
      <c r="C24" t="s">
        <v>163</v>
      </c>
      <c r="D24">
        <v>2007</v>
      </c>
      <c r="E24">
        <v>0</v>
      </c>
      <c r="F24" t="s">
        <v>15</v>
      </c>
      <c r="G24">
        <v>11</v>
      </c>
      <c r="H24">
        <v>9025.61</v>
      </c>
      <c r="I24">
        <v>1</v>
      </c>
      <c r="J24">
        <v>11246.15</v>
      </c>
      <c r="N24" t="s">
        <v>163</v>
      </c>
      <c r="O24" t="s">
        <v>143</v>
      </c>
      <c r="P24" t="s">
        <v>37</v>
      </c>
      <c r="Q24">
        <v>111021528</v>
      </c>
      <c r="R24">
        <v>4349949</v>
      </c>
      <c r="S24">
        <v>10460565709</v>
      </c>
      <c r="T24">
        <v>3769589</v>
      </c>
      <c r="U24">
        <v>143375</v>
      </c>
      <c r="V24">
        <v>309007320</v>
      </c>
    </row>
    <row r="25" spans="3:22" x14ac:dyDescent="0.25">
      <c r="C25" t="s">
        <v>163</v>
      </c>
      <c r="D25">
        <v>2007</v>
      </c>
      <c r="E25">
        <v>0</v>
      </c>
      <c r="F25" t="s">
        <v>16</v>
      </c>
      <c r="G25">
        <v>24</v>
      </c>
      <c r="H25">
        <v>37413.599999999999</v>
      </c>
      <c r="I25">
        <v>2</v>
      </c>
      <c r="J25">
        <v>22550.05</v>
      </c>
      <c r="N25" t="s">
        <v>163</v>
      </c>
      <c r="O25" t="s">
        <v>144</v>
      </c>
      <c r="P25" t="s">
        <v>33</v>
      </c>
      <c r="Q25">
        <v>111519062</v>
      </c>
      <c r="R25">
        <v>1134985</v>
      </c>
      <c r="S25">
        <v>12189016550</v>
      </c>
      <c r="T25">
        <v>3798242</v>
      </c>
      <c r="U25">
        <v>39060</v>
      </c>
      <c r="V25">
        <v>335893851</v>
      </c>
    </row>
    <row r="26" spans="3:22" x14ac:dyDescent="0.25">
      <c r="C26" t="s">
        <v>163</v>
      </c>
      <c r="D26">
        <v>2007</v>
      </c>
      <c r="E26">
        <v>0</v>
      </c>
      <c r="F26" t="s">
        <v>17</v>
      </c>
      <c r="G26">
        <v>40</v>
      </c>
      <c r="H26">
        <v>49228</v>
      </c>
      <c r="I26">
        <v>4</v>
      </c>
      <c r="J26">
        <v>44903.75</v>
      </c>
      <c r="N26" t="s">
        <v>163</v>
      </c>
      <c r="O26" t="s">
        <v>144</v>
      </c>
      <c r="P26" t="s">
        <v>34</v>
      </c>
      <c r="Q26">
        <v>88442844</v>
      </c>
      <c r="R26">
        <v>5919936</v>
      </c>
      <c r="S26">
        <v>15630123883</v>
      </c>
      <c r="T26">
        <v>3223035</v>
      </c>
      <c r="U26">
        <v>194786</v>
      </c>
      <c r="V26">
        <v>454874330</v>
      </c>
    </row>
    <row r="27" spans="3:22" x14ac:dyDescent="0.25">
      <c r="C27" t="s">
        <v>163</v>
      </c>
      <c r="D27">
        <v>2007</v>
      </c>
      <c r="E27">
        <v>0</v>
      </c>
      <c r="F27" t="s">
        <v>18</v>
      </c>
      <c r="G27">
        <v>48</v>
      </c>
      <c r="H27">
        <v>53164.800000000003</v>
      </c>
      <c r="I27">
        <v>3</v>
      </c>
      <c r="J27">
        <v>33806.94</v>
      </c>
      <c r="N27" t="s">
        <v>163</v>
      </c>
      <c r="O27" t="s">
        <v>144</v>
      </c>
      <c r="P27" t="s">
        <v>35</v>
      </c>
      <c r="Q27">
        <v>93493939</v>
      </c>
      <c r="R27">
        <v>7672488</v>
      </c>
      <c r="S27">
        <v>7169934466</v>
      </c>
      <c r="T27">
        <v>3506374</v>
      </c>
      <c r="U27">
        <v>203765</v>
      </c>
      <c r="V27">
        <v>200100752</v>
      </c>
    </row>
    <row r="28" spans="3:22" x14ac:dyDescent="0.25">
      <c r="C28" t="s">
        <v>163</v>
      </c>
      <c r="D28">
        <v>2007</v>
      </c>
      <c r="E28">
        <v>0</v>
      </c>
      <c r="F28" t="s">
        <v>19</v>
      </c>
      <c r="G28">
        <v>56</v>
      </c>
      <c r="H28">
        <v>45948.56</v>
      </c>
      <c r="I28">
        <v>3</v>
      </c>
      <c r="J28">
        <v>33934.54</v>
      </c>
      <c r="N28" t="s">
        <v>163</v>
      </c>
      <c r="O28" t="s">
        <v>144</v>
      </c>
      <c r="P28" t="s">
        <v>36</v>
      </c>
    </row>
    <row r="29" spans="3:22" x14ac:dyDescent="0.25">
      <c r="C29" t="s">
        <v>163</v>
      </c>
      <c r="D29">
        <v>2007</v>
      </c>
      <c r="E29">
        <v>0</v>
      </c>
      <c r="F29" t="s">
        <v>20</v>
      </c>
      <c r="G29">
        <v>64</v>
      </c>
      <c r="H29">
        <v>52512.639999999999</v>
      </c>
      <c r="I29">
        <v>1</v>
      </c>
      <c r="J29">
        <v>11868.55</v>
      </c>
      <c r="N29" t="s">
        <v>163</v>
      </c>
      <c r="O29" t="s">
        <v>144</v>
      </c>
      <c r="P29" t="s">
        <v>37</v>
      </c>
      <c r="Q29">
        <v>111600224</v>
      </c>
      <c r="R29">
        <v>4387483</v>
      </c>
      <c r="S29">
        <v>10613179431</v>
      </c>
      <c r="T29">
        <v>3798242</v>
      </c>
      <c r="U29">
        <v>145317</v>
      </c>
      <c r="V29">
        <v>315971439</v>
      </c>
    </row>
    <row r="30" spans="3:22" x14ac:dyDescent="0.25">
      <c r="C30" t="s">
        <v>163</v>
      </c>
      <c r="D30">
        <v>2007</v>
      </c>
      <c r="E30">
        <v>0</v>
      </c>
      <c r="F30" t="s">
        <v>21</v>
      </c>
      <c r="G30">
        <v>88</v>
      </c>
      <c r="H30">
        <v>64984.479999999901</v>
      </c>
      <c r="I30">
        <v>1</v>
      </c>
      <c r="J30">
        <v>12749.59</v>
      </c>
      <c r="N30" t="s">
        <v>163</v>
      </c>
      <c r="O30" t="s">
        <v>145</v>
      </c>
      <c r="P30" t="s">
        <v>33</v>
      </c>
      <c r="Q30">
        <v>111820256</v>
      </c>
      <c r="R30">
        <v>1124877</v>
      </c>
      <c r="S30">
        <v>12148521212</v>
      </c>
      <c r="T30">
        <v>3815831</v>
      </c>
      <c r="U30">
        <v>38437</v>
      </c>
      <c r="V30">
        <v>331521926</v>
      </c>
    </row>
    <row r="31" spans="3:22" x14ac:dyDescent="0.25">
      <c r="C31" t="s">
        <v>163</v>
      </c>
      <c r="D31">
        <v>2007</v>
      </c>
      <c r="E31">
        <v>0</v>
      </c>
      <c r="F31" t="s">
        <v>22</v>
      </c>
      <c r="G31">
        <v>62</v>
      </c>
      <c r="H31">
        <v>43240.66</v>
      </c>
      <c r="I31">
        <v>2</v>
      </c>
      <c r="J31">
        <v>22130.9</v>
      </c>
      <c r="N31" t="s">
        <v>163</v>
      </c>
      <c r="O31" t="s">
        <v>145</v>
      </c>
      <c r="P31" t="s">
        <v>34</v>
      </c>
      <c r="Q31">
        <v>88669430</v>
      </c>
      <c r="R31">
        <v>5882671</v>
      </c>
      <c r="S31">
        <v>15721889384</v>
      </c>
      <c r="T31">
        <v>3235034</v>
      </c>
      <c r="U31">
        <v>192957</v>
      </c>
      <c r="V31">
        <v>460159167</v>
      </c>
    </row>
    <row r="32" spans="3:22" x14ac:dyDescent="0.25">
      <c r="C32" t="s">
        <v>163</v>
      </c>
      <c r="D32">
        <v>2007</v>
      </c>
      <c r="E32">
        <v>0</v>
      </c>
      <c r="F32" t="s">
        <v>23</v>
      </c>
      <c r="G32">
        <v>65</v>
      </c>
      <c r="H32">
        <v>45332.95</v>
      </c>
      <c r="I32">
        <v>3</v>
      </c>
      <c r="J32">
        <v>33763.39</v>
      </c>
      <c r="N32" t="s">
        <v>163</v>
      </c>
      <c r="O32" t="s">
        <v>145</v>
      </c>
      <c r="P32" t="s">
        <v>35</v>
      </c>
      <c r="Q32">
        <v>93739673</v>
      </c>
      <c r="R32">
        <v>7607393</v>
      </c>
      <c r="S32">
        <v>7120005597</v>
      </c>
      <c r="T32">
        <v>3517418</v>
      </c>
      <c r="U32">
        <v>202208</v>
      </c>
      <c r="V32">
        <v>203121148</v>
      </c>
    </row>
    <row r="33" spans="3:22" x14ac:dyDescent="0.25">
      <c r="C33" t="s">
        <v>163</v>
      </c>
      <c r="D33">
        <v>2007</v>
      </c>
      <c r="E33">
        <v>0</v>
      </c>
      <c r="F33" t="s">
        <v>24</v>
      </c>
      <c r="G33">
        <v>42</v>
      </c>
      <c r="H33">
        <v>27569.22</v>
      </c>
      <c r="I33">
        <v>4</v>
      </c>
      <c r="J33">
        <v>44695.21</v>
      </c>
      <c r="N33" t="s">
        <v>163</v>
      </c>
      <c r="O33" t="s">
        <v>145</v>
      </c>
      <c r="P33" t="s">
        <v>36</v>
      </c>
    </row>
    <row r="34" spans="3:22" x14ac:dyDescent="0.25">
      <c r="C34" t="s">
        <v>163</v>
      </c>
      <c r="D34">
        <v>2007</v>
      </c>
      <c r="E34">
        <v>0</v>
      </c>
      <c r="F34" t="s">
        <v>25</v>
      </c>
      <c r="G34">
        <v>40</v>
      </c>
      <c r="H34">
        <v>26256.400000000001</v>
      </c>
      <c r="I34">
        <v>5</v>
      </c>
      <c r="J34">
        <v>55971.7</v>
      </c>
      <c r="N34" t="s">
        <v>163</v>
      </c>
      <c r="O34" t="s">
        <v>145</v>
      </c>
      <c r="P34" t="s">
        <v>37</v>
      </c>
      <c r="Q34">
        <v>111893114</v>
      </c>
      <c r="R34">
        <v>4373634</v>
      </c>
      <c r="S34">
        <v>10654453586</v>
      </c>
      <c r="T34">
        <v>3815831</v>
      </c>
      <c r="U34">
        <v>144849</v>
      </c>
      <c r="V34">
        <v>317653185</v>
      </c>
    </row>
    <row r="35" spans="3:22" x14ac:dyDescent="0.25">
      <c r="C35" t="s">
        <v>163</v>
      </c>
      <c r="D35">
        <v>2007</v>
      </c>
      <c r="E35">
        <v>0</v>
      </c>
      <c r="F35" t="s">
        <v>26</v>
      </c>
      <c r="G35">
        <v>30</v>
      </c>
      <c r="H35">
        <v>19692.3</v>
      </c>
      <c r="I35">
        <v>2</v>
      </c>
      <c r="J35">
        <v>26643.49</v>
      </c>
      <c r="N35" t="s">
        <v>163</v>
      </c>
      <c r="O35" t="s">
        <v>139</v>
      </c>
      <c r="P35" t="s">
        <v>33</v>
      </c>
      <c r="Q35">
        <v>111944185</v>
      </c>
      <c r="R35">
        <v>1120909</v>
      </c>
      <c r="S35">
        <v>12196298633</v>
      </c>
      <c r="T35">
        <v>3825068</v>
      </c>
      <c r="U35">
        <v>38722</v>
      </c>
      <c r="V35">
        <v>338421024</v>
      </c>
    </row>
    <row r="36" spans="3:22" x14ac:dyDescent="0.25">
      <c r="C36" t="s">
        <v>163</v>
      </c>
      <c r="D36">
        <v>2007</v>
      </c>
      <c r="E36">
        <v>0</v>
      </c>
      <c r="F36" t="s">
        <v>27</v>
      </c>
      <c r="G36">
        <v>19</v>
      </c>
      <c r="H36">
        <v>14030.74</v>
      </c>
      <c r="I36">
        <v>0</v>
      </c>
      <c r="J36">
        <v>0</v>
      </c>
      <c r="N36" t="s">
        <v>163</v>
      </c>
      <c r="O36" t="s">
        <v>139</v>
      </c>
      <c r="P36" t="s">
        <v>34</v>
      </c>
      <c r="Q36">
        <v>88716889</v>
      </c>
      <c r="R36">
        <v>5859837</v>
      </c>
      <c r="S36">
        <v>15894915032</v>
      </c>
      <c r="T36">
        <v>3240986</v>
      </c>
      <c r="U36">
        <v>197510</v>
      </c>
      <c r="V36">
        <v>490360995</v>
      </c>
    </row>
    <row r="37" spans="3:22" x14ac:dyDescent="0.25">
      <c r="C37" t="s">
        <v>163</v>
      </c>
      <c r="D37">
        <v>2007</v>
      </c>
      <c r="E37">
        <v>0</v>
      </c>
      <c r="F37" t="s">
        <v>28</v>
      </c>
      <c r="G37">
        <v>10</v>
      </c>
      <c r="H37">
        <v>7384.6</v>
      </c>
      <c r="I37">
        <v>0</v>
      </c>
      <c r="J37">
        <v>0</v>
      </c>
      <c r="N37" t="s">
        <v>163</v>
      </c>
      <c r="O37" t="s">
        <v>139</v>
      </c>
      <c r="P37" t="s">
        <v>35</v>
      </c>
      <c r="Q37">
        <v>93793746</v>
      </c>
      <c r="R37">
        <v>7545135</v>
      </c>
      <c r="S37">
        <v>7082493789</v>
      </c>
      <c r="T37">
        <v>3522863</v>
      </c>
      <c r="U37">
        <v>200554</v>
      </c>
      <c r="V37">
        <v>201291491</v>
      </c>
    </row>
    <row r="38" spans="3:22" x14ac:dyDescent="0.25">
      <c r="C38" t="s">
        <v>163</v>
      </c>
      <c r="D38">
        <v>2007</v>
      </c>
      <c r="E38">
        <v>0</v>
      </c>
      <c r="F38" t="s">
        <v>29</v>
      </c>
      <c r="G38">
        <v>16</v>
      </c>
      <c r="H38">
        <v>13128.16</v>
      </c>
      <c r="I38">
        <v>0</v>
      </c>
      <c r="J38">
        <v>0</v>
      </c>
      <c r="N38" t="s">
        <v>163</v>
      </c>
      <c r="O38" t="s">
        <v>139</v>
      </c>
      <c r="P38" t="s">
        <v>36</v>
      </c>
    </row>
    <row r="39" spans="3:22" x14ac:dyDescent="0.25">
      <c r="C39" t="s">
        <v>163</v>
      </c>
      <c r="D39">
        <v>2007</v>
      </c>
      <c r="E39">
        <v>0</v>
      </c>
      <c r="F39" t="s">
        <v>30</v>
      </c>
      <c r="G39">
        <v>4</v>
      </c>
      <c r="H39">
        <v>3282.04</v>
      </c>
      <c r="I39">
        <v>0</v>
      </c>
      <c r="J39">
        <v>0</v>
      </c>
      <c r="N39" t="s">
        <v>163</v>
      </c>
      <c r="O39" t="s">
        <v>139</v>
      </c>
      <c r="P39" t="s">
        <v>37</v>
      </c>
      <c r="Q39">
        <v>112012888</v>
      </c>
      <c r="R39">
        <v>4366436</v>
      </c>
      <c r="S39">
        <v>10703649675</v>
      </c>
      <c r="T39">
        <v>3825068</v>
      </c>
      <c r="U39">
        <v>146887</v>
      </c>
      <c r="V39">
        <v>325552694</v>
      </c>
    </row>
    <row r="40" spans="3:22" x14ac:dyDescent="0.25">
      <c r="C40" t="s">
        <v>163</v>
      </c>
      <c r="D40">
        <v>2007</v>
      </c>
      <c r="E40">
        <v>100</v>
      </c>
      <c r="F40" t="s">
        <v>1</v>
      </c>
      <c r="G40">
        <v>62</v>
      </c>
      <c r="H40">
        <v>70432</v>
      </c>
      <c r="I40">
        <v>3</v>
      </c>
      <c r="J40">
        <v>28115.58</v>
      </c>
      <c r="N40" t="s">
        <v>163</v>
      </c>
      <c r="O40" t="s">
        <v>140</v>
      </c>
      <c r="P40" t="s">
        <v>33</v>
      </c>
      <c r="Q40">
        <v>112008446</v>
      </c>
      <c r="R40">
        <v>1119437</v>
      </c>
      <c r="S40">
        <v>12308822688</v>
      </c>
      <c r="T40">
        <v>3834820</v>
      </c>
      <c r="U40">
        <v>38856</v>
      </c>
      <c r="V40">
        <v>345747932</v>
      </c>
    </row>
    <row r="41" spans="3:22" x14ac:dyDescent="0.25">
      <c r="C41" t="s">
        <v>163</v>
      </c>
      <c r="D41">
        <v>2007</v>
      </c>
      <c r="E41">
        <v>100</v>
      </c>
      <c r="F41" t="s">
        <v>2</v>
      </c>
      <c r="G41">
        <v>104</v>
      </c>
      <c r="H41">
        <v>98460.960000000094</v>
      </c>
      <c r="I41">
        <v>10</v>
      </c>
      <c r="J41">
        <v>95888.71</v>
      </c>
      <c r="N41" t="s">
        <v>163</v>
      </c>
      <c r="O41" t="s">
        <v>140</v>
      </c>
      <c r="P41" t="s">
        <v>34</v>
      </c>
      <c r="Q41">
        <v>88681882</v>
      </c>
      <c r="R41">
        <v>5761810</v>
      </c>
      <c r="S41">
        <v>15801526989</v>
      </c>
      <c r="T41">
        <v>3255471</v>
      </c>
      <c r="U41">
        <v>194922</v>
      </c>
      <c r="V41">
        <v>485903066</v>
      </c>
    </row>
    <row r="42" spans="3:22" x14ac:dyDescent="0.25">
      <c r="C42" t="s">
        <v>163</v>
      </c>
      <c r="D42">
        <v>2007</v>
      </c>
      <c r="E42">
        <v>100</v>
      </c>
      <c r="F42" t="s">
        <v>3</v>
      </c>
      <c r="G42">
        <v>128</v>
      </c>
      <c r="H42">
        <v>106640.64</v>
      </c>
      <c r="I42">
        <v>5</v>
      </c>
      <c r="J42">
        <v>46203.24</v>
      </c>
      <c r="N42" t="s">
        <v>163</v>
      </c>
      <c r="O42" t="s">
        <v>140</v>
      </c>
      <c r="P42" t="s">
        <v>35</v>
      </c>
      <c r="Q42">
        <v>93761341</v>
      </c>
      <c r="R42">
        <v>7598503</v>
      </c>
      <c r="S42">
        <v>7414967128</v>
      </c>
      <c r="T42">
        <v>3525921</v>
      </c>
      <c r="U42">
        <v>198200</v>
      </c>
      <c r="V42">
        <v>196185390</v>
      </c>
    </row>
    <row r="43" spans="3:22" x14ac:dyDescent="0.25">
      <c r="C43" t="s">
        <v>163</v>
      </c>
      <c r="D43">
        <v>2007</v>
      </c>
      <c r="E43">
        <v>100</v>
      </c>
      <c r="F43" t="s">
        <v>4</v>
      </c>
      <c r="G43">
        <v>114</v>
      </c>
      <c r="H43">
        <v>86342.459999999905</v>
      </c>
      <c r="I43">
        <v>4</v>
      </c>
      <c r="J43">
        <v>41843.56</v>
      </c>
      <c r="N43" t="s">
        <v>163</v>
      </c>
      <c r="O43" t="s">
        <v>140</v>
      </c>
      <c r="P43" t="s">
        <v>36</v>
      </c>
    </row>
    <row r="44" spans="3:22" x14ac:dyDescent="0.25">
      <c r="C44" t="s">
        <v>163</v>
      </c>
      <c r="D44">
        <v>2007</v>
      </c>
      <c r="E44">
        <v>100</v>
      </c>
      <c r="F44" t="s">
        <v>5</v>
      </c>
      <c r="G44">
        <v>125</v>
      </c>
      <c r="H44">
        <v>94673.749999999898</v>
      </c>
      <c r="I44">
        <v>6</v>
      </c>
      <c r="J44">
        <v>56942.21</v>
      </c>
      <c r="N44" t="s">
        <v>163</v>
      </c>
      <c r="O44" t="s">
        <v>140</v>
      </c>
      <c r="P44" t="s">
        <v>37</v>
      </c>
      <c r="Q44">
        <v>112073459</v>
      </c>
      <c r="R44">
        <v>4339101</v>
      </c>
      <c r="S44">
        <v>10718843219</v>
      </c>
      <c r="T44">
        <v>3834820</v>
      </c>
      <c r="U44">
        <v>146569</v>
      </c>
      <c r="V44">
        <v>327760381</v>
      </c>
    </row>
    <row r="45" spans="3:22" x14ac:dyDescent="0.25">
      <c r="C45" t="s">
        <v>163</v>
      </c>
      <c r="D45">
        <v>2007</v>
      </c>
      <c r="E45">
        <v>100</v>
      </c>
      <c r="F45" t="s">
        <v>6</v>
      </c>
      <c r="G45">
        <v>142</v>
      </c>
      <c r="H45">
        <v>96794.299999999799</v>
      </c>
      <c r="I45">
        <v>8</v>
      </c>
      <c r="J45">
        <v>78491.179999999993</v>
      </c>
      <c r="N45" t="s">
        <v>163</v>
      </c>
      <c r="O45" t="s">
        <v>141</v>
      </c>
      <c r="P45" t="s">
        <v>33</v>
      </c>
      <c r="Q45">
        <v>112108794</v>
      </c>
      <c r="R45">
        <v>1120419</v>
      </c>
      <c r="S45">
        <v>12407738301</v>
      </c>
      <c r="T45">
        <v>3841190</v>
      </c>
      <c r="U45">
        <v>38337</v>
      </c>
      <c r="V45">
        <v>344613907</v>
      </c>
    </row>
    <row r="46" spans="3:22" x14ac:dyDescent="0.25">
      <c r="C46" t="s">
        <v>163</v>
      </c>
      <c r="D46">
        <v>2007</v>
      </c>
      <c r="E46">
        <v>100</v>
      </c>
      <c r="F46" t="s">
        <v>7</v>
      </c>
      <c r="G46">
        <v>137</v>
      </c>
      <c r="H46">
        <v>88197.859999999899</v>
      </c>
      <c r="I46">
        <v>7</v>
      </c>
      <c r="J46">
        <v>66775.839999999997</v>
      </c>
      <c r="N46" t="s">
        <v>163</v>
      </c>
      <c r="O46" t="s">
        <v>141</v>
      </c>
      <c r="P46" t="s">
        <v>34</v>
      </c>
      <c r="Q46">
        <v>88624478</v>
      </c>
      <c r="R46">
        <v>5665540</v>
      </c>
      <c r="S46">
        <v>15671412045</v>
      </c>
      <c r="T46">
        <v>3254468</v>
      </c>
      <c r="U46">
        <v>191260</v>
      </c>
      <c r="V46">
        <v>482435847</v>
      </c>
    </row>
    <row r="47" spans="3:22" x14ac:dyDescent="0.25">
      <c r="C47" t="s">
        <v>163</v>
      </c>
      <c r="D47">
        <v>2007</v>
      </c>
      <c r="E47">
        <v>100</v>
      </c>
      <c r="F47" t="s">
        <v>8</v>
      </c>
      <c r="G47">
        <v>130</v>
      </c>
      <c r="H47">
        <v>83691.399999999907</v>
      </c>
      <c r="I47">
        <v>8</v>
      </c>
      <c r="J47">
        <v>78209.66</v>
      </c>
      <c r="N47" t="s">
        <v>163</v>
      </c>
      <c r="O47" t="s">
        <v>141</v>
      </c>
      <c r="P47" t="s">
        <v>35</v>
      </c>
      <c r="Q47">
        <v>93725129</v>
      </c>
      <c r="R47">
        <v>7584724</v>
      </c>
      <c r="S47">
        <v>7508499377</v>
      </c>
      <c r="T47">
        <v>3525370</v>
      </c>
      <c r="U47">
        <v>198926</v>
      </c>
      <c r="V47">
        <v>202327144</v>
      </c>
    </row>
    <row r="48" spans="3:22" x14ac:dyDescent="0.25">
      <c r="C48" t="s">
        <v>163</v>
      </c>
      <c r="D48">
        <v>2007</v>
      </c>
      <c r="E48">
        <v>100</v>
      </c>
      <c r="F48" t="s">
        <v>9</v>
      </c>
      <c r="G48">
        <v>109</v>
      </c>
      <c r="H48">
        <v>66044.190000000206</v>
      </c>
      <c r="I48">
        <v>4</v>
      </c>
      <c r="J48">
        <v>40681.24</v>
      </c>
      <c r="N48" t="s">
        <v>163</v>
      </c>
      <c r="O48" t="s">
        <v>141</v>
      </c>
      <c r="P48" t="s">
        <v>36</v>
      </c>
    </row>
    <row r="49" spans="3:22" x14ac:dyDescent="0.25">
      <c r="C49" t="s">
        <v>163</v>
      </c>
      <c r="D49">
        <v>2007</v>
      </c>
      <c r="E49">
        <v>100</v>
      </c>
      <c r="F49" t="s">
        <v>10</v>
      </c>
      <c r="G49">
        <v>84</v>
      </c>
      <c r="H49">
        <v>50896.440000000097</v>
      </c>
      <c r="I49">
        <v>5</v>
      </c>
      <c r="J49">
        <v>45325.21</v>
      </c>
      <c r="N49" t="s">
        <v>163</v>
      </c>
      <c r="O49" t="s">
        <v>141</v>
      </c>
      <c r="P49" t="s">
        <v>37</v>
      </c>
      <c r="Q49">
        <v>112169999</v>
      </c>
      <c r="R49">
        <v>4313613</v>
      </c>
      <c r="S49">
        <v>10730108247</v>
      </c>
      <c r="T49">
        <v>3841190</v>
      </c>
      <c r="U49">
        <v>145237</v>
      </c>
      <c r="V49">
        <v>325962885</v>
      </c>
    </row>
    <row r="50" spans="3:22" x14ac:dyDescent="0.25">
      <c r="C50" t="s">
        <v>163</v>
      </c>
      <c r="D50">
        <v>2007</v>
      </c>
      <c r="E50">
        <v>100</v>
      </c>
      <c r="F50" t="s">
        <v>11</v>
      </c>
      <c r="G50">
        <v>58</v>
      </c>
      <c r="H50">
        <v>35142.78</v>
      </c>
      <c r="I50">
        <v>5</v>
      </c>
      <c r="J50">
        <v>53006.01</v>
      </c>
      <c r="N50" t="s">
        <v>163</v>
      </c>
      <c r="O50" t="s">
        <v>142</v>
      </c>
      <c r="P50" t="s">
        <v>33</v>
      </c>
      <c r="Q50">
        <v>112373680</v>
      </c>
      <c r="R50">
        <v>1124939</v>
      </c>
      <c r="S50">
        <v>12504250873</v>
      </c>
      <c r="T50">
        <v>3853498</v>
      </c>
      <c r="U50">
        <v>38404</v>
      </c>
      <c r="V50">
        <v>345865799</v>
      </c>
    </row>
    <row r="51" spans="3:22" x14ac:dyDescent="0.25">
      <c r="C51" t="s">
        <v>163</v>
      </c>
      <c r="D51">
        <v>2007</v>
      </c>
      <c r="E51">
        <v>100</v>
      </c>
      <c r="F51" t="s">
        <v>12</v>
      </c>
      <c r="G51">
        <v>48</v>
      </c>
      <c r="H51">
        <v>32719.200000000001</v>
      </c>
      <c r="I51">
        <v>0</v>
      </c>
      <c r="J51">
        <v>0</v>
      </c>
      <c r="N51" t="s">
        <v>163</v>
      </c>
      <c r="O51" t="s">
        <v>142</v>
      </c>
      <c r="P51" t="s">
        <v>34</v>
      </c>
      <c r="Q51">
        <v>88675823</v>
      </c>
      <c r="R51">
        <v>5587567</v>
      </c>
      <c r="S51">
        <v>15486863812</v>
      </c>
      <c r="T51">
        <v>3257333</v>
      </c>
      <c r="U51">
        <v>188819</v>
      </c>
      <c r="V51">
        <v>479048230</v>
      </c>
    </row>
    <row r="52" spans="3:22" x14ac:dyDescent="0.25">
      <c r="C52" t="s">
        <v>163</v>
      </c>
      <c r="D52">
        <v>2007</v>
      </c>
      <c r="E52">
        <v>100</v>
      </c>
      <c r="F52" t="s">
        <v>13</v>
      </c>
      <c r="G52">
        <v>39</v>
      </c>
      <c r="H52">
        <v>26584.35</v>
      </c>
      <c r="I52">
        <v>3</v>
      </c>
      <c r="J52">
        <v>27954.99</v>
      </c>
      <c r="N52" t="s">
        <v>163</v>
      </c>
      <c r="O52" t="s">
        <v>142</v>
      </c>
      <c r="P52" t="s">
        <v>35</v>
      </c>
      <c r="Q52">
        <v>93807411</v>
      </c>
      <c r="R52">
        <v>7456329</v>
      </c>
      <c r="S52">
        <v>7463661259</v>
      </c>
      <c r="T52">
        <v>3529566</v>
      </c>
      <c r="U52">
        <v>194164</v>
      </c>
      <c r="V52">
        <v>195694427</v>
      </c>
    </row>
    <row r="53" spans="3:22" x14ac:dyDescent="0.25">
      <c r="C53" t="s">
        <v>163</v>
      </c>
      <c r="D53">
        <v>2007</v>
      </c>
      <c r="E53">
        <v>100</v>
      </c>
      <c r="F53" t="s">
        <v>14</v>
      </c>
      <c r="G53">
        <v>34</v>
      </c>
      <c r="H53">
        <v>25751.26</v>
      </c>
      <c r="I53">
        <v>1</v>
      </c>
      <c r="J53">
        <v>9255.02</v>
      </c>
      <c r="N53" t="s">
        <v>163</v>
      </c>
      <c r="O53" t="s">
        <v>142</v>
      </c>
      <c r="P53" t="s">
        <v>36</v>
      </c>
    </row>
    <row r="54" spans="3:22" x14ac:dyDescent="0.25">
      <c r="C54" t="s">
        <v>163</v>
      </c>
      <c r="D54">
        <v>2007</v>
      </c>
      <c r="E54">
        <v>100</v>
      </c>
      <c r="F54" t="s">
        <v>15</v>
      </c>
      <c r="G54">
        <v>19</v>
      </c>
      <c r="H54">
        <v>14390.41</v>
      </c>
      <c r="I54">
        <v>1</v>
      </c>
      <c r="J54">
        <v>9022.23</v>
      </c>
      <c r="N54" t="s">
        <v>163</v>
      </c>
      <c r="O54" t="s">
        <v>142</v>
      </c>
      <c r="P54" t="s">
        <v>37</v>
      </c>
      <c r="Q54">
        <v>112431623</v>
      </c>
      <c r="R54">
        <v>4293122</v>
      </c>
      <c r="S54">
        <v>10714813064</v>
      </c>
      <c r="T54">
        <v>3853498</v>
      </c>
      <c r="U54">
        <v>144904</v>
      </c>
      <c r="V54">
        <v>326922408</v>
      </c>
    </row>
    <row r="55" spans="3:22" x14ac:dyDescent="0.25">
      <c r="C55" t="s">
        <v>163</v>
      </c>
      <c r="D55">
        <v>2007</v>
      </c>
      <c r="E55">
        <v>100</v>
      </c>
      <c r="F55" t="s">
        <v>16</v>
      </c>
      <c r="G55">
        <v>57</v>
      </c>
      <c r="H55">
        <v>82023</v>
      </c>
      <c r="I55">
        <v>4</v>
      </c>
      <c r="J55">
        <v>40685.89</v>
      </c>
      <c r="N55" t="s">
        <v>163</v>
      </c>
      <c r="O55" t="s">
        <v>135</v>
      </c>
      <c r="P55" t="s">
        <v>33</v>
      </c>
      <c r="Q55">
        <v>112689103</v>
      </c>
      <c r="R55">
        <v>1133247</v>
      </c>
      <c r="S55">
        <v>12646140666</v>
      </c>
      <c r="T55">
        <v>3863677</v>
      </c>
      <c r="U55">
        <v>38363</v>
      </c>
      <c r="V55">
        <v>351609017</v>
      </c>
    </row>
    <row r="56" spans="3:22" x14ac:dyDescent="0.25">
      <c r="C56" t="s">
        <v>163</v>
      </c>
      <c r="D56">
        <v>2007</v>
      </c>
      <c r="E56">
        <v>100</v>
      </c>
      <c r="F56" t="s">
        <v>17</v>
      </c>
      <c r="G56">
        <v>116</v>
      </c>
      <c r="H56">
        <v>131776</v>
      </c>
      <c r="I56">
        <v>8</v>
      </c>
      <c r="J56">
        <v>86509.49</v>
      </c>
      <c r="N56" t="s">
        <v>163</v>
      </c>
      <c r="O56" t="s">
        <v>135</v>
      </c>
      <c r="P56" t="s">
        <v>34</v>
      </c>
      <c r="Q56">
        <v>88782725</v>
      </c>
      <c r="R56">
        <v>5547670</v>
      </c>
      <c r="S56">
        <v>15416075920</v>
      </c>
      <c r="T56">
        <v>3257684</v>
      </c>
      <c r="U56">
        <v>184090</v>
      </c>
      <c r="V56">
        <v>468892830</v>
      </c>
    </row>
    <row r="57" spans="3:22" x14ac:dyDescent="0.25">
      <c r="C57" t="s">
        <v>163</v>
      </c>
      <c r="D57">
        <v>2007</v>
      </c>
      <c r="E57">
        <v>100</v>
      </c>
      <c r="F57" t="s">
        <v>18</v>
      </c>
      <c r="G57">
        <v>120</v>
      </c>
      <c r="H57">
        <v>122688</v>
      </c>
      <c r="I57">
        <v>7</v>
      </c>
      <c r="J57">
        <v>74744.820000000007</v>
      </c>
      <c r="N57" t="s">
        <v>163</v>
      </c>
      <c r="O57" t="s">
        <v>135</v>
      </c>
      <c r="P57" t="s">
        <v>35</v>
      </c>
      <c r="Q57">
        <v>93944490</v>
      </c>
      <c r="R57">
        <v>7365414</v>
      </c>
      <c r="S57">
        <v>7318277363</v>
      </c>
      <c r="T57">
        <v>3531020</v>
      </c>
      <c r="U57">
        <v>191437</v>
      </c>
      <c r="V57">
        <v>192196842</v>
      </c>
    </row>
    <row r="58" spans="3:22" x14ac:dyDescent="0.25">
      <c r="C58" t="s">
        <v>163</v>
      </c>
      <c r="D58">
        <v>2007</v>
      </c>
      <c r="E58">
        <v>100</v>
      </c>
      <c r="F58" t="s">
        <v>19</v>
      </c>
      <c r="G58">
        <v>132</v>
      </c>
      <c r="H58">
        <v>99975.479999999894</v>
      </c>
      <c r="I58">
        <v>6</v>
      </c>
      <c r="J58">
        <v>58046.94</v>
      </c>
      <c r="N58" t="s">
        <v>163</v>
      </c>
      <c r="O58" t="s">
        <v>135</v>
      </c>
      <c r="P58" t="s">
        <v>36</v>
      </c>
    </row>
    <row r="59" spans="3:22" x14ac:dyDescent="0.25">
      <c r="C59" t="s">
        <v>163</v>
      </c>
      <c r="D59">
        <v>2007</v>
      </c>
      <c r="E59">
        <v>100</v>
      </c>
      <c r="F59" t="s">
        <v>20</v>
      </c>
      <c r="G59">
        <v>128</v>
      </c>
      <c r="H59">
        <v>96945.919999999896</v>
      </c>
      <c r="I59">
        <v>2</v>
      </c>
      <c r="J59">
        <v>20893.52</v>
      </c>
      <c r="N59" t="s">
        <v>163</v>
      </c>
      <c r="O59" t="s">
        <v>135</v>
      </c>
      <c r="P59" t="s">
        <v>37</v>
      </c>
      <c r="Q59">
        <v>112744481</v>
      </c>
      <c r="R59">
        <v>4307132</v>
      </c>
      <c r="S59">
        <v>10760233951</v>
      </c>
      <c r="T59">
        <v>3863677</v>
      </c>
      <c r="U59">
        <v>143675</v>
      </c>
      <c r="V59">
        <v>325075647</v>
      </c>
    </row>
    <row r="60" spans="3:22" x14ac:dyDescent="0.25">
      <c r="C60" t="s">
        <v>163</v>
      </c>
      <c r="D60">
        <v>2007</v>
      </c>
      <c r="E60">
        <v>100</v>
      </c>
      <c r="F60" t="s">
        <v>21</v>
      </c>
      <c r="G60">
        <v>161</v>
      </c>
      <c r="H60">
        <v>109745.65</v>
      </c>
      <c r="I60">
        <v>5</v>
      </c>
      <c r="J60">
        <v>50041.25</v>
      </c>
      <c r="N60" t="s">
        <v>163</v>
      </c>
      <c r="O60" t="s">
        <v>136</v>
      </c>
      <c r="P60" t="s">
        <v>33</v>
      </c>
      <c r="Q60">
        <v>113103510</v>
      </c>
      <c r="R60">
        <v>1134104</v>
      </c>
      <c r="S60">
        <v>12712467600</v>
      </c>
      <c r="T60">
        <v>3877732</v>
      </c>
      <c r="U60">
        <v>38412</v>
      </c>
      <c r="V60">
        <v>355115419</v>
      </c>
    </row>
    <row r="61" spans="3:22" x14ac:dyDescent="0.25">
      <c r="C61" t="s">
        <v>163</v>
      </c>
      <c r="D61">
        <v>2007</v>
      </c>
      <c r="E61">
        <v>100</v>
      </c>
      <c r="F61" t="s">
        <v>22</v>
      </c>
      <c r="G61">
        <v>119</v>
      </c>
      <c r="H61">
        <v>76609.819999999905</v>
      </c>
      <c r="I61">
        <v>6</v>
      </c>
      <c r="J61">
        <v>54862.43</v>
      </c>
      <c r="N61" t="s">
        <v>163</v>
      </c>
      <c r="O61" t="s">
        <v>136</v>
      </c>
      <c r="P61" t="s">
        <v>34</v>
      </c>
      <c r="Q61">
        <v>88954873</v>
      </c>
      <c r="R61">
        <v>5490029</v>
      </c>
      <c r="S61">
        <v>15265398712</v>
      </c>
      <c r="T61">
        <v>3250845</v>
      </c>
      <c r="U61">
        <v>181654</v>
      </c>
      <c r="V61">
        <v>469882242</v>
      </c>
    </row>
    <row r="62" spans="3:22" x14ac:dyDescent="0.25">
      <c r="C62" t="s">
        <v>163</v>
      </c>
      <c r="D62">
        <v>2007</v>
      </c>
      <c r="E62">
        <v>100</v>
      </c>
      <c r="F62" t="s">
        <v>23</v>
      </c>
      <c r="G62">
        <v>114</v>
      </c>
      <c r="H62">
        <v>73390.919999999896</v>
      </c>
      <c r="I62">
        <v>4</v>
      </c>
      <c r="J62">
        <v>42747.68</v>
      </c>
      <c r="N62" t="s">
        <v>163</v>
      </c>
      <c r="O62" t="s">
        <v>136</v>
      </c>
      <c r="P62" t="s">
        <v>35</v>
      </c>
      <c r="Q62">
        <v>94140356</v>
      </c>
      <c r="R62">
        <v>7076619</v>
      </c>
      <c r="S62">
        <v>6671262833</v>
      </c>
      <c r="T62">
        <v>3536068</v>
      </c>
      <c r="U62">
        <v>190096</v>
      </c>
      <c r="V62">
        <v>194796978</v>
      </c>
    </row>
    <row r="63" spans="3:22" x14ac:dyDescent="0.25">
      <c r="C63" t="s">
        <v>163</v>
      </c>
      <c r="D63">
        <v>2007</v>
      </c>
      <c r="E63">
        <v>100</v>
      </c>
      <c r="F63" t="s">
        <v>24</v>
      </c>
      <c r="G63">
        <v>118</v>
      </c>
      <c r="H63">
        <v>71497.380000000194</v>
      </c>
      <c r="I63">
        <v>4</v>
      </c>
      <c r="J63">
        <v>38133.68</v>
      </c>
      <c r="N63" t="s">
        <v>163</v>
      </c>
      <c r="O63" t="s">
        <v>136</v>
      </c>
      <c r="P63" t="s">
        <v>36</v>
      </c>
    </row>
    <row r="64" spans="3:22" x14ac:dyDescent="0.25">
      <c r="C64" t="s">
        <v>163</v>
      </c>
      <c r="D64">
        <v>2007</v>
      </c>
      <c r="E64">
        <v>100</v>
      </c>
      <c r="F64" t="s">
        <v>25</v>
      </c>
      <c r="G64">
        <v>81</v>
      </c>
      <c r="H64">
        <v>49078.710000000101</v>
      </c>
      <c r="I64">
        <v>3</v>
      </c>
      <c r="J64">
        <v>28015.56</v>
      </c>
      <c r="N64" t="s">
        <v>163</v>
      </c>
      <c r="O64" t="s">
        <v>136</v>
      </c>
      <c r="P64" t="s">
        <v>37</v>
      </c>
      <c r="Q64">
        <v>113156947</v>
      </c>
      <c r="R64">
        <v>4296243</v>
      </c>
      <c r="S64">
        <v>10736373749</v>
      </c>
      <c r="T64">
        <v>3877732</v>
      </c>
      <c r="U64">
        <v>143106</v>
      </c>
      <c r="V64">
        <v>324798685</v>
      </c>
    </row>
    <row r="65" spans="3:22" x14ac:dyDescent="0.25">
      <c r="C65" t="s">
        <v>163</v>
      </c>
      <c r="D65">
        <v>2007</v>
      </c>
      <c r="E65">
        <v>100</v>
      </c>
      <c r="F65" t="s">
        <v>26</v>
      </c>
      <c r="G65">
        <v>53</v>
      </c>
      <c r="H65">
        <v>32113.23</v>
      </c>
      <c r="I65">
        <v>4</v>
      </c>
      <c r="J65">
        <v>38400.370000000003</v>
      </c>
      <c r="N65" t="s">
        <v>163</v>
      </c>
      <c r="O65" t="s">
        <v>137</v>
      </c>
      <c r="P65" t="s">
        <v>33</v>
      </c>
      <c r="Q65">
        <v>113591660</v>
      </c>
      <c r="R65">
        <v>1132794</v>
      </c>
      <c r="S65">
        <v>12811329721</v>
      </c>
      <c r="T65">
        <v>3896228</v>
      </c>
      <c r="U65">
        <v>38685</v>
      </c>
      <c r="V65">
        <v>362590253</v>
      </c>
    </row>
    <row r="66" spans="3:22" x14ac:dyDescent="0.25">
      <c r="C66" t="s">
        <v>163</v>
      </c>
      <c r="D66">
        <v>2007</v>
      </c>
      <c r="E66">
        <v>100</v>
      </c>
      <c r="F66" t="s">
        <v>27</v>
      </c>
      <c r="G66">
        <v>49</v>
      </c>
      <c r="H66">
        <v>33400.85</v>
      </c>
      <c r="I66">
        <v>2</v>
      </c>
      <c r="J66">
        <v>19979.759999999998</v>
      </c>
      <c r="N66" t="s">
        <v>163</v>
      </c>
      <c r="O66" t="s">
        <v>137</v>
      </c>
      <c r="P66" t="s">
        <v>34</v>
      </c>
      <c r="Q66">
        <v>89197440</v>
      </c>
      <c r="R66">
        <v>5427877</v>
      </c>
      <c r="S66">
        <v>15177901782</v>
      </c>
      <c r="T66">
        <v>3259092</v>
      </c>
      <c r="U66">
        <v>179741</v>
      </c>
      <c r="V66">
        <v>467129713</v>
      </c>
    </row>
    <row r="67" spans="3:22" x14ac:dyDescent="0.25">
      <c r="C67" t="s">
        <v>163</v>
      </c>
      <c r="D67">
        <v>2007</v>
      </c>
      <c r="E67">
        <v>100</v>
      </c>
      <c r="F67" t="s">
        <v>28</v>
      </c>
      <c r="G67">
        <v>49</v>
      </c>
      <c r="H67">
        <v>33400.85</v>
      </c>
      <c r="I67">
        <v>3</v>
      </c>
      <c r="J67">
        <v>32670.52</v>
      </c>
      <c r="N67" t="s">
        <v>163</v>
      </c>
      <c r="O67" t="s">
        <v>137</v>
      </c>
      <c r="P67" t="s">
        <v>35</v>
      </c>
      <c r="Q67">
        <v>94396161</v>
      </c>
      <c r="R67">
        <v>6954679</v>
      </c>
      <c r="S67">
        <v>6640881578</v>
      </c>
      <c r="T67">
        <v>3545501</v>
      </c>
      <c r="U67">
        <v>185102</v>
      </c>
      <c r="V67">
        <v>186782138</v>
      </c>
    </row>
    <row r="68" spans="3:22" x14ac:dyDescent="0.25">
      <c r="C68" t="s">
        <v>163</v>
      </c>
      <c r="D68">
        <v>2007</v>
      </c>
      <c r="E68">
        <v>100</v>
      </c>
      <c r="F68" t="s">
        <v>29</v>
      </c>
      <c r="G68">
        <v>26</v>
      </c>
      <c r="H68">
        <v>19692.14</v>
      </c>
      <c r="I68">
        <v>3</v>
      </c>
      <c r="J68">
        <v>28593.02</v>
      </c>
      <c r="N68" t="s">
        <v>163</v>
      </c>
      <c r="O68" t="s">
        <v>137</v>
      </c>
      <c r="P68" t="s">
        <v>36</v>
      </c>
    </row>
    <row r="69" spans="3:22" x14ac:dyDescent="0.25">
      <c r="C69" t="s">
        <v>163</v>
      </c>
      <c r="D69">
        <v>2007</v>
      </c>
      <c r="E69">
        <v>100</v>
      </c>
      <c r="F69" t="s">
        <v>30</v>
      </c>
      <c r="G69">
        <v>13</v>
      </c>
      <c r="H69">
        <v>9846.07</v>
      </c>
      <c r="I69">
        <v>1</v>
      </c>
      <c r="J69">
        <v>8745.6200000000008</v>
      </c>
      <c r="N69" t="s">
        <v>163</v>
      </c>
      <c r="O69" t="s">
        <v>137</v>
      </c>
      <c r="P69" t="s">
        <v>37</v>
      </c>
      <c r="Q69">
        <v>113644108</v>
      </c>
      <c r="R69">
        <v>4277413</v>
      </c>
      <c r="S69">
        <v>10694568279</v>
      </c>
      <c r="T69">
        <v>3896228</v>
      </c>
      <c r="U69">
        <v>142984</v>
      </c>
      <c r="V69">
        <v>325829701</v>
      </c>
    </row>
    <row r="70" spans="3:22" x14ac:dyDescent="0.25">
      <c r="C70" t="s">
        <v>163</v>
      </c>
      <c r="D70">
        <v>2007</v>
      </c>
      <c r="E70">
        <v>250</v>
      </c>
      <c r="F70" t="s">
        <v>1</v>
      </c>
      <c r="G70">
        <v>118</v>
      </c>
      <c r="H70">
        <v>124124.2</v>
      </c>
      <c r="I70">
        <v>9</v>
      </c>
      <c r="J70">
        <v>84128.41</v>
      </c>
      <c r="N70" t="s">
        <v>163</v>
      </c>
      <c r="O70" t="s">
        <v>138</v>
      </c>
      <c r="P70" t="s">
        <v>33</v>
      </c>
      <c r="Q70">
        <v>114088885</v>
      </c>
      <c r="R70">
        <v>1125201</v>
      </c>
      <c r="S70">
        <v>12885522821</v>
      </c>
      <c r="T70">
        <v>3914185</v>
      </c>
      <c r="U70">
        <v>38737</v>
      </c>
      <c r="V70">
        <v>364012904</v>
      </c>
    </row>
    <row r="71" spans="3:22" x14ac:dyDescent="0.25">
      <c r="C71" t="s">
        <v>163</v>
      </c>
      <c r="D71">
        <v>2007</v>
      </c>
      <c r="E71">
        <v>250</v>
      </c>
      <c r="F71" t="s">
        <v>2</v>
      </c>
      <c r="G71">
        <v>206</v>
      </c>
      <c r="H71">
        <v>180581.65999999901</v>
      </c>
      <c r="I71">
        <v>11</v>
      </c>
      <c r="J71">
        <v>100817.62</v>
      </c>
      <c r="N71" t="s">
        <v>163</v>
      </c>
      <c r="O71" t="s">
        <v>138</v>
      </c>
      <c r="P71" t="s">
        <v>34</v>
      </c>
      <c r="Q71">
        <v>89452451</v>
      </c>
      <c r="R71">
        <v>5378463</v>
      </c>
      <c r="S71">
        <v>15151306339</v>
      </c>
      <c r="T71">
        <v>3267725</v>
      </c>
      <c r="U71">
        <v>177214</v>
      </c>
      <c r="V71">
        <v>462859726</v>
      </c>
    </row>
    <row r="72" spans="3:22" x14ac:dyDescent="0.25">
      <c r="C72" t="s">
        <v>163</v>
      </c>
      <c r="D72">
        <v>2007</v>
      </c>
      <c r="E72">
        <v>250</v>
      </c>
      <c r="F72" t="s">
        <v>3</v>
      </c>
      <c r="G72">
        <v>193</v>
      </c>
      <c r="H72">
        <v>148884.06</v>
      </c>
      <c r="I72">
        <v>6</v>
      </c>
      <c r="J72">
        <v>54670.57</v>
      </c>
      <c r="N72" t="s">
        <v>163</v>
      </c>
      <c r="O72" t="s">
        <v>138</v>
      </c>
      <c r="P72" t="s">
        <v>35</v>
      </c>
      <c r="Q72">
        <v>94655771</v>
      </c>
      <c r="R72">
        <v>6905596</v>
      </c>
      <c r="S72">
        <v>6621861420</v>
      </c>
      <c r="T72">
        <v>3555044</v>
      </c>
      <c r="U72">
        <v>182140</v>
      </c>
      <c r="V72">
        <v>185731978</v>
      </c>
    </row>
    <row r="73" spans="3:22" x14ac:dyDescent="0.25">
      <c r="C73" t="s">
        <v>163</v>
      </c>
      <c r="D73">
        <v>2007</v>
      </c>
      <c r="E73">
        <v>250</v>
      </c>
      <c r="F73" t="s">
        <v>4</v>
      </c>
      <c r="G73">
        <v>241</v>
      </c>
      <c r="H73">
        <v>169010.89</v>
      </c>
      <c r="I73">
        <v>4</v>
      </c>
      <c r="J73">
        <v>35546.68</v>
      </c>
      <c r="N73" t="s">
        <v>163</v>
      </c>
      <c r="O73" t="s">
        <v>138</v>
      </c>
      <c r="P73" t="s">
        <v>36</v>
      </c>
    </row>
    <row r="74" spans="3:22" x14ac:dyDescent="0.25">
      <c r="C74" t="s">
        <v>163</v>
      </c>
      <c r="D74">
        <v>2007</v>
      </c>
      <c r="E74">
        <v>250</v>
      </c>
      <c r="F74" t="s">
        <v>5</v>
      </c>
      <c r="G74">
        <v>235</v>
      </c>
      <c r="H74">
        <v>164803.15</v>
      </c>
      <c r="I74">
        <v>8</v>
      </c>
      <c r="J74">
        <v>68687.42</v>
      </c>
      <c r="N74" t="s">
        <v>163</v>
      </c>
      <c r="O74" t="s">
        <v>138</v>
      </c>
      <c r="P74" t="s">
        <v>37</v>
      </c>
      <c r="Q74">
        <v>114140731</v>
      </c>
      <c r="R74">
        <v>4260043</v>
      </c>
      <c r="S74">
        <v>10686620227</v>
      </c>
      <c r="T74">
        <v>3914185</v>
      </c>
      <c r="U74">
        <v>142307</v>
      </c>
      <c r="V74">
        <v>326103557</v>
      </c>
    </row>
    <row r="75" spans="3:22" x14ac:dyDescent="0.25">
      <c r="C75" t="s">
        <v>163</v>
      </c>
      <c r="D75">
        <v>2007</v>
      </c>
      <c r="E75">
        <v>250</v>
      </c>
      <c r="F75" t="s">
        <v>6</v>
      </c>
      <c r="G75">
        <v>241</v>
      </c>
      <c r="H75">
        <v>152109.56000000099</v>
      </c>
      <c r="I75">
        <v>15</v>
      </c>
      <c r="J75">
        <v>129234.67</v>
      </c>
      <c r="N75" t="s">
        <v>163</v>
      </c>
      <c r="O75" t="s">
        <v>131</v>
      </c>
      <c r="P75" t="s">
        <v>33</v>
      </c>
      <c r="Q75">
        <v>114648000</v>
      </c>
      <c r="R75">
        <v>1114367</v>
      </c>
      <c r="S75">
        <v>12901772175</v>
      </c>
      <c r="T75">
        <v>3936868</v>
      </c>
      <c r="U75">
        <v>38812</v>
      </c>
      <c r="V75">
        <v>361601481</v>
      </c>
    </row>
    <row r="76" spans="3:22" x14ac:dyDescent="0.25">
      <c r="C76" t="s">
        <v>163</v>
      </c>
      <c r="D76">
        <v>2007</v>
      </c>
      <c r="E76">
        <v>250</v>
      </c>
      <c r="F76" t="s">
        <v>7</v>
      </c>
      <c r="G76">
        <v>253</v>
      </c>
      <c r="H76">
        <v>150813.30000000101</v>
      </c>
      <c r="I76">
        <v>8</v>
      </c>
      <c r="J76">
        <v>72827.16</v>
      </c>
      <c r="N76" t="s">
        <v>163</v>
      </c>
      <c r="O76" t="s">
        <v>131</v>
      </c>
      <c r="P76" t="s">
        <v>34</v>
      </c>
      <c r="Q76">
        <v>89776055</v>
      </c>
      <c r="R76">
        <v>5345059</v>
      </c>
      <c r="S76">
        <v>15235997395</v>
      </c>
      <c r="T76">
        <v>3280855</v>
      </c>
      <c r="U76">
        <v>180672</v>
      </c>
      <c r="V76">
        <v>471816374</v>
      </c>
    </row>
    <row r="77" spans="3:22" x14ac:dyDescent="0.25">
      <c r="C77" t="s">
        <v>163</v>
      </c>
      <c r="D77">
        <v>2007</v>
      </c>
      <c r="E77">
        <v>250</v>
      </c>
      <c r="F77" t="s">
        <v>8</v>
      </c>
      <c r="G77">
        <v>240</v>
      </c>
      <c r="H77">
        <v>143064.00000000099</v>
      </c>
      <c r="I77">
        <v>6</v>
      </c>
      <c r="J77">
        <v>51043.31</v>
      </c>
      <c r="N77" t="s">
        <v>163</v>
      </c>
      <c r="O77" t="s">
        <v>131</v>
      </c>
      <c r="P77" t="s">
        <v>35</v>
      </c>
      <c r="Q77">
        <v>94983282</v>
      </c>
      <c r="R77">
        <v>6886101</v>
      </c>
      <c r="S77">
        <v>6638587480</v>
      </c>
      <c r="T77">
        <v>3569910</v>
      </c>
      <c r="U77">
        <v>186399</v>
      </c>
      <c r="V77">
        <v>191310329</v>
      </c>
    </row>
    <row r="78" spans="3:22" x14ac:dyDescent="0.25">
      <c r="C78" t="s">
        <v>163</v>
      </c>
      <c r="D78">
        <v>2007</v>
      </c>
      <c r="E78">
        <v>250</v>
      </c>
      <c r="F78" t="s">
        <v>9</v>
      </c>
      <c r="G78">
        <v>196</v>
      </c>
      <c r="H78">
        <v>109961.88</v>
      </c>
      <c r="I78">
        <v>6</v>
      </c>
      <c r="J78">
        <v>54262.93</v>
      </c>
      <c r="N78" t="s">
        <v>163</v>
      </c>
      <c r="O78" t="s">
        <v>131</v>
      </c>
      <c r="P78" t="s">
        <v>36</v>
      </c>
    </row>
    <row r="79" spans="3:22" x14ac:dyDescent="0.25">
      <c r="C79" t="s">
        <v>163</v>
      </c>
      <c r="D79">
        <v>2007</v>
      </c>
      <c r="E79">
        <v>250</v>
      </c>
      <c r="F79" t="s">
        <v>10</v>
      </c>
      <c r="G79">
        <v>150</v>
      </c>
      <c r="H79">
        <v>84154.499999999898</v>
      </c>
      <c r="I79">
        <v>6</v>
      </c>
      <c r="J79">
        <v>57579.63</v>
      </c>
      <c r="N79" t="s">
        <v>163</v>
      </c>
      <c r="O79" t="s">
        <v>131</v>
      </c>
      <c r="P79" t="s">
        <v>37</v>
      </c>
      <c r="Q79">
        <v>114698872</v>
      </c>
      <c r="R79">
        <v>4248379</v>
      </c>
      <c r="S79">
        <v>10715588029</v>
      </c>
      <c r="T79">
        <v>3936868</v>
      </c>
      <c r="U79">
        <v>144860</v>
      </c>
      <c r="V79">
        <v>333105184</v>
      </c>
    </row>
    <row r="80" spans="3:22" x14ac:dyDescent="0.25">
      <c r="C80" t="s">
        <v>163</v>
      </c>
      <c r="D80">
        <v>2007</v>
      </c>
      <c r="E80">
        <v>250</v>
      </c>
      <c r="F80" t="s">
        <v>11</v>
      </c>
      <c r="G80">
        <v>116</v>
      </c>
      <c r="H80">
        <v>65079.479999999901</v>
      </c>
      <c r="I80">
        <v>2</v>
      </c>
      <c r="J80">
        <v>17635.330000000002</v>
      </c>
      <c r="N80" t="s">
        <v>163</v>
      </c>
      <c r="O80" t="s">
        <v>132</v>
      </c>
      <c r="P80" t="s">
        <v>33</v>
      </c>
      <c r="Q80">
        <v>115220974</v>
      </c>
      <c r="R80">
        <v>1106813</v>
      </c>
      <c r="S80">
        <v>12900420089</v>
      </c>
      <c r="T80">
        <v>3960916</v>
      </c>
      <c r="U80">
        <v>38695</v>
      </c>
      <c r="V80">
        <v>355837941</v>
      </c>
    </row>
    <row r="81" spans="3:22" x14ac:dyDescent="0.25">
      <c r="C81" t="s">
        <v>163</v>
      </c>
      <c r="D81">
        <v>2007</v>
      </c>
      <c r="E81">
        <v>250</v>
      </c>
      <c r="F81" t="s">
        <v>12</v>
      </c>
      <c r="G81">
        <v>109</v>
      </c>
      <c r="H81">
        <v>68796.440000000206</v>
      </c>
      <c r="I81">
        <v>3</v>
      </c>
      <c r="J81">
        <v>28101.96</v>
      </c>
      <c r="N81" t="s">
        <v>163</v>
      </c>
      <c r="O81" t="s">
        <v>132</v>
      </c>
      <c r="P81" t="s">
        <v>34</v>
      </c>
      <c r="Q81">
        <v>90136904</v>
      </c>
      <c r="R81">
        <v>5359504</v>
      </c>
      <c r="S81">
        <v>15444317847</v>
      </c>
      <c r="T81">
        <v>3295157</v>
      </c>
      <c r="U81">
        <v>182155</v>
      </c>
      <c r="V81">
        <v>476446851</v>
      </c>
    </row>
    <row r="82" spans="3:22" x14ac:dyDescent="0.25">
      <c r="C82" t="s">
        <v>163</v>
      </c>
      <c r="D82">
        <v>2007</v>
      </c>
      <c r="E82">
        <v>250</v>
      </c>
      <c r="F82" t="s">
        <v>13</v>
      </c>
      <c r="G82">
        <v>68</v>
      </c>
      <c r="H82">
        <v>42918.880000000099</v>
      </c>
      <c r="I82">
        <v>4</v>
      </c>
      <c r="J82">
        <v>33925.79</v>
      </c>
      <c r="N82" t="s">
        <v>163</v>
      </c>
      <c r="O82" t="s">
        <v>132</v>
      </c>
      <c r="P82" t="s">
        <v>35</v>
      </c>
      <c r="Q82">
        <v>95343714</v>
      </c>
      <c r="R82">
        <v>6819094</v>
      </c>
      <c r="S82">
        <v>6558309230</v>
      </c>
      <c r="T82">
        <v>3585309</v>
      </c>
      <c r="U82">
        <v>179413</v>
      </c>
      <c r="V82">
        <v>176438552</v>
      </c>
    </row>
    <row r="83" spans="3:22" x14ac:dyDescent="0.25">
      <c r="C83" t="s">
        <v>163</v>
      </c>
      <c r="D83">
        <v>2007</v>
      </c>
      <c r="E83">
        <v>250</v>
      </c>
      <c r="F83" t="s">
        <v>14</v>
      </c>
      <c r="G83">
        <v>45</v>
      </c>
      <c r="H83">
        <v>31558.05</v>
      </c>
      <c r="I83">
        <v>3</v>
      </c>
      <c r="J83">
        <v>28526.27</v>
      </c>
      <c r="N83" t="s">
        <v>163</v>
      </c>
      <c r="O83" t="s">
        <v>132</v>
      </c>
      <c r="P83" t="s">
        <v>36</v>
      </c>
    </row>
    <row r="84" spans="3:22" x14ac:dyDescent="0.25">
      <c r="C84" t="s">
        <v>163</v>
      </c>
      <c r="D84">
        <v>2007</v>
      </c>
      <c r="E84">
        <v>250</v>
      </c>
      <c r="F84" t="s">
        <v>15</v>
      </c>
      <c r="G84">
        <v>32</v>
      </c>
      <c r="H84">
        <v>22441.279999999999</v>
      </c>
      <c r="I84">
        <v>2</v>
      </c>
      <c r="J84">
        <v>17848.509999999998</v>
      </c>
      <c r="N84" t="s">
        <v>163</v>
      </c>
      <c r="O84" t="s">
        <v>132</v>
      </c>
      <c r="P84" t="s">
        <v>37</v>
      </c>
      <c r="Q84">
        <v>115270198</v>
      </c>
      <c r="R84">
        <v>4272753</v>
      </c>
      <c r="S84">
        <v>10846628096</v>
      </c>
      <c r="T84">
        <v>3960916</v>
      </c>
      <c r="U84">
        <v>146118</v>
      </c>
      <c r="V84">
        <v>336717932</v>
      </c>
    </row>
    <row r="85" spans="3:22" x14ac:dyDescent="0.25">
      <c r="C85" t="s">
        <v>163</v>
      </c>
      <c r="D85">
        <v>2007</v>
      </c>
      <c r="E85">
        <v>250</v>
      </c>
      <c r="F85" t="s">
        <v>16</v>
      </c>
      <c r="G85">
        <v>126</v>
      </c>
      <c r="H85">
        <v>167882.4</v>
      </c>
      <c r="I85">
        <v>12</v>
      </c>
      <c r="J85">
        <v>109577.44</v>
      </c>
      <c r="N85" t="s">
        <v>163</v>
      </c>
      <c r="O85" t="s">
        <v>133</v>
      </c>
      <c r="P85" t="s">
        <v>33</v>
      </c>
      <c r="Q85">
        <v>115824966</v>
      </c>
      <c r="R85">
        <v>1097793</v>
      </c>
      <c r="S85">
        <v>12889154378</v>
      </c>
      <c r="T85">
        <v>3984947</v>
      </c>
      <c r="U85">
        <v>38378</v>
      </c>
      <c r="V85">
        <v>353541348</v>
      </c>
    </row>
    <row r="86" spans="3:22" x14ac:dyDescent="0.25">
      <c r="C86" t="s">
        <v>163</v>
      </c>
      <c r="D86">
        <v>2007</v>
      </c>
      <c r="E86">
        <v>250</v>
      </c>
      <c r="F86" t="s">
        <v>17</v>
      </c>
      <c r="G86">
        <v>223</v>
      </c>
      <c r="H86">
        <v>234573.69999999899</v>
      </c>
      <c r="I86">
        <v>19</v>
      </c>
      <c r="J86">
        <v>169748.43</v>
      </c>
      <c r="N86" t="s">
        <v>163</v>
      </c>
      <c r="O86" t="s">
        <v>133</v>
      </c>
      <c r="P86" t="s">
        <v>34</v>
      </c>
      <c r="Q86">
        <v>90552865</v>
      </c>
      <c r="R86">
        <v>5375305</v>
      </c>
      <c r="S86">
        <v>15559402903</v>
      </c>
      <c r="T86">
        <v>3310406</v>
      </c>
      <c r="U86">
        <v>181884</v>
      </c>
      <c r="V86">
        <v>473924230</v>
      </c>
    </row>
    <row r="87" spans="3:22" x14ac:dyDescent="0.25">
      <c r="C87" t="s">
        <v>163</v>
      </c>
      <c r="D87">
        <v>2007</v>
      </c>
      <c r="E87">
        <v>250</v>
      </c>
      <c r="F87" t="s">
        <v>18</v>
      </c>
      <c r="G87">
        <v>224</v>
      </c>
      <c r="H87">
        <v>212069.76000000001</v>
      </c>
      <c r="I87">
        <v>9</v>
      </c>
      <c r="J87">
        <v>81402.789999999994</v>
      </c>
      <c r="N87" t="s">
        <v>163</v>
      </c>
      <c r="O87" t="s">
        <v>133</v>
      </c>
      <c r="P87" t="s">
        <v>35</v>
      </c>
      <c r="Q87">
        <v>95754930</v>
      </c>
      <c r="R87">
        <v>6708084</v>
      </c>
      <c r="S87">
        <v>6565693907</v>
      </c>
      <c r="T87">
        <v>3601742</v>
      </c>
      <c r="U87">
        <v>175407</v>
      </c>
      <c r="V87">
        <v>171603053</v>
      </c>
    </row>
    <row r="88" spans="3:22" x14ac:dyDescent="0.25">
      <c r="C88" t="s">
        <v>163</v>
      </c>
      <c r="D88">
        <v>2007</v>
      </c>
      <c r="E88">
        <v>250</v>
      </c>
      <c r="F88" t="s">
        <v>19</v>
      </c>
      <c r="G88">
        <v>241</v>
      </c>
      <c r="H88">
        <v>169010.89</v>
      </c>
      <c r="I88">
        <v>14</v>
      </c>
      <c r="J88">
        <v>124453.75</v>
      </c>
      <c r="N88" t="s">
        <v>163</v>
      </c>
      <c r="O88" t="s">
        <v>133</v>
      </c>
      <c r="P88" t="s">
        <v>36</v>
      </c>
    </row>
    <row r="89" spans="3:22" x14ac:dyDescent="0.25">
      <c r="C89" t="s">
        <v>163</v>
      </c>
      <c r="D89">
        <v>2007</v>
      </c>
      <c r="E89">
        <v>250</v>
      </c>
      <c r="F89" t="s">
        <v>20</v>
      </c>
      <c r="G89">
        <v>217</v>
      </c>
      <c r="H89">
        <v>152179.93</v>
      </c>
      <c r="I89">
        <v>8</v>
      </c>
      <c r="J89">
        <v>73601.740000000005</v>
      </c>
      <c r="N89" t="s">
        <v>163</v>
      </c>
      <c r="O89" t="s">
        <v>133</v>
      </c>
      <c r="P89" t="s">
        <v>37</v>
      </c>
      <c r="Q89">
        <v>115873426</v>
      </c>
      <c r="R89">
        <v>4294362</v>
      </c>
      <c r="S89">
        <v>10975968480</v>
      </c>
      <c r="T89">
        <v>3984947</v>
      </c>
      <c r="U89">
        <v>146371</v>
      </c>
      <c r="V89">
        <v>337916874</v>
      </c>
    </row>
    <row r="90" spans="3:22" x14ac:dyDescent="0.25">
      <c r="C90" t="s">
        <v>163</v>
      </c>
      <c r="D90">
        <v>2007</v>
      </c>
      <c r="E90">
        <v>250</v>
      </c>
      <c r="F90" t="s">
        <v>21</v>
      </c>
      <c r="G90">
        <v>280</v>
      </c>
      <c r="H90">
        <v>176724.80000000101</v>
      </c>
      <c r="I90">
        <v>15</v>
      </c>
      <c r="J90">
        <v>133589.84</v>
      </c>
      <c r="N90" t="s">
        <v>163</v>
      </c>
      <c r="O90" t="s">
        <v>134</v>
      </c>
      <c r="P90" t="s">
        <v>33</v>
      </c>
      <c r="Q90">
        <v>116482737</v>
      </c>
      <c r="R90">
        <v>1081254</v>
      </c>
      <c r="S90">
        <v>12770048499</v>
      </c>
      <c r="T90">
        <v>4013541</v>
      </c>
      <c r="U90">
        <v>38107</v>
      </c>
      <c r="V90">
        <v>357592901</v>
      </c>
    </row>
    <row r="91" spans="3:22" x14ac:dyDescent="0.25">
      <c r="C91" t="s">
        <v>163</v>
      </c>
      <c r="D91">
        <v>2007</v>
      </c>
      <c r="E91">
        <v>250</v>
      </c>
      <c r="F91" t="s">
        <v>22</v>
      </c>
      <c r="G91">
        <v>222</v>
      </c>
      <c r="H91">
        <v>132334.200000001</v>
      </c>
      <c r="I91">
        <v>16</v>
      </c>
      <c r="J91">
        <v>146630.57</v>
      </c>
      <c r="N91" t="s">
        <v>163</v>
      </c>
      <c r="O91" t="s">
        <v>134</v>
      </c>
      <c r="P91" t="s">
        <v>34</v>
      </c>
      <c r="Q91">
        <v>91027511</v>
      </c>
      <c r="R91">
        <v>5379114</v>
      </c>
      <c r="S91">
        <v>15718058305</v>
      </c>
      <c r="T91">
        <v>3329883</v>
      </c>
      <c r="U91">
        <v>182642</v>
      </c>
      <c r="V91">
        <v>478592329</v>
      </c>
    </row>
    <row r="92" spans="3:22" x14ac:dyDescent="0.25">
      <c r="C92" t="s">
        <v>163</v>
      </c>
      <c r="D92">
        <v>2007</v>
      </c>
      <c r="E92">
        <v>250</v>
      </c>
      <c r="F92" t="s">
        <v>23</v>
      </c>
      <c r="G92">
        <v>209</v>
      </c>
      <c r="H92">
        <v>124584.9</v>
      </c>
      <c r="I92">
        <v>10</v>
      </c>
      <c r="J92">
        <v>90551.58</v>
      </c>
      <c r="N92" t="s">
        <v>163</v>
      </c>
      <c r="O92" t="s">
        <v>134</v>
      </c>
      <c r="P92" t="s">
        <v>35</v>
      </c>
      <c r="Q92">
        <v>96260543</v>
      </c>
      <c r="R92">
        <v>6809235</v>
      </c>
      <c r="S92">
        <v>7489398882</v>
      </c>
      <c r="T92">
        <v>3619763</v>
      </c>
      <c r="U92">
        <v>173402</v>
      </c>
      <c r="V92">
        <v>170376858</v>
      </c>
    </row>
    <row r="93" spans="3:22" x14ac:dyDescent="0.25">
      <c r="C93" t="s">
        <v>163</v>
      </c>
      <c r="D93">
        <v>2007</v>
      </c>
      <c r="E93">
        <v>250</v>
      </c>
      <c r="F93" t="s">
        <v>24</v>
      </c>
      <c r="G93">
        <v>181</v>
      </c>
      <c r="H93">
        <v>101546.43</v>
      </c>
      <c r="I93">
        <v>9</v>
      </c>
      <c r="J93">
        <v>79554.44</v>
      </c>
      <c r="N93" t="s">
        <v>163</v>
      </c>
      <c r="O93" t="s">
        <v>134</v>
      </c>
      <c r="P93" t="s">
        <v>36</v>
      </c>
    </row>
    <row r="94" spans="3:22" x14ac:dyDescent="0.25">
      <c r="C94" t="s">
        <v>163</v>
      </c>
      <c r="D94">
        <v>2007</v>
      </c>
      <c r="E94">
        <v>250</v>
      </c>
      <c r="F94" t="s">
        <v>25</v>
      </c>
      <c r="G94">
        <v>155</v>
      </c>
      <c r="H94">
        <v>86959.649999999907</v>
      </c>
      <c r="I94">
        <v>5</v>
      </c>
      <c r="J94">
        <v>46563.88</v>
      </c>
      <c r="N94" t="s">
        <v>163</v>
      </c>
      <c r="O94" t="s">
        <v>134</v>
      </c>
      <c r="P94" t="s">
        <v>37</v>
      </c>
      <c r="Q94">
        <v>116530659</v>
      </c>
      <c r="R94">
        <v>4274987</v>
      </c>
      <c r="S94">
        <v>11025634371</v>
      </c>
      <c r="T94">
        <v>4013541</v>
      </c>
      <c r="U94">
        <v>145677</v>
      </c>
      <c r="V94">
        <v>337581693</v>
      </c>
    </row>
    <row r="95" spans="3:22" x14ac:dyDescent="0.25">
      <c r="C95" t="s">
        <v>163</v>
      </c>
      <c r="D95">
        <v>2007</v>
      </c>
      <c r="E95">
        <v>250</v>
      </c>
      <c r="F95" t="s">
        <v>26</v>
      </c>
      <c r="G95">
        <v>79</v>
      </c>
      <c r="H95">
        <v>44321.37</v>
      </c>
      <c r="I95">
        <v>4</v>
      </c>
      <c r="J95">
        <v>39095.07</v>
      </c>
      <c r="N95" t="s">
        <v>163</v>
      </c>
      <c r="O95" t="s">
        <v>130</v>
      </c>
      <c r="P95" t="s">
        <v>33</v>
      </c>
      <c r="Q95">
        <v>117074952</v>
      </c>
      <c r="R95">
        <v>1072425</v>
      </c>
      <c r="S95">
        <v>12766786740</v>
      </c>
      <c r="T95">
        <v>4031805</v>
      </c>
      <c r="U95">
        <v>37786</v>
      </c>
      <c r="V95">
        <v>363971812</v>
      </c>
    </row>
    <row r="96" spans="3:22" x14ac:dyDescent="0.25">
      <c r="C96" t="s">
        <v>163</v>
      </c>
      <c r="D96">
        <v>2007</v>
      </c>
      <c r="E96">
        <v>250</v>
      </c>
      <c r="F96" t="s">
        <v>27</v>
      </c>
      <c r="G96">
        <v>74</v>
      </c>
      <c r="H96">
        <v>46705.840000000098</v>
      </c>
      <c r="I96">
        <v>5</v>
      </c>
      <c r="J96">
        <v>46468.63</v>
      </c>
      <c r="N96" t="s">
        <v>163</v>
      </c>
      <c r="O96" t="s">
        <v>130</v>
      </c>
      <c r="P96" t="s">
        <v>34</v>
      </c>
      <c r="Q96">
        <v>91473429</v>
      </c>
      <c r="R96">
        <v>5334701</v>
      </c>
      <c r="S96">
        <v>15728428913</v>
      </c>
      <c r="T96">
        <v>3341865</v>
      </c>
      <c r="U96">
        <v>174523</v>
      </c>
      <c r="V96">
        <v>452891435</v>
      </c>
    </row>
    <row r="97" spans="3:22" x14ac:dyDescent="0.25">
      <c r="C97" t="s">
        <v>163</v>
      </c>
      <c r="D97">
        <v>2007</v>
      </c>
      <c r="E97">
        <v>250</v>
      </c>
      <c r="F97" t="s">
        <v>28</v>
      </c>
      <c r="G97">
        <v>74</v>
      </c>
      <c r="H97">
        <v>46705.840000000098</v>
      </c>
      <c r="I97">
        <v>2</v>
      </c>
      <c r="J97">
        <v>17061.18</v>
      </c>
      <c r="N97" t="s">
        <v>163</v>
      </c>
      <c r="O97" t="s">
        <v>130</v>
      </c>
      <c r="P97" t="s">
        <v>35</v>
      </c>
      <c r="Q97">
        <v>96698369</v>
      </c>
      <c r="R97">
        <v>6752997</v>
      </c>
      <c r="S97">
        <v>7651594600</v>
      </c>
      <c r="T97">
        <v>3632200</v>
      </c>
      <c r="U97">
        <v>164987</v>
      </c>
      <c r="V97">
        <v>165735010</v>
      </c>
    </row>
    <row r="98" spans="3:22" x14ac:dyDescent="0.25">
      <c r="C98" t="s">
        <v>163</v>
      </c>
      <c r="D98">
        <v>2007</v>
      </c>
      <c r="E98">
        <v>250</v>
      </c>
      <c r="F98" t="s">
        <v>29</v>
      </c>
      <c r="G98">
        <v>40</v>
      </c>
      <c r="H98">
        <v>28051.599999999999</v>
      </c>
      <c r="I98">
        <v>2</v>
      </c>
      <c r="J98">
        <v>17988.55</v>
      </c>
      <c r="N98" t="s">
        <v>163</v>
      </c>
      <c r="O98" t="s">
        <v>130</v>
      </c>
      <c r="P98" t="s">
        <v>36</v>
      </c>
    </row>
    <row r="99" spans="3:22" x14ac:dyDescent="0.25">
      <c r="C99" t="s">
        <v>163</v>
      </c>
      <c r="D99">
        <v>2007</v>
      </c>
      <c r="E99">
        <v>250</v>
      </c>
      <c r="F99" t="s">
        <v>30</v>
      </c>
      <c r="G99">
        <v>25</v>
      </c>
      <c r="H99">
        <v>17532.25</v>
      </c>
      <c r="I99">
        <v>1</v>
      </c>
      <c r="J99">
        <v>9696.34</v>
      </c>
      <c r="N99" t="s">
        <v>163</v>
      </c>
      <c r="O99" t="s">
        <v>130</v>
      </c>
      <c r="P99" t="s">
        <v>37</v>
      </c>
      <c r="Q99">
        <v>117122871</v>
      </c>
      <c r="R99">
        <v>4257028</v>
      </c>
      <c r="S99">
        <v>11103318734</v>
      </c>
      <c r="T99">
        <v>4031805</v>
      </c>
      <c r="U99">
        <v>141659</v>
      </c>
      <c r="V99">
        <v>329408189</v>
      </c>
    </row>
    <row r="100" spans="3:22" x14ac:dyDescent="0.25">
      <c r="C100" t="s">
        <v>163</v>
      </c>
      <c r="D100">
        <v>2007</v>
      </c>
      <c r="E100">
        <v>500</v>
      </c>
      <c r="F100" t="s">
        <v>1</v>
      </c>
      <c r="G100">
        <v>56</v>
      </c>
      <c r="H100">
        <v>56548.800000000097</v>
      </c>
      <c r="I100">
        <v>3</v>
      </c>
      <c r="J100">
        <v>26702.5</v>
      </c>
    </row>
    <row r="101" spans="3:22" x14ac:dyDescent="0.25">
      <c r="C101" t="s">
        <v>163</v>
      </c>
      <c r="D101">
        <v>2007</v>
      </c>
      <c r="E101">
        <v>500</v>
      </c>
      <c r="F101" t="s">
        <v>2</v>
      </c>
      <c r="G101">
        <v>104</v>
      </c>
      <c r="H101">
        <v>87521.200000000201</v>
      </c>
      <c r="I101">
        <v>5</v>
      </c>
      <c r="J101">
        <v>46393.58</v>
      </c>
    </row>
    <row r="102" spans="3:22" x14ac:dyDescent="0.25">
      <c r="C102" t="s">
        <v>163</v>
      </c>
      <c r="D102">
        <v>2007</v>
      </c>
      <c r="E102">
        <v>500</v>
      </c>
      <c r="F102" t="s">
        <v>3</v>
      </c>
      <c r="G102">
        <v>113</v>
      </c>
      <c r="H102">
        <v>83683.279999999897</v>
      </c>
      <c r="I102">
        <v>4</v>
      </c>
      <c r="J102">
        <v>32453.39</v>
      </c>
    </row>
    <row r="103" spans="3:22" x14ac:dyDescent="0.25">
      <c r="C103" t="s">
        <v>163</v>
      </c>
      <c r="D103">
        <v>2007</v>
      </c>
      <c r="E103">
        <v>500</v>
      </c>
      <c r="F103" t="s">
        <v>4</v>
      </c>
      <c r="G103">
        <v>108</v>
      </c>
      <c r="H103">
        <v>72709.919999999998</v>
      </c>
      <c r="I103">
        <v>9</v>
      </c>
      <c r="J103">
        <v>76112.87</v>
      </c>
    </row>
    <row r="104" spans="3:22" x14ac:dyDescent="0.25">
      <c r="C104" t="s">
        <v>163</v>
      </c>
      <c r="D104">
        <v>2007</v>
      </c>
      <c r="E104">
        <v>500</v>
      </c>
      <c r="F104" t="s">
        <v>5</v>
      </c>
      <c r="G104">
        <v>126</v>
      </c>
      <c r="H104">
        <v>84828.240000000107</v>
      </c>
      <c r="I104">
        <v>12</v>
      </c>
      <c r="J104">
        <v>100357.86</v>
      </c>
    </row>
    <row r="105" spans="3:22" x14ac:dyDescent="0.25">
      <c r="C105" t="s">
        <v>163</v>
      </c>
      <c r="D105">
        <v>2007</v>
      </c>
      <c r="E105">
        <v>500</v>
      </c>
      <c r="F105" t="s">
        <v>6</v>
      </c>
      <c r="G105">
        <v>130</v>
      </c>
      <c r="H105">
        <v>78768.300000000294</v>
      </c>
      <c r="I105">
        <v>9</v>
      </c>
      <c r="J105">
        <v>74276.52</v>
      </c>
    </row>
    <row r="106" spans="3:22" x14ac:dyDescent="0.25">
      <c r="C106" t="s">
        <v>163</v>
      </c>
      <c r="D106">
        <v>2007</v>
      </c>
      <c r="E106">
        <v>500</v>
      </c>
      <c r="F106" t="s">
        <v>7</v>
      </c>
      <c r="G106">
        <v>139</v>
      </c>
      <c r="H106">
        <v>79542.75</v>
      </c>
      <c r="I106">
        <v>4</v>
      </c>
      <c r="J106">
        <v>33664.33</v>
      </c>
    </row>
    <row r="107" spans="3:22" x14ac:dyDescent="0.25">
      <c r="C107" t="s">
        <v>163</v>
      </c>
      <c r="D107">
        <v>2007</v>
      </c>
      <c r="E107">
        <v>500</v>
      </c>
      <c r="F107" t="s">
        <v>8</v>
      </c>
      <c r="G107">
        <v>116</v>
      </c>
      <c r="H107">
        <v>66381</v>
      </c>
      <c r="I107">
        <v>5</v>
      </c>
      <c r="J107">
        <v>42672.43</v>
      </c>
    </row>
    <row r="108" spans="3:22" x14ac:dyDescent="0.25">
      <c r="C108" t="s">
        <v>163</v>
      </c>
      <c r="D108">
        <v>2007</v>
      </c>
      <c r="E108">
        <v>500</v>
      </c>
      <c r="F108" t="s">
        <v>9</v>
      </c>
      <c r="G108">
        <v>93</v>
      </c>
      <c r="H108">
        <v>50088.869999999901</v>
      </c>
      <c r="I108">
        <v>1</v>
      </c>
      <c r="J108">
        <v>7169.31</v>
      </c>
    </row>
    <row r="109" spans="3:22" x14ac:dyDescent="0.25">
      <c r="C109" t="s">
        <v>163</v>
      </c>
      <c r="D109">
        <v>2007</v>
      </c>
      <c r="E109">
        <v>500</v>
      </c>
      <c r="F109" t="s">
        <v>10</v>
      </c>
      <c r="G109">
        <v>85</v>
      </c>
      <c r="H109">
        <v>45780.1499999999</v>
      </c>
      <c r="I109">
        <v>6</v>
      </c>
      <c r="J109">
        <v>50133.65</v>
      </c>
    </row>
    <row r="110" spans="3:22" x14ac:dyDescent="0.25">
      <c r="C110" t="s">
        <v>163</v>
      </c>
      <c r="D110">
        <v>2007</v>
      </c>
      <c r="E110">
        <v>500</v>
      </c>
      <c r="F110" t="s">
        <v>11</v>
      </c>
      <c r="G110">
        <v>56</v>
      </c>
      <c r="H110">
        <v>30161.040000000001</v>
      </c>
      <c r="I110">
        <v>1</v>
      </c>
      <c r="J110">
        <v>10049.17</v>
      </c>
    </row>
    <row r="111" spans="3:22" x14ac:dyDescent="0.25">
      <c r="C111" t="s">
        <v>163</v>
      </c>
      <c r="D111">
        <v>2007</v>
      </c>
      <c r="E111">
        <v>500</v>
      </c>
      <c r="F111" t="s">
        <v>12</v>
      </c>
      <c r="G111">
        <v>62</v>
      </c>
      <c r="H111">
        <v>37566.42</v>
      </c>
      <c r="I111">
        <v>2</v>
      </c>
      <c r="J111">
        <v>17464.560000000001</v>
      </c>
    </row>
    <row r="112" spans="3:22" x14ac:dyDescent="0.25">
      <c r="C112" t="s">
        <v>163</v>
      </c>
      <c r="D112">
        <v>2007</v>
      </c>
      <c r="E112">
        <v>500</v>
      </c>
      <c r="F112" t="s">
        <v>13</v>
      </c>
      <c r="G112">
        <v>42</v>
      </c>
      <c r="H112">
        <v>25448.22</v>
      </c>
      <c r="I112">
        <v>1</v>
      </c>
      <c r="J112">
        <v>8930.1</v>
      </c>
    </row>
    <row r="113" spans="3:10" x14ac:dyDescent="0.25">
      <c r="C113" t="s">
        <v>163</v>
      </c>
      <c r="D113">
        <v>2007</v>
      </c>
      <c r="E113">
        <v>500</v>
      </c>
      <c r="F113" t="s">
        <v>14</v>
      </c>
      <c r="G113">
        <v>30</v>
      </c>
      <c r="H113">
        <v>20197.2</v>
      </c>
      <c r="I113">
        <v>2</v>
      </c>
      <c r="J113">
        <v>17556.97</v>
      </c>
    </row>
    <row r="114" spans="3:10" x14ac:dyDescent="0.25">
      <c r="C114" t="s">
        <v>163</v>
      </c>
      <c r="D114">
        <v>2007</v>
      </c>
      <c r="E114">
        <v>500</v>
      </c>
      <c r="F114" t="s">
        <v>15</v>
      </c>
      <c r="G114">
        <v>20</v>
      </c>
      <c r="H114">
        <v>13464.8</v>
      </c>
      <c r="I114">
        <v>1</v>
      </c>
      <c r="J114">
        <v>7699.3</v>
      </c>
    </row>
    <row r="115" spans="3:10" x14ac:dyDescent="0.25">
      <c r="C115" t="s">
        <v>163</v>
      </c>
      <c r="D115">
        <v>2007</v>
      </c>
      <c r="E115">
        <v>500</v>
      </c>
      <c r="F115" t="s">
        <v>16</v>
      </c>
      <c r="G115">
        <v>54</v>
      </c>
      <c r="H115">
        <v>69071.399999999994</v>
      </c>
      <c r="I115">
        <v>7</v>
      </c>
      <c r="J115">
        <v>60505.54</v>
      </c>
    </row>
    <row r="116" spans="3:10" x14ac:dyDescent="0.25">
      <c r="C116" t="s">
        <v>163</v>
      </c>
      <c r="D116">
        <v>2007</v>
      </c>
      <c r="E116">
        <v>500</v>
      </c>
      <c r="F116" t="s">
        <v>17</v>
      </c>
      <c r="G116">
        <v>101</v>
      </c>
      <c r="H116">
        <v>101989.8</v>
      </c>
      <c r="I116">
        <v>7</v>
      </c>
      <c r="J116">
        <v>59415.06</v>
      </c>
    </row>
    <row r="117" spans="3:10" x14ac:dyDescent="0.25">
      <c r="C117" t="s">
        <v>163</v>
      </c>
      <c r="D117">
        <v>2007</v>
      </c>
      <c r="E117">
        <v>500</v>
      </c>
      <c r="F117" t="s">
        <v>18</v>
      </c>
      <c r="G117">
        <v>108</v>
      </c>
      <c r="H117">
        <v>98157.959999999905</v>
      </c>
      <c r="I117">
        <v>4</v>
      </c>
      <c r="J117">
        <v>33576.5</v>
      </c>
    </row>
    <row r="118" spans="3:10" x14ac:dyDescent="0.25">
      <c r="C118" t="s">
        <v>163</v>
      </c>
      <c r="D118">
        <v>2007</v>
      </c>
      <c r="E118">
        <v>500</v>
      </c>
      <c r="F118" t="s">
        <v>19</v>
      </c>
      <c r="G118">
        <v>121</v>
      </c>
      <c r="H118">
        <v>81462.040000000095</v>
      </c>
      <c r="I118">
        <v>7</v>
      </c>
      <c r="J118">
        <v>60553.53</v>
      </c>
    </row>
    <row r="119" spans="3:10" x14ac:dyDescent="0.25">
      <c r="C119" t="s">
        <v>163</v>
      </c>
      <c r="D119">
        <v>2007</v>
      </c>
      <c r="E119">
        <v>500</v>
      </c>
      <c r="F119" t="s">
        <v>20</v>
      </c>
      <c r="G119">
        <v>131</v>
      </c>
      <c r="H119">
        <v>88194.440000000104</v>
      </c>
      <c r="I119">
        <v>10</v>
      </c>
      <c r="J119">
        <v>85337.4</v>
      </c>
    </row>
    <row r="120" spans="3:10" x14ac:dyDescent="0.25">
      <c r="C120" t="s">
        <v>163</v>
      </c>
      <c r="D120">
        <v>2007</v>
      </c>
      <c r="E120">
        <v>500</v>
      </c>
      <c r="F120" t="s">
        <v>21</v>
      </c>
      <c r="G120">
        <v>131</v>
      </c>
      <c r="H120">
        <v>79374.210000000297</v>
      </c>
      <c r="I120">
        <v>7</v>
      </c>
      <c r="J120">
        <v>62539.68</v>
      </c>
    </row>
    <row r="121" spans="3:10" x14ac:dyDescent="0.25">
      <c r="C121" t="s">
        <v>163</v>
      </c>
      <c r="D121">
        <v>2007</v>
      </c>
      <c r="E121">
        <v>500</v>
      </c>
      <c r="F121" t="s">
        <v>22</v>
      </c>
      <c r="G121">
        <v>167</v>
      </c>
      <c r="H121">
        <v>95565.75</v>
      </c>
      <c r="I121">
        <v>6</v>
      </c>
      <c r="J121">
        <v>49111.73</v>
      </c>
    </row>
    <row r="122" spans="3:10" x14ac:dyDescent="0.25">
      <c r="C122" t="s">
        <v>163</v>
      </c>
      <c r="D122">
        <v>2007</v>
      </c>
      <c r="E122">
        <v>500</v>
      </c>
      <c r="F122" t="s">
        <v>23</v>
      </c>
      <c r="G122">
        <v>153</v>
      </c>
      <c r="H122">
        <v>87554.25</v>
      </c>
      <c r="I122">
        <v>8</v>
      </c>
      <c r="J122">
        <v>64348.97</v>
      </c>
    </row>
    <row r="123" spans="3:10" x14ac:dyDescent="0.25">
      <c r="C123" t="s">
        <v>163</v>
      </c>
      <c r="D123">
        <v>2007</v>
      </c>
      <c r="E123">
        <v>500</v>
      </c>
      <c r="F123" t="s">
        <v>24</v>
      </c>
      <c r="G123">
        <v>105</v>
      </c>
      <c r="H123">
        <v>56551.949999999903</v>
      </c>
      <c r="I123">
        <v>6</v>
      </c>
      <c r="J123">
        <v>48746.17</v>
      </c>
    </row>
    <row r="124" spans="3:10" x14ac:dyDescent="0.25">
      <c r="C124" t="s">
        <v>163</v>
      </c>
      <c r="D124">
        <v>2007</v>
      </c>
      <c r="E124">
        <v>500</v>
      </c>
      <c r="F124" t="s">
        <v>25</v>
      </c>
      <c r="G124">
        <v>82</v>
      </c>
      <c r="H124">
        <v>44164.379999999903</v>
      </c>
      <c r="I124">
        <v>4</v>
      </c>
      <c r="J124">
        <v>30794.22</v>
      </c>
    </row>
    <row r="125" spans="3:10" x14ac:dyDescent="0.25">
      <c r="C125" t="s">
        <v>163</v>
      </c>
      <c r="D125">
        <v>2007</v>
      </c>
      <c r="E125">
        <v>500</v>
      </c>
      <c r="F125" t="s">
        <v>26</v>
      </c>
      <c r="G125">
        <v>65</v>
      </c>
      <c r="H125">
        <v>35008.35</v>
      </c>
      <c r="I125">
        <v>2</v>
      </c>
      <c r="J125">
        <v>16519.759999999998</v>
      </c>
    </row>
    <row r="126" spans="3:10" x14ac:dyDescent="0.25">
      <c r="C126" t="s">
        <v>163</v>
      </c>
      <c r="D126">
        <v>2007</v>
      </c>
      <c r="E126">
        <v>500</v>
      </c>
      <c r="F126" t="s">
        <v>27</v>
      </c>
      <c r="G126">
        <v>53</v>
      </c>
      <c r="H126">
        <v>32113.23</v>
      </c>
      <c r="I126">
        <v>5</v>
      </c>
      <c r="J126">
        <v>39967.129999999997</v>
      </c>
    </row>
    <row r="127" spans="3:10" x14ac:dyDescent="0.25">
      <c r="C127" t="s">
        <v>163</v>
      </c>
      <c r="D127">
        <v>2007</v>
      </c>
      <c r="E127">
        <v>500</v>
      </c>
      <c r="F127" t="s">
        <v>28</v>
      </c>
      <c r="G127">
        <v>35</v>
      </c>
      <c r="H127">
        <v>21206.85</v>
      </c>
      <c r="I127">
        <v>2</v>
      </c>
      <c r="J127">
        <v>17353.39</v>
      </c>
    </row>
    <row r="128" spans="3:10" x14ac:dyDescent="0.25">
      <c r="C128" t="s">
        <v>163</v>
      </c>
      <c r="D128">
        <v>2007</v>
      </c>
      <c r="E128">
        <v>500</v>
      </c>
      <c r="F128" t="s">
        <v>29</v>
      </c>
      <c r="G128">
        <v>26</v>
      </c>
      <c r="H128">
        <v>17504.240000000002</v>
      </c>
      <c r="I128">
        <v>1</v>
      </c>
      <c r="J128">
        <v>9250.59</v>
      </c>
    </row>
    <row r="129" spans="3:10" x14ac:dyDescent="0.25">
      <c r="C129" t="s">
        <v>163</v>
      </c>
      <c r="D129">
        <v>2007</v>
      </c>
      <c r="E129">
        <v>500</v>
      </c>
      <c r="F129" t="s">
        <v>30</v>
      </c>
      <c r="G129">
        <v>19</v>
      </c>
      <c r="H129">
        <v>12791.56</v>
      </c>
      <c r="I129">
        <v>1</v>
      </c>
      <c r="J129">
        <v>9326.57</v>
      </c>
    </row>
    <row r="130" spans="3:10" x14ac:dyDescent="0.25">
      <c r="C130" t="s">
        <v>163</v>
      </c>
      <c r="D130">
        <v>2007</v>
      </c>
      <c r="E130">
        <v>1000</v>
      </c>
      <c r="F130" t="s">
        <v>1</v>
      </c>
      <c r="G130">
        <v>36</v>
      </c>
      <c r="H130">
        <v>33325.199999999997</v>
      </c>
      <c r="I130">
        <v>1</v>
      </c>
      <c r="J130">
        <v>6431.39</v>
      </c>
    </row>
    <row r="131" spans="3:10" x14ac:dyDescent="0.25">
      <c r="C131" t="s">
        <v>163</v>
      </c>
      <c r="D131">
        <v>2007</v>
      </c>
      <c r="E131">
        <v>1000</v>
      </c>
      <c r="F131" t="s">
        <v>2</v>
      </c>
      <c r="G131">
        <v>57</v>
      </c>
      <c r="H131">
        <v>43970.9399999999</v>
      </c>
      <c r="I131">
        <v>1</v>
      </c>
      <c r="J131">
        <v>8199.69</v>
      </c>
    </row>
    <row r="132" spans="3:10" x14ac:dyDescent="0.25">
      <c r="C132" t="s">
        <v>163</v>
      </c>
      <c r="D132">
        <v>2007</v>
      </c>
      <c r="E132">
        <v>1000</v>
      </c>
      <c r="F132" t="s">
        <v>3</v>
      </c>
      <c r="G132">
        <v>56</v>
      </c>
      <c r="H132">
        <v>38015.599999999999</v>
      </c>
      <c r="I132">
        <v>6</v>
      </c>
      <c r="J132">
        <v>43261.47</v>
      </c>
    </row>
    <row r="133" spans="3:10" x14ac:dyDescent="0.25">
      <c r="C133" t="s">
        <v>163</v>
      </c>
      <c r="D133">
        <v>2007</v>
      </c>
      <c r="E133">
        <v>1000</v>
      </c>
      <c r="F133" t="s">
        <v>4</v>
      </c>
      <c r="G133">
        <v>77</v>
      </c>
      <c r="H133">
        <v>47519.01</v>
      </c>
      <c r="I133">
        <v>3</v>
      </c>
      <c r="J133">
        <v>22952.75</v>
      </c>
    </row>
    <row r="134" spans="3:10" x14ac:dyDescent="0.25">
      <c r="C134" t="s">
        <v>163</v>
      </c>
      <c r="D134">
        <v>2007</v>
      </c>
      <c r="E134">
        <v>1000</v>
      </c>
      <c r="F134" t="s">
        <v>5</v>
      </c>
      <c r="G134">
        <v>65</v>
      </c>
      <c r="H134">
        <v>40113.449999999997</v>
      </c>
      <c r="I134">
        <v>3</v>
      </c>
      <c r="J134">
        <v>23241.45</v>
      </c>
    </row>
    <row r="135" spans="3:10" x14ac:dyDescent="0.25">
      <c r="C135" t="s">
        <v>163</v>
      </c>
      <c r="D135">
        <v>2007</v>
      </c>
      <c r="E135">
        <v>1000</v>
      </c>
      <c r="F135" t="s">
        <v>6</v>
      </c>
      <c r="G135">
        <v>70</v>
      </c>
      <c r="H135">
        <v>38879.3999999999</v>
      </c>
      <c r="I135">
        <v>4</v>
      </c>
      <c r="J135">
        <v>31561.16</v>
      </c>
    </row>
    <row r="136" spans="3:10" x14ac:dyDescent="0.25">
      <c r="C136" t="s">
        <v>163</v>
      </c>
      <c r="D136">
        <v>2007</v>
      </c>
      <c r="E136">
        <v>1000</v>
      </c>
      <c r="F136" t="s">
        <v>7</v>
      </c>
      <c r="G136">
        <v>82</v>
      </c>
      <c r="H136">
        <v>43013.919999999998</v>
      </c>
      <c r="I136">
        <v>5</v>
      </c>
      <c r="J136">
        <v>37669.71</v>
      </c>
    </row>
    <row r="137" spans="3:10" x14ac:dyDescent="0.25">
      <c r="C137" t="s">
        <v>163</v>
      </c>
      <c r="D137">
        <v>2007</v>
      </c>
      <c r="E137">
        <v>1000</v>
      </c>
      <c r="F137" t="s">
        <v>8</v>
      </c>
      <c r="G137">
        <v>62</v>
      </c>
      <c r="H137">
        <v>32522.720000000001</v>
      </c>
      <c r="I137">
        <v>5</v>
      </c>
      <c r="J137">
        <v>41088.559999999998</v>
      </c>
    </row>
    <row r="138" spans="3:10" x14ac:dyDescent="0.25">
      <c r="C138" t="s">
        <v>163</v>
      </c>
      <c r="D138">
        <v>2007</v>
      </c>
      <c r="E138">
        <v>1000</v>
      </c>
      <c r="F138" t="s">
        <v>9</v>
      </c>
      <c r="G138">
        <v>61</v>
      </c>
      <c r="H138">
        <v>30116.31</v>
      </c>
      <c r="I138">
        <v>3</v>
      </c>
      <c r="J138">
        <v>21864.82</v>
      </c>
    </row>
    <row r="139" spans="3:10" x14ac:dyDescent="0.25">
      <c r="C139" t="s">
        <v>163</v>
      </c>
      <c r="D139">
        <v>2007</v>
      </c>
      <c r="E139">
        <v>1000</v>
      </c>
      <c r="F139" t="s">
        <v>10</v>
      </c>
      <c r="G139">
        <v>43</v>
      </c>
      <c r="H139">
        <v>21229.53</v>
      </c>
      <c r="I139">
        <v>1</v>
      </c>
      <c r="J139">
        <v>6660.07</v>
      </c>
    </row>
    <row r="140" spans="3:10" x14ac:dyDescent="0.25">
      <c r="C140" t="s">
        <v>163</v>
      </c>
      <c r="D140">
        <v>2007</v>
      </c>
      <c r="E140">
        <v>1000</v>
      </c>
      <c r="F140" t="s">
        <v>11</v>
      </c>
      <c r="G140">
        <v>40</v>
      </c>
      <c r="H140">
        <v>19748.400000000001</v>
      </c>
      <c r="I140">
        <v>0</v>
      </c>
      <c r="J140">
        <v>0</v>
      </c>
    </row>
    <row r="141" spans="3:10" x14ac:dyDescent="0.25">
      <c r="C141" t="s">
        <v>163</v>
      </c>
      <c r="D141">
        <v>2007</v>
      </c>
      <c r="E141">
        <v>1000</v>
      </c>
      <c r="F141" t="s">
        <v>12</v>
      </c>
      <c r="G141">
        <v>19</v>
      </c>
      <c r="H141">
        <v>10552.98</v>
      </c>
      <c r="I141">
        <v>1</v>
      </c>
      <c r="J141">
        <v>7278.39</v>
      </c>
    </row>
    <row r="142" spans="3:10" x14ac:dyDescent="0.25">
      <c r="C142" t="s">
        <v>163</v>
      </c>
      <c r="D142">
        <v>2007</v>
      </c>
      <c r="E142">
        <v>1000</v>
      </c>
      <c r="F142" t="s">
        <v>13</v>
      </c>
      <c r="G142">
        <v>16</v>
      </c>
      <c r="H142">
        <v>8886.7199999999993</v>
      </c>
      <c r="I142">
        <v>2</v>
      </c>
      <c r="J142">
        <v>13449.56</v>
      </c>
    </row>
    <row r="143" spans="3:10" x14ac:dyDescent="0.25">
      <c r="C143" t="s">
        <v>163</v>
      </c>
      <c r="D143">
        <v>2007</v>
      </c>
      <c r="E143">
        <v>1000</v>
      </c>
      <c r="F143" t="s">
        <v>14</v>
      </c>
      <c r="G143">
        <v>16</v>
      </c>
      <c r="H143">
        <v>9874.08</v>
      </c>
      <c r="I143">
        <v>1</v>
      </c>
      <c r="J143">
        <v>7400.27</v>
      </c>
    </row>
    <row r="144" spans="3:10" x14ac:dyDescent="0.25">
      <c r="C144" t="s">
        <v>163</v>
      </c>
      <c r="D144">
        <v>2007</v>
      </c>
      <c r="E144">
        <v>1000</v>
      </c>
      <c r="F144" t="s">
        <v>15</v>
      </c>
      <c r="G144">
        <v>14</v>
      </c>
      <c r="H144">
        <v>8639.82</v>
      </c>
      <c r="I144">
        <v>0</v>
      </c>
      <c r="J144">
        <v>0</v>
      </c>
    </row>
    <row r="145" spans="3:10" x14ac:dyDescent="0.25">
      <c r="C145" t="s">
        <v>163</v>
      </c>
      <c r="D145">
        <v>2007</v>
      </c>
      <c r="E145">
        <v>1000</v>
      </c>
      <c r="F145" t="s">
        <v>16</v>
      </c>
      <c r="G145">
        <v>27</v>
      </c>
      <c r="H145">
        <v>31657.5</v>
      </c>
      <c r="I145">
        <v>2</v>
      </c>
      <c r="J145">
        <v>17982.09</v>
      </c>
    </row>
    <row r="146" spans="3:10" x14ac:dyDescent="0.25">
      <c r="C146" t="s">
        <v>163</v>
      </c>
      <c r="D146">
        <v>2007</v>
      </c>
      <c r="E146">
        <v>1000</v>
      </c>
      <c r="F146" t="s">
        <v>17</v>
      </c>
      <c r="G146">
        <v>56</v>
      </c>
      <c r="H146">
        <v>51839.199999999997</v>
      </c>
      <c r="I146">
        <v>3</v>
      </c>
      <c r="J146">
        <v>22377.08</v>
      </c>
    </row>
    <row r="147" spans="3:10" x14ac:dyDescent="0.25">
      <c r="C147" t="s">
        <v>163</v>
      </c>
      <c r="D147">
        <v>2007</v>
      </c>
      <c r="E147">
        <v>1000</v>
      </c>
      <c r="F147" t="s">
        <v>18</v>
      </c>
      <c r="G147">
        <v>64</v>
      </c>
      <c r="H147">
        <v>53320.319999999898</v>
      </c>
      <c r="I147">
        <v>1</v>
      </c>
      <c r="J147">
        <v>6927.1</v>
      </c>
    </row>
    <row r="148" spans="3:10" x14ac:dyDescent="0.25">
      <c r="C148" t="s">
        <v>163</v>
      </c>
      <c r="D148">
        <v>2007</v>
      </c>
      <c r="E148">
        <v>1000</v>
      </c>
      <c r="F148" t="s">
        <v>19</v>
      </c>
      <c r="G148">
        <v>66</v>
      </c>
      <c r="H148">
        <v>40730.58</v>
      </c>
      <c r="I148">
        <v>3</v>
      </c>
      <c r="J148">
        <v>20217.71</v>
      </c>
    </row>
    <row r="149" spans="3:10" x14ac:dyDescent="0.25">
      <c r="C149" t="s">
        <v>163</v>
      </c>
      <c r="D149">
        <v>2007</v>
      </c>
      <c r="E149">
        <v>1000</v>
      </c>
      <c r="F149" t="s">
        <v>20</v>
      </c>
      <c r="G149">
        <v>56</v>
      </c>
      <c r="H149">
        <v>34559.279999999999</v>
      </c>
      <c r="I149">
        <v>2</v>
      </c>
      <c r="J149">
        <v>17732.55</v>
      </c>
    </row>
    <row r="150" spans="3:10" x14ac:dyDescent="0.25">
      <c r="C150" t="s">
        <v>163</v>
      </c>
      <c r="D150">
        <v>2007</v>
      </c>
      <c r="E150">
        <v>1000</v>
      </c>
      <c r="F150" t="s">
        <v>21</v>
      </c>
      <c r="G150">
        <v>67</v>
      </c>
      <c r="H150">
        <v>37213.139999999898</v>
      </c>
      <c r="I150">
        <v>1</v>
      </c>
      <c r="J150">
        <v>8719.07</v>
      </c>
    </row>
    <row r="151" spans="3:10" x14ac:dyDescent="0.25">
      <c r="C151" t="s">
        <v>163</v>
      </c>
      <c r="D151">
        <v>2007</v>
      </c>
      <c r="E151">
        <v>1000</v>
      </c>
      <c r="F151" t="s">
        <v>22</v>
      </c>
      <c r="G151">
        <v>70</v>
      </c>
      <c r="H151">
        <v>36719.199999999997</v>
      </c>
      <c r="I151">
        <v>3</v>
      </c>
      <c r="J151">
        <v>22858.52</v>
      </c>
    </row>
    <row r="152" spans="3:10" x14ac:dyDescent="0.25">
      <c r="C152" t="s">
        <v>163</v>
      </c>
      <c r="D152">
        <v>2007</v>
      </c>
      <c r="E152">
        <v>1000</v>
      </c>
      <c r="F152" t="s">
        <v>23</v>
      </c>
      <c r="G152">
        <v>61</v>
      </c>
      <c r="H152">
        <v>31998.16</v>
      </c>
      <c r="I152">
        <v>4</v>
      </c>
      <c r="J152">
        <v>31998.28</v>
      </c>
    </row>
    <row r="153" spans="3:10" x14ac:dyDescent="0.25">
      <c r="C153" t="s">
        <v>163</v>
      </c>
      <c r="D153">
        <v>2007</v>
      </c>
      <c r="E153">
        <v>1000</v>
      </c>
      <c r="F153" t="s">
        <v>24</v>
      </c>
      <c r="G153">
        <v>53</v>
      </c>
      <c r="H153">
        <v>26166.63</v>
      </c>
      <c r="I153">
        <v>1</v>
      </c>
      <c r="J153">
        <v>6799.46</v>
      </c>
    </row>
    <row r="154" spans="3:10" x14ac:dyDescent="0.25">
      <c r="C154" t="s">
        <v>163</v>
      </c>
      <c r="D154">
        <v>2007</v>
      </c>
      <c r="E154">
        <v>1000</v>
      </c>
      <c r="F154" t="s">
        <v>25</v>
      </c>
      <c r="G154">
        <v>57</v>
      </c>
      <c r="H154">
        <v>28141.47</v>
      </c>
      <c r="I154">
        <v>1</v>
      </c>
      <c r="J154">
        <v>7750.88</v>
      </c>
    </row>
    <row r="155" spans="3:10" x14ac:dyDescent="0.25">
      <c r="C155" t="s">
        <v>163</v>
      </c>
      <c r="D155">
        <v>2007</v>
      </c>
      <c r="E155">
        <v>1000</v>
      </c>
      <c r="F155" t="s">
        <v>26</v>
      </c>
      <c r="G155">
        <v>35</v>
      </c>
      <c r="H155">
        <v>17279.849999999999</v>
      </c>
      <c r="I155">
        <v>4</v>
      </c>
      <c r="J155">
        <v>31001.48</v>
      </c>
    </row>
    <row r="156" spans="3:10" x14ac:dyDescent="0.25">
      <c r="C156" t="s">
        <v>163</v>
      </c>
      <c r="D156">
        <v>2007</v>
      </c>
      <c r="E156">
        <v>1000</v>
      </c>
      <c r="F156" t="s">
        <v>27</v>
      </c>
      <c r="G156">
        <v>25</v>
      </c>
      <c r="H156">
        <v>13885.5</v>
      </c>
      <c r="I156">
        <v>1</v>
      </c>
      <c r="J156">
        <v>6892.11</v>
      </c>
    </row>
    <row r="157" spans="3:10" x14ac:dyDescent="0.25">
      <c r="C157" t="s">
        <v>163</v>
      </c>
      <c r="D157">
        <v>2007</v>
      </c>
      <c r="E157">
        <v>1000</v>
      </c>
      <c r="F157" t="s">
        <v>28</v>
      </c>
      <c r="G157">
        <v>15</v>
      </c>
      <c r="H157">
        <v>8331.2999999999993</v>
      </c>
      <c r="I157">
        <v>2</v>
      </c>
      <c r="J157">
        <v>17724.830000000002</v>
      </c>
    </row>
    <row r="158" spans="3:10" x14ac:dyDescent="0.25">
      <c r="C158" t="s">
        <v>163</v>
      </c>
      <c r="D158">
        <v>2007</v>
      </c>
      <c r="E158">
        <v>1000</v>
      </c>
      <c r="F158" t="s">
        <v>29</v>
      </c>
      <c r="G158">
        <v>13</v>
      </c>
      <c r="H158">
        <v>8022.69</v>
      </c>
      <c r="I158">
        <v>0</v>
      </c>
      <c r="J158">
        <v>0</v>
      </c>
    </row>
    <row r="159" spans="3:10" x14ac:dyDescent="0.25">
      <c r="C159" t="s">
        <v>163</v>
      </c>
      <c r="D159">
        <v>2007</v>
      </c>
      <c r="E159">
        <v>1000</v>
      </c>
      <c r="F159" t="s">
        <v>30</v>
      </c>
      <c r="G159">
        <v>4</v>
      </c>
      <c r="H159">
        <v>2468.52</v>
      </c>
      <c r="I159">
        <v>1</v>
      </c>
      <c r="J159">
        <v>7904.86</v>
      </c>
    </row>
    <row r="160" spans="3:10" x14ac:dyDescent="0.25">
      <c r="C160" t="s">
        <v>163</v>
      </c>
      <c r="D160">
        <v>2007</v>
      </c>
      <c r="E160">
        <v>2000</v>
      </c>
      <c r="F160" t="s">
        <v>1</v>
      </c>
      <c r="G160">
        <v>26</v>
      </c>
      <c r="H160">
        <v>23247.64</v>
      </c>
      <c r="I160">
        <v>3</v>
      </c>
      <c r="J160">
        <v>21353.279999999999</v>
      </c>
    </row>
    <row r="161" spans="3:10" x14ac:dyDescent="0.25">
      <c r="C161" t="s">
        <v>163</v>
      </c>
      <c r="D161">
        <v>2007</v>
      </c>
      <c r="E161">
        <v>2000</v>
      </c>
      <c r="F161" t="s">
        <v>2</v>
      </c>
      <c r="G161">
        <v>36</v>
      </c>
      <c r="H161">
        <v>26824.32</v>
      </c>
      <c r="I161">
        <v>5</v>
      </c>
      <c r="J161">
        <v>36303.480000000003</v>
      </c>
    </row>
    <row r="162" spans="3:10" x14ac:dyDescent="0.25">
      <c r="C162" t="s">
        <v>163</v>
      </c>
      <c r="D162">
        <v>2007</v>
      </c>
      <c r="E162">
        <v>2000</v>
      </c>
      <c r="F162" t="s">
        <v>3</v>
      </c>
      <c r="G162">
        <v>52</v>
      </c>
      <c r="H162">
        <v>34096.400000000001</v>
      </c>
      <c r="I162">
        <v>2</v>
      </c>
      <c r="J162">
        <v>16206.11</v>
      </c>
    </row>
    <row r="163" spans="3:10" x14ac:dyDescent="0.25">
      <c r="C163" t="s">
        <v>163</v>
      </c>
      <c r="D163">
        <v>2007</v>
      </c>
      <c r="E163">
        <v>2000</v>
      </c>
      <c r="F163" t="s">
        <v>4</v>
      </c>
      <c r="G163">
        <v>53</v>
      </c>
      <c r="H163">
        <v>31593.3</v>
      </c>
      <c r="I163">
        <v>1</v>
      </c>
      <c r="J163">
        <v>7708.37</v>
      </c>
    </row>
    <row r="164" spans="3:10" x14ac:dyDescent="0.25">
      <c r="C164" t="s">
        <v>163</v>
      </c>
      <c r="D164">
        <v>2007</v>
      </c>
      <c r="E164">
        <v>2000</v>
      </c>
      <c r="F164" t="s">
        <v>5</v>
      </c>
      <c r="G164">
        <v>47</v>
      </c>
      <c r="H164">
        <v>28016.7</v>
      </c>
      <c r="I164">
        <v>3</v>
      </c>
      <c r="J164">
        <v>23524.46</v>
      </c>
    </row>
    <row r="165" spans="3:10" x14ac:dyDescent="0.25">
      <c r="C165" t="s">
        <v>163</v>
      </c>
      <c r="D165">
        <v>2007</v>
      </c>
      <c r="E165">
        <v>2000</v>
      </c>
      <c r="F165" t="s">
        <v>6</v>
      </c>
      <c r="G165">
        <v>59</v>
      </c>
      <c r="H165">
        <v>31652.91</v>
      </c>
      <c r="I165">
        <v>4</v>
      </c>
      <c r="J165">
        <v>28734.61</v>
      </c>
    </row>
    <row r="166" spans="3:10" x14ac:dyDescent="0.25">
      <c r="C166" t="s">
        <v>163</v>
      </c>
      <c r="D166">
        <v>2007</v>
      </c>
      <c r="E166">
        <v>2000</v>
      </c>
      <c r="F166" t="s">
        <v>7</v>
      </c>
      <c r="G166">
        <v>58</v>
      </c>
      <c r="H166">
        <v>29387.439999999999</v>
      </c>
      <c r="I166">
        <v>7</v>
      </c>
      <c r="J166">
        <v>51120.52</v>
      </c>
    </row>
    <row r="167" spans="3:10" x14ac:dyDescent="0.25">
      <c r="C167" t="s">
        <v>163</v>
      </c>
      <c r="D167">
        <v>2007</v>
      </c>
      <c r="E167">
        <v>2000</v>
      </c>
      <c r="F167" t="s">
        <v>8</v>
      </c>
      <c r="G167">
        <v>55</v>
      </c>
      <c r="H167">
        <v>27867.4</v>
      </c>
      <c r="I167">
        <v>7</v>
      </c>
      <c r="J167">
        <v>52974.9</v>
      </c>
    </row>
    <row r="168" spans="3:10" x14ac:dyDescent="0.25">
      <c r="C168" t="s">
        <v>163</v>
      </c>
      <c r="D168">
        <v>2007</v>
      </c>
      <c r="E168">
        <v>2000</v>
      </c>
      <c r="F168" t="s">
        <v>9</v>
      </c>
      <c r="G168">
        <v>38</v>
      </c>
      <c r="H168">
        <v>18121.439999999999</v>
      </c>
      <c r="I168">
        <v>1</v>
      </c>
      <c r="J168">
        <v>7294.63</v>
      </c>
    </row>
    <row r="169" spans="3:10" x14ac:dyDescent="0.25">
      <c r="C169" t="s">
        <v>163</v>
      </c>
      <c r="D169">
        <v>2007</v>
      </c>
      <c r="E169">
        <v>2000</v>
      </c>
      <c r="F169" t="s">
        <v>10</v>
      </c>
      <c r="G169">
        <v>29</v>
      </c>
      <c r="H169">
        <v>13829.52</v>
      </c>
      <c r="I169">
        <v>0</v>
      </c>
      <c r="J169">
        <v>0</v>
      </c>
    </row>
    <row r="170" spans="3:10" x14ac:dyDescent="0.25">
      <c r="C170" t="s">
        <v>163</v>
      </c>
      <c r="D170">
        <v>2007</v>
      </c>
      <c r="E170">
        <v>2000</v>
      </c>
      <c r="F170" t="s">
        <v>11</v>
      </c>
      <c r="G170">
        <v>17</v>
      </c>
      <c r="H170">
        <v>8106.96</v>
      </c>
      <c r="I170">
        <v>0</v>
      </c>
      <c r="J170">
        <v>0</v>
      </c>
    </row>
    <row r="171" spans="3:10" x14ac:dyDescent="0.25">
      <c r="C171" t="s">
        <v>163</v>
      </c>
      <c r="D171">
        <v>2007</v>
      </c>
      <c r="E171">
        <v>2000</v>
      </c>
      <c r="F171" t="s">
        <v>12</v>
      </c>
      <c r="G171">
        <v>22</v>
      </c>
      <c r="H171">
        <v>11802.78</v>
      </c>
      <c r="I171">
        <v>0</v>
      </c>
      <c r="J171">
        <v>0</v>
      </c>
    </row>
    <row r="172" spans="3:10" x14ac:dyDescent="0.25">
      <c r="C172" t="s">
        <v>163</v>
      </c>
      <c r="D172">
        <v>2007</v>
      </c>
      <c r="E172">
        <v>2000</v>
      </c>
      <c r="F172" t="s">
        <v>13</v>
      </c>
      <c r="G172">
        <v>12</v>
      </c>
      <c r="H172">
        <v>6437.88</v>
      </c>
      <c r="I172">
        <v>0</v>
      </c>
      <c r="J172">
        <v>0</v>
      </c>
    </row>
    <row r="173" spans="3:10" x14ac:dyDescent="0.25">
      <c r="C173" t="s">
        <v>163</v>
      </c>
      <c r="D173">
        <v>2007</v>
      </c>
      <c r="E173">
        <v>2000</v>
      </c>
      <c r="F173" t="s">
        <v>14</v>
      </c>
      <c r="G173">
        <v>9</v>
      </c>
      <c r="H173">
        <v>5364.9</v>
      </c>
      <c r="I173">
        <v>0</v>
      </c>
      <c r="J173">
        <v>0</v>
      </c>
    </row>
    <row r="174" spans="3:10" x14ac:dyDescent="0.25">
      <c r="C174" t="s">
        <v>163</v>
      </c>
      <c r="D174">
        <v>2007</v>
      </c>
      <c r="E174">
        <v>2000</v>
      </c>
      <c r="F174" t="s">
        <v>15</v>
      </c>
      <c r="G174">
        <v>5</v>
      </c>
      <c r="H174">
        <v>2980.5</v>
      </c>
      <c r="I174">
        <v>1</v>
      </c>
      <c r="J174">
        <v>7414.47</v>
      </c>
    </row>
    <row r="175" spans="3:10" x14ac:dyDescent="0.25">
      <c r="C175" t="s">
        <v>163</v>
      </c>
      <c r="D175">
        <v>2007</v>
      </c>
      <c r="E175">
        <v>2000</v>
      </c>
      <c r="F175" t="s">
        <v>16</v>
      </c>
      <c r="G175">
        <v>28</v>
      </c>
      <c r="H175">
        <v>31710</v>
      </c>
      <c r="I175">
        <v>4</v>
      </c>
      <c r="J175">
        <v>29313.05</v>
      </c>
    </row>
    <row r="176" spans="3:10" x14ac:dyDescent="0.25">
      <c r="C176" t="s">
        <v>163</v>
      </c>
      <c r="D176">
        <v>2007</v>
      </c>
      <c r="E176">
        <v>2000</v>
      </c>
      <c r="F176" t="s">
        <v>17</v>
      </c>
      <c r="G176">
        <v>37</v>
      </c>
      <c r="H176">
        <v>33083.18</v>
      </c>
      <c r="I176">
        <v>5</v>
      </c>
      <c r="J176">
        <v>36829.730000000003</v>
      </c>
    </row>
    <row r="177" spans="3:10" x14ac:dyDescent="0.25">
      <c r="C177" t="s">
        <v>163</v>
      </c>
      <c r="D177">
        <v>2007</v>
      </c>
      <c r="E177">
        <v>2000</v>
      </c>
      <c r="F177" t="s">
        <v>18</v>
      </c>
      <c r="G177">
        <v>44</v>
      </c>
      <c r="H177">
        <v>35408.120000000003</v>
      </c>
      <c r="I177">
        <v>5</v>
      </c>
      <c r="J177">
        <v>37921.339999999997</v>
      </c>
    </row>
    <row r="178" spans="3:10" x14ac:dyDescent="0.25">
      <c r="C178" t="s">
        <v>163</v>
      </c>
      <c r="D178">
        <v>2007</v>
      </c>
      <c r="E178">
        <v>2000</v>
      </c>
      <c r="F178" t="s">
        <v>19</v>
      </c>
      <c r="G178">
        <v>41</v>
      </c>
      <c r="H178">
        <v>24440.1</v>
      </c>
      <c r="I178">
        <v>2</v>
      </c>
      <c r="J178">
        <v>16710</v>
      </c>
    </row>
    <row r="179" spans="3:10" x14ac:dyDescent="0.25">
      <c r="C179" t="s">
        <v>163</v>
      </c>
      <c r="D179">
        <v>2007</v>
      </c>
      <c r="E179">
        <v>2000</v>
      </c>
      <c r="F179" t="s">
        <v>20</v>
      </c>
      <c r="G179">
        <v>40</v>
      </c>
      <c r="H179">
        <v>23844</v>
      </c>
      <c r="I179">
        <v>1</v>
      </c>
      <c r="J179">
        <v>7272.28</v>
      </c>
    </row>
    <row r="180" spans="3:10" x14ac:dyDescent="0.25">
      <c r="C180" t="s">
        <v>163</v>
      </c>
      <c r="D180">
        <v>2007</v>
      </c>
      <c r="E180">
        <v>2000</v>
      </c>
      <c r="F180" t="s">
        <v>21</v>
      </c>
      <c r="G180">
        <v>55</v>
      </c>
      <c r="H180">
        <v>29506.95</v>
      </c>
      <c r="I180">
        <v>4</v>
      </c>
      <c r="J180">
        <v>31655.77</v>
      </c>
    </row>
    <row r="181" spans="3:10" x14ac:dyDescent="0.25">
      <c r="C181" t="s">
        <v>163</v>
      </c>
      <c r="D181">
        <v>2007</v>
      </c>
      <c r="E181">
        <v>2000</v>
      </c>
      <c r="F181" t="s">
        <v>22</v>
      </c>
      <c r="G181">
        <v>54</v>
      </c>
      <c r="H181">
        <v>27360.720000000001</v>
      </c>
      <c r="I181">
        <v>3</v>
      </c>
      <c r="J181">
        <v>24293.29</v>
      </c>
    </row>
    <row r="182" spans="3:10" x14ac:dyDescent="0.25">
      <c r="C182" t="s">
        <v>163</v>
      </c>
      <c r="D182">
        <v>2007</v>
      </c>
      <c r="E182">
        <v>2000</v>
      </c>
      <c r="F182" t="s">
        <v>23</v>
      </c>
      <c r="G182">
        <v>44</v>
      </c>
      <c r="H182">
        <v>22293.919999999998</v>
      </c>
      <c r="I182">
        <v>3</v>
      </c>
      <c r="J182">
        <v>22598.63</v>
      </c>
    </row>
    <row r="183" spans="3:10" x14ac:dyDescent="0.25">
      <c r="C183" t="s">
        <v>163</v>
      </c>
      <c r="D183">
        <v>2007</v>
      </c>
      <c r="E183">
        <v>2000</v>
      </c>
      <c r="F183" t="s">
        <v>24</v>
      </c>
      <c r="G183">
        <v>33</v>
      </c>
      <c r="H183">
        <v>15737.04</v>
      </c>
      <c r="I183">
        <v>0</v>
      </c>
      <c r="J183">
        <v>0</v>
      </c>
    </row>
    <row r="184" spans="3:10" x14ac:dyDescent="0.25">
      <c r="C184" t="s">
        <v>163</v>
      </c>
      <c r="D184">
        <v>2007</v>
      </c>
      <c r="E184">
        <v>2000</v>
      </c>
      <c r="F184" t="s">
        <v>25</v>
      </c>
      <c r="G184">
        <v>29</v>
      </c>
      <c r="H184">
        <v>13829.52</v>
      </c>
      <c r="I184">
        <v>2</v>
      </c>
      <c r="J184">
        <v>13934.86</v>
      </c>
    </row>
    <row r="185" spans="3:10" x14ac:dyDescent="0.25">
      <c r="C185" t="s">
        <v>163</v>
      </c>
      <c r="D185">
        <v>2007</v>
      </c>
      <c r="E185">
        <v>2000</v>
      </c>
      <c r="F185" t="s">
        <v>26</v>
      </c>
      <c r="G185">
        <v>16</v>
      </c>
      <c r="H185">
        <v>7630.08</v>
      </c>
      <c r="I185">
        <v>0</v>
      </c>
      <c r="J185">
        <v>0</v>
      </c>
    </row>
    <row r="186" spans="3:10" x14ac:dyDescent="0.25">
      <c r="C186" t="s">
        <v>163</v>
      </c>
      <c r="D186">
        <v>2007</v>
      </c>
      <c r="E186">
        <v>2000</v>
      </c>
      <c r="F186" t="s">
        <v>27</v>
      </c>
      <c r="G186">
        <v>20</v>
      </c>
      <c r="H186">
        <v>10729.8</v>
      </c>
      <c r="I186">
        <v>1</v>
      </c>
      <c r="J186">
        <v>8978.56</v>
      </c>
    </row>
    <row r="187" spans="3:10" x14ac:dyDescent="0.25">
      <c r="C187" t="s">
        <v>163</v>
      </c>
      <c r="D187">
        <v>2007</v>
      </c>
      <c r="E187">
        <v>2000</v>
      </c>
      <c r="F187" t="s">
        <v>28</v>
      </c>
      <c r="G187">
        <v>17</v>
      </c>
      <c r="H187">
        <v>9120.33</v>
      </c>
      <c r="I187">
        <v>0</v>
      </c>
      <c r="J187">
        <v>0</v>
      </c>
    </row>
    <row r="188" spans="3:10" x14ac:dyDescent="0.25">
      <c r="C188" t="s">
        <v>163</v>
      </c>
      <c r="D188">
        <v>2007</v>
      </c>
      <c r="E188">
        <v>2000</v>
      </c>
      <c r="F188" t="s">
        <v>29</v>
      </c>
      <c r="G188">
        <v>11</v>
      </c>
      <c r="H188">
        <v>6557.1</v>
      </c>
      <c r="I188">
        <v>0</v>
      </c>
      <c r="J188">
        <v>0</v>
      </c>
    </row>
    <row r="189" spans="3:10" x14ac:dyDescent="0.25">
      <c r="C189" t="s">
        <v>163</v>
      </c>
      <c r="D189">
        <v>2007</v>
      </c>
      <c r="E189">
        <v>2000</v>
      </c>
      <c r="F189" t="s">
        <v>30</v>
      </c>
      <c r="G189">
        <v>5</v>
      </c>
      <c r="H189">
        <v>2980.5</v>
      </c>
      <c r="I189">
        <v>0</v>
      </c>
      <c r="J189">
        <v>0</v>
      </c>
    </row>
    <row r="190" spans="3:10" x14ac:dyDescent="0.25">
      <c r="C190" t="s">
        <v>163</v>
      </c>
      <c r="D190">
        <v>2008</v>
      </c>
      <c r="E190">
        <v>0</v>
      </c>
      <c r="F190" t="s">
        <v>1</v>
      </c>
      <c r="G190">
        <v>30</v>
      </c>
      <c r="H190">
        <v>38298</v>
      </c>
      <c r="I190">
        <v>2</v>
      </c>
      <c r="J190">
        <v>23351.45</v>
      </c>
    </row>
    <row r="191" spans="3:10" x14ac:dyDescent="0.25">
      <c r="C191" t="s">
        <v>163</v>
      </c>
      <c r="D191">
        <v>2008</v>
      </c>
      <c r="E191">
        <v>0</v>
      </c>
      <c r="F191" t="s">
        <v>2</v>
      </c>
      <c r="G191">
        <v>46</v>
      </c>
      <c r="H191">
        <v>48934.8</v>
      </c>
      <c r="I191">
        <v>6</v>
      </c>
      <c r="J191">
        <v>69375.210000000006</v>
      </c>
    </row>
    <row r="192" spans="3:10" x14ac:dyDescent="0.25">
      <c r="C192" t="s">
        <v>163</v>
      </c>
      <c r="D192">
        <v>2008</v>
      </c>
      <c r="E192">
        <v>0</v>
      </c>
      <c r="F192" t="s">
        <v>3</v>
      </c>
      <c r="G192">
        <v>58</v>
      </c>
      <c r="H192">
        <v>54300.76</v>
      </c>
      <c r="I192">
        <v>5</v>
      </c>
      <c r="J192">
        <v>56594.89</v>
      </c>
    </row>
    <row r="193" spans="3:10" x14ac:dyDescent="0.25">
      <c r="C193" t="s">
        <v>163</v>
      </c>
      <c r="D193">
        <v>2008</v>
      </c>
      <c r="E193">
        <v>0</v>
      </c>
      <c r="F193" t="s">
        <v>4</v>
      </c>
      <c r="G193">
        <v>56</v>
      </c>
      <c r="H193">
        <v>47662.16</v>
      </c>
      <c r="I193">
        <v>3</v>
      </c>
      <c r="J193">
        <v>34497.129999999997</v>
      </c>
    </row>
    <row r="194" spans="3:10" x14ac:dyDescent="0.25">
      <c r="C194" t="s">
        <v>163</v>
      </c>
      <c r="D194">
        <v>2008</v>
      </c>
      <c r="E194">
        <v>0</v>
      </c>
      <c r="F194" t="s">
        <v>5</v>
      </c>
      <c r="G194">
        <v>60</v>
      </c>
      <c r="H194">
        <v>51066.6</v>
      </c>
      <c r="I194">
        <v>1</v>
      </c>
      <c r="J194">
        <v>11620.81</v>
      </c>
    </row>
    <row r="195" spans="3:10" x14ac:dyDescent="0.25">
      <c r="C195" t="s">
        <v>163</v>
      </c>
      <c r="D195">
        <v>2008</v>
      </c>
      <c r="E195">
        <v>0</v>
      </c>
      <c r="F195" t="s">
        <v>6</v>
      </c>
      <c r="G195">
        <v>63</v>
      </c>
      <c r="H195">
        <v>48258</v>
      </c>
      <c r="I195">
        <v>0</v>
      </c>
      <c r="J195">
        <v>0</v>
      </c>
    </row>
    <row r="196" spans="3:10" x14ac:dyDescent="0.25">
      <c r="C196" t="s">
        <v>163</v>
      </c>
      <c r="D196">
        <v>2008</v>
      </c>
      <c r="E196">
        <v>0</v>
      </c>
      <c r="F196" t="s">
        <v>7</v>
      </c>
      <c r="G196">
        <v>66</v>
      </c>
      <c r="H196">
        <v>47747.040000000001</v>
      </c>
      <c r="I196">
        <v>2</v>
      </c>
      <c r="J196">
        <v>20586.71</v>
      </c>
    </row>
    <row r="197" spans="3:10" x14ac:dyDescent="0.25">
      <c r="C197" t="s">
        <v>163</v>
      </c>
      <c r="D197">
        <v>2008</v>
      </c>
      <c r="E197">
        <v>0</v>
      </c>
      <c r="F197" t="s">
        <v>8</v>
      </c>
      <c r="G197">
        <v>62</v>
      </c>
      <c r="H197">
        <v>44853.279999999999</v>
      </c>
      <c r="I197">
        <v>2</v>
      </c>
      <c r="J197">
        <v>20812.849999999999</v>
      </c>
    </row>
    <row r="198" spans="3:10" x14ac:dyDescent="0.25">
      <c r="C198" t="s">
        <v>163</v>
      </c>
      <c r="D198">
        <v>2008</v>
      </c>
      <c r="E198">
        <v>0</v>
      </c>
      <c r="F198" t="s">
        <v>9</v>
      </c>
      <c r="G198">
        <v>35</v>
      </c>
      <c r="H198">
        <v>23831.15</v>
      </c>
      <c r="I198">
        <v>1</v>
      </c>
      <c r="J198">
        <v>12551.89</v>
      </c>
    </row>
    <row r="199" spans="3:10" x14ac:dyDescent="0.25">
      <c r="C199" t="s">
        <v>163</v>
      </c>
      <c r="D199">
        <v>2008</v>
      </c>
      <c r="E199">
        <v>0</v>
      </c>
      <c r="F199" t="s">
        <v>10</v>
      </c>
      <c r="G199">
        <v>48</v>
      </c>
      <c r="H199">
        <v>32682.720000000001</v>
      </c>
      <c r="I199">
        <v>1</v>
      </c>
      <c r="J199">
        <v>11183.14</v>
      </c>
    </row>
    <row r="200" spans="3:10" x14ac:dyDescent="0.25">
      <c r="C200" t="s">
        <v>163</v>
      </c>
      <c r="D200">
        <v>2008</v>
      </c>
      <c r="E200">
        <v>0</v>
      </c>
      <c r="F200" t="s">
        <v>11</v>
      </c>
      <c r="G200">
        <v>32</v>
      </c>
      <c r="H200">
        <v>21788.48</v>
      </c>
      <c r="I200">
        <v>1</v>
      </c>
      <c r="J200">
        <v>11574.44</v>
      </c>
    </row>
    <row r="201" spans="3:10" x14ac:dyDescent="0.25">
      <c r="C201" t="s">
        <v>163</v>
      </c>
      <c r="D201">
        <v>2008</v>
      </c>
      <c r="E201">
        <v>0</v>
      </c>
      <c r="F201" t="s">
        <v>12</v>
      </c>
      <c r="G201">
        <v>19</v>
      </c>
      <c r="H201">
        <v>14554</v>
      </c>
      <c r="I201">
        <v>0</v>
      </c>
      <c r="J201">
        <v>0</v>
      </c>
    </row>
    <row r="202" spans="3:10" x14ac:dyDescent="0.25">
      <c r="C202" t="s">
        <v>163</v>
      </c>
      <c r="D202">
        <v>2008</v>
      </c>
      <c r="E202">
        <v>0</v>
      </c>
      <c r="F202" t="s">
        <v>13</v>
      </c>
      <c r="G202">
        <v>13</v>
      </c>
      <c r="H202">
        <v>9958</v>
      </c>
      <c r="I202">
        <v>0</v>
      </c>
      <c r="J202">
        <v>0</v>
      </c>
    </row>
    <row r="203" spans="3:10" x14ac:dyDescent="0.25">
      <c r="C203" t="s">
        <v>163</v>
      </c>
      <c r="D203">
        <v>2008</v>
      </c>
      <c r="E203">
        <v>0</v>
      </c>
      <c r="F203" t="s">
        <v>14</v>
      </c>
      <c r="G203">
        <v>15</v>
      </c>
      <c r="H203">
        <v>12766.65</v>
      </c>
      <c r="I203">
        <v>0</v>
      </c>
      <c r="J203">
        <v>0</v>
      </c>
    </row>
    <row r="204" spans="3:10" x14ac:dyDescent="0.25">
      <c r="C204" t="s">
        <v>163</v>
      </c>
      <c r="D204">
        <v>2008</v>
      </c>
      <c r="E204">
        <v>0</v>
      </c>
      <c r="F204" t="s">
        <v>15</v>
      </c>
      <c r="G204">
        <v>13</v>
      </c>
      <c r="H204">
        <v>11064.43</v>
      </c>
      <c r="I204">
        <v>1</v>
      </c>
      <c r="J204">
        <v>10563.77</v>
      </c>
    </row>
    <row r="205" spans="3:10" x14ac:dyDescent="0.25">
      <c r="C205" t="s">
        <v>163</v>
      </c>
      <c r="D205">
        <v>2008</v>
      </c>
      <c r="E205">
        <v>0</v>
      </c>
      <c r="F205" t="s">
        <v>16</v>
      </c>
      <c r="G205">
        <v>25</v>
      </c>
      <c r="H205">
        <v>40427.5</v>
      </c>
      <c r="I205">
        <v>1</v>
      </c>
      <c r="J205">
        <v>12929.14</v>
      </c>
    </row>
    <row r="206" spans="3:10" x14ac:dyDescent="0.25">
      <c r="C206" t="s">
        <v>163</v>
      </c>
      <c r="D206">
        <v>2008</v>
      </c>
      <c r="E206">
        <v>0</v>
      </c>
      <c r="F206" t="s">
        <v>17</v>
      </c>
      <c r="G206">
        <v>65</v>
      </c>
      <c r="H206">
        <v>82979</v>
      </c>
      <c r="I206">
        <v>6</v>
      </c>
      <c r="J206">
        <v>69207.89</v>
      </c>
    </row>
    <row r="207" spans="3:10" x14ac:dyDescent="0.25">
      <c r="C207" t="s">
        <v>163</v>
      </c>
      <c r="D207">
        <v>2008</v>
      </c>
      <c r="E207">
        <v>0</v>
      </c>
      <c r="F207" t="s">
        <v>18</v>
      </c>
      <c r="G207">
        <v>53</v>
      </c>
      <c r="H207">
        <v>60897</v>
      </c>
      <c r="I207">
        <v>3</v>
      </c>
      <c r="J207">
        <v>37267.35</v>
      </c>
    </row>
    <row r="208" spans="3:10" x14ac:dyDescent="0.25">
      <c r="C208" t="s">
        <v>163</v>
      </c>
      <c r="D208">
        <v>2008</v>
      </c>
      <c r="E208">
        <v>0</v>
      </c>
      <c r="F208" t="s">
        <v>19</v>
      </c>
      <c r="G208">
        <v>53</v>
      </c>
      <c r="H208">
        <v>45108.83</v>
      </c>
      <c r="I208">
        <v>1</v>
      </c>
      <c r="J208">
        <v>12143.85</v>
      </c>
    </row>
    <row r="209" spans="3:10" x14ac:dyDescent="0.25">
      <c r="C209" t="s">
        <v>163</v>
      </c>
      <c r="D209">
        <v>2008</v>
      </c>
      <c r="E209">
        <v>0</v>
      </c>
      <c r="F209" t="s">
        <v>20</v>
      </c>
      <c r="G209">
        <v>62</v>
      </c>
      <c r="H209">
        <v>52768.82</v>
      </c>
      <c r="I209">
        <v>7</v>
      </c>
      <c r="J209">
        <v>80889.72</v>
      </c>
    </row>
    <row r="210" spans="3:10" x14ac:dyDescent="0.25">
      <c r="C210" t="s">
        <v>163</v>
      </c>
      <c r="D210">
        <v>2008</v>
      </c>
      <c r="E210">
        <v>0</v>
      </c>
      <c r="F210" t="s">
        <v>21</v>
      </c>
      <c r="G210">
        <v>81</v>
      </c>
      <c r="H210">
        <v>62046</v>
      </c>
      <c r="I210">
        <v>3</v>
      </c>
      <c r="J210">
        <v>34728.080000000002</v>
      </c>
    </row>
    <row r="211" spans="3:10" x14ac:dyDescent="0.25">
      <c r="C211" t="s">
        <v>163</v>
      </c>
      <c r="D211">
        <v>2008</v>
      </c>
      <c r="E211">
        <v>0</v>
      </c>
      <c r="F211" t="s">
        <v>22</v>
      </c>
      <c r="G211">
        <v>66</v>
      </c>
      <c r="H211">
        <v>47747.040000000001</v>
      </c>
      <c r="I211">
        <v>5</v>
      </c>
      <c r="J211">
        <v>53992.98</v>
      </c>
    </row>
    <row r="212" spans="3:10" x14ac:dyDescent="0.25">
      <c r="C212" t="s">
        <v>163</v>
      </c>
      <c r="D212">
        <v>2008</v>
      </c>
      <c r="E212">
        <v>0</v>
      </c>
      <c r="F212" t="s">
        <v>23</v>
      </c>
      <c r="G212">
        <v>56</v>
      </c>
      <c r="H212">
        <v>40512.639999999999</v>
      </c>
      <c r="I212">
        <v>3</v>
      </c>
      <c r="J212">
        <v>35741.160000000003</v>
      </c>
    </row>
    <row r="213" spans="3:10" x14ac:dyDescent="0.25">
      <c r="C213" t="s">
        <v>163</v>
      </c>
      <c r="D213">
        <v>2008</v>
      </c>
      <c r="E213">
        <v>0</v>
      </c>
      <c r="F213" t="s">
        <v>24</v>
      </c>
      <c r="G213">
        <v>44</v>
      </c>
      <c r="H213">
        <v>29959.16</v>
      </c>
      <c r="I213">
        <v>2</v>
      </c>
      <c r="J213">
        <v>21055.1</v>
      </c>
    </row>
    <row r="214" spans="3:10" x14ac:dyDescent="0.25">
      <c r="C214" t="s">
        <v>163</v>
      </c>
      <c r="D214">
        <v>2008</v>
      </c>
      <c r="E214">
        <v>0</v>
      </c>
      <c r="F214" t="s">
        <v>25</v>
      </c>
      <c r="G214">
        <v>48</v>
      </c>
      <c r="H214">
        <v>32682.720000000001</v>
      </c>
      <c r="I214">
        <v>3</v>
      </c>
      <c r="J214">
        <v>32215.88</v>
      </c>
    </row>
    <row r="215" spans="3:10" x14ac:dyDescent="0.25">
      <c r="C215" t="s">
        <v>163</v>
      </c>
      <c r="D215">
        <v>2008</v>
      </c>
      <c r="E215">
        <v>0</v>
      </c>
      <c r="F215" t="s">
        <v>26</v>
      </c>
      <c r="G215">
        <v>19</v>
      </c>
      <c r="H215">
        <v>12936.91</v>
      </c>
      <c r="I215">
        <v>1</v>
      </c>
      <c r="J215">
        <v>11285.5</v>
      </c>
    </row>
    <row r="216" spans="3:10" x14ac:dyDescent="0.25">
      <c r="C216" t="s">
        <v>163</v>
      </c>
      <c r="D216">
        <v>2008</v>
      </c>
      <c r="E216">
        <v>0</v>
      </c>
      <c r="F216" t="s">
        <v>27</v>
      </c>
      <c r="G216">
        <v>25</v>
      </c>
      <c r="H216">
        <v>19150</v>
      </c>
      <c r="I216">
        <v>1</v>
      </c>
      <c r="J216">
        <v>9858.39</v>
      </c>
    </row>
    <row r="217" spans="3:10" x14ac:dyDescent="0.25">
      <c r="C217" t="s">
        <v>163</v>
      </c>
      <c r="D217">
        <v>2008</v>
      </c>
      <c r="E217">
        <v>0</v>
      </c>
      <c r="F217" t="s">
        <v>28</v>
      </c>
      <c r="G217">
        <v>26</v>
      </c>
      <c r="H217">
        <v>19916</v>
      </c>
      <c r="I217">
        <v>1</v>
      </c>
      <c r="J217">
        <v>11620.98</v>
      </c>
    </row>
    <row r="218" spans="3:10" x14ac:dyDescent="0.25">
      <c r="C218" t="s">
        <v>163</v>
      </c>
      <c r="D218">
        <v>2008</v>
      </c>
      <c r="E218">
        <v>0</v>
      </c>
      <c r="F218" t="s">
        <v>29</v>
      </c>
      <c r="G218">
        <v>9</v>
      </c>
      <c r="H218">
        <v>7659.99</v>
      </c>
      <c r="I218">
        <v>0</v>
      </c>
      <c r="J218">
        <v>0</v>
      </c>
    </row>
    <row r="219" spans="3:10" x14ac:dyDescent="0.25">
      <c r="C219" t="s">
        <v>163</v>
      </c>
      <c r="D219">
        <v>2008</v>
      </c>
      <c r="E219">
        <v>0</v>
      </c>
      <c r="F219" t="s">
        <v>30</v>
      </c>
      <c r="G219">
        <v>9</v>
      </c>
      <c r="H219">
        <v>7659.99</v>
      </c>
      <c r="I219">
        <v>0</v>
      </c>
      <c r="J219">
        <v>0</v>
      </c>
    </row>
    <row r="220" spans="3:10" x14ac:dyDescent="0.25">
      <c r="C220" t="s">
        <v>163</v>
      </c>
      <c r="D220">
        <v>2008</v>
      </c>
      <c r="E220">
        <v>100</v>
      </c>
      <c r="F220" t="s">
        <v>1</v>
      </c>
      <c r="G220">
        <v>61</v>
      </c>
      <c r="H220">
        <v>71882.399999999994</v>
      </c>
      <c r="I220">
        <v>6</v>
      </c>
      <c r="J220">
        <v>64014.6</v>
      </c>
    </row>
    <row r="221" spans="3:10" x14ac:dyDescent="0.25">
      <c r="C221" t="s">
        <v>163</v>
      </c>
      <c r="D221">
        <v>2008</v>
      </c>
      <c r="E221">
        <v>100</v>
      </c>
      <c r="F221" t="s">
        <v>2</v>
      </c>
      <c r="G221">
        <v>116</v>
      </c>
      <c r="H221">
        <v>113917.8</v>
      </c>
      <c r="I221">
        <v>9</v>
      </c>
      <c r="J221">
        <v>96446.38</v>
      </c>
    </row>
    <row r="222" spans="3:10" x14ac:dyDescent="0.25">
      <c r="C222" t="s">
        <v>163</v>
      </c>
      <c r="D222">
        <v>2008</v>
      </c>
      <c r="E222">
        <v>100</v>
      </c>
      <c r="F222" t="s">
        <v>3</v>
      </c>
      <c r="G222">
        <v>105</v>
      </c>
      <c r="H222">
        <v>90742.050000000105</v>
      </c>
      <c r="I222">
        <v>8</v>
      </c>
      <c r="J222">
        <v>82939.64</v>
      </c>
    </row>
    <row r="223" spans="3:10" x14ac:dyDescent="0.25">
      <c r="C223" t="s">
        <v>163</v>
      </c>
      <c r="D223">
        <v>2008</v>
      </c>
      <c r="E223">
        <v>100</v>
      </c>
      <c r="F223" t="s">
        <v>4</v>
      </c>
      <c r="G223">
        <v>118</v>
      </c>
      <c r="H223">
        <v>92705.519999999902</v>
      </c>
      <c r="I223">
        <v>8</v>
      </c>
      <c r="J223">
        <v>88449.77</v>
      </c>
    </row>
    <row r="224" spans="3:10" x14ac:dyDescent="0.25">
      <c r="C224" t="s">
        <v>163</v>
      </c>
      <c r="D224">
        <v>2008</v>
      </c>
      <c r="E224">
        <v>100</v>
      </c>
      <c r="F224" t="s">
        <v>5</v>
      </c>
      <c r="G224">
        <v>123</v>
      </c>
      <c r="H224">
        <v>96633.719999999899</v>
      </c>
      <c r="I224">
        <v>6</v>
      </c>
      <c r="J224">
        <v>64328.33</v>
      </c>
    </row>
    <row r="225" spans="3:10" x14ac:dyDescent="0.25">
      <c r="C225" t="s">
        <v>163</v>
      </c>
      <c r="D225">
        <v>2008</v>
      </c>
      <c r="E225">
        <v>100</v>
      </c>
      <c r="F225" t="s">
        <v>6</v>
      </c>
      <c r="G225">
        <v>166</v>
      </c>
      <c r="H225">
        <v>117375.28</v>
      </c>
      <c r="I225">
        <v>10</v>
      </c>
      <c r="J225">
        <v>98441.63</v>
      </c>
    </row>
    <row r="226" spans="3:10" x14ac:dyDescent="0.25">
      <c r="C226" t="s">
        <v>163</v>
      </c>
      <c r="D226">
        <v>2008</v>
      </c>
      <c r="E226">
        <v>100</v>
      </c>
      <c r="F226" t="s">
        <v>7</v>
      </c>
      <c r="G226">
        <v>125</v>
      </c>
      <c r="H226">
        <v>83473.749999999898</v>
      </c>
      <c r="I226">
        <v>7</v>
      </c>
      <c r="J226">
        <v>73854.73</v>
      </c>
    </row>
    <row r="227" spans="3:10" x14ac:dyDescent="0.25">
      <c r="C227" t="s">
        <v>163</v>
      </c>
      <c r="D227">
        <v>2008</v>
      </c>
      <c r="E227">
        <v>100</v>
      </c>
      <c r="F227" t="s">
        <v>8</v>
      </c>
      <c r="G227">
        <v>103</v>
      </c>
      <c r="H227">
        <v>68782.37</v>
      </c>
      <c r="I227">
        <v>2</v>
      </c>
      <c r="J227">
        <v>21117.66</v>
      </c>
    </row>
    <row r="228" spans="3:10" x14ac:dyDescent="0.25">
      <c r="C228" t="s">
        <v>163</v>
      </c>
      <c r="D228">
        <v>2008</v>
      </c>
      <c r="E228">
        <v>100</v>
      </c>
      <c r="F228" t="s">
        <v>9</v>
      </c>
      <c r="G228">
        <v>89</v>
      </c>
      <c r="H228">
        <v>55937.39</v>
      </c>
      <c r="I228">
        <v>7</v>
      </c>
      <c r="J228">
        <v>70721.64</v>
      </c>
    </row>
    <row r="229" spans="3:10" x14ac:dyDescent="0.25">
      <c r="C229" t="s">
        <v>163</v>
      </c>
      <c r="D229">
        <v>2008</v>
      </c>
      <c r="E229">
        <v>100</v>
      </c>
      <c r="F229" t="s">
        <v>10</v>
      </c>
      <c r="G229">
        <v>70</v>
      </c>
      <c r="H229">
        <v>43995.7</v>
      </c>
      <c r="I229">
        <v>4</v>
      </c>
      <c r="J229">
        <v>41673.620000000003</v>
      </c>
    </row>
    <row r="230" spans="3:10" x14ac:dyDescent="0.25">
      <c r="C230" t="s">
        <v>163</v>
      </c>
      <c r="D230">
        <v>2008</v>
      </c>
      <c r="E230">
        <v>100</v>
      </c>
      <c r="F230" t="s">
        <v>11</v>
      </c>
      <c r="G230">
        <v>51</v>
      </c>
      <c r="H230">
        <v>32054.01</v>
      </c>
      <c r="I230">
        <v>2</v>
      </c>
      <c r="J230">
        <v>21066.79</v>
      </c>
    </row>
    <row r="231" spans="3:10" x14ac:dyDescent="0.25">
      <c r="C231" t="s">
        <v>163</v>
      </c>
      <c r="D231">
        <v>2008</v>
      </c>
      <c r="E231">
        <v>100</v>
      </c>
      <c r="F231" t="s">
        <v>12</v>
      </c>
      <c r="G231">
        <v>62</v>
      </c>
      <c r="H231">
        <v>43838.960000000101</v>
      </c>
      <c r="I231">
        <v>3</v>
      </c>
      <c r="J231">
        <v>29316.3</v>
      </c>
    </row>
    <row r="232" spans="3:10" x14ac:dyDescent="0.25">
      <c r="C232" t="s">
        <v>163</v>
      </c>
      <c r="D232">
        <v>2008</v>
      </c>
      <c r="E232">
        <v>100</v>
      </c>
      <c r="F232" t="s">
        <v>13</v>
      </c>
      <c r="G232">
        <v>32</v>
      </c>
      <c r="H232">
        <v>22626.560000000001</v>
      </c>
      <c r="I232">
        <v>2</v>
      </c>
      <c r="J232">
        <v>21787.8</v>
      </c>
    </row>
    <row r="233" spans="3:10" x14ac:dyDescent="0.25">
      <c r="C233" t="s">
        <v>163</v>
      </c>
      <c r="D233">
        <v>2008</v>
      </c>
      <c r="E233">
        <v>100</v>
      </c>
      <c r="F233" t="s">
        <v>14</v>
      </c>
      <c r="G233">
        <v>29</v>
      </c>
      <c r="H233">
        <v>22783.56</v>
      </c>
      <c r="I233">
        <v>1</v>
      </c>
      <c r="J233">
        <v>10335.02</v>
      </c>
    </row>
    <row r="234" spans="3:10" x14ac:dyDescent="0.25">
      <c r="C234" t="s">
        <v>163</v>
      </c>
      <c r="D234">
        <v>2008</v>
      </c>
      <c r="E234">
        <v>100</v>
      </c>
      <c r="F234" t="s">
        <v>15</v>
      </c>
      <c r="G234">
        <v>22</v>
      </c>
      <c r="H234">
        <v>17284.080000000002</v>
      </c>
      <c r="I234">
        <v>1</v>
      </c>
      <c r="J234">
        <v>11829.73</v>
      </c>
    </row>
    <row r="235" spans="3:10" x14ac:dyDescent="0.25">
      <c r="C235" t="s">
        <v>163</v>
      </c>
      <c r="D235">
        <v>2008</v>
      </c>
      <c r="E235">
        <v>100</v>
      </c>
      <c r="F235" t="s">
        <v>16</v>
      </c>
      <c r="G235">
        <v>58</v>
      </c>
      <c r="H235">
        <v>86576.599999999904</v>
      </c>
      <c r="I235">
        <v>8</v>
      </c>
      <c r="J235">
        <v>86915.66</v>
      </c>
    </row>
    <row r="236" spans="3:10" x14ac:dyDescent="0.25">
      <c r="C236" t="s">
        <v>163</v>
      </c>
      <c r="D236">
        <v>2008</v>
      </c>
      <c r="E236">
        <v>100</v>
      </c>
      <c r="F236" t="s">
        <v>17</v>
      </c>
      <c r="G236">
        <v>117</v>
      </c>
      <c r="H236">
        <v>137872.79999999999</v>
      </c>
      <c r="I236">
        <v>14</v>
      </c>
      <c r="J236">
        <v>142141.96</v>
      </c>
    </row>
    <row r="237" spans="3:10" x14ac:dyDescent="0.25">
      <c r="C237" t="s">
        <v>163</v>
      </c>
      <c r="D237">
        <v>2008</v>
      </c>
      <c r="E237">
        <v>100</v>
      </c>
      <c r="F237" t="s">
        <v>18</v>
      </c>
      <c r="G237">
        <v>119</v>
      </c>
      <c r="H237">
        <v>126211.4</v>
      </c>
      <c r="I237">
        <v>10</v>
      </c>
      <c r="J237">
        <v>105558.25</v>
      </c>
    </row>
    <row r="238" spans="3:10" x14ac:dyDescent="0.25">
      <c r="C238" t="s">
        <v>163</v>
      </c>
      <c r="D238">
        <v>2008</v>
      </c>
      <c r="E238">
        <v>100</v>
      </c>
      <c r="F238" t="s">
        <v>19</v>
      </c>
      <c r="G238">
        <v>145</v>
      </c>
      <c r="H238">
        <v>113917.8</v>
      </c>
      <c r="I238">
        <v>9</v>
      </c>
      <c r="J238">
        <v>93495.15</v>
      </c>
    </row>
    <row r="239" spans="3:10" x14ac:dyDescent="0.25">
      <c r="C239" t="s">
        <v>163</v>
      </c>
      <c r="D239">
        <v>2008</v>
      </c>
      <c r="E239">
        <v>100</v>
      </c>
      <c r="F239" t="s">
        <v>20</v>
      </c>
      <c r="G239">
        <v>126</v>
      </c>
      <c r="H239">
        <v>98990.639999999898</v>
      </c>
      <c r="I239">
        <v>6</v>
      </c>
      <c r="J239">
        <v>63436.91</v>
      </c>
    </row>
    <row r="240" spans="3:10" x14ac:dyDescent="0.25">
      <c r="C240" t="s">
        <v>163</v>
      </c>
      <c r="D240">
        <v>2008</v>
      </c>
      <c r="E240">
        <v>100</v>
      </c>
      <c r="F240" t="s">
        <v>21</v>
      </c>
      <c r="G240">
        <v>149</v>
      </c>
      <c r="H240">
        <v>105354.92</v>
      </c>
      <c r="I240">
        <v>5</v>
      </c>
      <c r="J240">
        <v>48566.14</v>
      </c>
    </row>
    <row r="241" spans="3:10" x14ac:dyDescent="0.25">
      <c r="C241" t="s">
        <v>163</v>
      </c>
      <c r="D241">
        <v>2008</v>
      </c>
      <c r="E241">
        <v>100</v>
      </c>
      <c r="F241" t="s">
        <v>22</v>
      </c>
      <c r="G241">
        <v>158</v>
      </c>
      <c r="H241">
        <v>105510.82</v>
      </c>
      <c r="I241">
        <v>7</v>
      </c>
      <c r="J241">
        <v>75437.179999999993</v>
      </c>
    </row>
    <row r="242" spans="3:10" x14ac:dyDescent="0.25">
      <c r="C242" t="s">
        <v>163</v>
      </c>
      <c r="D242">
        <v>2008</v>
      </c>
      <c r="E242">
        <v>100</v>
      </c>
      <c r="F242" t="s">
        <v>23</v>
      </c>
      <c r="G242">
        <v>108</v>
      </c>
      <c r="H242">
        <v>72121.320000000007</v>
      </c>
      <c r="I242">
        <v>5</v>
      </c>
      <c r="J242">
        <v>50385.96</v>
      </c>
    </row>
    <row r="243" spans="3:10" x14ac:dyDescent="0.25">
      <c r="C243" t="s">
        <v>163</v>
      </c>
      <c r="D243">
        <v>2008</v>
      </c>
      <c r="E243">
        <v>100</v>
      </c>
      <c r="F243" t="s">
        <v>24</v>
      </c>
      <c r="G243">
        <v>113</v>
      </c>
      <c r="H243">
        <v>71021.63</v>
      </c>
      <c r="I243">
        <v>2</v>
      </c>
      <c r="J243">
        <v>22676.79</v>
      </c>
    </row>
    <row r="244" spans="3:10" x14ac:dyDescent="0.25">
      <c r="C244" t="s">
        <v>163</v>
      </c>
      <c r="D244">
        <v>2008</v>
      </c>
      <c r="E244">
        <v>100</v>
      </c>
      <c r="F244" t="s">
        <v>25</v>
      </c>
      <c r="G244">
        <v>81</v>
      </c>
      <c r="H244">
        <v>50909.31</v>
      </c>
      <c r="I244">
        <v>3</v>
      </c>
      <c r="J244">
        <v>31836.27</v>
      </c>
    </row>
    <row r="245" spans="3:10" x14ac:dyDescent="0.25">
      <c r="C245" t="s">
        <v>163</v>
      </c>
      <c r="D245">
        <v>2008</v>
      </c>
      <c r="E245">
        <v>100</v>
      </c>
      <c r="F245" t="s">
        <v>26</v>
      </c>
      <c r="G245">
        <v>59</v>
      </c>
      <c r="H245">
        <v>37082.089999999997</v>
      </c>
      <c r="I245">
        <v>1</v>
      </c>
      <c r="J245">
        <v>10273.879999999999</v>
      </c>
    </row>
    <row r="246" spans="3:10" x14ac:dyDescent="0.25">
      <c r="C246" t="s">
        <v>163</v>
      </c>
      <c r="D246">
        <v>2008</v>
      </c>
      <c r="E246">
        <v>100</v>
      </c>
      <c r="F246" t="s">
        <v>27</v>
      </c>
      <c r="G246">
        <v>46</v>
      </c>
      <c r="H246">
        <v>32525.68</v>
      </c>
      <c r="I246">
        <v>3</v>
      </c>
      <c r="J246">
        <v>31485.43</v>
      </c>
    </row>
    <row r="247" spans="3:10" x14ac:dyDescent="0.25">
      <c r="C247" t="s">
        <v>163</v>
      </c>
      <c r="D247">
        <v>2008</v>
      </c>
      <c r="E247">
        <v>100</v>
      </c>
      <c r="F247" t="s">
        <v>28</v>
      </c>
      <c r="G247">
        <v>31</v>
      </c>
      <c r="H247">
        <v>21919.48</v>
      </c>
      <c r="I247">
        <v>1</v>
      </c>
      <c r="J247">
        <v>9727.2900000000009</v>
      </c>
    </row>
    <row r="248" spans="3:10" x14ac:dyDescent="0.25">
      <c r="C248" t="s">
        <v>163</v>
      </c>
      <c r="D248">
        <v>2008</v>
      </c>
      <c r="E248">
        <v>100</v>
      </c>
      <c r="F248" t="s">
        <v>29</v>
      </c>
      <c r="G248">
        <v>20</v>
      </c>
      <c r="H248">
        <v>15712.8</v>
      </c>
      <c r="I248">
        <v>2</v>
      </c>
      <c r="J248">
        <v>16892.84</v>
      </c>
    </row>
    <row r="249" spans="3:10" x14ac:dyDescent="0.25">
      <c r="C249" t="s">
        <v>163</v>
      </c>
      <c r="D249">
        <v>2008</v>
      </c>
      <c r="E249">
        <v>100</v>
      </c>
      <c r="F249" t="s">
        <v>30</v>
      </c>
      <c r="G249">
        <v>16</v>
      </c>
      <c r="H249">
        <v>12570.24</v>
      </c>
      <c r="I249">
        <v>1</v>
      </c>
      <c r="J249">
        <v>11250.37</v>
      </c>
    </row>
    <row r="250" spans="3:10" x14ac:dyDescent="0.25">
      <c r="C250" t="s">
        <v>163</v>
      </c>
      <c r="D250">
        <v>2008</v>
      </c>
      <c r="E250">
        <v>250</v>
      </c>
      <c r="F250" t="s">
        <v>1</v>
      </c>
      <c r="G250">
        <v>116</v>
      </c>
      <c r="H250">
        <v>126567.6</v>
      </c>
      <c r="I250">
        <v>12</v>
      </c>
      <c r="J250">
        <v>115103.36</v>
      </c>
    </row>
    <row r="251" spans="3:10" x14ac:dyDescent="0.25">
      <c r="C251" t="s">
        <v>163</v>
      </c>
      <c r="D251">
        <v>2008</v>
      </c>
      <c r="E251">
        <v>250</v>
      </c>
      <c r="F251" t="s">
        <v>2</v>
      </c>
      <c r="G251">
        <v>205</v>
      </c>
      <c r="H251">
        <v>186408.55</v>
      </c>
      <c r="I251">
        <v>15</v>
      </c>
      <c r="J251">
        <v>143385.63</v>
      </c>
    </row>
    <row r="252" spans="3:10" x14ac:dyDescent="0.25">
      <c r="C252" t="s">
        <v>163</v>
      </c>
      <c r="D252">
        <v>2008</v>
      </c>
      <c r="E252">
        <v>250</v>
      </c>
      <c r="F252" t="s">
        <v>3</v>
      </c>
      <c r="G252">
        <v>198</v>
      </c>
      <c r="H252">
        <v>158437.62</v>
      </c>
      <c r="I252">
        <v>11</v>
      </c>
      <c r="J252">
        <v>105844.05</v>
      </c>
    </row>
    <row r="253" spans="3:10" x14ac:dyDescent="0.25">
      <c r="C253" t="s">
        <v>163</v>
      </c>
      <c r="D253">
        <v>2008</v>
      </c>
      <c r="E253">
        <v>250</v>
      </c>
      <c r="F253" t="s">
        <v>4</v>
      </c>
      <c r="G253">
        <v>198</v>
      </c>
      <c r="H253">
        <v>144035.1</v>
      </c>
      <c r="I253">
        <v>9</v>
      </c>
      <c r="J253">
        <v>84908.72</v>
      </c>
    </row>
    <row r="254" spans="3:10" x14ac:dyDescent="0.25">
      <c r="C254" t="s">
        <v>163</v>
      </c>
      <c r="D254">
        <v>2008</v>
      </c>
      <c r="E254">
        <v>250</v>
      </c>
      <c r="F254" t="s">
        <v>5</v>
      </c>
      <c r="G254">
        <v>230</v>
      </c>
      <c r="H254">
        <v>167313.5</v>
      </c>
      <c r="I254">
        <v>14</v>
      </c>
      <c r="J254">
        <v>132689.46</v>
      </c>
    </row>
    <row r="255" spans="3:10" x14ac:dyDescent="0.25">
      <c r="C255" t="s">
        <v>163</v>
      </c>
      <c r="D255">
        <v>2008</v>
      </c>
      <c r="E255">
        <v>250</v>
      </c>
      <c r="F255" t="s">
        <v>6</v>
      </c>
      <c r="G255">
        <v>246</v>
      </c>
      <c r="H255">
        <v>161056.20000000001</v>
      </c>
      <c r="I255">
        <v>14</v>
      </c>
      <c r="J255">
        <v>131713.32</v>
      </c>
    </row>
    <row r="256" spans="3:10" x14ac:dyDescent="0.25">
      <c r="C256" t="s">
        <v>163</v>
      </c>
      <c r="D256">
        <v>2008</v>
      </c>
      <c r="E256">
        <v>250</v>
      </c>
      <c r="F256" t="s">
        <v>7</v>
      </c>
      <c r="G256">
        <v>235</v>
      </c>
      <c r="H256">
        <v>145307.54999999999</v>
      </c>
      <c r="I256">
        <v>11</v>
      </c>
      <c r="J256">
        <v>105519.91</v>
      </c>
    </row>
    <row r="257" spans="3:10" x14ac:dyDescent="0.25">
      <c r="C257" t="s">
        <v>163</v>
      </c>
      <c r="D257">
        <v>2008</v>
      </c>
      <c r="E257">
        <v>250</v>
      </c>
      <c r="F257" t="s">
        <v>8</v>
      </c>
      <c r="G257">
        <v>231</v>
      </c>
      <c r="H257">
        <v>142834.23000000001</v>
      </c>
      <c r="I257">
        <v>8</v>
      </c>
      <c r="J257">
        <v>82105.31</v>
      </c>
    </row>
    <row r="258" spans="3:10" x14ac:dyDescent="0.25">
      <c r="C258" t="s">
        <v>163</v>
      </c>
      <c r="D258">
        <v>2008</v>
      </c>
      <c r="E258">
        <v>250</v>
      </c>
      <c r="F258" t="s">
        <v>9</v>
      </c>
      <c r="G258">
        <v>179</v>
      </c>
      <c r="H258">
        <v>104170.84</v>
      </c>
      <c r="I258">
        <v>4</v>
      </c>
      <c r="J258">
        <v>39037.980000000003</v>
      </c>
    </row>
    <row r="259" spans="3:10" x14ac:dyDescent="0.25">
      <c r="C259" t="s">
        <v>163</v>
      </c>
      <c r="D259">
        <v>2008</v>
      </c>
      <c r="E259">
        <v>250</v>
      </c>
      <c r="F259" t="s">
        <v>10</v>
      </c>
      <c r="G259">
        <v>144</v>
      </c>
      <c r="H259">
        <v>83802.240000000107</v>
      </c>
      <c r="I259">
        <v>5</v>
      </c>
      <c r="J259">
        <v>39634.81</v>
      </c>
    </row>
    <row r="260" spans="3:10" x14ac:dyDescent="0.25">
      <c r="C260" t="s">
        <v>163</v>
      </c>
      <c r="D260">
        <v>2008</v>
      </c>
      <c r="E260">
        <v>250</v>
      </c>
      <c r="F260" t="s">
        <v>11</v>
      </c>
      <c r="G260">
        <v>90</v>
      </c>
      <c r="H260">
        <v>52376.3999999999</v>
      </c>
      <c r="I260">
        <v>3</v>
      </c>
      <c r="J260">
        <v>28163.15</v>
      </c>
    </row>
    <row r="261" spans="3:10" x14ac:dyDescent="0.25">
      <c r="C261" t="s">
        <v>163</v>
      </c>
      <c r="D261">
        <v>2008</v>
      </c>
      <c r="E261">
        <v>250</v>
      </c>
      <c r="F261" t="s">
        <v>12</v>
      </c>
      <c r="G261">
        <v>109</v>
      </c>
      <c r="H261">
        <v>71362.299999999901</v>
      </c>
      <c r="I261">
        <v>4</v>
      </c>
      <c r="J261">
        <v>39431.279999999999</v>
      </c>
    </row>
    <row r="262" spans="3:10" x14ac:dyDescent="0.25">
      <c r="C262" t="s">
        <v>163</v>
      </c>
      <c r="D262">
        <v>2008</v>
      </c>
      <c r="E262">
        <v>250</v>
      </c>
      <c r="F262" t="s">
        <v>13</v>
      </c>
      <c r="G262">
        <v>69</v>
      </c>
      <c r="H262">
        <v>45174.3</v>
      </c>
      <c r="I262">
        <v>3</v>
      </c>
      <c r="J262">
        <v>29389.55</v>
      </c>
    </row>
    <row r="263" spans="3:10" x14ac:dyDescent="0.25">
      <c r="C263" t="s">
        <v>163</v>
      </c>
      <c r="D263">
        <v>2008</v>
      </c>
      <c r="E263">
        <v>250</v>
      </c>
      <c r="F263" t="s">
        <v>14</v>
      </c>
      <c r="G263">
        <v>59</v>
      </c>
      <c r="H263">
        <v>42919.55</v>
      </c>
      <c r="I263">
        <v>3</v>
      </c>
      <c r="J263">
        <v>28609.19</v>
      </c>
    </row>
    <row r="264" spans="3:10" x14ac:dyDescent="0.25">
      <c r="C264" t="s">
        <v>163</v>
      </c>
      <c r="D264">
        <v>2008</v>
      </c>
      <c r="E264">
        <v>250</v>
      </c>
      <c r="F264" t="s">
        <v>15</v>
      </c>
      <c r="G264">
        <v>33</v>
      </c>
      <c r="H264">
        <v>24005.85</v>
      </c>
      <c r="I264">
        <v>3</v>
      </c>
      <c r="J264">
        <v>30727.43</v>
      </c>
    </row>
    <row r="265" spans="3:10" x14ac:dyDescent="0.25">
      <c r="C265" t="s">
        <v>163</v>
      </c>
      <c r="D265">
        <v>2008</v>
      </c>
      <c r="E265">
        <v>250</v>
      </c>
      <c r="F265" t="s">
        <v>16</v>
      </c>
      <c r="G265">
        <v>102</v>
      </c>
      <c r="H265">
        <v>140974.20000000001</v>
      </c>
      <c r="I265">
        <v>16</v>
      </c>
      <c r="J265">
        <v>152210.85</v>
      </c>
    </row>
    <row r="266" spans="3:10" x14ac:dyDescent="0.25">
      <c r="C266" t="s">
        <v>163</v>
      </c>
      <c r="D266">
        <v>2008</v>
      </c>
      <c r="E266">
        <v>250</v>
      </c>
      <c r="F266" t="s">
        <v>17</v>
      </c>
      <c r="G266">
        <v>200</v>
      </c>
      <c r="H266">
        <v>218220.00000000099</v>
      </c>
      <c r="I266">
        <v>25</v>
      </c>
      <c r="J266">
        <v>232375.3</v>
      </c>
    </row>
    <row r="267" spans="3:10" x14ac:dyDescent="0.25">
      <c r="C267" t="s">
        <v>163</v>
      </c>
      <c r="D267">
        <v>2008</v>
      </c>
      <c r="E267">
        <v>250</v>
      </c>
      <c r="F267" t="s">
        <v>18</v>
      </c>
      <c r="G267">
        <v>191</v>
      </c>
      <c r="H267">
        <v>187571.55</v>
      </c>
      <c r="I267">
        <v>16</v>
      </c>
      <c r="J267">
        <v>152456.32000000001</v>
      </c>
    </row>
    <row r="268" spans="3:10" x14ac:dyDescent="0.25">
      <c r="C268" t="s">
        <v>163</v>
      </c>
      <c r="D268">
        <v>2008</v>
      </c>
      <c r="E268">
        <v>250</v>
      </c>
      <c r="F268" t="s">
        <v>19</v>
      </c>
      <c r="G268">
        <v>220</v>
      </c>
      <c r="H268">
        <v>160039</v>
      </c>
      <c r="I268">
        <v>18</v>
      </c>
      <c r="J268">
        <v>177676.89</v>
      </c>
    </row>
    <row r="269" spans="3:10" x14ac:dyDescent="0.25">
      <c r="C269" t="s">
        <v>163</v>
      </c>
      <c r="D269">
        <v>2008</v>
      </c>
      <c r="E269">
        <v>250</v>
      </c>
      <c r="F269" t="s">
        <v>20</v>
      </c>
      <c r="G269">
        <v>263</v>
      </c>
      <c r="H269">
        <v>191319.350000001</v>
      </c>
      <c r="I269">
        <v>16</v>
      </c>
      <c r="J269">
        <v>152432.07999999999</v>
      </c>
    </row>
    <row r="270" spans="3:10" x14ac:dyDescent="0.25">
      <c r="C270" t="s">
        <v>163</v>
      </c>
      <c r="D270">
        <v>2008</v>
      </c>
      <c r="E270">
        <v>250</v>
      </c>
      <c r="F270" t="s">
        <v>21</v>
      </c>
      <c r="G270">
        <v>258</v>
      </c>
      <c r="H270">
        <v>168912.6</v>
      </c>
      <c r="I270">
        <v>16</v>
      </c>
      <c r="J270">
        <v>148504.93</v>
      </c>
    </row>
    <row r="271" spans="3:10" x14ac:dyDescent="0.25">
      <c r="C271" t="s">
        <v>163</v>
      </c>
      <c r="D271">
        <v>2008</v>
      </c>
      <c r="E271">
        <v>250</v>
      </c>
      <c r="F271" t="s">
        <v>22</v>
      </c>
      <c r="G271">
        <v>279</v>
      </c>
      <c r="H271">
        <v>172514.06999999899</v>
      </c>
      <c r="I271">
        <v>18</v>
      </c>
      <c r="J271">
        <v>171707.6</v>
      </c>
    </row>
    <row r="272" spans="3:10" x14ac:dyDescent="0.25">
      <c r="C272" t="s">
        <v>163</v>
      </c>
      <c r="D272">
        <v>2008</v>
      </c>
      <c r="E272">
        <v>250</v>
      </c>
      <c r="F272" t="s">
        <v>23</v>
      </c>
      <c r="G272">
        <v>227</v>
      </c>
      <c r="H272">
        <v>140360.91</v>
      </c>
      <c r="I272">
        <v>12</v>
      </c>
      <c r="J272">
        <v>110179.17</v>
      </c>
    </row>
    <row r="273" spans="3:10" x14ac:dyDescent="0.25">
      <c r="C273" t="s">
        <v>163</v>
      </c>
      <c r="D273">
        <v>2008</v>
      </c>
      <c r="E273">
        <v>250</v>
      </c>
      <c r="F273" t="s">
        <v>24</v>
      </c>
      <c r="G273">
        <v>196</v>
      </c>
      <c r="H273">
        <v>114064.16</v>
      </c>
      <c r="I273">
        <v>9</v>
      </c>
      <c r="J273">
        <v>82928.66</v>
      </c>
    </row>
    <row r="274" spans="3:10" x14ac:dyDescent="0.25">
      <c r="C274" t="s">
        <v>163</v>
      </c>
      <c r="D274">
        <v>2008</v>
      </c>
      <c r="E274">
        <v>250</v>
      </c>
      <c r="F274" t="s">
        <v>25</v>
      </c>
      <c r="G274">
        <v>139</v>
      </c>
      <c r="H274">
        <v>80892.440000000104</v>
      </c>
      <c r="I274">
        <v>5</v>
      </c>
      <c r="J274">
        <v>47841.47</v>
      </c>
    </row>
    <row r="275" spans="3:10" x14ac:dyDescent="0.25">
      <c r="C275" t="s">
        <v>163</v>
      </c>
      <c r="D275">
        <v>2008</v>
      </c>
      <c r="E275">
        <v>250</v>
      </c>
      <c r="F275" t="s">
        <v>26</v>
      </c>
      <c r="G275">
        <v>99</v>
      </c>
      <c r="H275">
        <v>57614.039999999899</v>
      </c>
      <c r="I275">
        <v>4</v>
      </c>
      <c r="J275">
        <v>36923.449999999997</v>
      </c>
    </row>
    <row r="276" spans="3:10" x14ac:dyDescent="0.25">
      <c r="C276" t="s">
        <v>163</v>
      </c>
      <c r="D276">
        <v>2008</v>
      </c>
      <c r="E276">
        <v>250</v>
      </c>
      <c r="F276" t="s">
        <v>27</v>
      </c>
      <c r="G276">
        <v>81</v>
      </c>
      <c r="H276">
        <v>53030.699999999903</v>
      </c>
      <c r="I276">
        <v>1</v>
      </c>
      <c r="J276">
        <v>8205.77</v>
      </c>
    </row>
    <row r="277" spans="3:10" x14ac:dyDescent="0.25">
      <c r="C277" t="s">
        <v>163</v>
      </c>
      <c r="D277">
        <v>2008</v>
      </c>
      <c r="E277">
        <v>250</v>
      </c>
      <c r="F277" t="s">
        <v>28</v>
      </c>
      <c r="G277">
        <v>61</v>
      </c>
      <c r="H277">
        <v>39936.699999999997</v>
      </c>
      <c r="I277">
        <v>3</v>
      </c>
      <c r="J277">
        <v>28275.23</v>
      </c>
    </row>
    <row r="278" spans="3:10" x14ac:dyDescent="0.25">
      <c r="C278" t="s">
        <v>163</v>
      </c>
      <c r="D278">
        <v>2008</v>
      </c>
      <c r="E278">
        <v>250</v>
      </c>
      <c r="F278" t="s">
        <v>29</v>
      </c>
      <c r="G278">
        <v>35</v>
      </c>
      <c r="H278">
        <v>25460.75</v>
      </c>
      <c r="I278">
        <v>2</v>
      </c>
      <c r="J278">
        <v>21086.31</v>
      </c>
    </row>
    <row r="279" spans="3:10" x14ac:dyDescent="0.25">
      <c r="C279" t="s">
        <v>163</v>
      </c>
      <c r="D279">
        <v>2008</v>
      </c>
      <c r="E279">
        <v>250</v>
      </c>
      <c r="F279" t="s">
        <v>30</v>
      </c>
      <c r="G279">
        <v>24</v>
      </c>
      <c r="H279">
        <v>17458.8</v>
      </c>
      <c r="I279">
        <v>1</v>
      </c>
      <c r="J279">
        <v>8268.86</v>
      </c>
    </row>
    <row r="280" spans="3:10" x14ac:dyDescent="0.25">
      <c r="C280" t="s">
        <v>163</v>
      </c>
      <c r="D280">
        <v>2008</v>
      </c>
      <c r="E280">
        <v>500</v>
      </c>
      <c r="F280" t="s">
        <v>1</v>
      </c>
      <c r="G280">
        <v>68</v>
      </c>
      <c r="H280">
        <v>71230</v>
      </c>
      <c r="I280">
        <v>7</v>
      </c>
      <c r="J280">
        <v>60127.63</v>
      </c>
    </row>
    <row r="281" spans="3:10" x14ac:dyDescent="0.25">
      <c r="C281" t="s">
        <v>163</v>
      </c>
      <c r="D281">
        <v>2008</v>
      </c>
      <c r="E281">
        <v>500</v>
      </c>
      <c r="F281" t="s">
        <v>2</v>
      </c>
      <c r="G281">
        <v>100</v>
      </c>
      <c r="H281">
        <v>87292.999999999796</v>
      </c>
      <c r="I281">
        <v>7</v>
      </c>
      <c r="J281">
        <v>59989.72</v>
      </c>
    </row>
    <row r="282" spans="3:10" x14ac:dyDescent="0.25">
      <c r="C282" t="s">
        <v>163</v>
      </c>
      <c r="D282">
        <v>2008</v>
      </c>
      <c r="E282">
        <v>500</v>
      </c>
      <c r="F282" t="s">
        <v>3</v>
      </c>
      <c r="G282">
        <v>113</v>
      </c>
      <c r="H282">
        <v>86804.339999999793</v>
      </c>
      <c r="I282">
        <v>8</v>
      </c>
      <c r="J282">
        <v>69351.899999999994</v>
      </c>
    </row>
    <row r="283" spans="3:10" x14ac:dyDescent="0.25">
      <c r="C283" t="s">
        <v>163</v>
      </c>
      <c r="D283">
        <v>2008</v>
      </c>
      <c r="E283">
        <v>500</v>
      </c>
      <c r="F283" t="s">
        <v>4</v>
      </c>
      <c r="G283">
        <v>104</v>
      </c>
      <c r="H283">
        <v>72628.399999999994</v>
      </c>
      <c r="I283">
        <v>3</v>
      </c>
      <c r="J283">
        <v>25971.51</v>
      </c>
    </row>
    <row r="284" spans="3:10" x14ac:dyDescent="0.25">
      <c r="C284" t="s">
        <v>163</v>
      </c>
      <c r="D284">
        <v>2008</v>
      </c>
      <c r="E284">
        <v>500</v>
      </c>
      <c r="F284" t="s">
        <v>5</v>
      </c>
      <c r="G284">
        <v>128</v>
      </c>
      <c r="H284">
        <v>89388.800000000105</v>
      </c>
      <c r="I284">
        <v>9</v>
      </c>
      <c r="J284">
        <v>83496.62</v>
      </c>
    </row>
    <row r="285" spans="3:10" x14ac:dyDescent="0.25">
      <c r="C285" t="s">
        <v>163</v>
      </c>
      <c r="D285">
        <v>2008</v>
      </c>
      <c r="E285">
        <v>500</v>
      </c>
      <c r="F285" t="s">
        <v>6</v>
      </c>
      <c r="G285">
        <v>127</v>
      </c>
      <c r="H285">
        <v>79820.769999999902</v>
      </c>
      <c r="I285">
        <v>6</v>
      </c>
      <c r="J285">
        <v>52295.78</v>
      </c>
    </row>
    <row r="286" spans="3:10" x14ac:dyDescent="0.25">
      <c r="C286" t="s">
        <v>163</v>
      </c>
      <c r="D286">
        <v>2008</v>
      </c>
      <c r="E286">
        <v>500</v>
      </c>
      <c r="F286" t="s">
        <v>7</v>
      </c>
      <c r="G286">
        <v>134</v>
      </c>
      <c r="H286">
        <v>79542.399999999994</v>
      </c>
      <c r="I286">
        <v>5</v>
      </c>
      <c r="J286">
        <v>43754.78</v>
      </c>
    </row>
    <row r="287" spans="3:10" x14ac:dyDescent="0.25">
      <c r="C287" t="s">
        <v>163</v>
      </c>
      <c r="D287">
        <v>2008</v>
      </c>
      <c r="E287">
        <v>500</v>
      </c>
      <c r="F287" t="s">
        <v>8</v>
      </c>
      <c r="G287">
        <v>107</v>
      </c>
      <c r="H287">
        <v>63515.199999999903</v>
      </c>
      <c r="I287">
        <v>7</v>
      </c>
      <c r="J287">
        <v>64482.3</v>
      </c>
    </row>
    <row r="288" spans="3:10" x14ac:dyDescent="0.25">
      <c r="C288" t="s">
        <v>163</v>
      </c>
      <c r="D288">
        <v>2008</v>
      </c>
      <c r="E288">
        <v>500</v>
      </c>
      <c r="F288" t="s">
        <v>9</v>
      </c>
      <c r="G288">
        <v>94</v>
      </c>
      <c r="H288">
        <v>52515.92</v>
      </c>
      <c r="I288">
        <v>3</v>
      </c>
      <c r="J288">
        <v>25229.14</v>
      </c>
    </row>
    <row r="289" spans="3:10" x14ac:dyDescent="0.25">
      <c r="C289" t="s">
        <v>163</v>
      </c>
      <c r="D289">
        <v>2008</v>
      </c>
      <c r="E289">
        <v>500</v>
      </c>
      <c r="F289" t="s">
        <v>10</v>
      </c>
      <c r="G289">
        <v>85</v>
      </c>
      <c r="H289">
        <v>47487.8</v>
      </c>
      <c r="I289">
        <v>3</v>
      </c>
      <c r="J289">
        <v>23301.63</v>
      </c>
    </row>
    <row r="290" spans="3:10" x14ac:dyDescent="0.25">
      <c r="C290" t="s">
        <v>163</v>
      </c>
      <c r="D290">
        <v>2008</v>
      </c>
      <c r="E290">
        <v>500</v>
      </c>
      <c r="F290" t="s">
        <v>11</v>
      </c>
      <c r="G290">
        <v>53</v>
      </c>
      <c r="H290">
        <v>29610.04</v>
      </c>
      <c r="I290">
        <v>4</v>
      </c>
      <c r="J290">
        <v>33679.03</v>
      </c>
    </row>
    <row r="291" spans="3:10" x14ac:dyDescent="0.25">
      <c r="C291" t="s">
        <v>163</v>
      </c>
      <c r="D291">
        <v>2008</v>
      </c>
      <c r="E291">
        <v>500</v>
      </c>
      <c r="F291" t="s">
        <v>12</v>
      </c>
      <c r="G291">
        <v>42</v>
      </c>
      <c r="H291">
        <v>26397.42</v>
      </c>
      <c r="I291">
        <v>2</v>
      </c>
      <c r="J291">
        <v>16772.060000000001</v>
      </c>
    </row>
    <row r="292" spans="3:10" x14ac:dyDescent="0.25">
      <c r="C292" t="s">
        <v>163</v>
      </c>
      <c r="D292">
        <v>2008</v>
      </c>
      <c r="E292">
        <v>500</v>
      </c>
      <c r="F292" t="s">
        <v>13</v>
      </c>
      <c r="G292">
        <v>39</v>
      </c>
      <c r="H292">
        <v>24511.89</v>
      </c>
      <c r="I292">
        <v>3</v>
      </c>
      <c r="J292">
        <v>27079.32</v>
      </c>
    </row>
    <row r="293" spans="3:10" x14ac:dyDescent="0.25">
      <c r="C293" t="s">
        <v>163</v>
      </c>
      <c r="D293">
        <v>2008</v>
      </c>
      <c r="E293">
        <v>500</v>
      </c>
      <c r="F293" t="s">
        <v>14</v>
      </c>
      <c r="G293">
        <v>28</v>
      </c>
      <c r="H293">
        <v>19553.8</v>
      </c>
      <c r="I293">
        <v>2</v>
      </c>
      <c r="J293">
        <v>17268.61</v>
      </c>
    </row>
    <row r="294" spans="3:10" x14ac:dyDescent="0.25">
      <c r="C294" t="s">
        <v>163</v>
      </c>
      <c r="D294">
        <v>2008</v>
      </c>
      <c r="E294">
        <v>500</v>
      </c>
      <c r="F294" t="s">
        <v>15</v>
      </c>
      <c r="G294">
        <v>21</v>
      </c>
      <c r="H294">
        <v>14665.35</v>
      </c>
      <c r="I294">
        <v>0</v>
      </c>
      <c r="J294">
        <v>0</v>
      </c>
    </row>
    <row r="295" spans="3:10" x14ac:dyDescent="0.25">
      <c r="C295" t="s">
        <v>163</v>
      </c>
      <c r="D295">
        <v>2008</v>
      </c>
      <c r="E295">
        <v>500</v>
      </c>
      <c r="F295" t="s">
        <v>16</v>
      </c>
      <c r="G295">
        <v>56</v>
      </c>
      <c r="H295">
        <v>74300.800000000105</v>
      </c>
      <c r="I295">
        <v>5</v>
      </c>
      <c r="J295">
        <v>42587.33</v>
      </c>
    </row>
    <row r="296" spans="3:10" x14ac:dyDescent="0.25">
      <c r="C296" t="s">
        <v>163</v>
      </c>
      <c r="D296">
        <v>2008</v>
      </c>
      <c r="E296">
        <v>500</v>
      </c>
      <c r="F296" t="s">
        <v>17</v>
      </c>
      <c r="G296">
        <v>103</v>
      </c>
      <c r="H296">
        <v>107892.5</v>
      </c>
      <c r="I296">
        <v>10</v>
      </c>
      <c r="J296">
        <v>92094.54</v>
      </c>
    </row>
    <row r="297" spans="3:10" x14ac:dyDescent="0.25">
      <c r="C297" t="s">
        <v>163</v>
      </c>
      <c r="D297">
        <v>2008</v>
      </c>
      <c r="E297">
        <v>500</v>
      </c>
      <c r="F297" t="s">
        <v>18</v>
      </c>
      <c r="G297">
        <v>119</v>
      </c>
      <c r="H297">
        <v>112189.63</v>
      </c>
      <c r="I297">
        <v>11</v>
      </c>
      <c r="J297">
        <v>99104.44</v>
      </c>
    </row>
    <row r="298" spans="3:10" x14ac:dyDescent="0.25">
      <c r="C298" t="s">
        <v>163</v>
      </c>
      <c r="D298">
        <v>2008</v>
      </c>
      <c r="E298">
        <v>500</v>
      </c>
      <c r="F298" t="s">
        <v>19</v>
      </c>
      <c r="G298">
        <v>110</v>
      </c>
      <c r="H298">
        <v>76818.5</v>
      </c>
      <c r="I298">
        <v>8</v>
      </c>
      <c r="J298">
        <v>69767.22</v>
      </c>
    </row>
    <row r="299" spans="3:10" x14ac:dyDescent="0.25">
      <c r="C299" t="s">
        <v>163</v>
      </c>
      <c r="D299">
        <v>2008</v>
      </c>
      <c r="E299">
        <v>500</v>
      </c>
      <c r="F299" t="s">
        <v>20</v>
      </c>
      <c r="G299">
        <v>126</v>
      </c>
      <c r="H299">
        <v>87992.100000000093</v>
      </c>
      <c r="I299">
        <v>5</v>
      </c>
      <c r="J299">
        <v>48386.89</v>
      </c>
    </row>
    <row r="300" spans="3:10" x14ac:dyDescent="0.25">
      <c r="C300" t="s">
        <v>163</v>
      </c>
      <c r="D300">
        <v>2008</v>
      </c>
      <c r="E300">
        <v>500</v>
      </c>
      <c r="F300" t="s">
        <v>21</v>
      </c>
      <c r="G300">
        <v>125</v>
      </c>
      <c r="H300">
        <v>78563.75</v>
      </c>
      <c r="I300">
        <v>9</v>
      </c>
      <c r="J300">
        <v>80001.289999999994</v>
      </c>
    </row>
    <row r="301" spans="3:10" x14ac:dyDescent="0.25">
      <c r="C301" t="s">
        <v>163</v>
      </c>
      <c r="D301">
        <v>2008</v>
      </c>
      <c r="E301">
        <v>500</v>
      </c>
      <c r="F301" t="s">
        <v>22</v>
      </c>
      <c r="G301">
        <v>125</v>
      </c>
      <c r="H301">
        <v>74200</v>
      </c>
      <c r="I301">
        <v>7</v>
      </c>
      <c r="J301">
        <v>64668.6</v>
      </c>
    </row>
    <row r="302" spans="3:10" x14ac:dyDescent="0.25">
      <c r="C302" t="s">
        <v>163</v>
      </c>
      <c r="D302">
        <v>2008</v>
      </c>
      <c r="E302">
        <v>500</v>
      </c>
      <c r="F302" t="s">
        <v>23</v>
      </c>
      <c r="G302">
        <v>127</v>
      </c>
      <c r="H302">
        <v>75387.199999999997</v>
      </c>
      <c r="I302">
        <v>2</v>
      </c>
      <c r="J302">
        <v>19438.05</v>
      </c>
    </row>
    <row r="303" spans="3:10" x14ac:dyDescent="0.25">
      <c r="C303" t="s">
        <v>163</v>
      </c>
      <c r="D303">
        <v>2008</v>
      </c>
      <c r="E303">
        <v>500</v>
      </c>
      <c r="F303" t="s">
        <v>24</v>
      </c>
      <c r="G303">
        <v>89</v>
      </c>
      <c r="H303">
        <v>49722.52</v>
      </c>
      <c r="I303">
        <v>0</v>
      </c>
      <c r="J303">
        <v>0</v>
      </c>
    </row>
    <row r="304" spans="3:10" x14ac:dyDescent="0.25">
      <c r="C304" t="s">
        <v>163</v>
      </c>
      <c r="D304">
        <v>2008</v>
      </c>
      <c r="E304">
        <v>500</v>
      </c>
      <c r="F304" t="s">
        <v>25</v>
      </c>
      <c r="G304">
        <v>66</v>
      </c>
      <c r="H304">
        <v>36872.879999999997</v>
      </c>
      <c r="I304">
        <v>4</v>
      </c>
      <c r="J304">
        <v>37522.07</v>
      </c>
    </row>
    <row r="305" spans="3:10" x14ac:dyDescent="0.25">
      <c r="C305" t="s">
        <v>163</v>
      </c>
      <c r="D305">
        <v>2008</v>
      </c>
      <c r="E305">
        <v>500</v>
      </c>
      <c r="F305" t="s">
        <v>26</v>
      </c>
      <c r="G305">
        <v>61</v>
      </c>
      <c r="H305">
        <v>34079.480000000003</v>
      </c>
      <c r="I305">
        <v>2</v>
      </c>
      <c r="J305">
        <v>14926.52</v>
      </c>
    </row>
    <row r="306" spans="3:10" x14ac:dyDescent="0.25">
      <c r="C306" t="s">
        <v>163</v>
      </c>
      <c r="D306">
        <v>2008</v>
      </c>
      <c r="E306">
        <v>500</v>
      </c>
      <c r="F306" t="s">
        <v>27</v>
      </c>
      <c r="G306">
        <v>35</v>
      </c>
      <c r="H306">
        <v>21997.85</v>
      </c>
      <c r="I306">
        <v>0</v>
      </c>
      <c r="J306">
        <v>0</v>
      </c>
    </row>
    <row r="307" spans="3:10" x14ac:dyDescent="0.25">
      <c r="C307" t="s">
        <v>163</v>
      </c>
      <c r="D307">
        <v>2008</v>
      </c>
      <c r="E307">
        <v>500</v>
      </c>
      <c r="F307" t="s">
        <v>28</v>
      </c>
      <c r="G307">
        <v>32</v>
      </c>
      <c r="H307">
        <v>20112.32</v>
      </c>
      <c r="I307">
        <v>4</v>
      </c>
      <c r="J307">
        <v>34813.370000000003</v>
      </c>
    </row>
    <row r="308" spans="3:10" x14ac:dyDescent="0.25">
      <c r="C308" t="s">
        <v>163</v>
      </c>
      <c r="D308">
        <v>2008</v>
      </c>
      <c r="E308">
        <v>500</v>
      </c>
      <c r="F308" t="s">
        <v>29</v>
      </c>
      <c r="G308">
        <v>35</v>
      </c>
      <c r="H308">
        <v>24442.25</v>
      </c>
      <c r="I308">
        <v>3</v>
      </c>
      <c r="J308">
        <v>24478.880000000001</v>
      </c>
    </row>
    <row r="309" spans="3:10" x14ac:dyDescent="0.25">
      <c r="C309" t="s">
        <v>163</v>
      </c>
      <c r="D309">
        <v>2008</v>
      </c>
      <c r="E309">
        <v>500</v>
      </c>
      <c r="F309" t="s">
        <v>30</v>
      </c>
      <c r="G309">
        <v>14</v>
      </c>
      <c r="H309">
        <v>9776.9</v>
      </c>
      <c r="I309">
        <v>1</v>
      </c>
      <c r="J309">
        <v>9341</v>
      </c>
    </row>
    <row r="310" spans="3:10" x14ac:dyDescent="0.25">
      <c r="C310" t="s">
        <v>163</v>
      </c>
      <c r="D310">
        <v>2008</v>
      </c>
      <c r="E310">
        <v>1000</v>
      </c>
      <c r="F310" t="s">
        <v>1</v>
      </c>
      <c r="G310">
        <v>38</v>
      </c>
      <c r="H310">
        <v>36488.74</v>
      </c>
      <c r="I310">
        <v>4</v>
      </c>
      <c r="J310">
        <v>30497.86</v>
      </c>
    </row>
    <row r="311" spans="3:10" x14ac:dyDescent="0.25">
      <c r="C311" t="s">
        <v>163</v>
      </c>
      <c r="D311">
        <v>2008</v>
      </c>
      <c r="E311">
        <v>1000</v>
      </c>
      <c r="F311" t="s">
        <v>2</v>
      </c>
      <c r="G311">
        <v>51</v>
      </c>
      <c r="H311">
        <v>40809.69</v>
      </c>
      <c r="I311">
        <v>4</v>
      </c>
      <c r="J311">
        <v>32260.02</v>
      </c>
    </row>
    <row r="312" spans="3:10" x14ac:dyDescent="0.25">
      <c r="C312" t="s">
        <v>163</v>
      </c>
      <c r="D312">
        <v>2008</v>
      </c>
      <c r="E312">
        <v>1000</v>
      </c>
      <c r="F312" t="s">
        <v>3</v>
      </c>
      <c r="G312">
        <v>60</v>
      </c>
      <c r="H312">
        <v>42250.199999999903</v>
      </c>
      <c r="I312">
        <v>4</v>
      </c>
      <c r="J312">
        <v>33401.449999999997</v>
      </c>
    </row>
    <row r="313" spans="3:10" x14ac:dyDescent="0.25">
      <c r="C313" t="s">
        <v>163</v>
      </c>
      <c r="D313">
        <v>2008</v>
      </c>
      <c r="E313">
        <v>1000</v>
      </c>
      <c r="F313" t="s">
        <v>4</v>
      </c>
      <c r="G313">
        <v>54</v>
      </c>
      <c r="H313">
        <v>34568.1</v>
      </c>
      <c r="I313">
        <v>1</v>
      </c>
      <c r="J313">
        <v>8779.77</v>
      </c>
    </row>
    <row r="314" spans="3:10" x14ac:dyDescent="0.25">
      <c r="C314" t="s">
        <v>163</v>
      </c>
      <c r="D314">
        <v>2008</v>
      </c>
      <c r="E314">
        <v>1000</v>
      </c>
      <c r="F314" t="s">
        <v>5</v>
      </c>
      <c r="G314">
        <v>68</v>
      </c>
      <c r="H314">
        <v>43530.200000000099</v>
      </c>
      <c r="I314">
        <v>2</v>
      </c>
      <c r="J314">
        <v>15351.63</v>
      </c>
    </row>
    <row r="315" spans="3:10" x14ac:dyDescent="0.25">
      <c r="C315" t="s">
        <v>163</v>
      </c>
      <c r="D315">
        <v>2008</v>
      </c>
      <c r="E315">
        <v>1000</v>
      </c>
      <c r="F315" t="s">
        <v>6</v>
      </c>
      <c r="G315">
        <v>72</v>
      </c>
      <c r="H315">
        <v>41482.080000000002</v>
      </c>
      <c r="I315">
        <v>1</v>
      </c>
      <c r="J315">
        <v>8856.02</v>
      </c>
    </row>
    <row r="316" spans="3:10" x14ac:dyDescent="0.25">
      <c r="C316" t="s">
        <v>163</v>
      </c>
      <c r="D316">
        <v>2008</v>
      </c>
      <c r="E316">
        <v>1000</v>
      </c>
      <c r="F316" t="s">
        <v>7</v>
      </c>
      <c r="G316">
        <v>71</v>
      </c>
      <c r="H316">
        <v>38633.230000000003</v>
      </c>
      <c r="I316">
        <v>3</v>
      </c>
      <c r="J316">
        <v>24680.66</v>
      </c>
    </row>
    <row r="317" spans="3:10" x14ac:dyDescent="0.25">
      <c r="C317" t="s">
        <v>163</v>
      </c>
      <c r="D317">
        <v>2008</v>
      </c>
      <c r="E317">
        <v>1000</v>
      </c>
      <c r="F317" t="s">
        <v>8</v>
      </c>
      <c r="G317">
        <v>58</v>
      </c>
      <c r="H317">
        <v>31559.54</v>
      </c>
      <c r="I317">
        <v>3</v>
      </c>
      <c r="J317">
        <v>23716.560000000001</v>
      </c>
    </row>
    <row r="318" spans="3:10" x14ac:dyDescent="0.25">
      <c r="C318" t="s">
        <v>163</v>
      </c>
      <c r="D318">
        <v>2008</v>
      </c>
      <c r="E318">
        <v>1000</v>
      </c>
      <c r="F318" t="s">
        <v>9</v>
      </c>
      <c r="G318">
        <v>48</v>
      </c>
      <c r="H318">
        <v>24581.759999999998</v>
      </c>
      <c r="I318">
        <v>2</v>
      </c>
      <c r="J318">
        <v>15317.37</v>
      </c>
    </row>
    <row r="319" spans="3:10" x14ac:dyDescent="0.25">
      <c r="C319" t="s">
        <v>163</v>
      </c>
      <c r="D319">
        <v>2008</v>
      </c>
      <c r="E319">
        <v>1000</v>
      </c>
      <c r="F319" t="s">
        <v>10</v>
      </c>
      <c r="G319">
        <v>37</v>
      </c>
      <c r="H319">
        <v>18948.439999999999</v>
      </c>
      <c r="I319">
        <v>4</v>
      </c>
      <c r="J319">
        <v>34010.57</v>
      </c>
    </row>
    <row r="320" spans="3:10" x14ac:dyDescent="0.25">
      <c r="C320" t="s">
        <v>163</v>
      </c>
      <c r="D320">
        <v>2008</v>
      </c>
      <c r="E320">
        <v>1000</v>
      </c>
      <c r="F320" t="s">
        <v>11</v>
      </c>
      <c r="G320">
        <v>27</v>
      </c>
      <c r="H320">
        <v>13827.24</v>
      </c>
      <c r="I320">
        <v>2</v>
      </c>
      <c r="J320">
        <v>16244</v>
      </c>
    </row>
    <row r="321" spans="3:10" x14ac:dyDescent="0.25">
      <c r="C321" t="s">
        <v>163</v>
      </c>
      <c r="D321">
        <v>2008</v>
      </c>
      <c r="E321">
        <v>1000</v>
      </c>
      <c r="F321" t="s">
        <v>12</v>
      </c>
      <c r="G321">
        <v>24</v>
      </c>
      <c r="H321">
        <v>13827.36</v>
      </c>
      <c r="I321">
        <v>0</v>
      </c>
      <c r="J321">
        <v>0</v>
      </c>
    </row>
    <row r="322" spans="3:10" x14ac:dyDescent="0.25">
      <c r="C322" t="s">
        <v>163</v>
      </c>
      <c r="D322">
        <v>2008</v>
      </c>
      <c r="E322">
        <v>1000</v>
      </c>
      <c r="F322" t="s">
        <v>13</v>
      </c>
      <c r="G322">
        <v>15</v>
      </c>
      <c r="H322">
        <v>8642.1</v>
      </c>
      <c r="I322">
        <v>0</v>
      </c>
      <c r="J322">
        <v>0</v>
      </c>
    </row>
    <row r="323" spans="3:10" x14ac:dyDescent="0.25">
      <c r="C323" t="s">
        <v>163</v>
      </c>
      <c r="D323">
        <v>2008</v>
      </c>
      <c r="E323">
        <v>1000</v>
      </c>
      <c r="F323" t="s">
        <v>14</v>
      </c>
      <c r="G323">
        <v>14</v>
      </c>
      <c r="H323">
        <v>8962.1</v>
      </c>
      <c r="I323">
        <v>0</v>
      </c>
      <c r="J323">
        <v>0</v>
      </c>
    </row>
    <row r="324" spans="3:10" x14ac:dyDescent="0.25">
      <c r="C324" t="s">
        <v>163</v>
      </c>
      <c r="D324">
        <v>2008</v>
      </c>
      <c r="E324">
        <v>1000</v>
      </c>
      <c r="F324" t="s">
        <v>15</v>
      </c>
      <c r="G324">
        <v>7</v>
      </c>
      <c r="H324">
        <v>4481.05</v>
      </c>
      <c r="I324">
        <v>1</v>
      </c>
      <c r="J324">
        <v>8718.43</v>
      </c>
    </row>
    <row r="325" spans="3:10" x14ac:dyDescent="0.25">
      <c r="C325" t="s">
        <v>163</v>
      </c>
      <c r="D325">
        <v>2008</v>
      </c>
      <c r="E325">
        <v>1000</v>
      </c>
      <c r="F325" t="s">
        <v>16</v>
      </c>
      <c r="G325">
        <v>34</v>
      </c>
      <c r="H325">
        <v>41350.800000000003</v>
      </c>
      <c r="I325">
        <v>2</v>
      </c>
      <c r="J325">
        <v>16535.419999999998</v>
      </c>
    </row>
    <row r="326" spans="3:10" x14ac:dyDescent="0.25">
      <c r="C326" t="s">
        <v>163</v>
      </c>
      <c r="D326">
        <v>2008</v>
      </c>
      <c r="E326">
        <v>1000</v>
      </c>
      <c r="F326" t="s">
        <v>17</v>
      </c>
      <c r="G326">
        <v>54</v>
      </c>
      <c r="H326">
        <v>51852.42</v>
      </c>
      <c r="I326">
        <v>8</v>
      </c>
      <c r="J326">
        <v>68512.44</v>
      </c>
    </row>
    <row r="327" spans="3:10" x14ac:dyDescent="0.25">
      <c r="C327" t="s">
        <v>163</v>
      </c>
      <c r="D327">
        <v>2008</v>
      </c>
      <c r="E327">
        <v>1000</v>
      </c>
      <c r="F327" t="s">
        <v>18</v>
      </c>
      <c r="G327">
        <v>73</v>
      </c>
      <c r="H327">
        <v>63087.33</v>
      </c>
      <c r="I327">
        <v>4</v>
      </c>
      <c r="J327">
        <v>32831.93</v>
      </c>
    </row>
    <row r="328" spans="3:10" x14ac:dyDescent="0.25">
      <c r="C328" t="s">
        <v>163</v>
      </c>
      <c r="D328">
        <v>2008</v>
      </c>
      <c r="E328">
        <v>1000</v>
      </c>
      <c r="F328" t="s">
        <v>19</v>
      </c>
      <c r="G328">
        <v>68</v>
      </c>
      <c r="H328">
        <v>43530.200000000099</v>
      </c>
      <c r="I328">
        <v>2</v>
      </c>
      <c r="J328">
        <v>17900.349999999999</v>
      </c>
    </row>
    <row r="329" spans="3:10" x14ac:dyDescent="0.25">
      <c r="C329" t="s">
        <v>163</v>
      </c>
      <c r="D329">
        <v>2008</v>
      </c>
      <c r="E329">
        <v>1000</v>
      </c>
      <c r="F329" t="s">
        <v>20</v>
      </c>
      <c r="G329">
        <v>68</v>
      </c>
      <c r="H329">
        <v>43530.200000000099</v>
      </c>
      <c r="I329">
        <v>2</v>
      </c>
      <c r="J329">
        <v>15621.91</v>
      </c>
    </row>
    <row r="330" spans="3:10" x14ac:dyDescent="0.25">
      <c r="C330" t="s">
        <v>163</v>
      </c>
      <c r="D330">
        <v>2008</v>
      </c>
      <c r="E330">
        <v>1000</v>
      </c>
      <c r="F330" t="s">
        <v>21</v>
      </c>
      <c r="G330">
        <v>65</v>
      </c>
      <c r="H330">
        <v>37449.1</v>
      </c>
      <c r="I330">
        <v>4</v>
      </c>
      <c r="J330">
        <v>32425.23</v>
      </c>
    </row>
    <row r="331" spans="3:10" x14ac:dyDescent="0.25">
      <c r="C331" t="s">
        <v>163</v>
      </c>
      <c r="D331">
        <v>2008</v>
      </c>
      <c r="E331">
        <v>1000</v>
      </c>
      <c r="F331" t="s">
        <v>22</v>
      </c>
      <c r="G331">
        <v>74</v>
      </c>
      <c r="H331">
        <v>40265.620000000003</v>
      </c>
      <c r="I331">
        <v>4</v>
      </c>
      <c r="J331">
        <v>31446.65</v>
      </c>
    </row>
    <row r="332" spans="3:10" x14ac:dyDescent="0.25">
      <c r="C332" t="s">
        <v>163</v>
      </c>
      <c r="D332">
        <v>2008</v>
      </c>
      <c r="E332">
        <v>1000</v>
      </c>
      <c r="F332" t="s">
        <v>23</v>
      </c>
      <c r="G332">
        <v>67</v>
      </c>
      <c r="H332">
        <v>36456.71</v>
      </c>
      <c r="I332">
        <v>4</v>
      </c>
      <c r="J332">
        <v>33154.080000000002</v>
      </c>
    </row>
    <row r="333" spans="3:10" x14ac:dyDescent="0.25">
      <c r="C333" t="s">
        <v>163</v>
      </c>
      <c r="D333">
        <v>2008</v>
      </c>
      <c r="E333">
        <v>1000</v>
      </c>
      <c r="F333" t="s">
        <v>24</v>
      </c>
      <c r="G333">
        <v>64</v>
      </c>
      <c r="H333">
        <v>32775.68</v>
      </c>
      <c r="I333">
        <v>2</v>
      </c>
      <c r="J333">
        <v>16019.76</v>
      </c>
    </row>
    <row r="334" spans="3:10" x14ac:dyDescent="0.25">
      <c r="C334" t="s">
        <v>163</v>
      </c>
      <c r="D334">
        <v>2008</v>
      </c>
      <c r="E334">
        <v>1000</v>
      </c>
      <c r="F334" t="s">
        <v>25</v>
      </c>
      <c r="G334">
        <v>40</v>
      </c>
      <c r="H334">
        <v>20484.8</v>
      </c>
      <c r="I334">
        <v>3</v>
      </c>
      <c r="J334">
        <v>23132.62</v>
      </c>
    </row>
    <row r="335" spans="3:10" x14ac:dyDescent="0.25">
      <c r="C335" t="s">
        <v>163</v>
      </c>
      <c r="D335">
        <v>2008</v>
      </c>
      <c r="E335">
        <v>1000</v>
      </c>
      <c r="F335" t="s">
        <v>26</v>
      </c>
      <c r="G335">
        <v>28</v>
      </c>
      <c r="H335">
        <v>14339.36</v>
      </c>
      <c r="I335">
        <v>1</v>
      </c>
      <c r="J335">
        <v>9205.82</v>
      </c>
    </row>
    <row r="336" spans="3:10" x14ac:dyDescent="0.25">
      <c r="C336" t="s">
        <v>163</v>
      </c>
      <c r="D336">
        <v>2008</v>
      </c>
      <c r="E336">
        <v>1000</v>
      </c>
      <c r="F336" t="s">
        <v>27</v>
      </c>
      <c r="G336">
        <v>25</v>
      </c>
      <c r="H336">
        <v>14403.5</v>
      </c>
      <c r="I336">
        <v>4</v>
      </c>
      <c r="J336">
        <v>34690.589999999997</v>
      </c>
    </row>
    <row r="337" spans="3:10" x14ac:dyDescent="0.25">
      <c r="C337" t="s">
        <v>163</v>
      </c>
      <c r="D337">
        <v>2008</v>
      </c>
      <c r="E337">
        <v>1000</v>
      </c>
      <c r="F337" t="s">
        <v>28</v>
      </c>
      <c r="G337">
        <v>18</v>
      </c>
      <c r="H337">
        <v>10370.52</v>
      </c>
      <c r="I337">
        <v>3</v>
      </c>
      <c r="J337">
        <v>23681.63</v>
      </c>
    </row>
    <row r="338" spans="3:10" x14ac:dyDescent="0.25">
      <c r="C338" t="s">
        <v>163</v>
      </c>
      <c r="D338">
        <v>2008</v>
      </c>
      <c r="E338">
        <v>1000</v>
      </c>
      <c r="F338" t="s">
        <v>29</v>
      </c>
      <c r="G338">
        <v>15</v>
      </c>
      <c r="H338">
        <v>9602.25</v>
      </c>
      <c r="I338">
        <v>3</v>
      </c>
      <c r="J338">
        <v>21182.89</v>
      </c>
    </row>
    <row r="339" spans="3:10" x14ac:dyDescent="0.25">
      <c r="C339" t="s">
        <v>163</v>
      </c>
      <c r="D339">
        <v>2008</v>
      </c>
      <c r="E339">
        <v>1000</v>
      </c>
      <c r="F339" t="s">
        <v>30</v>
      </c>
      <c r="G339">
        <v>9</v>
      </c>
      <c r="H339">
        <v>5761.35</v>
      </c>
      <c r="I339">
        <v>0</v>
      </c>
      <c r="J339">
        <v>0</v>
      </c>
    </row>
    <row r="340" spans="3:10" x14ac:dyDescent="0.25">
      <c r="C340" t="s">
        <v>163</v>
      </c>
      <c r="D340">
        <v>2008</v>
      </c>
      <c r="E340">
        <v>2000</v>
      </c>
      <c r="F340" t="s">
        <v>1</v>
      </c>
      <c r="G340">
        <v>25</v>
      </c>
      <c r="H340">
        <v>23187.25</v>
      </c>
      <c r="I340">
        <v>3</v>
      </c>
      <c r="J340">
        <v>23686.13</v>
      </c>
    </row>
    <row r="341" spans="3:10" x14ac:dyDescent="0.25">
      <c r="C341" t="s">
        <v>163</v>
      </c>
      <c r="D341">
        <v>2008</v>
      </c>
      <c r="E341">
        <v>2000</v>
      </c>
      <c r="F341" t="s">
        <v>2</v>
      </c>
      <c r="G341">
        <v>41</v>
      </c>
      <c r="H341">
        <v>31689.31</v>
      </c>
      <c r="I341">
        <v>2</v>
      </c>
      <c r="J341">
        <v>15430.58</v>
      </c>
    </row>
    <row r="342" spans="3:10" x14ac:dyDescent="0.25">
      <c r="C342" t="s">
        <v>163</v>
      </c>
      <c r="D342">
        <v>2008</v>
      </c>
      <c r="E342">
        <v>2000</v>
      </c>
      <c r="F342" t="s">
        <v>3</v>
      </c>
      <c r="G342">
        <v>28</v>
      </c>
      <c r="H342">
        <v>19044.48</v>
      </c>
      <c r="I342">
        <v>3</v>
      </c>
      <c r="J342">
        <v>24630.75</v>
      </c>
    </row>
    <row r="343" spans="3:10" x14ac:dyDescent="0.25">
      <c r="C343" t="s">
        <v>163</v>
      </c>
      <c r="D343">
        <v>2008</v>
      </c>
      <c r="E343">
        <v>2000</v>
      </c>
      <c r="F343" t="s">
        <v>4</v>
      </c>
      <c r="G343">
        <v>52</v>
      </c>
      <c r="H343">
        <v>32153.16</v>
      </c>
      <c r="I343">
        <v>2</v>
      </c>
      <c r="J343">
        <v>15777.49</v>
      </c>
    </row>
    <row r="344" spans="3:10" x14ac:dyDescent="0.25">
      <c r="C344" t="s">
        <v>163</v>
      </c>
      <c r="D344">
        <v>2008</v>
      </c>
      <c r="E344">
        <v>2000</v>
      </c>
      <c r="F344" t="s">
        <v>5</v>
      </c>
      <c r="G344">
        <v>40</v>
      </c>
      <c r="H344">
        <v>24733.200000000001</v>
      </c>
      <c r="I344">
        <v>3</v>
      </c>
      <c r="J344">
        <v>22422.81</v>
      </c>
    </row>
    <row r="345" spans="3:10" x14ac:dyDescent="0.25">
      <c r="C345" t="s">
        <v>163</v>
      </c>
      <c r="D345">
        <v>2008</v>
      </c>
      <c r="E345">
        <v>2000</v>
      </c>
      <c r="F345" t="s">
        <v>6</v>
      </c>
      <c r="G345">
        <v>45</v>
      </c>
      <c r="H345">
        <v>25042.5</v>
      </c>
      <c r="I345">
        <v>3</v>
      </c>
      <c r="J345">
        <v>25600.400000000001</v>
      </c>
    </row>
    <row r="346" spans="3:10" x14ac:dyDescent="0.25">
      <c r="C346" t="s">
        <v>163</v>
      </c>
      <c r="D346">
        <v>2008</v>
      </c>
      <c r="E346">
        <v>2000</v>
      </c>
      <c r="F346" t="s">
        <v>7</v>
      </c>
      <c r="G346">
        <v>56</v>
      </c>
      <c r="H346">
        <v>29432.48</v>
      </c>
      <c r="I346">
        <v>2</v>
      </c>
      <c r="J346">
        <v>17697.57</v>
      </c>
    </row>
    <row r="347" spans="3:10" x14ac:dyDescent="0.25">
      <c r="C347" t="s">
        <v>163</v>
      </c>
      <c r="D347">
        <v>2008</v>
      </c>
      <c r="E347">
        <v>2000</v>
      </c>
      <c r="F347" t="s">
        <v>8</v>
      </c>
      <c r="G347">
        <v>51</v>
      </c>
      <c r="H347">
        <v>26804.58</v>
      </c>
      <c r="I347">
        <v>1</v>
      </c>
      <c r="J347">
        <v>9058.69</v>
      </c>
    </row>
    <row r="348" spans="3:10" x14ac:dyDescent="0.25">
      <c r="C348" t="s">
        <v>163</v>
      </c>
      <c r="D348">
        <v>2008</v>
      </c>
      <c r="E348">
        <v>2000</v>
      </c>
      <c r="F348" t="s">
        <v>9</v>
      </c>
      <c r="G348">
        <v>41</v>
      </c>
      <c r="H348">
        <v>20281.060000000001</v>
      </c>
      <c r="I348">
        <v>1</v>
      </c>
      <c r="J348">
        <v>8698.7800000000007</v>
      </c>
    </row>
    <row r="349" spans="3:10" x14ac:dyDescent="0.25">
      <c r="C349" t="s">
        <v>163</v>
      </c>
      <c r="D349">
        <v>2008</v>
      </c>
      <c r="E349">
        <v>2000</v>
      </c>
      <c r="F349" t="s">
        <v>10</v>
      </c>
      <c r="G349">
        <v>33</v>
      </c>
      <c r="H349">
        <v>16323.78</v>
      </c>
      <c r="I349">
        <v>2</v>
      </c>
      <c r="J349">
        <v>16523.46</v>
      </c>
    </row>
    <row r="350" spans="3:10" x14ac:dyDescent="0.25">
      <c r="C350" t="s">
        <v>163</v>
      </c>
      <c r="D350">
        <v>2008</v>
      </c>
      <c r="E350">
        <v>2000</v>
      </c>
      <c r="F350" t="s">
        <v>11</v>
      </c>
      <c r="G350">
        <v>22</v>
      </c>
      <c r="H350">
        <v>10882.52</v>
      </c>
      <c r="I350">
        <v>0</v>
      </c>
      <c r="J350">
        <v>0</v>
      </c>
    </row>
    <row r="351" spans="3:10" x14ac:dyDescent="0.25">
      <c r="C351" t="s">
        <v>163</v>
      </c>
      <c r="D351">
        <v>2008</v>
      </c>
      <c r="E351">
        <v>2000</v>
      </c>
      <c r="F351" t="s">
        <v>12</v>
      </c>
      <c r="G351">
        <v>14</v>
      </c>
      <c r="H351">
        <v>7791</v>
      </c>
      <c r="I351">
        <v>0</v>
      </c>
      <c r="J351">
        <v>0</v>
      </c>
    </row>
    <row r="352" spans="3:10" x14ac:dyDescent="0.25">
      <c r="C352" t="s">
        <v>163</v>
      </c>
      <c r="D352">
        <v>2008</v>
      </c>
      <c r="E352">
        <v>2000</v>
      </c>
      <c r="F352" t="s">
        <v>13</v>
      </c>
      <c r="G352">
        <v>18</v>
      </c>
      <c r="H352">
        <v>10017</v>
      </c>
      <c r="I352">
        <v>1</v>
      </c>
      <c r="J352">
        <v>7497.65</v>
      </c>
    </row>
    <row r="353" spans="3:10" x14ac:dyDescent="0.25">
      <c r="C353" t="s">
        <v>163</v>
      </c>
      <c r="D353">
        <v>2008</v>
      </c>
      <c r="E353">
        <v>2000</v>
      </c>
      <c r="F353" t="s">
        <v>14</v>
      </c>
      <c r="G353">
        <v>9</v>
      </c>
      <c r="H353">
        <v>5564.97</v>
      </c>
      <c r="I353">
        <v>1</v>
      </c>
      <c r="J353">
        <v>7376.3</v>
      </c>
    </row>
    <row r="354" spans="3:10" x14ac:dyDescent="0.25">
      <c r="C354" t="s">
        <v>163</v>
      </c>
      <c r="D354">
        <v>2008</v>
      </c>
      <c r="E354">
        <v>2000</v>
      </c>
      <c r="F354" t="s">
        <v>15</v>
      </c>
      <c r="G354">
        <v>11</v>
      </c>
      <c r="H354">
        <v>6801.63</v>
      </c>
      <c r="I354">
        <v>1</v>
      </c>
      <c r="J354">
        <v>8684.3799999999992</v>
      </c>
    </row>
    <row r="355" spans="3:10" x14ac:dyDescent="0.25">
      <c r="C355" t="s">
        <v>163</v>
      </c>
      <c r="D355">
        <v>2008</v>
      </c>
      <c r="E355">
        <v>2000</v>
      </c>
      <c r="F355" t="s">
        <v>16</v>
      </c>
      <c r="G355">
        <v>24</v>
      </c>
      <c r="H355">
        <v>28195.200000000001</v>
      </c>
      <c r="I355">
        <v>1</v>
      </c>
      <c r="J355">
        <v>6548.39</v>
      </c>
    </row>
    <row r="356" spans="3:10" x14ac:dyDescent="0.25">
      <c r="C356" t="s">
        <v>163</v>
      </c>
      <c r="D356">
        <v>2008</v>
      </c>
      <c r="E356">
        <v>2000</v>
      </c>
      <c r="F356" t="s">
        <v>17</v>
      </c>
      <c r="G356">
        <v>34</v>
      </c>
      <c r="H356">
        <v>31534.66</v>
      </c>
      <c r="I356">
        <v>3</v>
      </c>
      <c r="J356">
        <v>22871.599999999999</v>
      </c>
    </row>
    <row r="357" spans="3:10" x14ac:dyDescent="0.25">
      <c r="C357" t="s">
        <v>163</v>
      </c>
      <c r="D357">
        <v>2008</v>
      </c>
      <c r="E357">
        <v>2000</v>
      </c>
      <c r="F357" t="s">
        <v>18</v>
      </c>
      <c r="G357">
        <v>36</v>
      </c>
      <c r="H357">
        <v>30050.639999999999</v>
      </c>
      <c r="I357">
        <v>0</v>
      </c>
      <c r="J357">
        <v>0</v>
      </c>
    </row>
    <row r="358" spans="3:10" x14ac:dyDescent="0.25">
      <c r="C358" t="s">
        <v>163</v>
      </c>
      <c r="D358">
        <v>2008</v>
      </c>
      <c r="E358">
        <v>2000</v>
      </c>
      <c r="F358" t="s">
        <v>19</v>
      </c>
      <c r="G358">
        <v>42</v>
      </c>
      <c r="H358">
        <v>25969.86</v>
      </c>
      <c r="I358">
        <v>4</v>
      </c>
      <c r="J358">
        <v>32568.27</v>
      </c>
    </row>
    <row r="359" spans="3:10" x14ac:dyDescent="0.25">
      <c r="C359" t="s">
        <v>163</v>
      </c>
      <c r="D359">
        <v>2008</v>
      </c>
      <c r="E359">
        <v>2000</v>
      </c>
      <c r="F359" t="s">
        <v>20</v>
      </c>
      <c r="G359">
        <v>48</v>
      </c>
      <c r="H359">
        <v>29679.84</v>
      </c>
      <c r="I359">
        <v>1</v>
      </c>
      <c r="J359">
        <v>9450.36</v>
      </c>
    </row>
    <row r="360" spans="3:10" x14ac:dyDescent="0.25">
      <c r="C360" t="s">
        <v>163</v>
      </c>
      <c r="D360">
        <v>2008</v>
      </c>
      <c r="E360">
        <v>2000</v>
      </c>
      <c r="F360" t="s">
        <v>21</v>
      </c>
      <c r="G360">
        <v>44</v>
      </c>
      <c r="H360">
        <v>24486</v>
      </c>
      <c r="I360">
        <v>2</v>
      </c>
      <c r="J360">
        <v>16349.65</v>
      </c>
    </row>
    <row r="361" spans="3:10" x14ac:dyDescent="0.25">
      <c r="C361" t="s">
        <v>163</v>
      </c>
      <c r="D361">
        <v>2008</v>
      </c>
      <c r="E361">
        <v>2000</v>
      </c>
      <c r="F361" t="s">
        <v>22</v>
      </c>
      <c r="G361">
        <v>45</v>
      </c>
      <c r="H361">
        <v>23651.1</v>
      </c>
      <c r="I361">
        <v>1</v>
      </c>
      <c r="J361">
        <v>8874.56</v>
      </c>
    </row>
    <row r="362" spans="3:10" x14ac:dyDescent="0.25">
      <c r="C362" t="s">
        <v>163</v>
      </c>
      <c r="D362">
        <v>2008</v>
      </c>
      <c r="E362">
        <v>2000</v>
      </c>
      <c r="F362" t="s">
        <v>23</v>
      </c>
      <c r="G362">
        <v>42</v>
      </c>
      <c r="H362">
        <v>22074.36</v>
      </c>
      <c r="I362">
        <v>3</v>
      </c>
      <c r="J362">
        <v>25074.37</v>
      </c>
    </row>
    <row r="363" spans="3:10" x14ac:dyDescent="0.25">
      <c r="C363" t="s">
        <v>163</v>
      </c>
      <c r="D363">
        <v>2008</v>
      </c>
      <c r="E363">
        <v>2000</v>
      </c>
      <c r="F363" t="s">
        <v>24</v>
      </c>
      <c r="G363">
        <v>33</v>
      </c>
      <c r="H363">
        <v>16323.78</v>
      </c>
      <c r="I363">
        <v>0</v>
      </c>
      <c r="J363">
        <v>0</v>
      </c>
    </row>
    <row r="364" spans="3:10" x14ac:dyDescent="0.25">
      <c r="C364" t="s">
        <v>163</v>
      </c>
      <c r="D364">
        <v>2008</v>
      </c>
      <c r="E364">
        <v>2000</v>
      </c>
      <c r="F364" t="s">
        <v>25</v>
      </c>
      <c r="G364">
        <v>34</v>
      </c>
      <c r="H364">
        <v>16818.439999999999</v>
      </c>
      <c r="I364">
        <v>1</v>
      </c>
      <c r="J364">
        <v>6413.99</v>
      </c>
    </row>
    <row r="365" spans="3:10" x14ac:dyDescent="0.25">
      <c r="C365" t="s">
        <v>163</v>
      </c>
      <c r="D365">
        <v>2008</v>
      </c>
      <c r="E365">
        <v>2000</v>
      </c>
      <c r="F365" t="s">
        <v>26</v>
      </c>
      <c r="G365">
        <v>26</v>
      </c>
      <c r="H365">
        <v>12861.16</v>
      </c>
      <c r="I365">
        <v>1</v>
      </c>
      <c r="J365">
        <v>8159.03</v>
      </c>
    </row>
    <row r="366" spans="3:10" x14ac:dyDescent="0.25">
      <c r="C366" t="s">
        <v>163</v>
      </c>
      <c r="D366">
        <v>2008</v>
      </c>
      <c r="E366">
        <v>2000</v>
      </c>
      <c r="F366" t="s">
        <v>27</v>
      </c>
      <c r="G366">
        <v>13</v>
      </c>
      <c r="H366">
        <v>7234.5</v>
      </c>
      <c r="I366">
        <v>2</v>
      </c>
      <c r="J366">
        <v>15065.29</v>
      </c>
    </row>
    <row r="367" spans="3:10" x14ac:dyDescent="0.25">
      <c r="C367" t="s">
        <v>163</v>
      </c>
      <c r="D367">
        <v>2008</v>
      </c>
      <c r="E367">
        <v>2000</v>
      </c>
      <c r="F367" t="s">
        <v>28</v>
      </c>
      <c r="G367">
        <v>14</v>
      </c>
      <c r="H367">
        <v>7791</v>
      </c>
      <c r="I367">
        <v>1</v>
      </c>
      <c r="J367">
        <v>7225.88</v>
      </c>
    </row>
    <row r="368" spans="3:10" x14ac:dyDescent="0.25">
      <c r="C368" t="s">
        <v>163</v>
      </c>
      <c r="D368">
        <v>2008</v>
      </c>
      <c r="E368">
        <v>2000</v>
      </c>
      <c r="F368" t="s">
        <v>29</v>
      </c>
      <c r="G368">
        <v>7</v>
      </c>
      <c r="H368">
        <v>4328.3100000000004</v>
      </c>
      <c r="I368">
        <v>0</v>
      </c>
      <c r="J368">
        <v>0</v>
      </c>
    </row>
    <row r="369" spans="3:10" x14ac:dyDescent="0.25">
      <c r="C369" t="s">
        <v>163</v>
      </c>
      <c r="D369">
        <v>2008</v>
      </c>
      <c r="E369">
        <v>2000</v>
      </c>
      <c r="F369" t="s">
        <v>30</v>
      </c>
      <c r="G369">
        <v>7</v>
      </c>
      <c r="H369">
        <v>4328.3100000000004</v>
      </c>
      <c r="I369">
        <v>1</v>
      </c>
      <c r="J369">
        <v>7542.36</v>
      </c>
    </row>
    <row r="370" spans="3:10" x14ac:dyDescent="0.25">
      <c r="C370" t="s">
        <v>163</v>
      </c>
      <c r="D370">
        <v>2009</v>
      </c>
      <c r="E370">
        <v>0</v>
      </c>
      <c r="F370" t="s">
        <v>1</v>
      </c>
      <c r="G370">
        <v>25</v>
      </c>
      <c r="H370">
        <v>33320</v>
      </c>
      <c r="I370">
        <v>4</v>
      </c>
      <c r="J370">
        <v>50410.3</v>
      </c>
    </row>
    <row r="371" spans="3:10" x14ac:dyDescent="0.25">
      <c r="C371" t="s">
        <v>163</v>
      </c>
      <c r="D371">
        <v>2009</v>
      </c>
      <c r="E371">
        <v>0</v>
      </c>
      <c r="F371" t="s">
        <v>2</v>
      </c>
      <c r="G371">
        <v>53</v>
      </c>
      <c r="H371">
        <v>58861.8</v>
      </c>
      <c r="I371">
        <v>4</v>
      </c>
      <c r="J371">
        <v>49458.16</v>
      </c>
    </row>
    <row r="372" spans="3:10" x14ac:dyDescent="0.25">
      <c r="C372" t="s">
        <v>163</v>
      </c>
      <c r="D372">
        <v>2009</v>
      </c>
      <c r="E372">
        <v>0</v>
      </c>
      <c r="F372" t="s">
        <v>3</v>
      </c>
      <c r="G372">
        <v>52</v>
      </c>
      <c r="H372">
        <v>50824.800000000003</v>
      </c>
      <c r="I372">
        <v>3</v>
      </c>
      <c r="J372">
        <v>36267.18</v>
      </c>
    </row>
    <row r="373" spans="3:10" x14ac:dyDescent="0.25">
      <c r="C373" t="s">
        <v>163</v>
      </c>
      <c r="D373">
        <v>2009</v>
      </c>
      <c r="E373">
        <v>0</v>
      </c>
      <c r="F373" t="s">
        <v>4</v>
      </c>
      <c r="G373">
        <v>54</v>
      </c>
      <c r="H373">
        <v>47981.7</v>
      </c>
      <c r="I373">
        <v>1</v>
      </c>
      <c r="J373">
        <v>11902.6</v>
      </c>
    </row>
    <row r="374" spans="3:10" x14ac:dyDescent="0.25">
      <c r="C374" t="s">
        <v>163</v>
      </c>
      <c r="D374">
        <v>2009</v>
      </c>
      <c r="E374">
        <v>0</v>
      </c>
      <c r="F374" t="s">
        <v>5</v>
      </c>
      <c r="G374">
        <v>50</v>
      </c>
      <c r="H374">
        <v>44427.5</v>
      </c>
      <c r="I374">
        <v>4</v>
      </c>
      <c r="J374">
        <v>48835.62</v>
      </c>
    </row>
    <row r="375" spans="3:10" x14ac:dyDescent="0.25">
      <c r="C375" t="s">
        <v>163</v>
      </c>
      <c r="D375">
        <v>2009</v>
      </c>
      <c r="E375">
        <v>0</v>
      </c>
      <c r="F375" t="s">
        <v>6</v>
      </c>
      <c r="G375">
        <v>73</v>
      </c>
      <c r="H375">
        <v>58377.370000000097</v>
      </c>
      <c r="I375">
        <v>5</v>
      </c>
      <c r="J375">
        <v>65954.009999999995</v>
      </c>
    </row>
    <row r="376" spans="3:10" x14ac:dyDescent="0.25">
      <c r="C376" t="s">
        <v>163</v>
      </c>
      <c r="D376">
        <v>2009</v>
      </c>
      <c r="E376">
        <v>0</v>
      </c>
      <c r="F376" t="s">
        <v>7</v>
      </c>
      <c r="G376">
        <v>53</v>
      </c>
      <c r="H376">
        <v>40028.78</v>
      </c>
      <c r="I376">
        <v>3</v>
      </c>
      <c r="J376">
        <v>35671.879999999997</v>
      </c>
    </row>
    <row r="377" spans="3:10" x14ac:dyDescent="0.25">
      <c r="C377" t="s">
        <v>163</v>
      </c>
      <c r="D377">
        <v>2009</v>
      </c>
      <c r="E377">
        <v>0</v>
      </c>
      <c r="F377" t="s">
        <v>8</v>
      </c>
      <c r="G377">
        <v>50</v>
      </c>
      <c r="H377">
        <v>37763</v>
      </c>
      <c r="I377">
        <v>2</v>
      </c>
      <c r="J377">
        <v>24222.18</v>
      </c>
    </row>
    <row r="378" spans="3:10" x14ac:dyDescent="0.25">
      <c r="C378" t="s">
        <v>163</v>
      </c>
      <c r="D378">
        <v>2009</v>
      </c>
      <c r="E378">
        <v>0</v>
      </c>
      <c r="F378" t="s">
        <v>9</v>
      </c>
      <c r="G378">
        <v>41</v>
      </c>
      <c r="H378">
        <v>29144.44</v>
      </c>
      <c r="I378">
        <v>0</v>
      </c>
      <c r="J378">
        <v>0</v>
      </c>
    </row>
    <row r="379" spans="3:10" x14ac:dyDescent="0.25">
      <c r="C379" t="s">
        <v>163</v>
      </c>
      <c r="D379">
        <v>2009</v>
      </c>
      <c r="E379">
        <v>0</v>
      </c>
      <c r="F379" t="s">
        <v>10</v>
      </c>
      <c r="G379">
        <v>27</v>
      </c>
      <c r="H379">
        <v>19192.68</v>
      </c>
      <c r="I379">
        <v>0</v>
      </c>
      <c r="J379">
        <v>0</v>
      </c>
    </row>
    <row r="380" spans="3:10" x14ac:dyDescent="0.25">
      <c r="C380" t="s">
        <v>163</v>
      </c>
      <c r="D380">
        <v>2009</v>
      </c>
      <c r="E380">
        <v>0</v>
      </c>
      <c r="F380" t="s">
        <v>11</v>
      </c>
      <c r="G380">
        <v>21</v>
      </c>
      <c r="H380">
        <v>14927.64</v>
      </c>
      <c r="I380">
        <v>2</v>
      </c>
      <c r="J380">
        <v>26837.200000000001</v>
      </c>
    </row>
    <row r="381" spans="3:10" x14ac:dyDescent="0.25">
      <c r="C381" t="s">
        <v>163</v>
      </c>
      <c r="D381">
        <v>2009</v>
      </c>
      <c r="E381">
        <v>0</v>
      </c>
      <c r="F381" t="s">
        <v>12</v>
      </c>
      <c r="G381">
        <v>32</v>
      </c>
      <c r="H381">
        <v>25590.080000000002</v>
      </c>
      <c r="I381">
        <v>2</v>
      </c>
      <c r="J381">
        <v>22142.9</v>
      </c>
    </row>
    <row r="382" spans="3:10" x14ac:dyDescent="0.25">
      <c r="C382" t="s">
        <v>163</v>
      </c>
      <c r="D382">
        <v>2009</v>
      </c>
      <c r="E382">
        <v>0</v>
      </c>
      <c r="F382" t="s">
        <v>13</v>
      </c>
      <c r="G382">
        <v>17</v>
      </c>
      <c r="H382">
        <v>13594.73</v>
      </c>
      <c r="I382">
        <v>0</v>
      </c>
      <c r="J382">
        <v>0</v>
      </c>
    </row>
    <row r="383" spans="3:10" x14ac:dyDescent="0.25">
      <c r="C383" t="s">
        <v>163</v>
      </c>
      <c r="D383">
        <v>2009</v>
      </c>
      <c r="E383">
        <v>0</v>
      </c>
      <c r="F383" t="s">
        <v>14</v>
      </c>
      <c r="G383">
        <v>22</v>
      </c>
      <c r="H383">
        <v>19548.099999999999</v>
      </c>
      <c r="I383">
        <v>2</v>
      </c>
      <c r="J383">
        <v>25949.96</v>
      </c>
    </row>
    <row r="384" spans="3:10" x14ac:dyDescent="0.25">
      <c r="C384" t="s">
        <v>163</v>
      </c>
      <c r="D384">
        <v>2009</v>
      </c>
      <c r="E384">
        <v>0</v>
      </c>
      <c r="F384" t="s">
        <v>15</v>
      </c>
      <c r="G384">
        <v>7</v>
      </c>
      <c r="H384">
        <v>6219.85</v>
      </c>
      <c r="I384">
        <v>0</v>
      </c>
      <c r="J384">
        <v>0</v>
      </c>
    </row>
    <row r="385" spans="3:10" x14ac:dyDescent="0.25">
      <c r="C385" t="s">
        <v>163</v>
      </c>
      <c r="D385">
        <v>2009</v>
      </c>
      <c r="E385">
        <v>0</v>
      </c>
      <c r="F385" t="s">
        <v>16</v>
      </c>
      <c r="G385">
        <v>38</v>
      </c>
      <c r="H385">
        <v>64151.6</v>
      </c>
      <c r="I385">
        <v>3</v>
      </c>
      <c r="J385">
        <v>38529.339999999997</v>
      </c>
    </row>
    <row r="386" spans="3:10" x14ac:dyDescent="0.25">
      <c r="C386" t="s">
        <v>163</v>
      </c>
      <c r="D386">
        <v>2009</v>
      </c>
      <c r="E386">
        <v>0</v>
      </c>
      <c r="F386" t="s">
        <v>17</v>
      </c>
      <c r="G386">
        <v>56</v>
      </c>
      <c r="H386">
        <v>74636.800000000105</v>
      </c>
      <c r="I386">
        <v>7</v>
      </c>
      <c r="J386">
        <v>90704.81</v>
      </c>
    </row>
    <row r="387" spans="3:10" x14ac:dyDescent="0.25">
      <c r="C387" t="s">
        <v>163</v>
      </c>
      <c r="D387">
        <v>2009</v>
      </c>
      <c r="E387">
        <v>0</v>
      </c>
      <c r="F387" t="s">
        <v>18</v>
      </c>
      <c r="G387">
        <v>41</v>
      </c>
      <c r="H387">
        <v>49179.5</v>
      </c>
      <c r="I387">
        <v>6</v>
      </c>
      <c r="J387">
        <v>77612.72</v>
      </c>
    </row>
    <row r="388" spans="3:10" x14ac:dyDescent="0.25">
      <c r="C388" t="s">
        <v>163</v>
      </c>
      <c r="D388">
        <v>2009</v>
      </c>
      <c r="E388">
        <v>0</v>
      </c>
      <c r="F388" t="s">
        <v>19</v>
      </c>
      <c r="G388">
        <v>47</v>
      </c>
      <c r="H388">
        <v>41761.85</v>
      </c>
      <c r="I388">
        <v>3</v>
      </c>
      <c r="J388">
        <v>37204.379999999997</v>
      </c>
    </row>
    <row r="389" spans="3:10" x14ac:dyDescent="0.25">
      <c r="C389" t="s">
        <v>163</v>
      </c>
      <c r="D389">
        <v>2009</v>
      </c>
      <c r="E389">
        <v>0</v>
      </c>
      <c r="F389" t="s">
        <v>20</v>
      </c>
      <c r="G389">
        <v>57</v>
      </c>
      <c r="H389">
        <v>50647.35</v>
      </c>
      <c r="I389">
        <v>2</v>
      </c>
      <c r="J389">
        <v>27739</v>
      </c>
    </row>
    <row r="390" spans="3:10" x14ac:dyDescent="0.25">
      <c r="C390" t="s">
        <v>163</v>
      </c>
      <c r="D390">
        <v>2009</v>
      </c>
      <c r="E390">
        <v>0</v>
      </c>
      <c r="F390" t="s">
        <v>21</v>
      </c>
      <c r="G390">
        <v>72</v>
      </c>
      <c r="H390">
        <v>57577.680000000102</v>
      </c>
      <c r="I390">
        <v>4</v>
      </c>
      <c r="J390">
        <v>46551.77</v>
      </c>
    </row>
    <row r="391" spans="3:10" x14ac:dyDescent="0.25">
      <c r="C391" t="s">
        <v>163</v>
      </c>
      <c r="D391">
        <v>2009</v>
      </c>
      <c r="E391">
        <v>0</v>
      </c>
      <c r="F391" t="s">
        <v>22</v>
      </c>
      <c r="G391">
        <v>56</v>
      </c>
      <c r="H391">
        <v>42294.559999999998</v>
      </c>
      <c r="I391">
        <v>1</v>
      </c>
      <c r="J391">
        <v>9325.89</v>
      </c>
    </row>
    <row r="392" spans="3:10" x14ac:dyDescent="0.25">
      <c r="C392" t="s">
        <v>163</v>
      </c>
      <c r="D392">
        <v>2009</v>
      </c>
      <c r="E392">
        <v>0</v>
      </c>
      <c r="F392" t="s">
        <v>23</v>
      </c>
      <c r="G392">
        <v>47</v>
      </c>
      <c r="H392">
        <v>35497.22</v>
      </c>
      <c r="I392">
        <v>1</v>
      </c>
      <c r="J392">
        <v>12510.89</v>
      </c>
    </row>
    <row r="393" spans="3:10" x14ac:dyDescent="0.25">
      <c r="C393" t="s">
        <v>163</v>
      </c>
      <c r="D393">
        <v>2009</v>
      </c>
      <c r="E393">
        <v>0</v>
      </c>
      <c r="F393" t="s">
        <v>24</v>
      </c>
      <c r="G393">
        <v>54</v>
      </c>
      <c r="H393">
        <v>38385.360000000001</v>
      </c>
      <c r="I393">
        <v>1</v>
      </c>
      <c r="J393">
        <v>10530.28</v>
      </c>
    </row>
    <row r="394" spans="3:10" x14ac:dyDescent="0.25">
      <c r="C394" t="s">
        <v>163</v>
      </c>
      <c r="D394">
        <v>2009</v>
      </c>
      <c r="E394">
        <v>0</v>
      </c>
      <c r="F394" t="s">
        <v>25</v>
      </c>
      <c r="G394">
        <v>33</v>
      </c>
      <c r="H394">
        <v>23457.72</v>
      </c>
      <c r="I394">
        <v>3</v>
      </c>
      <c r="J394">
        <v>38865.050000000003</v>
      </c>
    </row>
    <row r="395" spans="3:10" x14ac:dyDescent="0.25">
      <c r="C395" t="s">
        <v>163</v>
      </c>
      <c r="D395">
        <v>2009</v>
      </c>
      <c r="E395">
        <v>0</v>
      </c>
      <c r="F395" t="s">
        <v>26</v>
      </c>
      <c r="G395">
        <v>27</v>
      </c>
      <c r="H395">
        <v>19192.68</v>
      </c>
      <c r="I395">
        <v>1</v>
      </c>
      <c r="J395">
        <v>11440.69</v>
      </c>
    </row>
    <row r="396" spans="3:10" x14ac:dyDescent="0.25">
      <c r="C396" t="s">
        <v>163</v>
      </c>
      <c r="D396">
        <v>2009</v>
      </c>
      <c r="E396">
        <v>0</v>
      </c>
      <c r="F396" t="s">
        <v>27</v>
      </c>
      <c r="G396">
        <v>21</v>
      </c>
      <c r="H396">
        <v>16793.490000000002</v>
      </c>
      <c r="I396">
        <v>2</v>
      </c>
      <c r="J396">
        <v>22514.34</v>
      </c>
    </row>
    <row r="397" spans="3:10" x14ac:dyDescent="0.25">
      <c r="C397" t="s">
        <v>163</v>
      </c>
      <c r="D397">
        <v>2009</v>
      </c>
      <c r="E397">
        <v>0</v>
      </c>
      <c r="F397" t="s">
        <v>28</v>
      </c>
      <c r="G397">
        <v>16</v>
      </c>
      <c r="H397">
        <v>12795.04</v>
      </c>
      <c r="I397">
        <v>1</v>
      </c>
      <c r="J397">
        <v>12598.25</v>
      </c>
    </row>
    <row r="398" spans="3:10" x14ac:dyDescent="0.25">
      <c r="C398" t="s">
        <v>163</v>
      </c>
      <c r="D398">
        <v>2009</v>
      </c>
      <c r="E398">
        <v>0</v>
      </c>
      <c r="F398" t="s">
        <v>29</v>
      </c>
      <c r="G398">
        <v>12</v>
      </c>
      <c r="H398">
        <v>10662.6</v>
      </c>
      <c r="I398">
        <v>3</v>
      </c>
      <c r="J398">
        <v>39178.379999999997</v>
      </c>
    </row>
    <row r="399" spans="3:10" x14ac:dyDescent="0.25">
      <c r="C399" t="s">
        <v>163</v>
      </c>
      <c r="D399">
        <v>2009</v>
      </c>
      <c r="E399">
        <v>0</v>
      </c>
      <c r="F399" t="s">
        <v>30</v>
      </c>
      <c r="G399">
        <v>7</v>
      </c>
      <c r="H399">
        <v>6219.85</v>
      </c>
      <c r="I399">
        <v>1</v>
      </c>
      <c r="J399">
        <v>12923.09</v>
      </c>
    </row>
    <row r="400" spans="3:10" x14ac:dyDescent="0.25">
      <c r="C400" t="s">
        <v>163</v>
      </c>
      <c r="D400">
        <v>2009</v>
      </c>
      <c r="E400">
        <v>100</v>
      </c>
      <c r="F400" t="s">
        <v>1</v>
      </c>
      <c r="G400">
        <v>55</v>
      </c>
      <c r="H400">
        <v>67660.999999999898</v>
      </c>
      <c r="I400">
        <v>1</v>
      </c>
      <c r="J400">
        <v>12207.02</v>
      </c>
    </row>
    <row r="401" spans="3:10" x14ac:dyDescent="0.25">
      <c r="C401" t="s">
        <v>163</v>
      </c>
      <c r="D401">
        <v>2009</v>
      </c>
      <c r="E401">
        <v>100</v>
      </c>
      <c r="F401" t="s">
        <v>2</v>
      </c>
      <c r="G401">
        <v>122</v>
      </c>
      <c r="H401">
        <v>125074.4</v>
      </c>
      <c r="I401">
        <v>12</v>
      </c>
      <c r="J401">
        <v>128589.09</v>
      </c>
    </row>
    <row r="402" spans="3:10" x14ac:dyDescent="0.25">
      <c r="C402" t="s">
        <v>163</v>
      </c>
      <c r="D402">
        <v>2009</v>
      </c>
      <c r="E402">
        <v>100</v>
      </c>
      <c r="F402" t="s">
        <v>3</v>
      </c>
      <c r="G402">
        <v>108</v>
      </c>
      <c r="H402">
        <v>97439.760000000097</v>
      </c>
      <c r="I402">
        <v>10</v>
      </c>
      <c r="J402">
        <v>111836.12</v>
      </c>
    </row>
    <row r="403" spans="3:10" x14ac:dyDescent="0.25">
      <c r="C403" t="s">
        <v>163</v>
      </c>
      <c r="D403">
        <v>2009</v>
      </c>
      <c r="E403">
        <v>100</v>
      </c>
      <c r="F403" t="s">
        <v>4</v>
      </c>
      <c r="G403">
        <v>121</v>
      </c>
      <c r="H403">
        <v>99244.199999999793</v>
      </c>
      <c r="I403">
        <v>5</v>
      </c>
      <c r="J403">
        <v>57589.89</v>
      </c>
    </row>
    <row r="404" spans="3:10" x14ac:dyDescent="0.25">
      <c r="C404" t="s">
        <v>163</v>
      </c>
      <c r="D404">
        <v>2009</v>
      </c>
      <c r="E404">
        <v>100</v>
      </c>
      <c r="F404" t="s">
        <v>5</v>
      </c>
      <c r="G404">
        <v>127</v>
      </c>
      <c r="H404">
        <v>104165.4</v>
      </c>
      <c r="I404">
        <v>9</v>
      </c>
      <c r="J404">
        <v>97575.52</v>
      </c>
    </row>
    <row r="405" spans="3:10" x14ac:dyDescent="0.25">
      <c r="C405" t="s">
        <v>163</v>
      </c>
      <c r="D405">
        <v>2009</v>
      </c>
      <c r="E405">
        <v>100</v>
      </c>
      <c r="F405" t="s">
        <v>6</v>
      </c>
      <c r="G405">
        <v>116</v>
      </c>
      <c r="H405">
        <v>85628.879999999801</v>
      </c>
      <c r="I405">
        <v>6</v>
      </c>
      <c r="J405">
        <v>67854.37</v>
      </c>
    </row>
    <row r="406" spans="3:10" x14ac:dyDescent="0.25">
      <c r="C406" t="s">
        <v>163</v>
      </c>
      <c r="D406">
        <v>2009</v>
      </c>
      <c r="E406">
        <v>100</v>
      </c>
      <c r="F406" t="s">
        <v>7</v>
      </c>
      <c r="G406">
        <v>111</v>
      </c>
      <c r="H406">
        <v>77385.869999999806</v>
      </c>
      <c r="I406">
        <v>5</v>
      </c>
      <c r="J406">
        <v>55464.97</v>
      </c>
    </row>
    <row r="407" spans="3:10" x14ac:dyDescent="0.25">
      <c r="C407" t="s">
        <v>163</v>
      </c>
      <c r="D407">
        <v>2009</v>
      </c>
      <c r="E407">
        <v>100</v>
      </c>
      <c r="F407" t="s">
        <v>8</v>
      </c>
      <c r="G407">
        <v>135</v>
      </c>
      <c r="H407">
        <v>94117.949999999793</v>
      </c>
      <c r="I407">
        <v>5</v>
      </c>
      <c r="J407">
        <v>54301.55</v>
      </c>
    </row>
    <row r="408" spans="3:10" x14ac:dyDescent="0.25">
      <c r="C408" t="s">
        <v>163</v>
      </c>
      <c r="D408">
        <v>2009</v>
      </c>
      <c r="E408">
        <v>100</v>
      </c>
      <c r="F408" t="s">
        <v>9</v>
      </c>
      <c r="G408">
        <v>113</v>
      </c>
      <c r="H408">
        <v>74146.080000000205</v>
      </c>
      <c r="I408">
        <v>7</v>
      </c>
      <c r="J408">
        <v>72247.62</v>
      </c>
    </row>
    <row r="409" spans="3:10" x14ac:dyDescent="0.25">
      <c r="C409" t="s">
        <v>163</v>
      </c>
      <c r="D409">
        <v>2009</v>
      </c>
      <c r="E409">
        <v>100</v>
      </c>
      <c r="F409" t="s">
        <v>10</v>
      </c>
      <c r="G409">
        <v>58</v>
      </c>
      <c r="H409">
        <v>38057.279999999999</v>
      </c>
      <c r="I409">
        <v>2</v>
      </c>
      <c r="J409">
        <v>22131.32</v>
      </c>
    </row>
    <row r="410" spans="3:10" x14ac:dyDescent="0.25">
      <c r="C410" t="s">
        <v>163</v>
      </c>
      <c r="D410">
        <v>2009</v>
      </c>
      <c r="E410">
        <v>100</v>
      </c>
      <c r="F410" t="s">
        <v>11</v>
      </c>
      <c r="G410">
        <v>61</v>
      </c>
      <c r="H410">
        <v>40025.760000000002</v>
      </c>
      <c r="I410">
        <v>3</v>
      </c>
      <c r="J410">
        <v>32310.51</v>
      </c>
    </row>
    <row r="411" spans="3:10" x14ac:dyDescent="0.25">
      <c r="C411" t="s">
        <v>163</v>
      </c>
      <c r="D411">
        <v>2009</v>
      </c>
      <c r="E411">
        <v>100</v>
      </c>
      <c r="F411" t="s">
        <v>12</v>
      </c>
      <c r="G411">
        <v>53</v>
      </c>
      <c r="H411">
        <v>39123.54</v>
      </c>
      <c r="I411">
        <v>2</v>
      </c>
      <c r="J411">
        <v>20555.46</v>
      </c>
    </row>
    <row r="412" spans="3:10" x14ac:dyDescent="0.25">
      <c r="C412" t="s">
        <v>163</v>
      </c>
      <c r="D412">
        <v>2009</v>
      </c>
      <c r="E412">
        <v>100</v>
      </c>
      <c r="F412" t="s">
        <v>13</v>
      </c>
      <c r="G412">
        <v>34</v>
      </c>
      <c r="H412">
        <v>25098.12</v>
      </c>
      <c r="I412">
        <v>1</v>
      </c>
      <c r="J412">
        <v>10981.09</v>
      </c>
    </row>
    <row r="413" spans="3:10" x14ac:dyDescent="0.25">
      <c r="C413" t="s">
        <v>163</v>
      </c>
      <c r="D413">
        <v>2009</v>
      </c>
      <c r="E413">
        <v>100</v>
      </c>
      <c r="F413" t="s">
        <v>14</v>
      </c>
      <c r="G413">
        <v>33</v>
      </c>
      <c r="H413">
        <v>27066.6</v>
      </c>
      <c r="I413">
        <v>2</v>
      </c>
      <c r="J413">
        <v>23371.17</v>
      </c>
    </row>
    <row r="414" spans="3:10" x14ac:dyDescent="0.25">
      <c r="C414" t="s">
        <v>163</v>
      </c>
      <c r="D414">
        <v>2009</v>
      </c>
      <c r="E414">
        <v>100</v>
      </c>
      <c r="F414" t="s">
        <v>15</v>
      </c>
      <c r="G414">
        <v>12</v>
      </c>
      <c r="H414">
        <v>9842.4</v>
      </c>
      <c r="I414">
        <v>1</v>
      </c>
      <c r="J414">
        <v>10209.51</v>
      </c>
    </row>
    <row r="415" spans="3:10" x14ac:dyDescent="0.25">
      <c r="C415" t="s">
        <v>163</v>
      </c>
      <c r="D415">
        <v>2009</v>
      </c>
      <c r="E415">
        <v>100</v>
      </c>
      <c r="F415" t="s">
        <v>16</v>
      </c>
      <c r="G415">
        <v>56</v>
      </c>
      <c r="H415">
        <v>87264.800000000105</v>
      </c>
      <c r="I415">
        <v>6</v>
      </c>
      <c r="J415">
        <v>65829.98</v>
      </c>
    </row>
    <row r="416" spans="3:10" x14ac:dyDescent="0.25">
      <c r="C416" t="s">
        <v>163</v>
      </c>
      <c r="D416">
        <v>2009</v>
      </c>
      <c r="E416">
        <v>100</v>
      </c>
      <c r="F416" t="s">
        <v>17</v>
      </c>
      <c r="G416">
        <v>121</v>
      </c>
      <c r="H416">
        <v>148854.20000000001</v>
      </c>
      <c r="I416">
        <v>14</v>
      </c>
      <c r="J416">
        <v>154656.76</v>
      </c>
    </row>
    <row r="417" spans="3:10" x14ac:dyDescent="0.25">
      <c r="C417" t="s">
        <v>163</v>
      </c>
      <c r="D417">
        <v>2009</v>
      </c>
      <c r="E417">
        <v>100</v>
      </c>
      <c r="F417" t="s">
        <v>18</v>
      </c>
      <c r="G417">
        <v>95</v>
      </c>
      <c r="H417">
        <v>105184</v>
      </c>
      <c r="I417">
        <v>7</v>
      </c>
      <c r="J417">
        <v>77413.84</v>
      </c>
    </row>
    <row r="418" spans="3:10" x14ac:dyDescent="0.25">
      <c r="C418" t="s">
        <v>163</v>
      </c>
      <c r="D418">
        <v>2009</v>
      </c>
      <c r="E418">
        <v>100</v>
      </c>
      <c r="F418" t="s">
        <v>19</v>
      </c>
      <c r="G418">
        <v>124</v>
      </c>
      <c r="H418">
        <v>101704.8</v>
      </c>
      <c r="I418">
        <v>6</v>
      </c>
      <c r="J418">
        <v>66197.759999999995</v>
      </c>
    </row>
    <row r="419" spans="3:10" x14ac:dyDescent="0.25">
      <c r="C419" t="s">
        <v>163</v>
      </c>
      <c r="D419">
        <v>2009</v>
      </c>
      <c r="E419">
        <v>100</v>
      </c>
      <c r="F419" t="s">
        <v>20</v>
      </c>
      <c r="G419">
        <v>126</v>
      </c>
      <c r="H419">
        <v>103345.2</v>
      </c>
      <c r="I419">
        <v>10</v>
      </c>
      <c r="J419">
        <v>112155.42</v>
      </c>
    </row>
    <row r="420" spans="3:10" x14ac:dyDescent="0.25">
      <c r="C420" t="s">
        <v>163</v>
      </c>
      <c r="D420">
        <v>2009</v>
      </c>
      <c r="E420">
        <v>100</v>
      </c>
      <c r="F420" t="s">
        <v>21</v>
      </c>
      <c r="G420">
        <v>125</v>
      </c>
      <c r="H420">
        <v>92272.499999999796</v>
      </c>
      <c r="I420">
        <v>10</v>
      </c>
      <c r="J420">
        <v>109817.76</v>
      </c>
    </row>
    <row r="421" spans="3:10" x14ac:dyDescent="0.25">
      <c r="C421" t="s">
        <v>163</v>
      </c>
      <c r="D421">
        <v>2009</v>
      </c>
      <c r="E421">
        <v>100</v>
      </c>
      <c r="F421" t="s">
        <v>22</v>
      </c>
      <c r="G421">
        <v>111</v>
      </c>
      <c r="H421">
        <v>77385.869999999806</v>
      </c>
      <c r="I421">
        <v>7</v>
      </c>
      <c r="J421">
        <v>77745.289999999994</v>
      </c>
    </row>
    <row r="422" spans="3:10" x14ac:dyDescent="0.25">
      <c r="C422" t="s">
        <v>163</v>
      </c>
      <c r="D422">
        <v>2009</v>
      </c>
      <c r="E422">
        <v>100</v>
      </c>
      <c r="F422" t="s">
        <v>23</v>
      </c>
      <c r="G422">
        <v>117</v>
      </c>
      <c r="H422">
        <v>81568.889999999796</v>
      </c>
      <c r="I422">
        <v>8</v>
      </c>
      <c r="J422">
        <v>85231.8</v>
      </c>
    </row>
    <row r="423" spans="3:10" x14ac:dyDescent="0.25">
      <c r="C423" t="s">
        <v>163</v>
      </c>
      <c r="D423">
        <v>2009</v>
      </c>
      <c r="E423">
        <v>100</v>
      </c>
      <c r="F423" t="s">
        <v>24</v>
      </c>
      <c r="G423">
        <v>105</v>
      </c>
      <c r="H423">
        <v>68896.800000000207</v>
      </c>
      <c r="I423">
        <v>2</v>
      </c>
      <c r="J423">
        <v>21952.47</v>
      </c>
    </row>
    <row r="424" spans="3:10" x14ac:dyDescent="0.25">
      <c r="C424" t="s">
        <v>163</v>
      </c>
      <c r="D424">
        <v>2009</v>
      </c>
      <c r="E424">
        <v>100</v>
      </c>
      <c r="F424" t="s">
        <v>25</v>
      </c>
      <c r="G424">
        <v>83</v>
      </c>
      <c r="H424">
        <v>54461.280000000101</v>
      </c>
      <c r="I424">
        <v>2</v>
      </c>
      <c r="J424">
        <v>22302.74</v>
      </c>
    </row>
    <row r="425" spans="3:10" x14ac:dyDescent="0.25">
      <c r="C425" t="s">
        <v>163</v>
      </c>
      <c r="D425">
        <v>2009</v>
      </c>
      <c r="E425">
        <v>100</v>
      </c>
      <c r="F425" t="s">
        <v>26</v>
      </c>
      <c r="G425">
        <v>50</v>
      </c>
      <c r="H425">
        <v>32808</v>
      </c>
      <c r="I425">
        <v>2</v>
      </c>
      <c r="J425">
        <v>18904.18</v>
      </c>
    </row>
    <row r="426" spans="3:10" x14ac:dyDescent="0.25">
      <c r="C426" t="s">
        <v>163</v>
      </c>
      <c r="D426">
        <v>2009</v>
      </c>
      <c r="E426">
        <v>100</v>
      </c>
      <c r="F426" t="s">
        <v>27</v>
      </c>
      <c r="G426">
        <v>41</v>
      </c>
      <c r="H426">
        <v>30265.38</v>
      </c>
      <c r="I426">
        <v>1</v>
      </c>
      <c r="J426">
        <v>12775.17</v>
      </c>
    </row>
    <row r="427" spans="3:10" x14ac:dyDescent="0.25">
      <c r="C427" t="s">
        <v>163</v>
      </c>
      <c r="D427">
        <v>2009</v>
      </c>
      <c r="E427">
        <v>100</v>
      </c>
      <c r="F427" t="s">
        <v>28</v>
      </c>
      <c r="G427">
        <v>39</v>
      </c>
      <c r="H427">
        <v>28789.02</v>
      </c>
      <c r="I427">
        <v>1</v>
      </c>
      <c r="J427">
        <v>8915.33</v>
      </c>
    </row>
    <row r="428" spans="3:10" x14ac:dyDescent="0.25">
      <c r="C428" t="s">
        <v>163</v>
      </c>
      <c r="D428">
        <v>2009</v>
      </c>
      <c r="E428">
        <v>100</v>
      </c>
      <c r="F428" t="s">
        <v>29</v>
      </c>
      <c r="G428">
        <v>20</v>
      </c>
      <c r="H428">
        <v>16404</v>
      </c>
      <c r="I428">
        <v>0</v>
      </c>
      <c r="J428">
        <v>0</v>
      </c>
    </row>
    <row r="429" spans="3:10" x14ac:dyDescent="0.25">
      <c r="C429" t="s">
        <v>163</v>
      </c>
      <c r="D429">
        <v>2009</v>
      </c>
      <c r="E429">
        <v>100</v>
      </c>
      <c r="F429" t="s">
        <v>30</v>
      </c>
      <c r="G429">
        <v>24</v>
      </c>
      <c r="H429">
        <v>19684.8</v>
      </c>
      <c r="I429">
        <v>2</v>
      </c>
      <c r="J429">
        <v>22341.81</v>
      </c>
    </row>
    <row r="430" spans="3:10" x14ac:dyDescent="0.25">
      <c r="C430" t="s">
        <v>163</v>
      </c>
      <c r="D430">
        <v>2009</v>
      </c>
      <c r="E430">
        <v>250</v>
      </c>
      <c r="F430" t="s">
        <v>1</v>
      </c>
      <c r="G430">
        <v>106</v>
      </c>
      <c r="H430">
        <v>120744.6</v>
      </c>
      <c r="I430">
        <v>14</v>
      </c>
      <c r="J430">
        <v>132046.07</v>
      </c>
    </row>
    <row r="431" spans="3:10" x14ac:dyDescent="0.25">
      <c r="C431" t="s">
        <v>163</v>
      </c>
      <c r="D431">
        <v>2009</v>
      </c>
      <c r="E431">
        <v>250</v>
      </c>
      <c r="F431" t="s">
        <v>2</v>
      </c>
      <c r="G431">
        <v>198</v>
      </c>
      <c r="H431">
        <v>187961.4</v>
      </c>
      <c r="I431">
        <v>12</v>
      </c>
      <c r="J431">
        <v>122911.83</v>
      </c>
    </row>
    <row r="432" spans="3:10" x14ac:dyDescent="0.25">
      <c r="C432" t="s">
        <v>163</v>
      </c>
      <c r="D432">
        <v>2009</v>
      </c>
      <c r="E432">
        <v>250</v>
      </c>
      <c r="F432" t="s">
        <v>3</v>
      </c>
      <c r="G432">
        <v>227</v>
      </c>
      <c r="H432">
        <v>189631.260000001</v>
      </c>
      <c r="I432">
        <v>15</v>
      </c>
      <c r="J432">
        <v>154899.24</v>
      </c>
    </row>
    <row r="433" spans="3:10" x14ac:dyDescent="0.25">
      <c r="C433" t="s">
        <v>163</v>
      </c>
      <c r="D433">
        <v>2009</v>
      </c>
      <c r="E433">
        <v>250</v>
      </c>
      <c r="F433" t="s">
        <v>4</v>
      </c>
      <c r="G433">
        <v>214</v>
      </c>
      <c r="H433">
        <v>162520.16</v>
      </c>
      <c r="I433">
        <v>15</v>
      </c>
      <c r="J433">
        <v>155816.19</v>
      </c>
    </row>
    <row r="434" spans="3:10" x14ac:dyDescent="0.25">
      <c r="C434" t="s">
        <v>163</v>
      </c>
      <c r="D434">
        <v>2009</v>
      </c>
      <c r="E434">
        <v>250</v>
      </c>
      <c r="F434" t="s">
        <v>5</v>
      </c>
      <c r="G434">
        <v>247</v>
      </c>
      <c r="H434">
        <v>187581.68</v>
      </c>
      <c r="I434">
        <v>17</v>
      </c>
      <c r="J434">
        <v>172312.38</v>
      </c>
    </row>
    <row r="435" spans="3:10" x14ac:dyDescent="0.25">
      <c r="C435" t="s">
        <v>163</v>
      </c>
      <c r="D435">
        <v>2009</v>
      </c>
      <c r="E435">
        <v>250</v>
      </c>
      <c r="F435" t="s">
        <v>6</v>
      </c>
      <c r="G435">
        <v>260</v>
      </c>
      <c r="H435">
        <v>177710</v>
      </c>
      <c r="I435">
        <v>9</v>
      </c>
      <c r="J435">
        <v>92316.01</v>
      </c>
    </row>
    <row r="436" spans="3:10" x14ac:dyDescent="0.25">
      <c r="C436" t="s">
        <v>163</v>
      </c>
      <c r="D436">
        <v>2009</v>
      </c>
      <c r="E436">
        <v>250</v>
      </c>
      <c r="F436" t="s">
        <v>7</v>
      </c>
      <c r="G436">
        <v>242</v>
      </c>
      <c r="H436">
        <v>156215.84</v>
      </c>
      <c r="I436">
        <v>10</v>
      </c>
      <c r="J436">
        <v>100128</v>
      </c>
    </row>
    <row r="437" spans="3:10" x14ac:dyDescent="0.25">
      <c r="C437" t="s">
        <v>163</v>
      </c>
      <c r="D437">
        <v>2009</v>
      </c>
      <c r="E437">
        <v>250</v>
      </c>
      <c r="F437" t="s">
        <v>8</v>
      </c>
      <c r="G437">
        <v>228</v>
      </c>
      <c r="H437">
        <v>147178.56</v>
      </c>
      <c r="I437">
        <v>17</v>
      </c>
      <c r="J437">
        <v>168932.78</v>
      </c>
    </row>
    <row r="438" spans="3:10" x14ac:dyDescent="0.25">
      <c r="C438" t="s">
        <v>163</v>
      </c>
      <c r="D438">
        <v>2009</v>
      </c>
      <c r="E438">
        <v>250</v>
      </c>
      <c r="F438" t="s">
        <v>9</v>
      </c>
      <c r="G438">
        <v>215</v>
      </c>
      <c r="H438">
        <v>130623.25</v>
      </c>
      <c r="I438">
        <v>12</v>
      </c>
      <c r="J438">
        <v>123368.09</v>
      </c>
    </row>
    <row r="439" spans="3:10" x14ac:dyDescent="0.25">
      <c r="C439" t="s">
        <v>163</v>
      </c>
      <c r="D439">
        <v>2009</v>
      </c>
      <c r="E439">
        <v>250</v>
      </c>
      <c r="F439" t="s">
        <v>10</v>
      </c>
      <c r="G439">
        <v>161</v>
      </c>
      <c r="H439">
        <v>97815.550000000294</v>
      </c>
      <c r="I439">
        <v>8</v>
      </c>
      <c r="J439">
        <v>79948.11</v>
      </c>
    </row>
    <row r="440" spans="3:10" x14ac:dyDescent="0.25">
      <c r="C440" t="s">
        <v>163</v>
      </c>
      <c r="D440">
        <v>2009</v>
      </c>
      <c r="E440">
        <v>250</v>
      </c>
      <c r="F440" t="s">
        <v>11</v>
      </c>
      <c r="G440">
        <v>124</v>
      </c>
      <c r="H440">
        <v>75336.200000000201</v>
      </c>
      <c r="I440">
        <v>10</v>
      </c>
      <c r="J440">
        <v>97625.75</v>
      </c>
    </row>
    <row r="441" spans="3:10" x14ac:dyDescent="0.25">
      <c r="C441" t="s">
        <v>163</v>
      </c>
      <c r="D441">
        <v>2009</v>
      </c>
      <c r="E441">
        <v>250</v>
      </c>
      <c r="F441" t="s">
        <v>12</v>
      </c>
      <c r="G441">
        <v>101</v>
      </c>
      <c r="H441">
        <v>69033.5</v>
      </c>
      <c r="I441">
        <v>10</v>
      </c>
      <c r="J441">
        <v>102125.46</v>
      </c>
    </row>
    <row r="442" spans="3:10" x14ac:dyDescent="0.25">
      <c r="C442" t="s">
        <v>163</v>
      </c>
      <c r="D442">
        <v>2009</v>
      </c>
      <c r="E442">
        <v>250</v>
      </c>
      <c r="F442" t="s">
        <v>13</v>
      </c>
      <c r="G442">
        <v>74</v>
      </c>
      <c r="H442">
        <v>50579</v>
      </c>
      <c r="I442">
        <v>4</v>
      </c>
      <c r="J442">
        <v>41147.97</v>
      </c>
    </row>
    <row r="443" spans="3:10" x14ac:dyDescent="0.25">
      <c r="C443" t="s">
        <v>163</v>
      </c>
      <c r="D443">
        <v>2009</v>
      </c>
      <c r="E443">
        <v>250</v>
      </c>
      <c r="F443" t="s">
        <v>14</v>
      </c>
      <c r="G443">
        <v>48</v>
      </c>
      <c r="H443">
        <v>36453.120000000003</v>
      </c>
      <c r="I443">
        <v>6</v>
      </c>
      <c r="J443">
        <v>59626.28</v>
      </c>
    </row>
    <row r="444" spans="3:10" x14ac:dyDescent="0.25">
      <c r="C444" t="s">
        <v>163</v>
      </c>
      <c r="D444">
        <v>2009</v>
      </c>
      <c r="E444">
        <v>250</v>
      </c>
      <c r="F444" t="s">
        <v>15</v>
      </c>
      <c r="G444">
        <v>26</v>
      </c>
      <c r="H444">
        <v>19745.439999999999</v>
      </c>
      <c r="I444">
        <v>1</v>
      </c>
      <c r="J444">
        <v>8791.6</v>
      </c>
    </row>
    <row r="445" spans="3:10" x14ac:dyDescent="0.25">
      <c r="C445" t="s">
        <v>163</v>
      </c>
      <c r="D445">
        <v>2009</v>
      </c>
      <c r="E445">
        <v>250</v>
      </c>
      <c r="F445" t="s">
        <v>16</v>
      </c>
      <c r="G445">
        <v>112</v>
      </c>
      <c r="H445">
        <v>161604.79999999999</v>
      </c>
      <c r="I445">
        <v>11</v>
      </c>
      <c r="J445">
        <v>114007.51</v>
      </c>
    </row>
    <row r="446" spans="3:10" x14ac:dyDescent="0.25">
      <c r="C446" t="s">
        <v>163</v>
      </c>
      <c r="D446">
        <v>2009</v>
      </c>
      <c r="E446">
        <v>250</v>
      </c>
      <c r="F446" t="s">
        <v>17</v>
      </c>
      <c r="G446">
        <v>206</v>
      </c>
      <c r="H446">
        <v>234654.600000001</v>
      </c>
      <c r="I446">
        <v>18</v>
      </c>
      <c r="J446">
        <v>180486.09</v>
      </c>
    </row>
    <row r="447" spans="3:10" x14ac:dyDescent="0.25">
      <c r="C447" t="s">
        <v>163</v>
      </c>
      <c r="D447">
        <v>2009</v>
      </c>
      <c r="E447">
        <v>250</v>
      </c>
      <c r="F447" t="s">
        <v>18</v>
      </c>
      <c r="G447">
        <v>227</v>
      </c>
      <c r="H447">
        <v>232720.40000000101</v>
      </c>
      <c r="I447">
        <v>15</v>
      </c>
      <c r="J447">
        <v>150582.04999999999</v>
      </c>
    </row>
    <row r="448" spans="3:10" x14ac:dyDescent="0.25">
      <c r="C448" t="s">
        <v>163</v>
      </c>
      <c r="D448">
        <v>2009</v>
      </c>
      <c r="E448">
        <v>250</v>
      </c>
      <c r="F448" t="s">
        <v>19</v>
      </c>
      <c r="G448">
        <v>211</v>
      </c>
      <c r="H448">
        <v>160241.84</v>
      </c>
      <c r="I448">
        <v>18</v>
      </c>
      <c r="J448">
        <v>183665.24</v>
      </c>
    </row>
    <row r="449" spans="3:10" x14ac:dyDescent="0.25">
      <c r="C449" t="s">
        <v>163</v>
      </c>
      <c r="D449">
        <v>2009</v>
      </c>
      <c r="E449">
        <v>250</v>
      </c>
      <c r="F449" t="s">
        <v>20</v>
      </c>
      <c r="G449">
        <v>224</v>
      </c>
      <c r="H449">
        <v>170114.56</v>
      </c>
      <c r="I449">
        <v>9</v>
      </c>
      <c r="J449">
        <v>90825.09</v>
      </c>
    </row>
    <row r="450" spans="3:10" x14ac:dyDescent="0.25">
      <c r="C450" t="s">
        <v>163</v>
      </c>
      <c r="D450">
        <v>2009</v>
      </c>
      <c r="E450">
        <v>250</v>
      </c>
      <c r="F450" t="s">
        <v>21</v>
      </c>
      <c r="G450">
        <v>256</v>
      </c>
      <c r="H450">
        <v>174976</v>
      </c>
      <c r="I450">
        <v>10</v>
      </c>
      <c r="J450">
        <v>99974.29</v>
      </c>
    </row>
    <row r="451" spans="3:10" x14ac:dyDescent="0.25">
      <c r="C451" t="s">
        <v>163</v>
      </c>
      <c r="D451">
        <v>2009</v>
      </c>
      <c r="E451">
        <v>250</v>
      </c>
      <c r="F451" t="s">
        <v>22</v>
      </c>
      <c r="G451">
        <v>234</v>
      </c>
      <c r="H451">
        <v>151051.68</v>
      </c>
      <c r="I451">
        <v>10</v>
      </c>
      <c r="J451">
        <v>95578.89</v>
      </c>
    </row>
    <row r="452" spans="3:10" x14ac:dyDescent="0.25">
      <c r="C452" t="s">
        <v>163</v>
      </c>
      <c r="D452">
        <v>2009</v>
      </c>
      <c r="E452">
        <v>250</v>
      </c>
      <c r="F452" t="s">
        <v>23</v>
      </c>
      <c r="G452">
        <v>203</v>
      </c>
      <c r="H452">
        <v>131040.56</v>
      </c>
      <c r="I452">
        <v>14</v>
      </c>
      <c r="J452">
        <v>136222.99</v>
      </c>
    </row>
    <row r="453" spans="3:10" x14ac:dyDescent="0.25">
      <c r="C453" t="s">
        <v>163</v>
      </c>
      <c r="D453">
        <v>2009</v>
      </c>
      <c r="E453">
        <v>250</v>
      </c>
      <c r="F453" t="s">
        <v>24</v>
      </c>
      <c r="G453">
        <v>217</v>
      </c>
      <c r="H453">
        <v>131838.35</v>
      </c>
      <c r="I453">
        <v>11</v>
      </c>
      <c r="J453">
        <v>111622.07</v>
      </c>
    </row>
    <row r="454" spans="3:10" x14ac:dyDescent="0.25">
      <c r="C454" t="s">
        <v>163</v>
      </c>
      <c r="D454">
        <v>2009</v>
      </c>
      <c r="E454">
        <v>250</v>
      </c>
      <c r="F454" t="s">
        <v>25</v>
      </c>
      <c r="G454">
        <v>166</v>
      </c>
      <c r="H454">
        <v>100853.3</v>
      </c>
      <c r="I454">
        <v>8</v>
      </c>
      <c r="J454">
        <v>76584.320000000007</v>
      </c>
    </row>
    <row r="455" spans="3:10" x14ac:dyDescent="0.25">
      <c r="C455" t="s">
        <v>163</v>
      </c>
      <c r="D455">
        <v>2009</v>
      </c>
      <c r="E455">
        <v>250</v>
      </c>
      <c r="F455" t="s">
        <v>26</v>
      </c>
      <c r="G455">
        <v>108</v>
      </c>
      <c r="H455">
        <v>65615.400000000096</v>
      </c>
      <c r="I455">
        <v>2</v>
      </c>
      <c r="J455">
        <v>19213.91</v>
      </c>
    </row>
    <row r="456" spans="3:10" x14ac:dyDescent="0.25">
      <c r="C456" t="s">
        <v>163</v>
      </c>
      <c r="D456">
        <v>2009</v>
      </c>
      <c r="E456">
        <v>250</v>
      </c>
      <c r="F456" t="s">
        <v>27</v>
      </c>
      <c r="G456">
        <v>96</v>
      </c>
      <c r="H456">
        <v>65616</v>
      </c>
      <c r="I456">
        <v>4</v>
      </c>
      <c r="J456">
        <v>44746.06</v>
      </c>
    </row>
    <row r="457" spans="3:10" x14ac:dyDescent="0.25">
      <c r="C457" t="s">
        <v>163</v>
      </c>
      <c r="D457">
        <v>2009</v>
      </c>
      <c r="E457">
        <v>250</v>
      </c>
      <c r="F457" t="s">
        <v>28</v>
      </c>
      <c r="G457">
        <v>65</v>
      </c>
      <c r="H457">
        <v>44427.5</v>
      </c>
      <c r="I457">
        <v>4</v>
      </c>
      <c r="J457">
        <v>38808.75</v>
      </c>
    </row>
    <row r="458" spans="3:10" x14ac:dyDescent="0.25">
      <c r="C458" t="s">
        <v>163</v>
      </c>
      <c r="D458">
        <v>2009</v>
      </c>
      <c r="E458">
        <v>250</v>
      </c>
      <c r="F458" t="s">
        <v>29</v>
      </c>
      <c r="G458">
        <v>42</v>
      </c>
      <c r="H458">
        <v>31896.48</v>
      </c>
      <c r="I458">
        <v>3</v>
      </c>
      <c r="J458">
        <v>32119.52</v>
      </c>
    </row>
    <row r="459" spans="3:10" x14ac:dyDescent="0.25">
      <c r="C459" t="s">
        <v>163</v>
      </c>
      <c r="D459">
        <v>2009</v>
      </c>
      <c r="E459">
        <v>250</v>
      </c>
      <c r="F459" t="s">
        <v>30</v>
      </c>
      <c r="G459">
        <v>25</v>
      </c>
      <c r="H459">
        <v>18986</v>
      </c>
      <c r="I459">
        <v>2</v>
      </c>
      <c r="J459">
        <v>20301.68</v>
      </c>
    </row>
    <row r="460" spans="3:10" x14ac:dyDescent="0.25">
      <c r="C460" t="s">
        <v>163</v>
      </c>
      <c r="D460">
        <v>2009</v>
      </c>
      <c r="E460">
        <v>500</v>
      </c>
      <c r="F460" t="s">
        <v>1</v>
      </c>
      <c r="G460">
        <v>54</v>
      </c>
      <c r="H460">
        <v>59049</v>
      </c>
      <c r="I460">
        <v>7</v>
      </c>
      <c r="J460">
        <v>65704.240000000005</v>
      </c>
    </row>
    <row r="461" spans="3:10" x14ac:dyDescent="0.25">
      <c r="C461" t="s">
        <v>163</v>
      </c>
      <c r="D461">
        <v>2009</v>
      </c>
      <c r="E461">
        <v>500</v>
      </c>
      <c r="F461" t="s">
        <v>2</v>
      </c>
      <c r="G461">
        <v>102</v>
      </c>
      <c r="H461">
        <v>92955.660000000105</v>
      </c>
      <c r="I461">
        <v>9</v>
      </c>
      <c r="J461">
        <v>85746.58</v>
      </c>
    </row>
    <row r="462" spans="3:10" x14ac:dyDescent="0.25">
      <c r="C462" t="s">
        <v>163</v>
      </c>
      <c r="D462">
        <v>2009</v>
      </c>
      <c r="E462">
        <v>500</v>
      </c>
      <c r="F462" t="s">
        <v>3</v>
      </c>
      <c r="G462">
        <v>91</v>
      </c>
      <c r="H462">
        <v>72979.270000000106</v>
      </c>
      <c r="I462">
        <v>5</v>
      </c>
      <c r="J462">
        <v>44854.51</v>
      </c>
    </row>
    <row r="463" spans="3:10" x14ac:dyDescent="0.25">
      <c r="C463" t="s">
        <v>163</v>
      </c>
      <c r="D463">
        <v>2009</v>
      </c>
      <c r="E463">
        <v>500</v>
      </c>
      <c r="F463" t="s">
        <v>4</v>
      </c>
      <c r="G463">
        <v>114</v>
      </c>
      <c r="H463">
        <v>83112.839999999895</v>
      </c>
      <c r="I463">
        <v>10</v>
      </c>
      <c r="J463">
        <v>95314.06</v>
      </c>
    </row>
    <row r="464" spans="3:10" x14ac:dyDescent="0.25">
      <c r="C464" t="s">
        <v>163</v>
      </c>
      <c r="D464">
        <v>2009</v>
      </c>
      <c r="E464">
        <v>500</v>
      </c>
      <c r="F464" t="s">
        <v>5</v>
      </c>
      <c r="G464">
        <v>125</v>
      </c>
      <c r="H464">
        <v>91132.499999999796</v>
      </c>
      <c r="I464">
        <v>7</v>
      </c>
      <c r="J464">
        <v>66249.350000000006</v>
      </c>
    </row>
    <row r="465" spans="3:10" x14ac:dyDescent="0.25">
      <c r="C465" t="s">
        <v>163</v>
      </c>
      <c r="D465">
        <v>2009</v>
      </c>
      <c r="E465">
        <v>500</v>
      </c>
      <c r="F465" t="s">
        <v>6</v>
      </c>
      <c r="G465">
        <v>139</v>
      </c>
      <c r="H465">
        <v>91206.240000000296</v>
      </c>
      <c r="I465">
        <v>8</v>
      </c>
      <c r="J465">
        <v>67925.88</v>
      </c>
    </row>
    <row r="466" spans="3:10" x14ac:dyDescent="0.25">
      <c r="C466" t="s">
        <v>163</v>
      </c>
      <c r="D466">
        <v>2009</v>
      </c>
      <c r="E466">
        <v>500</v>
      </c>
      <c r="F466" t="s">
        <v>7</v>
      </c>
      <c r="G466">
        <v>136</v>
      </c>
      <c r="H466">
        <v>84279.199999999793</v>
      </c>
      <c r="I466">
        <v>9</v>
      </c>
      <c r="J466">
        <v>83423.8</v>
      </c>
    </row>
    <row r="467" spans="3:10" x14ac:dyDescent="0.25">
      <c r="C467" t="s">
        <v>163</v>
      </c>
      <c r="D467">
        <v>2009</v>
      </c>
      <c r="E467">
        <v>500</v>
      </c>
      <c r="F467" t="s">
        <v>8</v>
      </c>
      <c r="G467">
        <v>137</v>
      </c>
      <c r="H467">
        <v>84898.899999999805</v>
      </c>
      <c r="I467">
        <v>6</v>
      </c>
      <c r="J467">
        <v>57293.64</v>
      </c>
    </row>
    <row r="468" spans="3:10" x14ac:dyDescent="0.25">
      <c r="C468" t="s">
        <v>163</v>
      </c>
      <c r="D468">
        <v>2009</v>
      </c>
      <c r="E468">
        <v>500</v>
      </c>
      <c r="F468" t="s">
        <v>9</v>
      </c>
      <c r="G468">
        <v>106</v>
      </c>
      <c r="H468">
        <v>61824.5</v>
      </c>
      <c r="I468">
        <v>4</v>
      </c>
      <c r="J468">
        <v>35054.199999999997</v>
      </c>
    </row>
    <row r="469" spans="3:10" x14ac:dyDescent="0.25">
      <c r="C469" t="s">
        <v>163</v>
      </c>
      <c r="D469">
        <v>2009</v>
      </c>
      <c r="E469">
        <v>500</v>
      </c>
      <c r="F469" t="s">
        <v>10</v>
      </c>
      <c r="G469">
        <v>80</v>
      </c>
      <c r="H469">
        <v>46660</v>
      </c>
      <c r="I469">
        <v>1</v>
      </c>
      <c r="J469">
        <v>8950.06</v>
      </c>
    </row>
    <row r="470" spans="3:10" x14ac:dyDescent="0.25">
      <c r="C470" t="s">
        <v>163</v>
      </c>
      <c r="D470">
        <v>2009</v>
      </c>
      <c r="E470">
        <v>500</v>
      </c>
      <c r="F470" t="s">
        <v>11</v>
      </c>
      <c r="G470">
        <v>57</v>
      </c>
      <c r="H470">
        <v>33245.25</v>
      </c>
      <c r="I470">
        <v>1</v>
      </c>
      <c r="J470">
        <v>9015.1</v>
      </c>
    </row>
    <row r="471" spans="3:10" x14ac:dyDescent="0.25">
      <c r="C471" t="s">
        <v>163</v>
      </c>
      <c r="D471">
        <v>2009</v>
      </c>
      <c r="E471">
        <v>500</v>
      </c>
      <c r="F471" t="s">
        <v>12</v>
      </c>
      <c r="G471">
        <v>49</v>
      </c>
      <c r="H471">
        <v>32151.84</v>
      </c>
      <c r="I471">
        <v>1</v>
      </c>
      <c r="J471">
        <v>10607.51</v>
      </c>
    </row>
    <row r="472" spans="3:10" x14ac:dyDescent="0.25">
      <c r="C472" t="s">
        <v>163</v>
      </c>
      <c r="D472">
        <v>2009</v>
      </c>
      <c r="E472">
        <v>500</v>
      </c>
      <c r="F472" t="s">
        <v>13</v>
      </c>
      <c r="G472">
        <v>35</v>
      </c>
      <c r="H472">
        <v>22965.599999999999</v>
      </c>
      <c r="I472">
        <v>2</v>
      </c>
      <c r="J472">
        <v>18560.82</v>
      </c>
    </row>
    <row r="473" spans="3:10" x14ac:dyDescent="0.25">
      <c r="C473" t="s">
        <v>163</v>
      </c>
      <c r="D473">
        <v>2009</v>
      </c>
      <c r="E473">
        <v>500</v>
      </c>
      <c r="F473" t="s">
        <v>14</v>
      </c>
      <c r="G473">
        <v>37</v>
      </c>
      <c r="H473">
        <v>26975.22</v>
      </c>
      <c r="I473">
        <v>2</v>
      </c>
      <c r="J473">
        <v>18231.740000000002</v>
      </c>
    </row>
    <row r="474" spans="3:10" x14ac:dyDescent="0.25">
      <c r="C474" t="s">
        <v>163</v>
      </c>
      <c r="D474">
        <v>2009</v>
      </c>
      <c r="E474">
        <v>500</v>
      </c>
      <c r="F474" t="s">
        <v>15</v>
      </c>
      <c r="G474">
        <v>17</v>
      </c>
      <c r="H474">
        <v>12394.02</v>
      </c>
      <c r="I474">
        <v>2</v>
      </c>
      <c r="J474">
        <v>19760.509999999998</v>
      </c>
    </row>
    <row r="475" spans="3:10" x14ac:dyDescent="0.25">
      <c r="C475" t="s">
        <v>163</v>
      </c>
      <c r="D475">
        <v>2009</v>
      </c>
      <c r="E475">
        <v>500</v>
      </c>
      <c r="F475" t="s">
        <v>16</v>
      </c>
      <c r="G475">
        <v>49</v>
      </c>
      <c r="H475">
        <v>67874.799999999901</v>
      </c>
      <c r="I475">
        <v>6</v>
      </c>
      <c r="J475">
        <v>54853.34</v>
      </c>
    </row>
    <row r="476" spans="3:10" x14ac:dyDescent="0.25">
      <c r="C476" t="s">
        <v>163</v>
      </c>
      <c r="D476">
        <v>2009</v>
      </c>
      <c r="E476">
        <v>500</v>
      </c>
      <c r="F476" t="s">
        <v>17</v>
      </c>
      <c r="G476">
        <v>95</v>
      </c>
      <c r="H476">
        <v>103882.5</v>
      </c>
      <c r="I476">
        <v>6</v>
      </c>
      <c r="J476">
        <v>53287.040000000001</v>
      </c>
    </row>
    <row r="477" spans="3:10" x14ac:dyDescent="0.25">
      <c r="C477" t="s">
        <v>163</v>
      </c>
      <c r="D477">
        <v>2009</v>
      </c>
      <c r="E477">
        <v>500</v>
      </c>
      <c r="F477" t="s">
        <v>18</v>
      </c>
      <c r="G477">
        <v>112</v>
      </c>
      <c r="H477">
        <v>110234.88</v>
      </c>
      <c r="I477">
        <v>9</v>
      </c>
      <c r="J477">
        <v>82960.95</v>
      </c>
    </row>
    <row r="478" spans="3:10" x14ac:dyDescent="0.25">
      <c r="C478" t="s">
        <v>163</v>
      </c>
      <c r="D478">
        <v>2009</v>
      </c>
      <c r="E478">
        <v>500</v>
      </c>
      <c r="F478" t="s">
        <v>19</v>
      </c>
      <c r="G478">
        <v>115</v>
      </c>
      <c r="H478">
        <v>83841.899999999907</v>
      </c>
      <c r="I478">
        <v>6</v>
      </c>
      <c r="J478">
        <v>57599.88</v>
      </c>
    </row>
    <row r="479" spans="3:10" x14ac:dyDescent="0.25">
      <c r="C479" t="s">
        <v>163</v>
      </c>
      <c r="D479">
        <v>2009</v>
      </c>
      <c r="E479">
        <v>500</v>
      </c>
      <c r="F479" t="s">
        <v>20</v>
      </c>
      <c r="G479">
        <v>112</v>
      </c>
      <c r="H479">
        <v>81654.719999999899</v>
      </c>
      <c r="I479">
        <v>5</v>
      </c>
      <c r="J479">
        <v>45314.64</v>
      </c>
    </row>
    <row r="480" spans="3:10" x14ac:dyDescent="0.25">
      <c r="C480" t="s">
        <v>163</v>
      </c>
      <c r="D480">
        <v>2009</v>
      </c>
      <c r="E480">
        <v>500</v>
      </c>
      <c r="F480" t="s">
        <v>21</v>
      </c>
      <c r="G480">
        <v>137</v>
      </c>
      <c r="H480">
        <v>89893.920000000304</v>
      </c>
      <c r="I480">
        <v>4</v>
      </c>
      <c r="J480">
        <v>36537.17</v>
      </c>
    </row>
    <row r="481" spans="3:10" x14ac:dyDescent="0.25">
      <c r="C481" t="s">
        <v>163</v>
      </c>
      <c r="D481">
        <v>2009</v>
      </c>
      <c r="E481">
        <v>500</v>
      </c>
      <c r="F481" t="s">
        <v>22</v>
      </c>
      <c r="G481">
        <v>141</v>
      </c>
      <c r="H481">
        <v>87377.699999999793</v>
      </c>
      <c r="I481">
        <v>3</v>
      </c>
      <c r="J481">
        <v>27292.959999999999</v>
      </c>
    </row>
    <row r="482" spans="3:10" x14ac:dyDescent="0.25">
      <c r="C482" t="s">
        <v>163</v>
      </c>
      <c r="D482">
        <v>2009</v>
      </c>
      <c r="E482">
        <v>500</v>
      </c>
      <c r="F482" t="s">
        <v>23</v>
      </c>
      <c r="G482">
        <v>137</v>
      </c>
      <c r="H482">
        <v>84898.899999999805</v>
      </c>
      <c r="I482">
        <v>7</v>
      </c>
      <c r="J482">
        <v>67289.64</v>
      </c>
    </row>
    <row r="483" spans="3:10" x14ac:dyDescent="0.25">
      <c r="C483" t="s">
        <v>163</v>
      </c>
      <c r="D483">
        <v>2009</v>
      </c>
      <c r="E483">
        <v>500</v>
      </c>
      <c r="F483" t="s">
        <v>24</v>
      </c>
      <c r="G483">
        <v>88</v>
      </c>
      <c r="H483">
        <v>51326</v>
      </c>
      <c r="I483">
        <v>3</v>
      </c>
      <c r="J483">
        <v>29153.87</v>
      </c>
    </row>
    <row r="484" spans="3:10" x14ac:dyDescent="0.25">
      <c r="C484" t="s">
        <v>163</v>
      </c>
      <c r="D484">
        <v>2009</v>
      </c>
      <c r="E484">
        <v>500</v>
      </c>
      <c r="F484" t="s">
        <v>25</v>
      </c>
      <c r="G484">
        <v>82</v>
      </c>
      <c r="H484">
        <v>47826.5</v>
      </c>
      <c r="I484">
        <v>5</v>
      </c>
      <c r="J484">
        <v>50135.45</v>
      </c>
    </row>
    <row r="485" spans="3:10" x14ac:dyDescent="0.25">
      <c r="C485" t="s">
        <v>163</v>
      </c>
      <c r="D485">
        <v>2009</v>
      </c>
      <c r="E485">
        <v>500</v>
      </c>
      <c r="F485" t="s">
        <v>26</v>
      </c>
      <c r="G485">
        <v>59</v>
      </c>
      <c r="H485">
        <v>34411.75</v>
      </c>
      <c r="I485">
        <v>7</v>
      </c>
      <c r="J485">
        <v>68159.240000000005</v>
      </c>
    </row>
    <row r="486" spans="3:10" x14ac:dyDescent="0.25">
      <c r="C486" t="s">
        <v>163</v>
      </c>
      <c r="D486">
        <v>2009</v>
      </c>
      <c r="E486">
        <v>500</v>
      </c>
      <c r="F486" t="s">
        <v>27</v>
      </c>
      <c r="G486">
        <v>53</v>
      </c>
      <c r="H486">
        <v>34776.480000000003</v>
      </c>
      <c r="I486">
        <v>2</v>
      </c>
      <c r="J486">
        <v>21565.34</v>
      </c>
    </row>
    <row r="487" spans="3:10" x14ac:dyDescent="0.25">
      <c r="C487" t="s">
        <v>163</v>
      </c>
      <c r="D487">
        <v>2009</v>
      </c>
      <c r="E487">
        <v>500</v>
      </c>
      <c r="F487" t="s">
        <v>28</v>
      </c>
      <c r="G487">
        <v>36</v>
      </c>
      <c r="H487">
        <v>23621.759999999998</v>
      </c>
      <c r="I487">
        <v>4</v>
      </c>
      <c r="J487">
        <v>38341.93</v>
      </c>
    </row>
    <row r="488" spans="3:10" x14ac:dyDescent="0.25">
      <c r="C488" t="s">
        <v>163</v>
      </c>
      <c r="D488">
        <v>2009</v>
      </c>
      <c r="E488">
        <v>500</v>
      </c>
      <c r="F488" t="s">
        <v>29</v>
      </c>
      <c r="G488">
        <v>26</v>
      </c>
      <c r="H488">
        <v>18955.560000000001</v>
      </c>
      <c r="I488">
        <v>2</v>
      </c>
      <c r="J488">
        <v>20048.84</v>
      </c>
    </row>
    <row r="489" spans="3:10" x14ac:dyDescent="0.25">
      <c r="C489" t="s">
        <v>163</v>
      </c>
      <c r="D489">
        <v>2009</v>
      </c>
      <c r="E489">
        <v>500</v>
      </c>
      <c r="F489" t="s">
        <v>30</v>
      </c>
      <c r="G489">
        <v>14</v>
      </c>
      <c r="H489">
        <v>10206.84</v>
      </c>
      <c r="I489">
        <v>1</v>
      </c>
      <c r="J489">
        <v>9741.92</v>
      </c>
    </row>
    <row r="490" spans="3:10" x14ac:dyDescent="0.25">
      <c r="C490" t="s">
        <v>163</v>
      </c>
      <c r="D490">
        <v>2009</v>
      </c>
      <c r="E490">
        <v>1000</v>
      </c>
      <c r="F490" t="s">
        <v>1</v>
      </c>
      <c r="G490">
        <v>20</v>
      </c>
      <c r="H490">
        <v>20048</v>
      </c>
      <c r="I490">
        <v>2</v>
      </c>
      <c r="J490">
        <v>15653.74</v>
      </c>
    </row>
    <row r="491" spans="3:10" x14ac:dyDescent="0.25">
      <c r="C491" t="s">
        <v>163</v>
      </c>
      <c r="D491">
        <v>2009</v>
      </c>
      <c r="E491">
        <v>1000</v>
      </c>
      <c r="F491" t="s">
        <v>2</v>
      </c>
      <c r="G491">
        <v>54</v>
      </c>
      <c r="H491">
        <v>45110.52</v>
      </c>
      <c r="I491">
        <v>3</v>
      </c>
      <c r="J491">
        <v>25569.54</v>
      </c>
    </row>
    <row r="492" spans="3:10" x14ac:dyDescent="0.25">
      <c r="C492" t="s">
        <v>163</v>
      </c>
      <c r="D492">
        <v>2009</v>
      </c>
      <c r="E492">
        <v>1000</v>
      </c>
      <c r="F492" t="s">
        <v>3</v>
      </c>
      <c r="G492">
        <v>61</v>
      </c>
      <c r="H492">
        <v>44843.54</v>
      </c>
      <c r="I492">
        <v>3</v>
      </c>
      <c r="J492">
        <v>25269.89</v>
      </c>
    </row>
    <row r="493" spans="3:10" x14ac:dyDescent="0.25">
      <c r="C493" t="s">
        <v>163</v>
      </c>
      <c r="D493">
        <v>2009</v>
      </c>
      <c r="E493">
        <v>1000</v>
      </c>
      <c r="F493" t="s">
        <v>4</v>
      </c>
      <c r="G493">
        <v>65</v>
      </c>
      <c r="H493">
        <v>43440.15</v>
      </c>
      <c r="I493">
        <v>1</v>
      </c>
      <c r="J493">
        <v>9098.7199999999993</v>
      </c>
    </row>
    <row r="494" spans="3:10" x14ac:dyDescent="0.25">
      <c r="C494" t="s">
        <v>163</v>
      </c>
      <c r="D494">
        <v>2009</v>
      </c>
      <c r="E494">
        <v>1000</v>
      </c>
      <c r="F494" t="s">
        <v>5</v>
      </c>
      <c r="G494">
        <v>72</v>
      </c>
      <c r="H494">
        <v>48118.32</v>
      </c>
      <c r="I494">
        <v>6</v>
      </c>
      <c r="J494">
        <v>54162.22</v>
      </c>
    </row>
    <row r="495" spans="3:10" x14ac:dyDescent="0.25">
      <c r="C495" t="s">
        <v>163</v>
      </c>
      <c r="D495">
        <v>2009</v>
      </c>
      <c r="E495">
        <v>1000</v>
      </c>
      <c r="F495" t="s">
        <v>6</v>
      </c>
      <c r="G495">
        <v>68</v>
      </c>
      <c r="H495">
        <v>40900.639999999999</v>
      </c>
      <c r="I495">
        <v>4</v>
      </c>
      <c r="J495">
        <v>34757.300000000003</v>
      </c>
    </row>
    <row r="496" spans="3:10" x14ac:dyDescent="0.25">
      <c r="C496" t="s">
        <v>163</v>
      </c>
      <c r="D496">
        <v>2009</v>
      </c>
      <c r="E496">
        <v>1000</v>
      </c>
      <c r="F496" t="s">
        <v>7</v>
      </c>
      <c r="G496">
        <v>75</v>
      </c>
      <c r="H496">
        <v>42604.5</v>
      </c>
      <c r="I496">
        <v>2</v>
      </c>
      <c r="J496">
        <v>19021.560000000001</v>
      </c>
    </row>
    <row r="497" spans="3:10" x14ac:dyDescent="0.25">
      <c r="C497" t="s">
        <v>163</v>
      </c>
      <c r="D497">
        <v>2009</v>
      </c>
      <c r="E497">
        <v>1000</v>
      </c>
      <c r="F497" t="s">
        <v>8</v>
      </c>
      <c r="G497">
        <v>66</v>
      </c>
      <c r="H497">
        <v>37491.96</v>
      </c>
      <c r="I497">
        <v>4</v>
      </c>
      <c r="J497">
        <v>35974</v>
      </c>
    </row>
    <row r="498" spans="3:10" x14ac:dyDescent="0.25">
      <c r="C498" t="s">
        <v>163</v>
      </c>
      <c r="D498">
        <v>2009</v>
      </c>
      <c r="E498">
        <v>1000</v>
      </c>
      <c r="F498" t="s">
        <v>9</v>
      </c>
      <c r="G498">
        <v>48</v>
      </c>
      <c r="H498">
        <v>25663.200000000001</v>
      </c>
      <c r="I498">
        <v>1</v>
      </c>
      <c r="J498">
        <v>5380.68</v>
      </c>
    </row>
    <row r="499" spans="3:10" x14ac:dyDescent="0.25">
      <c r="C499" t="s">
        <v>163</v>
      </c>
      <c r="D499">
        <v>2009</v>
      </c>
      <c r="E499">
        <v>1000</v>
      </c>
      <c r="F499" t="s">
        <v>10</v>
      </c>
      <c r="G499">
        <v>46</v>
      </c>
      <c r="H499">
        <v>24593.9</v>
      </c>
      <c r="I499">
        <v>4</v>
      </c>
      <c r="J499">
        <v>33219.019999999997</v>
      </c>
    </row>
    <row r="500" spans="3:10" x14ac:dyDescent="0.25">
      <c r="C500" t="s">
        <v>163</v>
      </c>
      <c r="D500">
        <v>2009</v>
      </c>
      <c r="E500">
        <v>1000</v>
      </c>
      <c r="F500" t="s">
        <v>11</v>
      </c>
      <c r="G500">
        <v>22</v>
      </c>
      <c r="H500">
        <v>11762.3</v>
      </c>
      <c r="I500">
        <v>1</v>
      </c>
      <c r="J500">
        <v>7783.13</v>
      </c>
    </row>
    <row r="501" spans="3:10" x14ac:dyDescent="0.25">
      <c r="C501" t="s">
        <v>163</v>
      </c>
      <c r="D501">
        <v>2009</v>
      </c>
      <c r="E501">
        <v>1000</v>
      </c>
      <c r="F501" t="s">
        <v>12</v>
      </c>
      <c r="G501">
        <v>29</v>
      </c>
      <c r="H501">
        <v>17442.919999999998</v>
      </c>
      <c r="I501">
        <v>3</v>
      </c>
      <c r="J501">
        <v>27392.36</v>
      </c>
    </row>
    <row r="502" spans="3:10" x14ac:dyDescent="0.25">
      <c r="C502" t="s">
        <v>163</v>
      </c>
      <c r="D502">
        <v>2009</v>
      </c>
      <c r="E502">
        <v>1000</v>
      </c>
      <c r="F502" t="s">
        <v>13</v>
      </c>
      <c r="G502">
        <v>16</v>
      </c>
      <c r="H502">
        <v>9623.68</v>
      </c>
      <c r="I502">
        <v>0</v>
      </c>
      <c r="J502">
        <v>0</v>
      </c>
    </row>
    <row r="503" spans="3:10" x14ac:dyDescent="0.25">
      <c r="C503" t="s">
        <v>163</v>
      </c>
      <c r="D503">
        <v>2009</v>
      </c>
      <c r="E503">
        <v>1000</v>
      </c>
      <c r="F503" t="s">
        <v>14</v>
      </c>
      <c r="G503">
        <v>22</v>
      </c>
      <c r="H503">
        <v>14702.82</v>
      </c>
      <c r="I503">
        <v>1</v>
      </c>
      <c r="J503">
        <v>8687.85</v>
      </c>
    </row>
    <row r="504" spans="3:10" x14ac:dyDescent="0.25">
      <c r="C504" t="s">
        <v>163</v>
      </c>
      <c r="D504">
        <v>2009</v>
      </c>
      <c r="E504">
        <v>1000</v>
      </c>
      <c r="F504" t="s">
        <v>15</v>
      </c>
      <c r="G504">
        <v>11</v>
      </c>
      <c r="H504">
        <v>7351.41</v>
      </c>
      <c r="I504">
        <v>0</v>
      </c>
      <c r="J504">
        <v>0</v>
      </c>
    </row>
    <row r="505" spans="3:10" x14ac:dyDescent="0.25">
      <c r="C505" t="s">
        <v>163</v>
      </c>
      <c r="D505">
        <v>2009</v>
      </c>
      <c r="E505">
        <v>1000</v>
      </c>
      <c r="F505" t="s">
        <v>16</v>
      </c>
      <c r="G505">
        <v>29</v>
      </c>
      <c r="H505">
        <v>36821.300000000003</v>
      </c>
      <c r="I505">
        <v>2</v>
      </c>
      <c r="J505">
        <v>16967.75</v>
      </c>
    </row>
    <row r="506" spans="3:10" x14ac:dyDescent="0.25">
      <c r="C506" t="s">
        <v>163</v>
      </c>
      <c r="D506">
        <v>2009</v>
      </c>
      <c r="E506">
        <v>1000</v>
      </c>
      <c r="F506" t="s">
        <v>17</v>
      </c>
      <c r="G506">
        <v>63</v>
      </c>
      <c r="H506">
        <v>63151.200000000099</v>
      </c>
      <c r="I506">
        <v>4</v>
      </c>
      <c r="J506">
        <v>36049.19</v>
      </c>
    </row>
    <row r="507" spans="3:10" x14ac:dyDescent="0.25">
      <c r="C507" t="s">
        <v>163</v>
      </c>
      <c r="D507">
        <v>2009</v>
      </c>
      <c r="E507">
        <v>1000</v>
      </c>
      <c r="F507" t="s">
        <v>18</v>
      </c>
      <c r="G507">
        <v>62</v>
      </c>
      <c r="H507">
        <v>55937.64</v>
      </c>
      <c r="I507">
        <v>4</v>
      </c>
      <c r="J507">
        <v>36331.910000000003</v>
      </c>
    </row>
    <row r="508" spans="3:10" x14ac:dyDescent="0.25">
      <c r="C508" t="s">
        <v>163</v>
      </c>
      <c r="D508">
        <v>2009</v>
      </c>
      <c r="E508">
        <v>1000</v>
      </c>
      <c r="F508" t="s">
        <v>19</v>
      </c>
      <c r="G508">
        <v>67</v>
      </c>
      <c r="H508">
        <v>44776.77</v>
      </c>
      <c r="I508">
        <v>5</v>
      </c>
      <c r="J508">
        <v>43580.12</v>
      </c>
    </row>
    <row r="509" spans="3:10" x14ac:dyDescent="0.25">
      <c r="C509" t="s">
        <v>163</v>
      </c>
      <c r="D509">
        <v>2009</v>
      </c>
      <c r="E509">
        <v>1000</v>
      </c>
      <c r="F509" t="s">
        <v>20</v>
      </c>
      <c r="G509">
        <v>64</v>
      </c>
      <c r="H509">
        <v>42771.839999999997</v>
      </c>
      <c r="I509">
        <v>8</v>
      </c>
      <c r="J509">
        <v>72908.740000000005</v>
      </c>
    </row>
    <row r="510" spans="3:10" x14ac:dyDescent="0.25">
      <c r="C510" t="s">
        <v>163</v>
      </c>
      <c r="D510">
        <v>2009</v>
      </c>
      <c r="E510">
        <v>1000</v>
      </c>
      <c r="F510" t="s">
        <v>21</v>
      </c>
      <c r="G510">
        <v>81</v>
      </c>
      <c r="H510">
        <v>48719.880000000099</v>
      </c>
      <c r="I510">
        <v>6</v>
      </c>
      <c r="J510">
        <v>55982.33</v>
      </c>
    </row>
    <row r="511" spans="3:10" x14ac:dyDescent="0.25">
      <c r="C511" t="s">
        <v>163</v>
      </c>
      <c r="D511">
        <v>2009</v>
      </c>
      <c r="E511">
        <v>1000</v>
      </c>
      <c r="F511" t="s">
        <v>22</v>
      </c>
      <c r="G511">
        <v>57</v>
      </c>
      <c r="H511">
        <v>32379.42</v>
      </c>
      <c r="I511">
        <v>5</v>
      </c>
      <c r="J511">
        <v>44016.44</v>
      </c>
    </row>
    <row r="512" spans="3:10" x14ac:dyDescent="0.25">
      <c r="C512" t="s">
        <v>163</v>
      </c>
      <c r="D512">
        <v>2009</v>
      </c>
      <c r="E512">
        <v>1000</v>
      </c>
      <c r="F512" t="s">
        <v>23</v>
      </c>
      <c r="G512">
        <v>62</v>
      </c>
      <c r="H512">
        <v>35219.72</v>
      </c>
      <c r="I512">
        <v>2</v>
      </c>
      <c r="J512">
        <v>17586.78</v>
      </c>
    </row>
    <row r="513" spans="3:10" x14ac:dyDescent="0.25">
      <c r="C513" t="s">
        <v>163</v>
      </c>
      <c r="D513">
        <v>2009</v>
      </c>
      <c r="E513">
        <v>1000</v>
      </c>
      <c r="F513" t="s">
        <v>24</v>
      </c>
      <c r="G513">
        <v>64</v>
      </c>
      <c r="H513">
        <v>34217.599999999999</v>
      </c>
      <c r="I513">
        <v>5</v>
      </c>
      <c r="J513">
        <v>41810.67</v>
      </c>
    </row>
    <row r="514" spans="3:10" x14ac:dyDescent="0.25">
      <c r="C514" t="s">
        <v>163</v>
      </c>
      <c r="D514">
        <v>2009</v>
      </c>
      <c r="E514">
        <v>1000</v>
      </c>
      <c r="F514" t="s">
        <v>25</v>
      </c>
      <c r="G514">
        <v>36</v>
      </c>
      <c r="H514">
        <v>19247.400000000001</v>
      </c>
      <c r="I514">
        <v>1</v>
      </c>
      <c r="J514">
        <v>8841.06</v>
      </c>
    </row>
    <row r="515" spans="3:10" x14ac:dyDescent="0.25">
      <c r="C515" t="s">
        <v>163</v>
      </c>
      <c r="D515">
        <v>2009</v>
      </c>
      <c r="E515">
        <v>1000</v>
      </c>
      <c r="F515" t="s">
        <v>26</v>
      </c>
      <c r="G515">
        <v>35</v>
      </c>
      <c r="H515">
        <v>18712.75</v>
      </c>
      <c r="I515">
        <v>0</v>
      </c>
      <c r="J515">
        <v>0</v>
      </c>
    </row>
    <row r="516" spans="3:10" x14ac:dyDescent="0.25">
      <c r="C516" t="s">
        <v>163</v>
      </c>
      <c r="D516">
        <v>2009</v>
      </c>
      <c r="E516">
        <v>1000</v>
      </c>
      <c r="F516" t="s">
        <v>27</v>
      </c>
      <c r="G516">
        <v>30</v>
      </c>
      <c r="H516">
        <v>18044.400000000001</v>
      </c>
      <c r="I516">
        <v>1</v>
      </c>
      <c r="J516">
        <v>9943.65</v>
      </c>
    </row>
    <row r="517" spans="3:10" x14ac:dyDescent="0.25">
      <c r="C517" t="s">
        <v>163</v>
      </c>
      <c r="D517">
        <v>2009</v>
      </c>
      <c r="E517">
        <v>1000</v>
      </c>
      <c r="F517" t="s">
        <v>28</v>
      </c>
      <c r="G517">
        <v>22</v>
      </c>
      <c r="H517">
        <v>13232.56</v>
      </c>
      <c r="I517">
        <v>0</v>
      </c>
      <c r="J517">
        <v>0</v>
      </c>
    </row>
    <row r="518" spans="3:10" x14ac:dyDescent="0.25">
      <c r="C518" t="s">
        <v>163</v>
      </c>
      <c r="D518">
        <v>2009</v>
      </c>
      <c r="E518">
        <v>1000</v>
      </c>
      <c r="F518" t="s">
        <v>29</v>
      </c>
      <c r="G518">
        <v>10</v>
      </c>
      <c r="H518">
        <v>6683.1</v>
      </c>
      <c r="I518">
        <v>0</v>
      </c>
      <c r="J518">
        <v>0</v>
      </c>
    </row>
    <row r="519" spans="3:10" x14ac:dyDescent="0.25">
      <c r="C519" t="s">
        <v>163</v>
      </c>
      <c r="D519">
        <v>2009</v>
      </c>
      <c r="E519">
        <v>1000</v>
      </c>
      <c r="F519" t="s">
        <v>30</v>
      </c>
      <c r="G519">
        <v>12</v>
      </c>
      <c r="H519">
        <v>8019.72</v>
      </c>
      <c r="I519">
        <v>1</v>
      </c>
      <c r="J519">
        <v>8220.2099999999991</v>
      </c>
    </row>
    <row r="520" spans="3:10" x14ac:dyDescent="0.25">
      <c r="C520" t="s">
        <v>163</v>
      </c>
      <c r="D520">
        <v>2009</v>
      </c>
      <c r="E520">
        <v>2000</v>
      </c>
      <c r="F520" t="s">
        <v>1</v>
      </c>
      <c r="G520">
        <v>25</v>
      </c>
      <c r="H520">
        <v>24207.25</v>
      </c>
      <c r="I520">
        <v>2</v>
      </c>
      <c r="J520">
        <v>18442.64</v>
      </c>
    </row>
    <row r="521" spans="3:10" x14ac:dyDescent="0.25">
      <c r="C521" t="s">
        <v>163</v>
      </c>
      <c r="D521">
        <v>2009</v>
      </c>
      <c r="E521">
        <v>2000</v>
      </c>
      <c r="F521" t="s">
        <v>2</v>
      </c>
      <c r="G521">
        <v>41</v>
      </c>
      <c r="H521">
        <v>33083.31</v>
      </c>
      <c r="I521">
        <v>3</v>
      </c>
      <c r="J521">
        <v>24375.05</v>
      </c>
    </row>
    <row r="522" spans="3:10" x14ac:dyDescent="0.25">
      <c r="C522" t="s">
        <v>163</v>
      </c>
      <c r="D522">
        <v>2009</v>
      </c>
      <c r="E522">
        <v>2000</v>
      </c>
      <c r="F522" t="s">
        <v>3</v>
      </c>
      <c r="G522">
        <v>43</v>
      </c>
      <c r="H522">
        <v>30533.439999999999</v>
      </c>
      <c r="I522">
        <v>2</v>
      </c>
      <c r="J522">
        <v>17670.05</v>
      </c>
    </row>
    <row r="523" spans="3:10" x14ac:dyDescent="0.25">
      <c r="C523" t="s">
        <v>163</v>
      </c>
      <c r="D523">
        <v>2009</v>
      </c>
      <c r="E523">
        <v>2000</v>
      </c>
      <c r="F523" t="s">
        <v>4</v>
      </c>
      <c r="G523">
        <v>39</v>
      </c>
      <c r="H523">
        <v>25175.279999999999</v>
      </c>
      <c r="I523">
        <v>4</v>
      </c>
      <c r="J523">
        <v>33118.74</v>
      </c>
    </row>
    <row r="524" spans="3:10" x14ac:dyDescent="0.25">
      <c r="C524" t="s">
        <v>163</v>
      </c>
      <c r="D524">
        <v>2009</v>
      </c>
      <c r="E524">
        <v>2000</v>
      </c>
      <c r="F524" t="s">
        <v>5</v>
      </c>
      <c r="G524">
        <v>35</v>
      </c>
      <c r="H524">
        <v>22593.200000000001</v>
      </c>
      <c r="I524">
        <v>0</v>
      </c>
      <c r="J524">
        <v>0</v>
      </c>
    </row>
    <row r="525" spans="3:10" x14ac:dyDescent="0.25">
      <c r="C525" t="s">
        <v>163</v>
      </c>
      <c r="D525">
        <v>2009</v>
      </c>
      <c r="E525">
        <v>2000</v>
      </c>
      <c r="F525" t="s">
        <v>6</v>
      </c>
      <c r="G525">
        <v>44</v>
      </c>
      <c r="H525">
        <v>25562.68</v>
      </c>
      <c r="I525">
        <v>3</v>
      </c>
      <c r="J525">
        <v>24917.27</v>
      </c>
    </row>
    <row r="526" spans="3:10" x14ac:dyDescent="0.25">
      <c r="C526" t="s">
        <v>163</v>
      </c>
      <c r="D526">
        <v>2009</v>
      </c>
      <c r="E526">
        <v>2000</v>
      </c>
      <c r="F526" t="s">
        <v>7</v>
      </c>
      <c r="G526">
        <v>62</v>
      </c>
      <c r="H526">
        <v>34019.4</v>
      </c>
      <c r="I526">
        <v>2</v>
      </c>
      <c r="J526">
        <v>17899.72</v>
      </c>
    </row>
    <row r="527" spans="3:10" x14ac:dyDescent="0.25">
      <c r="C527" t="s">
        <v>163</v>
      </c>
      <c r="D527">
        <v>2009</v>
      </c>
      <c r="E527">
        <v>2000</v>
      </c>
      <c r="F527" t="s">
        <v>8</v>
      </c>
      <c r="G527">
        <v>40</v>
      </c>
      <c r="H527">
        <v>21948</v>
      </c>
      <c r="I527">
        <v>2</v>
      </c>
      <c r="J527">
        <v>15233.24</v>
      </c>
    </row>
    <row r="528" spans="3:10" x14ac:dyDescent="0.25">
      <c r="C528" t="s">
        <v>163</v>
      </c>
      <c r="D528">
        <v>2009</v>
      </c>
      <c r="E528">
        <v>2000</v>
      </c>
      <c r="F528" t="s">
        <v>9</v>
      </c>
      <c r="G528">
        <v>30</v>
      </c>
      <c r="H528">
        <v>15492.6</v>
      </c>
      <c r="I528">
        <v>1</v>
      </c>
      <c r="J528">
        <v>7751.17</v>
      </c>
    </row>
    <row r="529" spans="3:10" x14ac:dyDescent="0.25">
      <c r="C529" t="s">
        <v>163</v>
      </c>
      <c r="D529">
        <v>2009</v>
      </c>
      <c r="E529">
        <v>2000</v>
      </c>
      <c r="F529" t="s">
        <v>10</v>
      </c>
      <c r="G529">
        <v>34</v>
      </c>
      <c r="H529">
        <v>17558.28</v>
      </c>
      <c r="I529">
        <v>4</v>
      </c>
      <c r="J529">
        <v>34236.76</v>
      </c>
    </row>
    <row r="530" spans="3:10" x14ac:dyDescent="0.25">
      <c r="C530" t="s">
        <v>163</v>
      </c>
      <c r="D530">
        <v>2009</v>
      </c>
      <c r="E530">
        <v>2000</v>
      </c>
      <c r="F530" t="s">
        <v>11</v>
      </c>
      <c r="G530">
        <v>21</v>
      </c>
      <c r="H530">
        <v>10844.82</v>
      </c>
      <c r="I530">
        <v>1</v>
      </c>
      <c r="J530">
        <v>8578.02</v>
      </c>
    </row>
    <row r="531" spans="3:10" x14ac:dyDescent="0.25">
      <c r="C531" t="s">
        <v>163</v>
      </c>
      <c r="D531">
        <v>2009</v>
      </c>
      <c r="E531">
        <v>2000</v>
      </c>
      <c r="F531" t="s">
        <v>12</v>
      </c>
      <c r="G531">
        <v>18</v>
      </c>
      <c r="H531">
        <v>10457.459999999999</v>
      </c>
      <c r="I531">
        <v>0</v>
      </c>
      <c r="J531">
        <v>0</v>
      </c>
    </row>
    <row r="532" spans="3:10" x14ac:dyDescent="0.25">
      <c r="C532" t="s">
        <v>163</v>
      </c>
      <c r="D532">
        <v>2009</v>
      </c>
      <c r="E532">
        <v>2000</v>
      </c>
      <c r="F532" t="s">
        <v>13</v>
      </c>
      <c r="G532">
        <v>14</v>
      </c>
      <c r="H532">
        <v>8133.58</v>
      </c>
      <c r="I532">
        <v>0</v>
      </c>
      <c r="J532">
        <v>0</v>
      </c>
    </row>
    <row r="533" spans="3:10" x14ac:dyDescent="0.25">
      <c r="C533" t="s">
        <v>163</v>
      </c>
      <c r="D533">
        <v>2009</v>
      </c>
      <c r="E533">
        <v>2000</v>
      </c>
      <c r="F533" t="s">
        <v>14</v>
      </c>
      <c r="G533">
        <v>16</v>
      </c>
      <c r="H533">
        <v>10328.32</v>
      </c>
      <c r="I533">
        <v>1</v>
      </c>
      <c r="J533">
        <v>8879.1299999999992</v>
      </c>
    </row>
    <row r="534" spans="3:10" x14ac:dyDescent="0.25">
      <c r="C534" t="s">
        <v>163</v>
      </c>
      <c r="D534">
        <v>2009</v>
      </c>
      <c r="E534">
        <v>2000</v>
      </c>
      <c r="F534" t="s">
        <v>15</v>
      </c>
      <c r="G534">
        <v>5</v>
      </c>
      <c r="H534">
        <v>3227.6</v>
      </c>
      <c r="I534">
        <v>0</v>
      </c>
      <c r="J534">
        <v>0</v>
      </c>
    </row>
    <row r="535" spans="3:10" x14ac:dyDescent="0.25">
      <c r="C535" t="s">
        <v>163</v>
      </c>
      <c r="D535">
        <v>2009</v>
      </c>
      <c r="E535">
        <v>2000</v>
      </c>
      <c r="F535" t="s">
        <v>16</v>
      </c>
      <c r="G535">
        <v>19</v>
      </c>
      <c r="H535">
        <v>23303.5</v>
      </c>
      <c r="I535">
        <v>1</v>
      </c>
      <c r="J535">
        <v>7827.39</v>
      </c>
    </row>
    <row r="536" spans="3:10" x14ac:dyDescent="0.25">
      <c r="C536" t="s">
        <v>163</v>
      </c>
      <c r="D536">
        <v>2009</v>
      </c>
      <c r="E536">
        <v>2000</v>
      </c>
      <c r="F536" t="s">
        <v>17</v>
      </c>
      <c r="G536">
        <v>43</v>
      </c>
      <c r="H536">
        <v>41636.47</v>
      </c>
      <c r="I536">
        <v>8</v>
      </c>
      <c r="J536">
        <v>68615.83</v>
      </c>
    </row>
    <row r="537" spans="3:10" x14ac:dyDescent="0.25">
      <c r="C537" t="s">
        <v>163</v>
      </c>
      <c r="D537">
        <v>2009</v>
      </c>
      <c r="E537">
        <v>2000</v>
      </c>
      <c r="F537" t="s">
        <v>18</v>
      </c>
      <c r="G537">
        <v>51</v>
      </c>
      <c r="H537">
        <v>44444.46</v>
      </c>
      <c r="I537">
        <v>5</v>
      </c>
      <c r="J537">
        <v>40901.19</v>
      </c>
    </row>
    <row r="538" spans="3:10" x14ac:dyDescent="0.25">
      <c r="C538" t="s">
        <v>163</v>
      </c>
      <c r="D538">
        <v>2009</v>
      </c>
      <c r="E538">
        <v>2000</v>
      </c>
      <c r="F538" t="s">
        <v>19</v>
      </c>
      <c r="G538">
        <v>38</v>
      </c>
      <c r="H538">
        <v>24529.759999999998</v>
      </c>
      <c r="I538">
        <v>1</v>
      </c>
      <c r="J538">
        <v>7842.34</v>
      </c>
    </row>
    <row r="539" spans="3:10" x14ac:dyDescent="0.25">
      <c r="C539" t="s">
        <v>163</v>
      </c>
      <c r="D539">
        <v>2009</v>
      </c>
      <c r="E539">
        <v>2000</v>
      </c>
      <c r="F539" t="s">
        <v>20</v>
      </c>
      <c r="G539">
        <v>49</v>
      </c>
      <c r="H539">
        <v>31630.48</v>
      </c>
      <c r="I539">
        <v>4</v>
      </c>
      <c r="J539">
        <v>36535.800000000003</v>
      </c>
    </row>
    <row r="540" spans="3:10" x14ac:dyDescent="0.25">
      <c r="C540" t="s">
        <v>163</v>
      </c>
      <c r="D540">
        <v>2009</v>
      </c>
      <c r="E540">
        <v>2000</v>
      </c>
      <c r="F540" t="s">
        <v>21</v>
      </c>
      <c r="G540">
        <v>35</v>
      </c>
      <c r="H540">
        <v>20333.95</v>
      </c>
      <c r="I540">
        <v>0</v>
      </c>
      <c r="J540">
        <v>0</v>
      </c>
    </row>
    <row r="541" spans="3:10" x14ac:dyDescent="0.25">
      <c r="C541" t="s">
        <v>163</v>
      </c>
      <c r="D541">
        <v>2009</v>
      </c>
      <c r="E541">
        <v>2000</v>
      </c>
      <c r="F541" t="s">
        <v>22</v>
      </c>
      <c r="G541">
        <v>57</v>
      </c>
      <c r="H541">
        <v>31275.9</v>
      </c>
      <c r="I541">
        <v>1</v>
      </c>
      <c r="J541">
        <v>6735.26</v>
      </c>
    </row>
    <row r="542" spans="3:10" x14ac:dyDescent="0.25">
      <c r="C542" t="s">
        <v>163</v>
      </c>
      <c r="D542">
        <v>2009</v>
      </c>
      <c r="E542">
        <v>2000</v>
      </c>
      <c r="F542" t="s">
        <v>23</v>
      </c>
      <c r="G542">
        <v>55</v>
      </c>
      <c r="H542">
        <v>30178.5</v>
      </c>
      <c r="I542">
        <v>1</v>
      </c>
      <c r="J542">
        <v>8741.68</v>
      </c>
    </row>
    <row r="543" spans="3:10" x14ac:dyDescent="0.25">
      <c r="C543" t="s">
        <v>163</v>
      </c>
      <c r="D543">
        <v>2009</v>
      </c>
      <c r="E543">
        <v>2000</v>
      </c>
      <c r="F543" t="s">
        <v>24</v>
      </c>
      <c r="G543">
        <v>43</v>
      </c>
      <c r="H543">
        <v>22206.06</v>
      </c>
      <c r="I543">
        <v>3</v>
      </c>
      <c r="J543">
        <v>25070.73</v>
      </c>
    </row>
    <row r="544" spans="3:10" x14ac:dyDescent="0.25">
      <c r="C544" t="s">
        <v>163</v>
      </c>
      <c r="D544">
        <v>2009</v>
      </c>
      <c r="E544">
        <v>2000</v>
      </c>
      <c r="F544" t="s">
        <v>25</v>
      </c>
      <c r="G544">
        <v>32</v>
      </c>
      <c r="H544">
        <v>16525.439999999999</v>
      </c>
      <c r="I544">
        <v>2</v>
      </c>
      <c r="J544">
        <v>17080.23</v>
      </c>
    </row>
    <row r="545" spans="3:10" x14ac:dyDescent="0.25">
      <c r="C545" t="s">
        <v>163</v>
      </c>
      <c r="D545">
        <v>2009</v>
      </c>
      <c r="E545">
        <v>2000</v>
      </c>
      <c r="F545" t="s">
        <v>26</v>
      </c>
      <c r="G545">
        <v>17</v>
      </c>
      <c r="H545">
        <v>8779.14</v>
      </c>
      <c r="I545">
        <v>0</v>
      </c>
      <c r="J545">
        <v>0</v>
      </c>
    </row>
    <row r="546" spans="3:10" x14ac:dyDescent="0.25">
      <c r="C546" t="s">
        <v>163</v>
      </c>
      <c r="D546">
        <v>2009</v>
      </c>
      <c r="E546">
        <v>2000</v>
      </c>
      <c r="F546" t="s">
        <v>27</v>
      </c>
      <c r="G546">
        <v>25</v>
      </c>
      <c r="H546">
        <v>14524.25</v>
      </c>
      <c r="I546">
        <v>1</v>
      </c>
      <c r="J546">
        <v>8721.6299999999992</v>
      </c>
    </row>
    <row r="547" spans="3:10" x14ac:dyDescent="0.25">
      <c r="C547" t="s">
        <v>163</v>
      </c>
      <c r="D547">
        <v>2009</v>
      </c>
      <c r="E547">
        <v>2000</v>
      </c>
      <c r="F547" t="s">
        <v>28</v>
      </c>
      <c r="G547">
        <v>11</v>
      </c>
      <c r="H547">
        <v>6390.67</v>
      </c>
      <c r="I547">
        <v>0</v>
      </c>
      <c r="J547">
        <v>0</v>
      </c>
    </row>
    <row r="548" spans="3:10" x14ac:dyDescent="0.25">
      <c r="C548" t="s">
        <v>163</v>
      </c>
      <c r="D548">
        <v>2009</v>
      </c>
      <c r="E548">
        <v>2000</v>
      </c>
      <c r="F548" t="s">
        <v>29</v>
      </c>
      <c r="G548">
        <v>9</v>
      </c>
      <c r="H548">
        <v>5809.68</v>
      </c>
      <c r="I548">
        <v>0</v>
      </c>
      <c r="J548">
        <v>0</v>
      </c>
    </row>
    <row r="549" spans="3:10" x14ac:dyDescent="0.25">
      <c r="C549" t="s">
        <v>163</v>
      </c>
      <c r="D549">
        <v>2009</v>
      </c>
      <c r="E549">
        <v>2000</v>
      </c>
      <c r="F549" t="s">
        <v>30</v>
      </c>
      <c r="G549">
        <v>5</v>
      </c>
      <c r="H549">
        <v>3227.6</v>
      </c>
      <c r="I549">
        <v>0</v>
      </c>
      <c r="J549">
        <v>0</v>
      </c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N31"/>
  <sheetViews>
    <sheetView zoomScale="70" workbookViewId="0">
      <selection activeCell="L39" sqref="L39"/>
    </sheetView>
  </sheetViews>
  <sheetFormatPr defaultRowHeight="13.2" x14ac:dyDescent="0.25"/>
  <cols>
    <col min="3" max="3" width="2.44140625" customWidth="1"/>
    <col min="4" max="4" width="11.109375" bestFit="1" customWidth="1"/>
    <col min="6" max="6" width="13.88671875" bestFit="1" customWidth="1"/>
    <col min="7" max="8" width="12.5546875" bestFit="1" customWidth="1"/>
    <col min="9" max="9" width="3.5546875" customWidth="1"/>
    <col min="12" max="12" width="14.44140625" customWidth="1"/>
    <col min="13" max="14" width="11.5546875" bestFit="1" customWidth="1"/>
  </cols>
  <sheetData>
    <row r="1" spans="1:14" x14ac:dyDescent="0.25">
      <c r="A1" s="7"/>
      <c r="B1" s="13" t="str">
        <f>InputData!B2&amp;" BI Coverage Pure Premium Trend Analysis"</f>
        <v>Illinois BI Coverage Pure Premium Trend Analysis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7"/>
    </row>
    <row r="3" spans="1:14" x14ac:dyDescent="0.25">
      <c r="D3" s="12" t="s">
        <v>45</v>
      </c>
      <c r="E3" s="12"/>
      <c r="F3" s="12"/>
      <c r="G3" s="12"/>
      <c r="H3" s="12"/>
      <c r="J3" s="12" t="s">
        <v>128</v>
      </c>
      <c r="K3" s="12"/>
      <c r="L3" s="12"/>
      <c r="M3" s="12"/>
      <c r="N3" s="12"/>
    </row>
    <row r="4" spans="1:14" x14ac:dyDescent="0.25">
      <c r="E4" s="3" t="s">
        <v>46</v>
      </c>
      <c r="F4" s="3" t="s">
        <v>48</v>
      </c>
      <c r="G4" s="3" t="s">
        <v>50</v>
      </c>
      <c r="H4" s="3" t="s">
        <v>52</v>
      </c>
      <c r="K4" s="3" t="s">
        <v>46</v>
      </c>
      <c r="L4" s="3" t="s">
        <v>48</v>
      </c>
      <c r="M4" s="3" t="s">
        <v>50</v>
      </c>
      <c r="N4" s="3" t="s">
        <v>52</v>
      </c>
    </row>
    <row r="5" spans="1:14" x14ac:dyDescent="0.25">
      <c r="B5" s="4" t="s">
        <v>43</v>
      </c>
      <c r="D5" s="4" t="s">
        <v>44</v>
      </c>
      <c r="E5" s="4" t="s">
        <v>47</v>
      </c>
      <c r="F5" s="4" t="s">
        <v>49</v>
      </c>
      <c r="G5" s="4" t="s">
        <v>51</v>
      </c>
      <c r="H5" s="4" t="s">
        <v>53</v>
      </c>
      <c r="J5" s="4" t="s">
        <v>44</v>
      </c>
      <c r="K5" s="4" t="s">
        <v>47</v>
      </c>
      <c r="L5" s="4" t="s">
        <v>49</v>
      </c>
      <c r="M5" s="4" t="s">
        <v>51</v>
      </c>
      <c r="N5" s="4" t="s">
        <v>53</v>
      </c>
    </row>
    <row r="7" spans="1:14" x14ac:dyDescent="0.25">
      <c r="A7">
        <v>1</v>
      </c>
      <c r="B7" s="11" t="s">
        <v>39</v>
      </c>
      <c r="D7">
        <f t="array" ref="D7">SUM(IF((InputData!$O$9:$O$99='BI Trends'!$B7)*(InputData!$P$9:$P$99="BI"),InputData!Q$9:Q$99,0))</f>
        <v>109530454</v>
      </c>
      <c r="E7">
        <f t="array" ref="E7">SUM(IF((InputData!$O$9:$O$99='BI Trends'!$B7)*(InputData!$P$9:$P$99="BI"),InputData!R$9:R$99,0))</f>
        <v>1137349</v>
      </c>
      <c r="F7">
        <f t="array" ref="F7">SUM(IF((InputData!$O$9:$O$99='BI Trends'!$B7)*(InputData!$P$9:$P$99="BI"),InputData!S$9:S$99,0))</f>
        <v>12060839388</v>
      </c>
      <c r="G7" s="47">
        <f>F7/D7</f>
        <v>110.11402717275325</v>
      </c>
      <c r="H7" s="47">
        <f>($G$26*$A7)+$G$27</f>
        <v>109.56342204136212</v>
      </c>
      <c r="J7">
        <f t="array" ref="J7">SUM(IF((InputData!$O$9:$O$99='BI Trends'!$B7)*(InputData!$P$9:$P$99="BI"),InputData!T$9:T$99,0))</f>
        <v>3716621</v>
      </c>
      <c r="K7">
        <f t="array" ref="K7">SUM(IF((InputData!$O$9:$O$99='BI Trends'!$B7)*(InputData!$P$9:$P$99="BI"),InputData!U$9:U$99,0))</f>
        <v>39420</v>
      </c>
      <c r="L7">
        <f t="array" ref="L7">SUM(IF((InputData!$O$9:$O$99='BI Trends'!$B7)*(InputData!$P$9:$P$99="BI"),InputData!V$9:V$99,0))</f>
        <v>337392029</v>
      </c>
      <c r="M7" s="47">
        <f>L7/J7</f>
        <v>90.779239798731155</v>
      </c>
      <c r="N7" s="47">
        <f>($M$26*$A7)+$M$27</f>
        <v>89.046904645596541</v>
      </c>
    </row>
    <row r="8" spans="1:14" x14ac:dyDescent="0.25">
      <c r="A8">
        <v>2</v>
      </c>
      <c r="B8" s="11" t="s">
        <v>40</v>
      </c>
      <c r="D8">
        <f t="array" ref="D8">SUM(IF((InputData!$O$9:$O$99='BI Trends'!$B8)*(InputData!$P$9:$P$99="BI"),InputData!Q$9:Q$99,0))</f>
        <v>110248452</v>
      </c>
      <c r="E8">
        <f t="array" ref="E8">SUM(IF((InputData!$O$9:$O$99='BI Trends'!$B8)*(InputData!$P$9:$P$99="BI"),InputData!R$9:R$99,0))</f>
        <v>1133495</v>
      </c>
      <c r="F8">
        <f t="array" ref="F8">SUM(IF((InputData!$O$9:$O$99='BI Trends'!$B8)*(InputData!$P$9:$P$99="BI"),InputData!S$9:S$99,0))</f>
        <v>12061349463</v>
      </c>
      <c r="G8" s="47">
        <f t="shared" ref="G8:G24" si="0">F8/D8</f>
        <v>109.40153121605735</v>
      </c>
      <c r="H8" s="47">
        <f t="shared" ref="H8:H24" si="1">($G$26*$A8)+$G$27</f>
        <v>109.69412423262305</v>
      </c>
      <c r="J8">
        <f t="array" ref="J8">SUM(IF((InputData!$O$9:$O$99='BI Trends'!$B8)*(InputData!$P$9:$P$99="BI"),InputData!T$9:T$99,0))</f>
        <v>3742354</v>
      </c>
      <c r="K8">
        <f t="array" ref="K8">SUM(IF((InputData!$O$9:$O$99='BI Trends'!$B8)*(InputData!$P$9:$P$99="BI"),InputData!U$9:U$99,0))</f>
        <v>38853</v>
      </c>
      <c r="L8">
        <f t="array" ref="L8">SUM(IF((InputData!$O$9:$O$99='BI Trends'!$B8)*(InputData!$P$9:$P$99="BI"),InputData!V$9:V$99,0))</f>
        <v>332995491</v>
      </c>
      <c r="M8" s="47">
        <f t="shared" ref="M8:M24" si="2">L8/J8</f>
        <v>88.980222341339172</v>
      </c>
      <c r="N8" s="47">
        <f t="shared" ref="N8:N24" si="3">($M$26*$A8)+$M$27</f>
        <v>89.159650771089716</v>
      </c>
    </row>
    <row r="9" spans="1:14" x14ac:dyDescent="0.25">
      <c r="A9">
        <v>3</v>
      </c>
      <c r="B9" s="11" t="s">
        <v>143</v>
      </c>
      <c r="D9">
        <f t="array" ref="D9">SUM(IF((InputData!$O$9:$O$99='BI Trends'!$B9)*(InputData!$P$9:$P$99="BI"),InputData!Q$9:Q$99,0))</f>
        <v>110933991</v>
      </c>
      <c r="E9">
        <f t="array" ref="E9">SUM(IF((InputData!$O$9:$O$99='BI Trends'!$B9)*(InputData!$P$9:$P$99="BI"),InputData!R$9:R$99,0))</f>
        <v>1134028</v>
      </c>
      <c r="F9">
        <f t="array" ref="F9">SUM(IF((InputData!$O$9:$O$99='BI Trends'!$B9)*(InputData!$P$9:$P$99="BI"),InputData!S$9:S$99,0))</f>
        <v>12101547706</v>
      </c>
      <c r="G9" s="47">
        <f t="shared" si="0"/>
        <v>109.08782418185965</v>
      </c>
      <c r="H9" s="47">
        <f t="shared" si="1"/>
        <v>109.82482642388398</v>
      </c>
      <c r="J9">
        <f t="array" ref="J9">SUM(IF((InputData!$O$9:$O$99='BI Trends'!$B9)*(InputData!$P$9:$P$99="BI"),InputData!T$9:T$99,0))</f>
        <v>3769589</v>
      </c>
      <c r="K9">
        <f t="array" ref="K9">SUM(IF((InputData!$O$9:$O$99='BI Trends'!$B9)*(InputData!$P$9:$P$99="BI"),InputData!U$9:U$99,0))</f>
        <v>38645</v>
      </c>
      <c r="L9">
        <f t="array" ref="L9">SUM(IF((InputData!$O$9:$O$99='BI Trends'!$B9)*(InputData!$P$9:$P$99="BI"),InputData!V$9:V$99,0))</f>
        <v>333593892</v>
      </c>
      <c r="M9" s="47">
        <f t="shared" si="2"/>
        <v>88.496091218432568</v>
      </c>
      <c r="N9" s="47">
        <f t="shared" si="3"/>
        <v>89.27239689658289</v>
      </c>
    </row>
    <row r="10" spans="1:14" x14ac:dyDescent="0.25">
      <c r="A10">
        <v>4</v>
      </c>
      <c r="B10" s="11" t="s">
        <v>144</v>
      </c>
      <c r="D10">
        <f t="array" ref="D10">SUM(IF((InputData!$O$9:$O$99='BI Trends'!$B10)*(InputData!$P$9:$P$99="BI"),InputData!Q$9:Q$99,0))</f>
        <v>111519062</v>
      </c>
      <c r="E10">
        <f t="array" ref="E10">SUM(IF((InputData!$O$9:$O$99='BI Trends'!$B10)*(InputData!$P$9:$P$99="BI"),InputData!R$9:R$99,0))</f>
        <v>1134985</v>
      </c>
      <c r="F10">
        <f t="array" ref="F10">SUM(IF((InputData!$O$9:$O$99='BI Trends'!$B10)*(InputData!$P$9:$P$99="BI"),InputData!S$9:S$99,0))</f>
        <v>12189016550</v>
      </c>
      <c r="G10" s="47">
        <f t="shared" si="0"/>
        <v>109.29984821787687</v>
      </c>
      <c r="H10" s="47">
        <f t="shared" si="1"/>
        <v>109.95552861514491</v>
      </c>
      <c r="J10">
        <f t="array" ref="J10">SUM(IF((InputData!$O$9:$O$99='BI Trends'!$B10)*(InputData!$P$9:$P$99="BI"),InputData!T$9:T$99,0))</f>
        <v>3798242</v>
      </c>
      <c r="K10">
        <f t="array" ref="K10">SUM(IF((InputData!$O$9:$O$99='BI Trends'!$B10)*(InputData!$P$9:$P$99="BI"),InputData!U$9:U$99,0))</f>
        <v>39060</v>
      </c>
      <c r="L10">
        <f t="array" ref="L10">SUM(IF((InputData!$O$9:$O$99='BI Trends'!$B10)*(InputData!$P$9:$P$99="BI"),InputData!V$9:V$99,0))</f>
        <v>335893851</v>
      </c>
      <c r="M10" s="47">
        <f t="shared" si="2"/>
        <v>88.434031059632318</v>
      </c>
      <c r="N10" s="47">
        <f t="shared" si="3"/>
        <v>89.385143022076065</v>
      </c>
    </row>
    <row r="11" spans="1:14" x14ac:dyDescent="0.25">
      <c r="A11">
        <v>5</v>
      </c>
      <c r="B11" s="11" t="s">
        <v>145</v>
      </c>
      <c r="D11">
        <f t="array" ref="D11">SUM(IF((InputData!$O$9:$O$99='BI Trends'!$B11)*(InputData!$P$9:$P$99="BI"),InputData!Q$9:Q$99,0))</f>
        <v>111820256</v>
      </c>
      <c r="E11">
        <f t="array" ref="E11">SUM(IF((InputData!$O$9:$O$99='BI Trends'!$B11)*(InputData!$P$9:$P$99="BI"),InputData!R$9:R$99,0))</f>
        <v>1124877</v>
      </c>
      <c r="F11">
        <f t="array" ref="F11">SUM(IF((InputData!$O$9:$O$99='BI Trends'!$B11)*(InputData!$P$9:$P$99="BI"),InputData!S$9:S$99,0))</f>
        <v>12148521212</v>
      </c>
      <c r="G11" s="47">
        <f t="shared" si="0"/>
        <v>108.64329636304893</v>
      </c>
      <c r="H11" s="47">
        <f t="shared" si="1"/>
        <v>110.08623080640584</v>
      </c>
      <c r="J11">
        <f t="array" ref="J11">SUM(IF((InputData!$O$9:$O$99='BI Trends'!$B11)*(InputData!$P$9:$P$99="BI"),InputData!T$9:T$99,0))</f>
        <v>3815831</v>
      </c>
      <c r="K11">
        <f t="array" ref="K11">SUM(IF((InputData!$O$9:$O$99='BI Trends'!$B11)*(InputData!$P$9:$P$99="BI"),InputData!U$9:U$99,0))</f>
        <v>38437</v>
      </c>
      <c r="L11">
        <f t="array" ref="L11">SUM(IF((InputData!$O$9:$O$99='BI Trends'!$B11)*(InputData!$P$9:$P$99="BI"),InputData!V$9:V$99,0))</f>
        <v>331521926</v>
      </c>
      <c r="M11" s="47">
        <f t="shared" si="2"/>
        <v>86.880662691822565</v>
      </c>
      <c r="N11" s="47">
        <f t="shared" si="3"/>
        <v>89.497889147569239</v>
      </c>
    </row>
    <row r="12" spans="1:14" x14ac:dyDescent="0.25">
      <c r="A12">
        <v>6</v>
      </c>
      <c r="B12" s="11" t="s">
        <v>139</v>
      </c>
      <c r="D12">
        <f t="array" ref="D12">SUM(IF((InputData!$O$9:$O$99='BI Trends'!$B12)*(InputData!$P$9:$P$99="BI"),InputData!Q$9:Q$99,0))</f>
        <v>111944185</v>
      </c>
      <c r="E12">
        <f t="array" ref="E12">SUM(IF((InputData!$O$9:$O$99='BI Trends'!$B12)*(InputData!$P$9:$P$99="BI"),InputData!R$9:R$99,0))</f>
        <v>1120909</v>
      </c>
      <c r="F12">
        <f t="array" ref="F12">SUM(IF((InputData!$O$9:$O$99='BI Trends'!$B12)*(InputData!$P$9:$P$99="BI"),InputData!S$9:S$99,0))</f>
        <v>12196298633</v>
      </c>
      <c r="G12" s="47">
        <f t="shared" si="0"/>
        <v>108.94981845640308</v>
      </c>
      <c r="H12" s="47">
        <f t="shared" si="1"/>
        <v>110.21693299766676</v>
      </c>
      <c r="J12">
        <f t="array" ref="J12">SUM(IF((InputData!$O$9:$O$99='BI Trends'!$B12)*(InputData!$P$9:$P$99="BI"),InputData!T$9:T$99,0))</f>
        <v>3825068</v>
      </c>
      <c r="K12">
        <f t="array" ref="K12">SUM(IF((InputData!$O$9:$O$99='BI Trends'!$B12)*(InputData!$P$9:$P$99="BI"),InputData!U$9:U$99,0))</f>
        <v>38722</v>
      </c>
      <c r="L12">
        <f t="array" ref="L12">SUM(IF((InputData!$O$9:$O$99='BI Trends'!$B12)*(InputData!$P$9:$P$99="BI"),InputData!V$9:V$99,0))</f>
        <v>338421024</v>
      </c>
      <c r="M12" s="47">
        <f t="shared" si="2"/>
        <v>88.474511825672124</v>
      </c>
      <c r="N12" s="47">
        <f t="shared" si="3"/>
        <v>89.610635273062414</v>
      </c>
    </row>
    <row r="13" spans="1:14" x14ac:dyDescent="0.25">
      <c r="A13">
        <v>7</v>
      </c>
      <c r="B13" s="11" t="s">
        <v>140</v>
      </c>
      <c r="D13">
        <f t="array" ref="D13">SUM(IF((InputData!$O$9:$O$99='BI Trends'!$B13)*(InputData!$P$9:$P$99="BI"),InputData!Q$9:Q$99,0))</f>
        <v>112008446</v>
      </c>
      <c r="E13">
        <f t="array" ref="E13">SUM(IF((InputData!$O$9:$O$99='BI Trends'!$B13)*(InputData!$P$9:$P$99="BI"),InputData!R$9:R$99,0))</f>
        <v>1119437</v>
      </c>
      <c r="F13">
        <f t="array" ref="F13">SUM(IF((InputData!$O$9:$O$99='BI Trends'!$B13)*(InputData!$P$9:$P$99="BI"),InputData!S$9:S$99,0))</f>
        <v>12308822688</v>
      </c>
      <c r="G13" s="47">
        <f t="shared" si="0"/>
        <v>109.89191554358321</v>
      </c>
      <c r="H13" s="47">
        <f t="shared" si="1"/>
        <v>110.3476351889277</v>
      </c>
      <c r="J13">
        <f t="array" ref="J13">SUM(IF((InputData!$O$9:$O$99='BI Trends'!$B13)*(InputData!$P$9:$P$99="BI"),InputData!T$9:T$99,0))</f>
        <v>3834820</v>
      </c>
      <c r="K13">
        <f t="array" ref="K13">SUM(IF((InputData!$O$9:$O$99='BI Trends'!$B13)*(InputData!$P$9:$P$99="BI"),InputData!U$9:U$99,0))</f>
        <v>38856</v>
      </c>
      <c r="L13">
        <f t="array" ref="L13">SUM(IF((InputData!$O$9:$O$99='BI Trends'!$B13)*(InputData!$P$9:$P$99="BI"),InputData!V$9:V$99,0))</f>
        <v>345747932</v>
      </c>
      <c r="M13" s="47">
        <f t="shared" si="2"/>
        <v>90.160146238936903</v>
      </c>
      <c r="N13" s="47">
        <f t="shared" si="3"/>
        <v>89.723381398555588</v>
      </c>
    </row>
    <row r="14" spans="1:14" x14ac:dyDescent="0.25">
      <c r="A14">
        <v>8</v>
      </c>
      <c r="B14" s="11" t="s">
        <v>141</v>
      </c>
      <c r="D14">
        <f t="array" ref="D14">SUM(IF((InputData!$O$9:$O$99='BI Trends'!$B14)*(InputData!$P$9:$P$99="BI"),InputData!Q$9:Q$99,0))</f>
        <v>112108794</v>
      </c>
      <c r="E14">
        <f t="array" ref="E14">SUM(IF((InputData!$O$9:$O$99='BI Trends'!$B14)*(InputData!$P$9:$P$99="BI"),InputData!R$9:R$99,0))</f>
        <v>1120419</v>
      </c>
      <c r="F14">
        <f t="array" ref="F14">SUM(IF((InputData!$O$9:$O$99='BI Trends'!$B14)*(InputData!$P$9:$P$99="BI"),InputData!S$9:S$99,0))</f>
        <v>12407738301</v>
      </c>
      <c r="G14" s="47">
        <f t="shared" si="0"/>
        <v>110.67586991436194</v>
      </c>
      <c r="H14" s="47">
        <f t="shared" si="1"/>
        <v>110.47833738018862</v>
      </c>
      <c r="J14">
        <f t="array" ref="J14">SUM(IF((InputData!$O$9:$O$99='BI Trends'!$B14)*(InputData!$P$9:$P$99="BI"),InputData!T$9:T$99,0))</f>
        <v>3841190</v>
      </c>
      <c r="K14">
        <f t="array" ref="K14">SUM(IF((InputData!$O$9:$O$99='BI Trends'!$B14)*(InputData!$P$9:$P$99="BI"),InputData!U$9:U$99,0))</f>
        <v>38337</v>
      </c>
      <c r="L14">
        <f t="array" ref="L14">SUM(IF((InputData!$O$9:$O$99='BI Trends'!$B14)*(InputData!$P$9:$P$99="BI"),InputData!V$9:V$99,0))</f>
        <v>344613907</v>
      </c>
      <c r="M14" s="47">
        <f t="shared" si="2"/>
        <v>89.715402518490365</v>
      </c>
      <c r="N14" s="47">
        <f t="shared" si="3"/>
        <v>89.836127524048777</v>
      </c>
    </row>
    <row r="15" spans="1:14" x14ac:dyDescent="0.25">
      <c r="A15">
        <v>9</v>
      </c>
      <c r="B15" s="11" t="s">
        <v>142</v>
      </c>
      <c r="D15">
        <f t="array" ref="D15">SUM(IF((InputData!$O$9:$O$99='BI Trends'!$B15)*(InputData!$P$9:$P$99="BI"),InputData!Q$9:Q$99,0))</f>
        <v>112373680</v>
      </c>
      <c r="E15">
        <f t="array" ref="E15">SUM(IF((InputData!$O$9:$O$99='BI Trends'!$B15)*(InputData!$P$9:$P$99="BI"),InputData!R$9:R$99,0))</f>
        <v>1124939</v>
      </c>
      <c r="F15">
        <f t="array" ref="F15">SUM(IF((InputData!$O$9:$O$99='BI Trends'!$B15)*(InputData!$P$9:$P$99="BI"),InputData!S$9:S$99,0))</f>
        <v>12504250873</v>
      </c>
      <c r="G15" s="47">
        <f t="shared" si="0"/>
        <v>111.2738398617897</v>
      </c>
      <c r="H15" s="47">
        <f t="shared" si="1"/>
        <v>110.60903957144954</v>
      </c>
      <c r="J15">
        <f t="array" ref="J15">SUM(IF((InputData!$O$9:$O$99='BI Trends'!$B15)*(InputData!$P$9:$P$99="BI"),InputData!T$9:T$99,0))</f>
        <v>3853498</v>
      </c>
      <c r="K15">
        <f t="array" ref="K15">SUM(IF((InputData!$O$9:$O$99='BI Trends'!$B15)*(InputData!$P$9:$P$99="BI"),InputData!U$9:U$99,0))</f>
        <v>38404</v>
      </c>
      <c r="L15">
        <f t="array" ref="L15">SUM(IF((InputData!$O$9:$O$99='BI Trends'!$B15)*(InputData!$P$9:$P$99="BI"),InputData!V$9:V$99,0))</f>
        <v>345865799</v>
      </c>
      <c r="M15" s="47">
        <f t="shared" si="2"/>
        <v>89.753724797573526</v>
      </c>
      <c r="N15" s="47">
        <f t="shared" si="3"/>
        <v>89.948873649541952</v>
      </c>
    </row>
    <row r="16" spans="1:14" x14ac:dyDescent="0.25">
      <c r="A16">
        <v>10</v>
      </c>
      <c r="B16" s="11" t="s">
        <v>135</v>
      </c>
      <c r="D16">
        <f t="array" ref="D16">SUM(IF((InputData!$O$9:$O$99='BI Trends'!$B16)*(InputData!$P$9:$P$99="BI"),InputData!Q$9:Q$99,0))</f>
        <v>112689103</v>
      </c>
      <c r="E16">
        <f t="array" ref="E16">SUM(IF((InputData!$O$9:$O$99='BI Trends'!$B16)*(InputData!$P$9:$P$99="BI"),InputData!R$9:R$99,0))</f>
        <v>1133247</v>
      </c>
      <c r="F16">
        <f t="array" ref="F16">SUM(IF((InputData!$O$9:$O$99='BI Trends'!$B16)*(InputData!$P$9:$P$99="BI"),InputData!S$9:S$99,0))</f>
        <v>12646140666</v>
      </c>
      <c r="G16" s="47">
        <f t="shared" si="0"/>
        <v>112.22150438095154</v>
      </c>
      <c r="H16" s="47">
        <f t="shared" si="1"/>
        <v>110.73974176271048</v>
      </c>
      <c r="J16">
        <f t="array" ref="J16">SUM(IF((InputData!$O$9:$O$99='BI Trends'!$B16)*(InputData!$P$9:$P$99="BI"),InputData!T$9:T$99,0))</f>
        <v>3863677</v>
      </c>
      <c r="K16">
        <f t="array" ref="K16">SUM(IF((InputData!$O$9:$O$99='BI Trends'!$B16)*(InputData!$P$9:$P$99="BI"),InputData!U$9:U$99,0))</f>
        <v>38363</v>
      </c>
      <c r="L16">
        <f t="array" ref="L16">SUM(IF((InputData!$O$9:$O$99='BI Trends'!$B16)*(InputData!$P$9:$P$99="BI"),InputData!V$9:V$99,0))</f>
        <v>351609017</v>
      </c>
      <c r="M16" s="47">
        <f t="shared" si="2"/>
        <v>91.003729607832128</v>
      </c>
      <c r="N16" s="47">
        <f t="shared" si="3"/>
        <v>90.061619775035126</v>
      </c>
    </row>
    <row r="17" spans="1:14" x14ac:dyDescent="0.25">
      <c r="A17">
        <v>11</v>
      </c>
      <c r="B17" s="11" t="s">
        <v>136</v>
      </c>
      <c r="D17">
        <f t="array" ref="D17">SUM(IF((InputData!$O$9:$O$99='BI Trends'!$B17)*(InputData!$P$9:$P$99="BI"),InputData!Q$9:Q$99,0))</f>
        <v>113103510</v>
      </c>
      <c r="E17">
        <f t="array" ref="E17">SUM(IF((InputData!$O$9:$O$99='BI Trends'!$B17)*(InputData!$P$9:$P$99="BI"),InputData!R$9:R$99,0))</f>
        <v>1134104</v>
      </c>
      <c r="F17">
        <f t="array" ref="F17">SUM(IF((InputData!$O$9:$O$99='BI Trends'!$B17)*(InputData!$P$9:$P$99="BI"),InputData!S$9:S$99,0))</f>
        <v>12712467600</v>
      </c>
      <c r="G17" s="47">
        <f t="shared" si="0"/>
        <v>112.39675585664848</v>
      </c>
      <c r="H17" s="47">
        <f t="shared" si="1"/>
        <v>110.8704439539714</v>
      </c>
      <c r="J17">
        <f t="array" ref="J17">SUM(IF((InputData!$O$9:$O$99='BI Trends'!$B17)*(InputData!$P$9:$P$99="BI"),InputData!T$9:T$99,0))</f>
        <v>3877732</v>
      </c>
      <c r="K17">
        <f t="array" ref="K17">SUM(IF((InputData!$O$9:$O$99='BI Trends'!$B17)*(InputData!$P$9:$P$99="BI"),InputData!U$9:U$99,0))</f>
        <v>38412</v>
      </c>
      <c r="L17">
        <f t="array" ref="L17">SUM(IF((InputData!$O$9:$O$99='BI Trends'!$B17)*(InputData!$P$9:$P$99="BI"),InputData!V$9:V$99,0))</f>
        <v>355115419</v>
      </c>
      <c r="M17" s="47">
        <f t="shared" si="2"/>
        <v>91.578123243174105</v>
      </c>
      <c r="N17" s="47">
        <f t="shared" si="3"/>
        <v>90.174365900528301</v>
      </c>
    </row>
    <row r="18" spans="1:14" x14ac:dyDescent="0.25">
      <c r="A18">
        <v>12</v>
      </c>
      <c r="B18" s="11" t="s">
        <v>137</v>
      </c>
      <c r="D18">
        <f t="array" ref="D18">SUM(IF((InputData!$O$9:$O$99='BI Trends'!$B18)*(InputData!$P$9:$P$99="BI"),InputData!Q$9:Q$99,0))</f>
        <v>113591660</v>
      </c>
      <c r="E18">
        <f t="array" ref="E18">SUM(IF((InputData!$O$9:$O$99='BI Trends'!$B18)*(InputData!$P$9:$P$99="BI"),InputData!R$9:R$99,0))</f>
        <v>1132794</v>
      </c>
      <c r="F18">
        <f t="array" ref="F18">SUM(IF((InputData!$O$9:$O$99='BI Trends'!$B18)*(InputData!$P$9:$P$99="BI"),InputData!S$9:S$99,0))</f>
        <v>12811329721</v>
      </c>
      <c r="G18" s="47">
        <f t="shared" si="0"/>
        <v>112.78406989562438</v>
      </c>
      <c r="H18" s="47">
        <f t="shared" si="1"/>
        <v>111.00114614523234</v>
      </c>
      <c r="J18">
        <f t="array" ref="J18">SUM(IF((InputData!$O$9:$O$99='BI Trends'!$B18)*(InputData!$P$9:$P$99="BI"),InputData!T$9:T$99,0))</f>
        <v>3896228</v>
      </c>
      <c r="K18">
        <f t="array" ref="K18">SUM(IF((InputData!$O$9:$O$99='BI Trends'!$B18)*(InputData!$P$9:$P$99="BI"),InputData!U$9:U$99,0))</f>
        <v>38685</v>
      </c>
      <c r="L18">
        <f t="array" ref="L18">SUM(IF((InputData!$O$9:$O$99='BI Trends'!$B18)*(InputData!$P$9:$P$99="BI"),InputData!V$9:V$99,0))</f>
        <v>362590253</v>
      </c>
      <c r="M18" s="47">
        <f t="shared" si="2"/>
        <v>93.061867272654482</v>
      </c>
      <c r="N18" s="47">
        <f t="shared" si="3"/>
        <v>90.287112026021475</v>
      </c>
    </row>
    <row r="19" spans="1:14" x14ac:dyDescent="0.25">
      <c r="A19">
        <v>13</v>
      </c>
      <c r="B19" s="11" t="s">
        <v>138</v>
      </c>
      <c r="D19">
        <f t="array" ref="D19">SUM(IF((InputData!$O$9:$O$99='BI Trends'!$B19)*(InputData!$P$9:$P$99="BI"),InputData!Q$9:Q$99,0))</f>
        <v>114088885</v>
      </c>
      <c r="E19">
        <f t="array" ref="E19">SUM(IF((InputData!$O$9:$O$99='BI Trends'!$B19)*(InputData!$P$9:$P$99="BI"),InputData!R$9:R$99,0))</f>
        <v>1125201</v>
      </c>
      <c r="F19">
        <f t="array" ref="F19">SUM(IF((InputData!$O$9:$O$99='BI Trends'!$B19)*(InputData!$P$9:$P$99="BI"),InputData!S$9:S$99,0))</f>
        <v>12885522821</v>
      </c>
      <c r="G19" s="47">
        <f t="shared" si="0"/>
        <v>112.94284119789583</v>
      </c>
      <c r="H19" s="47">
        <f t="shared" si="1"/>
        <v>111.13184833649326</v>
      </c>
      <c r="J19">
        <f t="array" ref="J19">SUM(IF((InputData!$O$9:$O$99='BI Trends'!$B19)*(InputData!$P$9:$P$99="BI"),InputData!T$9:T$99,0))</f>
        <v>3914185</v>
      </c>
      <c r="K19">
        <f t="array" ref="K19">SUM(IF((InputData!$O$9:$O$99='BI Trends'!$B19)*(InputData!$P$9:$P$99="BI"),InputData!U$9:U$99,0))</f>
        <v>38737</v>
      </c>
      <c r="L19">
        <f t="array" ref="L19">SUM(IF((InputData!$O$9:$O$99='BI Trends'!$B19)*(InputData!$P$9:$P$99="BI"),InputData!V$9:V$99,0))</f>
        <v>364012904</v>
      </c>
      <c r="M19" s="47">
        <f t="shared" si="2"/>
        <v>92.99839021405478</v>
      </c>
      <c r="N19" s="47">
        <f t="shared" si="3"/>
        <v>90.39985815151465</v>
      </c>
    </row>
    <row r="20" spans="1:14" x14ac:dyDescent="0.25">
      <c r="A20">
        <v>14</v>
      </c>
      <c r="B20" s="11" t="s">
        <v>131</v>
      </c>
      <c r="D20">
        <f t="array" ref="D20">SUM(IF((InputData!$O$9:$O$99='BI Trends'!$B20)*(InputData!$P$9:$P$99="BI"),InputData!Q$9:Q$99,0))</f>
        <v>114648000</v>
      </c>
      <c r="E20">
        <f t="array" ref="E20">SUM(IF((InputData!$O$9:$O$99='BI Trends'!$B20)*(InputData!$P$9:$P$99="BI"),InputData!R$9:R$99,0))</f>
        <v>1114367</v>
      </c>
      <c r="F20">
        <f t="array" ref="F20">SUM(IF((InputData!$O$9:$O$99='BI Trends'!$B20)*(InputData!$P$9:$P$99="BI"),InputData!S$9:S$99,0))</f>
        <v>12901772175</v>
      </c>
      <c r="G20" s="47">
        <f t="shared" si="0"/>
        <v>112.53377446619217</v>
      </c>
      <c r="H20" s="47">
        <f t="shared" si="1"/>
        <v>111.26255052775419</v>
      </c>
      <c r="J20">
        <f t="array" ref="J20">SUM(IF((InputData!$O$9:$O$99='BI Trends'!$B20)*(InputData!$P$9:$P$99="BI"),InputData!T$9:T$99,0))</f>
        <v>3936868</v>
      </c>
      <c r="K20">
        <f t="array" ref="K20">SUM(IF((InputData!$O$9:$O$99='BI Trends'!$B20)*(InputData!$P$9:$P$99="BI"),InputData!U$9:U$99,0))</f>
        <v>38812</v>
      </c>
      <c r="L20">
        <f t="array" ref="L20">SUM(IF((InputData!$O$9:$O$99='BI Trends'!$B20)*(InputData!$P$9:$P$99="BI"),InputData!V$9:V$99,0))</f>
        <v>361601481</v>
      </c>
      <c r="M20" s="47">
        <f t="shared" si="2"/>
        <v>91.850039422200595</v>
      </c>
      <c r="N20" s="47">
        <f t="shared" si="3"/>
        <v>90.512604277007824</v>
      </c>
    </row>
    <row r="21" spans="1:14" x14ac:dyDescent="0.25">
      <c r="A21">
        <v>15</v>
      </c>
      <c r="B21" s="11" t="s">
        <v>132</v>
      </c>
      <c r="D21">
        <f t="array" ref="D21">SUM(IF((InputData!$O$9:$O$99='BI Trends'!$B21)*(InputData!$P$9:$P$99="BI"),InputData!Q$9:Q$99,0))</f>
        <v>115220974</v>
      </c>
      <c r="E21">
        <f t="array" ref="E21">SUM(IF((InputData!$O$9:$O$99='BI Trends'!$B21)*(InputData!$P$9:$P$99="BI"),InputData!R$9:R$99,0))</f>
        <v>1106813</v>
      </c>
      <c r="F21">
        <f t="array" ref="F21">SUM(IF((InputData!$O$9:$O$99='BI Trends'!$B21)*(InputData!$P$9:$P$99="BI"),InputData!S$9:S$99,0))</f>
        <v>12900420089</v>
      </c>
      <c r="G21" s="47">
        <f t="shared" si="0"/>
        <v>111.96242872413143</v>
      </c>
      <c r="H21" s="47">
        <f t="shared" si="1"/>
        <v>111.39325271901512</v>
      </c>
      <c r="J21">
        <f t="array" ref="J21">SUM(IF((InputData!$O$9:$O$99='BI Trends'!$B21)*(InputData!$P$9:$P$99="BI"),InputData!T$9:T$99,0))</f>
        <v>3960916</v>
      </c>
      <c r="K21">
        <f t="array" ref="K21">SUM(IF((InputData!$O$9:$O$99='BI Trends'!$B21)*(InputData!$P$9:$P$99="BI"),InputData!U$9:U$99,0))</f>
        <v>38695</v>
      </c>
      <c r="L21">
        <f t="array" ref="L21">SUM(IF((InputData!$O$9:$O$99='BI Trends'!$B21)*(InputData!$P$9:$P$99="BI"),InputData!V$9:V$99,0))</f>
        <v>355837941</v>
      </c>
      <c r="M21" s="47">
        <f t="shared" si="2"/>
        <v>89.837285365304396</v>
      </c>
      <c r="N21" s="47">
        <f t="shared" si="3"/>
        <v>90.625350402500999</v>
      </c>
    </row>
    <row r="22" spans="1:14" x14ac:dyDescent="0.25">
      <c r="A22">
        <v>16</v>
      </c>
      <c r="B22" s="11" t="s">
        <v>133</v>
      </c>
      <c r="D22">
        <f t="array" ref="D22">SUM(IF((InputData!$O$9:$O$99='BI Trends'!$B22)*(InputData!$P$9:$P$99="BI"),InputData!Q$9:Q$99,0))</f>
        <v>115824966</v>
      </c>
      <c r="E22">
        <f t="array" ref="E22">SUM(IF((InputData!$O$9:$O$99='BI Trends'!$B22)*(InputData!$P$9:$P$99="BI"),InputData!R$9:R$99,0))</f>
        <v>1097793</v>
      </c>
      <c r="F22">
        <f t="array" ref="F22">SUM(IF((InputData!$O$9:$O$99='BI Trends'!$B22)*(InputData!$P$9:$P$99="BI"),InputData!S$9:S$99,0))</f>
        <v>12889154378</v>
      </c>
      <c r="G22" s="47">
        <f t="shared" si="0"/>
        <v>111.2813137195309</v>
      </c>
      <c r="H22" s="47">
        <f t="shared" si="1"/>
        <v>111.52395491027605</v>
      </c>
      <c r="J22">
        <f t="array" ref="J22">SUM(IF((InputData!$O$9:$O$99='BI Trends'!$B22)*(InputData!$P$9:$P$99="BI"),InputData!T$9:T$99,0))</f>
        <v>3984947</v>
      </c>
      <c r="K22">
        <f t="array" ref="K22">SUM(IF((InputData!$O$9:$O$99='BI Trends'!$B22)*(InputData!$P$9:$P$99="BI"),InputData!U$9:U$99,0))</f>
        <v>38378</v>
      </c>
      <c r="L22">
        <f t="array" ref="L22">SUM(IF((InputData!$O$9:$O$99='BI Trends'!$B22)*(InputData!$P$9:$P$99="BI"),InputData!V$9:V$99,0))</f>
        <v>353541348</v>
      </c>
      <c r="M22" s="47">
        <f t="shared" si="2"/>
        <v>88.71920956539698</v>
      </c>
      <c r="N22" s="47">
        <f t="shared" si="3"/>
        <v>90.738096527994173</v>
      </c>
    </row>
    <row r="23" spans="1:14" x14ac:dyDescent="0.25">
      <c r="A23">
        <v>17</v>
      </c>
      <c r="B23" s="11" t="s">
        <v>134</v>
      </c>
      <c r="D23">
        <f t="array" ref="D23">SUM(IF((InputData!$O$9:$O$99='BI Trends'!$B23)*(InputData!$P$9:$P$99="BI"),InputData!Q$9:Q$99,0))</f>
        <v>116482737</v>
      </c>
      <c r="E23">
        <f t="array" ref="E23">SUM(IF((InputData!$O$9:$O$99='BI Trends'!$B23)*(InputData!$P$9:$P$99="BI"),InputData!R$9:R$99,0))</f>
        <v>1081254</v>
      </c>
      <c r="F23">
        <f t="array" ref="F23">SUM(IF((InputData!$O$9:$O$99='BI Trends'!$B23)*(InputData!$P$9:$P$99="BI"),InputData!S$9:S$99,0))</f>
        <v>12770048499</v>
      </c>
      <c r="G23" s="47">
        <f t="shared" si="0"/>
        <v>109.63039526621013</v>
      </c>
      <c r="H23" s="47">
        <f t="shared" si="1"/>
        <v>111.65465710153697</v>
      </c>
      <c r="J23">
        <f t="array" ref="J23">SUM(IF((InputData!$O$9:$O$99='BI Trends'!$B23)*(InputData!$P$9:$P$99="BI"),InputData!T$9:T$99,0))</f>
        <v>4013541</v>
      </c>
      <c r="K23">
        <f t="array" ref="K23">SUM(IF((InputData!$O$9:$O$99='BI Trends'!$B23)*(InputData!$P$9:$P$99="BI"),InputData!U$9:U$99,0))</f>
        <v>38107</v>
      </c>
      <c r="L23">
        <f t="array" ref="L23">SUM(IF((InputData!$O$9:$O$99='BI Trends'!$B23)*(InputData!$P$9:$P$99="BI"),InputData!V$9:V$99,0))</f>
        <v>357592901</v>
      </c>
      <c r="M23" s="47">
        <f t="shared" si="2"/>
        <v>89.096610947789003</v>
      </c>
      <c r="N23" s="47">
        <f t="shared" si="3"/>
        <v>90.850842653487348</v>
      </c>
    </row>
    <row r="24" spans="1:14" x14ac:dyDescent="0.25">
      <c r="A24">
        <v>18</v>
      </c>
      <c r="B24" s="11" t="s">
        <v>130</v>
      </c>
      <c r="D24">
        <f t="array" ref="D24">SUM(IF((InputData!$O$9:$O$99='BI Trends'!$B24)*(InputData!$P$9:$P$99="BI"),InputData!Q$9:Q$99,0))</f>
        <v>117074952</v>
      </c>
      <c r="E24">
        <f t="array" ref="E24">SUM(IF((InputData!$O$9:$O$99='BI Trends'!$B24)*(InputData!$P$9:$P$99="BI"),InputData!R$9:R$99,0))</f>
        <v>1072425</v>
      </c>
      <c r="F24">
        <f t="array" ref="F24">SUM(IF((InputData!$O$9:$O$99='BI Trends'!$B24)*(InputData!$P$9:$P$99="BI"),InputData!S$9:S$99,0))</f>
        <v>12766786740</v>
      </c>
      <c r="G24" s="47">
        <f t="shared" si="0"/>
        <v>109.04797757252123</v>
      </c>
      <c r="H24" s="47">
        <f t="shared" si="1"/>
        <v>111.78535929279791</v>
      </c>
      <c r="J24">
        <f t="array" ref="J24">SUM(IF((InputData!$O$9:$O$99='BI Trends'!$B24)*(InputData!$P$9:$P$99="BI"),InputData!T$9:T$99,0))</f>
        <v>4031805</v>
      </c>
      <c r="K24">
        <f t="array" ref="K24">SUM(IF((InputData!$O$9:$O$99='BI Trends'!$B24)*(InputData!$P$9:$P$99="BI"),InputData!U$9:U$99,0))</f>
        <v>37786</v>
      </c>
      <c r="L24">
        <f t="array" ref="L24">SUM(IF((InputData!$O$9:$O$99='BI Trends'!$B24)*(InputData!$P$9:$P$99="BI"),InputData!V$9:V$99,0))</f>
        <v>363971812</v>
      </c>
      <c r="M24" s="47">
        <f t="shared" si="2"/>
        <v>90.275152692156496</v>
      </c>
      <c r="N24" s="47">
        <f t="shared" si="3"/>
        <v>90.963588778980522</v>
      </c>
    </row>
    <row r="26" spans="1:14" x14ac:dyDescent="0.25">
      <c r="F26" t="s">
        <v>147</v>
      </c>
      <c r="G26" s="47">
        <f>LINEST(G7:G24,A7:A24)</f>
        <v>0.13070219126092833</v>
      </c>
      <c r="L26" t="s">
        <v>147</v>
      </c>
      <c r="M26" s="47">
        <f>LINEST(M7:M24,A7:A24)</f>
        <v>0.11274612549317552</v>
      </c>
    </row>
    <row r="27" spans="1:14" x14ac:dyDescent="0.25">
      <c r="F27" t="s">
        <v>148</v>
      </c>
      <c r="G27" s="47">
        <f>INTERCEPT(G7:G24,A7:A24)</f>
        <v>109.43271985010119</v>
      </c>
      <c r="L27" t="s">
        <v>149</v>
      </c>
      <c r="M27" s="47">
        <f>INTERCEPT(M7:M24,A7:A24)</f>
        <v>88.934158520103367</v>
      </c>
    </row>
    <row r="30" spans="1:14" x14ac:dyDescent="0.25">
      <c r="F30" t="s">
        <v>150</v>
      </c>
      <c r="G30">
        <f>4*G26</f>
        <v>0.52280876504371332</v>
      </c>
      <c r="L30" t="s">
        <v>150</v>
      </c>
      <c r="M30">
        <f>4*M26</f>
        <v>0.45098450197270207</v>
      </c>
    </row>
    <row r="31" spans="1:14" x14ac:dyDescent="0.25">
      <c r="F31" t="s">
        <v>151</v>
      </c>
      <c r="G31" s="37">
        <f>G30/H24</f>
        <v>4.676898373375777E-3</v>
      </c>
      <c r="L31" t="s">
        <v>151</v>
      </c>
      <c r="M31" s="37">
        <f>M30/N24</f>
        <v>4.9578574023556293E-3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N30"/>
  <sheetViews>
    <sheetView zoomScale="70" zoomScaleNormal="70" workbookViewId="0">
      <selection activeCell="K36" sqref="K36"/>
    </sheetView>
  </sheetViews>
  <sheetFormatPr defaultRowHeight="13.2" x14ac:dyDescent="0.25"/>
  <cols>
    <col min="3" max="3" width="2.44140625" customWidth="1"/>
    <col min="4" max="4" width="11.109375" bestFit="1" customWidth="1"/>
    <col min="6" max="6" width="13.88671875" bestFit="1" customWidth="1"/>
    <col min="9" max="9" width="3.5546875" customWidth="1"/>
    <col min="12" max="12" width="14.44140625" customWidth="1"/>
  </cols>
  <sheetData>
    <row r="1" spans="1:14" x14ac:dyDescent="0.25">
      <c r="A1" s="7"/>
      <c r="B1" s="13" t="str">
        <f>InputData!B2&amp;" PD Coverage Pure Premium Trend Analysis"</f>
        <v>Illinois PD Coverage Pure Premium Trend Analysis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7"/>
    </row>
    <row r="3" spans="1:14" x14ac:dyDescent="0.25">
      <c r="D3" s="12" t="s">
        <v>45</v>
      </c>
      <c r="E3" s="12"/>
      <c r="F3" s="12"/>
      <c r="G3" s="12"/>
      <c r="H3" s="12"/>
      <c r="J3" s="12" t="s">
        <v>128</v>
      </c>
      <c r="K3" s="12"/>
      <c r="L3" s="12"/>
      <c r="M3" s="12"/>
      <c r="N3" s="12"/>
    </row>
    <row r="4" spans="1:14" x14ac:dyDescent="0.25">
      <c r="E4" s="3" t="s">
        <v>46</v>
      </c>
      <c r="F4" s="3" t="s">
        <v>48</v>
      </c>
      <c r="G4" s="3" t="s">
        <v>50</v>
      </c>
      <c r="H4" s="3" t="s">
        <v>52</v>
      </c>
      <c r="K4" s="3" t="s">
        <v>46</v>
      </c>
      <c r="L4" s="3" t="s">
        <v>48</v>
      </c>
      <c r="M4" s="3" t="s">
        <v>50</v>
      </c>
      <c r="N4" s="3" t="s">
        <v>52</v>
      </c>
    </row>
    <row r="5" spans="1:14" x14ac:dyDescent="0.25">
      <c r="B5" s="4" t="s">
        <v>43</v>
      </c>
      <c r="D5" s="4" t="s">
        <v>44</v>
      </c>
      <c r="E5" s="4" t="s">
        <v>47</v>
      </c>
      <c r="F5" s="4" t="s">
        <v>49</v>
      </c>
      <c r="G5" s="4" t="s">
        <v>51</v>
      </c>
      <c r="H5" s="4" t="s">
        <v>53</v>
      </c>
      <c r="J5" s="4" t="s">
        <v>44</v>
      </c>
      <c r="K5" s="4" t="s">
        <v>47</v>
      </c>
      <c r="L5" s="4" t="s">
        <v>49</v>
      </c>
      <c r="M5" s="4" t="s">
        <v>51</v>
      </c>
      <c r="N5" s="4" t="s">
        <v>53</v>
      </c>
    </row>
    <row r="7" spans="1:14" x14ac:dyDescent="0.25">
      <c r="A7">
        <v>1</v>
      </c>
      <c r="B7" s="11" t="s">
        <v>39</v>
      </c>
      <c r="D7">
        <f t="array" ref="D7">SUM(IF((InputData!$O$9:$O$99='PD Trends'!$B7)*(InputData!$P$9:$P$99="PD"),InputData!Q$9:Q$99,0))</f>
        <v>109639914</v>
      </c>
      <c r="E7">
        <f t="array" ref="E7">SUM(IF((InputData!$O$9:$O$99='PD Trends'!$B7)*(InputData!$P$9:$P$99="PD"),InputData!R$9:R$99,0))</f>
        <v>4370394</v>
      </c>
      <c r="F7">
        <f t="array" ref="F7">SUM(IF((InputData!$O$9:$O$99='PD Trends'!$B7)*(InputData!$P$9:$P$99="PD"),InputData!S$9:S$99,0))</f>
        <v>10302247125</v>
      </c>
      <c r="G7" s="47">
        <f>F7/D7</f>
        <v>93.964385315004904</v>
      </c>
      <c r="H7" s="47">
        <f>($G$26*$A7)+$G$27</f>
        <v>94.808708127560919</v>
      </c>
      <c r="J7">
        <f t="array" ref="J7">SUM(IF((InputData!$O$9:$O$99='PD Trends'!$B7)*(InputData!$P$9:$P$99="PD"),InputData!T$9:T$99,0))</f>
        <v>3716621</v>
      </c>
      <c r="K7">
        <f t="array" ref="K7">SUM(IF((InputData!$O$9:$O$99='PD Trends'!$B7)*(InputData!$P$9:$P$99="PD"),InputData!U$9:U$99,0))</f>
        <v>147115</v>
      </c>
      <c r="L7">
        <f t="array" ref="L7">SUM(IF((InputData!$O$9:$O$99='PD Trends'!$B7)*(InputData!$P$9:$P$99="PD"),InputData!V$9:V$99,0))</f>
        <v>313439374</v>
      </c>
      <c r="M7" s="47">
        <f>L7/J7</f>
        <v>84.334500074126467</v>
      </c>
      <c r="N7" s="47">
        <f>($M$26*A7)+$M$27</f>
        <v>83.65424698709235</v>
      </c>
    </row>
    <row r="8" spans="1:14" x14ac:dyDescent="0.25">
      <c r="A8">
        <v>2</v>
      </c>
      <c r="B8" s="11" t="s">
        <v>40</v>
      </c>
      <c r="D8">
        <f t="array" ref="D8">SUM(IF((InputData!$O$9:$O$99='PD Trends'!$B8)*(InputData!$P$9:$P$99="PD"),InputData!Q$9:Q$99,0))</f>
        <v>110345259</v>
      </c>
      <c r="E8">
        <f t="array" ref="E8">SUM(IF((InputData!$O$9:$O$99='PD Trends'!$B8)*(InputData!$P$9:$P$99="PD"),InputData!R$9:R$99,0))</f>
        <v>4331725</v>
      </c>
      <c r="F8">
        <f t="array" ref="F8">SUM(IF((InputData!$O$9:$O$99='PD Trends'!$B8)*(InputData!$P$9:$P$99="PD"),InputData!S$9:S$99,0))</f>
        <v>10337318071</v>
      </c>
      <c r="G8" s="47">
        <f t="shared" ref="G8:G24" si="0">F8/D8</f>
        <v>93.681578752740066</v>
      </c>
      <c r="H8" s="47">
        <f t="shared" ref="H8:H24" si="1">($G$26*$A8)+$G$27</f>
        <v>94.792380926711104</v>
      </c>
      <c r="J8">
        <f t="array" ref="J8">SUM(IF((InputData!$O$9:$O$99='PD Trends'!$B8)*(InputData!$P$9:$P$99="PD"),InputData!T$9:T$99,0))</f>
        <v>3742354</v>
      </c>
      <c r="K8">
        <f t="array" ref="K8">SUM(IF((InputData!$O$9:$O$99='PD Trends'!$B8)*(InputData!$P$9:$P$99="PD"),InputData!U$9:U$99,0))</f>
        <v>143339</v>
      </c>
      <c r="L8">
        <f t="array" ref="L8">SUM(IF((InputData!$O$9:$O$99='PD Trends'!$B8)*(InputData!$P$9:$P$99="PD"),InputData!V$9:V$99,0))</f>
        <v>307371590</v>
      </c>
      <c r="M8" s="47">
        <f t="shared" ref="M8:M24" si="2">L8/J8</f>
        <v>82.133221496416425</v>
      </c>
      <c r="N8" s="47">
        <f t="shared" ref="N8:N24" si="3">($M$26*A8)+$M$27</f>
        <v>83.683314898467287</v>
      </c>
    </row>
    <row r="9" spans="1:14" x14ac:dyDescent="0.25">
      <c r="A9">
        <v>3</v>
      </c>
      <c r="B9" s="11" t="s">
        <v>143</v>
      </c>
      <c r="D9">
        <f t="array" ref="D9">SUM(IF((InputData!$O$9:$O$99='PD Trends'!$B9)*(InputData!$P$9:$P$99="PD"),InputData!Q$9:Q$99,0))</f>
        <v>111021528</v>
      </c>
      <c r="E9">
        <f t="array" ref="E9">SUM(IF((InputData!$O$9:$O$99='PD Trends'!$B9)*(InputData!$P$9:$P$99="PD"),InputData!R$9:R$99,0))</f>
        <v>4349949</v>
      </c>
      <c r="F9">
        <f t="array" ref="F9">SUM(IF((InputData!$O$9:$O$99='PD Trends'!$B9)*(InputData!$P$9:$P$99="PD"),InputData!S$9:S$99,0))</f>
        <v>10460565709</v>
      </c>
      <c r="G9" s="47">
        <f t="shared" si="0"/>
        <v>94.221056919699393</v>
      </c>
      <c r="H9" s="47">
        <f t="shared" si="1"/>
        <v>94.776053725861274</v>
      </c>
      <c r="J9">
        <f t="array" ref="J9">SUM(IF((InputData!$O$9:$O$99='PD Trends'!$B9)*(InputData!$P$9:$P$99="PD"),InputData!T$9:T$99,0))</f>
        <v>3769589</v>
      </c>
      <c r="K9">
        <f t="array" ref="K9">SUM(IF((InputData!$O$9:$O$99='PD Trends'!$B9)*(InputData!$P$9:$P$99="PD"),InputData!U$9:U$99,0))</f>
        <v>143375</v>
      </c>
      <c r="L9">
        <f t="array" ref="L9">SUM(IF((InputData!$O$9:$O$99='PD Trends'!$B9)*(InputData!$P$9:$P$99="PD"),InputData!V$9:V$99,0))</f>
        <v>309007320</v>
      </c>
      <c r="M9" s="47">
        <f t="shared" si="2"/>
        <v>81.973743026096486</v>
      </c>
      <c r="N9" s="47">
        <f t="shared" si="3"/>
        <v>83.712382809842239</v>
      </c>
    </row>
    <row r="10" spans="1:14" x14ac:dyDescent="0.25">
      <c r="A10">
        <v>4</v>
      </c>
      <c r="B10" s="11" t="s">
        <v>144</v>
      </c>
      <c r="D10">
        <f t="array" ref="D10">SUM(IF((InputData!$O$9:$O$99='PD Trends'!$B10)*(InputData!$P$9:$P$99="PD"),InputData!Q$9:Q$99,0))</f>
        <v>111600224</v>
      </c>
      <c r="E10">
        <f t="array" ref="E10">SUM(IF((InputData!$O$9:$O$99='PD Trends'!$B10)*(InputData!$P$9:$P$99="PD"),InputData!R$9:R$99,0))</f>
        <v>4387483</v>
      </c>
      <c r="F10">
        <f t="array" ref="F10">SUM(IF((InputData!$O$9:$O$99='PD Trends'!$B10)*(InputData!$P$9:$P$99="PD"),InputData!S$9:S$99,0))</f>
        <v>10613179431</v>
      </c>
      <c r="G10" s="47">
        <f t="shared" si="0"/>
        <v>95.099983231216456</v>
      </c>
      <c r="H10" s="47">
        <f t="shared" si="1"/>
        <v>94.759726525011445</v>
      </c>
      <c r="J10">
        <f t="array" ref="J10">SUM(IF((InputData!$O$9:$O$99='PD Trends'!$B10)*(InputData!$P$9:$P$99="PD"),InputData!T$9:T$99,0))</f>
        <v>3798242</v>
      </c>
      <c r="K10">
        <f t="array" ref="K10">SUM(IF((InputData!$O$9:$O$99='PD Trends'!$B10)*(InputData!$P$9:$P$99="PD"),InputData!U$9:U$99,0))</f>
        <v>145317</v>
      </c>
      <c r="L10">
        <f t="array" ref="L10">SUM(IF((InputData!$O$9:$O$99='PD Trends'!$B10)*(InputData!$P$9:$P$99="PD"),InputData!V$9:V$99,0))</f>
        <v>315971439</v>
      </c>
      <c r="M10" s="47">
        <f t="shared" si="2"/>
        <v>83.188864479935717</v>
      </c>
      <c r="N10" s="47">
        <f t="shared" si="3"/>
        <v>83.741450721217191</v>
      </c>
    </row>
    <row r="11" spans="1:14" x14ac:dyDescent="0.25">
      <c r="A11">
        <v>5</v>
      </c>
      <c r="B11" s="11" t="s">
        <v>145</v>
      </c>
      <c r="D11">
        <f t="array" ref="D11">SUM(IF((InputData!$O$9:$O$99='PD Trends'!$B11)*(InputData!$P$9:$P$99="PD"),InputData!Q$9:Q$99,0))</f>
        <v>111893114</v>
      </c>
      <c r="E11">
        <f t="array" ref="E11">SUM(IF((InputData!$O$9:$O$99='PD Trends'!$B11)*(InputData!$P$9:$P$99="PD"),InputData!R$9:R$99,0))</f>
        <v>4373634</v>
      </c>
      <c r="F11">
        <f t="array" ref="F11">SUM(IF((InputData!$O$9:$O$99='PD Trends'!$B11)*(InputData!$P$9:$P$99="PD"),InputData!S$9:S$99,0))</f>
        <v>10654453586</v>
      </c>
      <c r="G11" s="47">
        <f t="shared" si="0"/>
        <v>95.219921987335169</v>
      </c>
      <c r="H11" s="47">
        <f t="shared" si="1"/>
        <v>94.743399324161615</v>
      </c>
      <c r="J11">
        <f t="array" ref="J11">SUM(IF((InputData!$O$9:$O$99='PD Trends'!$B11)*(InputData!$P$9:$P$99="PD"),InputData!T$9:T$99,0))</f>
        <v>3815831</v>
      </c>
      <c r="K11">
        <f t="array" ref="K11">SUM(IF((InputData!$O$9:$O$99='PD Trends'!$B11)*(InputData!$P$9:$P$99="PD"),InputData!U$9:U$99,0))</f>
        <v>144849</v>
      </c>
      <c r="L11">
        <f t="array" ref="L11">SUM(IF((InputData!$O$9:$O$99='PD Trends'!$B11)*(InputData!$P$9:$P$99="PD"),InputData!V$9:V$99,0))</f>
        <v>317653185</v>
      </c>
      <c r="M11" s="47">
        <f t="shared" si="2"/>
        <v>83.246135638606631</v>
      </c>
      <c r="N11" s="47">
        <f t="shared" si="3"/>
        <v>83.770518632592129</v>
      </c>
    </row>
    <row r="12" spans="1:14" x14ac:dyDescent="0.25">
      <c r="A12">
        <v>6</v>
      </c>
      <c r="B12" s="11" t="s">
        <v>139</v>
      </c>
      <c r="D12">
        <f t="array" ref="D12">SUM(IF((InputData!$O$9:$O$99='PD Trends'!$B12)*(InputData!$P$9:$P$99="PD"),InputData!Q$9:Q$99,0))</f>
        <v>112012888</v>
      </c>
      <c r="E12">
        <f t="array" ref="E12">SUM(IF((InputData!$O$9:$O$99='PD Trends'!$B12)*(InputData!$P$9:$P$99="PD"),InputData!R$9:R$99,0))</f>
        <v>4366436</v>
      </c>
      <c r="F12">
        <f t="array" ref="F12">SUM(IF((InputData!$O$9:$O$99='PD Trends'!$B12)*(InputData!$P$9:$P$99="PD"),InputData!S$9:S$99,0))</f>
        <v>10703649675</v>
      </c>
      <c r="G12" s="47">
        <f t="shared" si="0"/>
        <v>95.557304754074366</v>
      </c>
      <c r="H12" s="47">
        <f t="shared" si="1"/>
        <v>94.7270721233118</v>
      </c>
      <c r="J12">
        <f t="array" ref="J12">SUM(IF((InputData!$O$9:$O$99='PD Trends'!$B12)*(InputData!$P$9:$P$99="PD"),InputData!T$9:T$99,0))</f>
        <v>3825068</v>
      </c>
      <c r="K12">
        <f t="array" ref="K12">SUM(IF((InputData!$O$9:$O$99='PD Trends'!$B12)*(InputData!$P$9:$P$99="PD"),InputData!U$9:U$99,0))</f>
        <v>146887</v>
      </c>
      <c r="L12">
        <f t="array" ref="L12">SUM(IF((InputData!$O$9:$O$99='PD Trends'!$B12)*(InputData!$P$9:$P$99="PD"),InputData!V$9:V$99,0))</f>
        <v>325552694</v>
      </c>
      <c r="M12" s="47">
        <f t="shared" si="2"/>
        <v>85.110302352794776</v>
      </c>
      <c r="N12" s="47">
        <f t="shared" si="3"/>
        <v>83.799586543967081</v>
      </c>
    </row>
    <row r="13" spans="1:14" x14ac:dyDescent="0.25">
      <c r="A13">
        <v>7</v>
      </c>
      <c r="B13" s="11" t="s">
        <v>140</v>
      </c>
      <c r="D13">
        <f t="array" ref="D13">SUM(IF((InputData!$O$9:$O$99='PD Trends'!$B13)*(InputData!$P$9:$P$99="PD"),InputData!Q$9:Q$99,0))</f>
        <v>112073459</v>
      </c>
      <c r="E13">
        <f t="array" ref="E13">SUM(IF((InputData!$O$9:$O$99='PD Trends'!$B13)*(InputData!$P$9:$P$99="PD"),InputData!R$9:R$99,0))</f>
        <v>4339101</v>
      </c>
      <c r="F13">
        <f t="array" ref="F13">SUM(IF((InputData!$O$9:$O$99='PD Trends'!$B13)*(InputData!$P$9:$P$99="PD"),InputData!S$9:S$99,0))</f>
        <v>10718843219</v>
      </c>
      <c r="G13" s="47">
        <f t="shared" si="0"/>
        <v>95.641227768297938</v>
      </c>
      <c r="H13" s="47">
        <f t="shared" si="1"/>
        <v>94.71074492246197</v>
      </c>
      <c r="J13">
        <f t="array" ref="J13">SUM(IF((InputData!$O$9:$O$99='PD Trends'!$B13)*(InputData!$P$9:$P$99="PD"),InputData!T$9:T$99,0))</f>
        <v>3834820</v>
      </c>
      <c r="K13">
        <f t="array" ref="K13">SUM(IF((InputData!$O$9:$O$99='PD Trends'!$B13)*(InputData!$P$9:$P$99="PD"),InputData!U$9:U$99,0))</f>
        <v>146569</v>
      </c>
      <c r="L13">
        <f t="array" ref="L13">SUM(IF((InputData!$O$9:$O$99='PD Trends'!$B13)*(InputData!$P$9:$P$99="PD"),InputData!V$9:V$99,0))</f>
        <v>327760381</v>
      </c>
      <c r="M13" s="47">
        <f t="shared" si="2"/>
        <v>85.469560761652431</v>
      </c>
      <c r="N13" s="47">
        <f t="shared" si="3"/>
        <v>83.828654455342033</v>
      </c>
    </row>
    <row r="14" spans="1:14" x14ac:dyDescent="0.25">
      <c r="A14">
        <v>8</v>
      </c>
      <c r="B14" s="11" t="s">
        <v>141</v>
      </c>
      <c r="D14">
        <f t="array" ref="D14">SUM(IF((InputData!$O$9:$O$99='PD Trends'!$B14)*(InputData!$P$9:$P$99="PD"),InputData!Q$9:Q$99,0))</f>
        <v>112169999</v>
      </c>
      <c r="E14">
        <f t="array" ref="E14">SUM(IF((InputData!$O$9:$O$99='PD Trends'!$B14)*(InputData!$P$9:$P$99="PD"),InputData!R$9:R$99,0))</f>
        <v>4313613</v>
      </c>
      <c r="F14">
        <f t="array" ref="F14">SUM(IF((InputData!$O$9:$O$99='PD Trends'!$B14)*(InputData!$P$9:$P$99="PD"),InputData!S$9:S$99,0))</f>
        <v>10730108247</v>
      </c>
      <c r="G14" s="47">
        <f t="shared" si="0"/>
        <v>95.659341558877969</v>
      </c>
      <c r="H14" s="47">
        <f t="shared" si="1"/>
        <v>94.69441772161214</v>
      </c>
      <c r="J14">
        <f t="array" ref="J14">SUM(IF((InputData!$O$9:$O$99='PD Trends'!$B14)*(InputData!$P$9:$P$99="PD"),InputData!T$9:T$99,0))</f>
        <v>3841190</v>
      </c>
      <c r="K14">
        <f t="array" ref="K14">SUM(IF((InputData!$O$9:$O$99='PD Trends'!$B14)*(InputData!$P$9:$P$99="PD"),InputData!U$9:U$99,0))</f>
        <v>145237</v>
      </c>
      <c r="L14">
        <f t="array" ref="L14">SUM(IF((InputData!$O$9:$O$99='PD Trends'!$B14)*(InputData!$P$9:$P$99="PD"),InputData!V$9:V$99,0))</f>
        <v>325962885</v>
      </c>
      <c r="M14" s="47">
        <f t="shared" si="2"/>
        <v>84.859870248542762</v>
      </c>
      <c r="N14" s="47">
        <f t="shared" si="3"/>
        <v>83.85772236671697</v>
      </c>
    </row>
    <row r="15" spans="1:14" x14ac:dyDescent="0.25">
      <c r="A15">
        <v>9</v>
      </c>
      <c r="B15" s="11" t="s">
        <v>142</v>
      </c>
      <c r="D15">
        <f t="array" ref="D15">SUM(IF((InputData!$O$9:$O$99='PD Trends'!$B15)*(InputData!$P$9:$P$99="PD"),InputData!Q$9:Q$99,0))</f>
        <v>112431623</v>
      </c>
      <c r="E15">
        <f t="array" ref="E15">SUM(IF((InputData!$O$9:$O$99='PD Trends'!$B15)*(InputData!$P$9:$P$99="PD"),InputData!R$9:R$99,0))</f>
        <v>4293122</v>
      </c>
      <c r="F15">
        <f t="array" ref="F15">SUM(IF((InputData!$O$9:$O$99='PD Trends'!$B15)*(InputData!$P$9:$P$99="PD"),InputData!S$9:S$99,0))</f>
        <v>10714813064</v>
      </c>
      <c r="G15" s="47">
        <f t="shared" si="0"/>
        <v>95.300706136742335</v>
      </c>
      <c r="H15" s="47">
        <f t="shared" si="1"/>
        <v>94.678090520762325</v>
      </c>
      <c r="J15">
        <f t="array" ref="J15">SUM(IF((InputData!$O$9:$O$99='PD Trends'!$B15)*(InputData!$P$9:$P$99="PD"),InputData!T$9:T$99,0))</f>
        <v>3853498</v>
      </c>
      <c r="K15">
        <f t="array" ref="K15">SUM(IF((InputData!$O$9:$O$99='PD Trends'!$B15)*(InputData!$P$9:$P$99="PD"),InputData!U$9:U$99,0))</f>
        <v>144904</v>
      </c>
      <c r="L15">
        <f t="array" ref="L15">SUM(IF((InputData!$O$9:$O$99='PD Trends'!$B15)*(InputData!$P$9:$P$99="PD"),InputData!V$9:V$99,0))</f>
        <v>326922408</v>
      </c>
      <c r="M15" s="47">
        <f t="shared" si="2"/>
        <v>84.837829940485236</v>
      </c>
      <c r="N15" s="47">
        <f t="shared" si="3"/>
        <v>83.886790278091922</v>
      </c>
    </row>
    <row r="16" spans="1:14" x14ac:dyDescent="0.25">
      <c r="A16">
        <v>10</v>
      </c>
      <c r="B16" s="11" t="s">
        <v>135</v>
      </c>
      <c r="D16">
        <f t="array" ref="D16">SUM(IF((InputData!$O$9:$O$99='PD Trends'!$B16)*(InputData!$P$9:$P$99="PD"),InputData!Q$9:Q$99,0))</f>
        <v>112744481</v>
      </c>
      <c r="E16">
        <f t="array" ref="E16">SUM(IF((InputData!$O$9:$O$99='PD Trends'!$B16)*(InputData!$P$9:$P$99="PD"),InputData!R$9:R$99,0))</f>
        <v>4307132</v>
      </c>
      <c r="F16">
        <f t="array" ref="F16">SUM(IF((InputData!$O$9:$O$99='PD Trends'!$B16)*(InputData!$P$9:$P$99="PD"),InputData!S$9:S$99,0))</f>
        <v>10760233951</v>
      </c>
      <c r="G16" s="47">
        <f t="shared" si="0"/>
        <v>95.439119108632909</v>
      </c>
      <c r="H16" s="47">
        <f t="shared" si="1"/>
        <v>94.661763319912495</v>
      </c>
      <c r="J16">
        <f t="array" ref="J16">SUM(IF((InputData!$O$9:$O$99='PD Trends'!$B16)*(InputData!$P$9:$P$99="PD"),InputData!T$9:T$99,0))</f>
        <v>3863677</v>
      </c>
      <c r="K16">
        <f t="array" ref="K16">SUM(IF((InputData!$O$9:$O$99='PD Trends'!$B16)*(InputData!$P$9:$P$99="PD"),InputData!U$9:U$99,0))</f>
        <v>143675</v>
      </c>
      <c r="L16">
        <f t="array" ref="L16">SUM(IF((InputData!$O$9:$O$99='PD Trends'!$B16)*(InputData!$P$9:$P$99="PD"),InputData!V$9:V$99,0))</f>
        <v>325075647</v>
      </c>
      <c r="M16" s="47">
        <f t="shared" si="2"/>
        <v>84.136341366009631</v>
      </c>
      <c r="N16" s="47">
        <f t="shared" si="3"/>
        <v>83.915858189466874</v>
      </c>
    </row>
    <row r="17" spans="1:14" x14ac:dyDescent="0.25">
      <c r="A17">
        <v>11</v>
      </c>
      <c r="B17" s="11" t="s">
        <v>136</v>
      </c>
      <c r="D17">
        <f t="array" ref="D17">SUM(IF((InputData!$O$9:$O$99='PD Trends'!$B17)*(InputData!$P$9:$P$99="PD"),InputData!Q$9:Q$99,0))</f>
        <v>113156947</v>
      </c>
      <c r="E17">
        <f t="array" ref="E17">SUM(IF((InputData!$O$9:$O$99='PD Trends'!$B17)*(InputData!$P$9:$P$99="PD"),InputData!R$9:R$99,0))</f>
        <v>4296243</v>
      </c>
      <c r="F17">
        <f t="array" ref="F17">SUM(IF((InputData!$O$9:$O$99='PD Trends'!$B17)*(InputData!$P$9:$P$99="PD"),InputData!S$9:S$99,0))</f>
        <v>10736373749</v>
      </c>
      <c r="G17" s="47">
        <f t="shared" si="0"/>
        <v>94.880376624159013</v>
      </c>
      <c r="H17" s="47">
        <f t="shared" si="1"/>
        <v>94.645436119062666</v>
      </c>
      <c r="J17">
        <f t="array" ref="J17">SUM(IF((InputData!$O$9:$O$99='PD Trends'!$B17)*(InputData!$P$9:$P$99="PD"),InputData!T$9:T$99,0))</f>
        <v>3877732</v>
      </c>
      <c r="K17">
        <f t="array" ref="K17">SUM(IF((InputData!$O$9:$O$99='PD Trends'!$B17)*(InputData!$P$9:$P$99="PD"),InputData!U$9:U$99,0))</f>
        <v>143106</v>
      </c>
      <c r="L17">
        <f t="array" ref="L17">SUM(IF((InputData!$O$9:$O$99='PD Trends'!$B17)*(InputData!$P$9:$P$99="PD"),InputData!V$9:V$99,0))</f>
        <v>324798685</v>
      </c>
      <c r="M17" s="47">
        <f t="shared" si="2"/>
        <v>83.759962008720564</v>
      </c>
      <c r="N17" s="47">
        <f t="shared" si="3"/>
        <v>83.944926100841826</v>
      </c>
    </row>
    <row r="18" spans="1:14" x14ac:dyDescent="0.25">
      <c r="A18">
        <v>12</v>
      </c>
      <c r="B18" s="11" t="s">
        <v>137</v>
      </c>
      <c r="D18">
        <f t="array" ref="D18">SUM(IF((InputData!$O$9:$O$99='PD Trends'!$B18)*(InputData!$P$9:$P$99="PD"),InputData!Q$9:Q$99,0))</f>
        <v>113644108</v>
      </c>
      <c r="E18">
        <f t="array" ref="E18">SUM(IF((InputData!$O$9:$O$99='PD Trends'!$B18)*(InputData!$P$9:$P$99="PD"),InputData!R$9:R$99,0))</f>
        <v>4277413</v>
      </c>
      <c r="F18">
        <f t="array" ref="F18">SUM(IF((InputData!$O$9:$O$99='PD Trends'!$B18)*(InputData!$P$9:$P$99="PD"),InputData!S$9:S$99,0))</f>
        <v>10694568279</v>
      </c>
      <c r="G18" s="47">
        <f t="shared" si="0"/>
        <v>94.105787508139002</v>
      </c>
      <c r="H18" s="47">
        <f t="shared" si="1"/>
        <v>94.62910891821285</v>
      </c>
      <c r="J18">
        <f t="array" ref="J18">SUM(IF((InputData!$O$9:$O$99='PD Trends'!$B18)*(InputData!$P$9:$P$99="PD"),InputData!T$9:T$99,0))</f>
        <v>3896228</v>
      </c>
      <c r="K18">
        <f t="array" ref="K18">SUM(IF((InputData!$O$9:$O$99='PD Trends'!$B18)*(InputData!$P$9:$P$99="PD"),InputData!U$9:U$99,0))</f>
        <v>142984</v>
      </c>
      <c r="L18">
        <f t="array" ref="L18">SUM(IF((InputData!$O$9:$O$99='PD Trends'!$B18)*(InputData!$P$9:$P$99="PD"),InputData!V$9:V$99,0))</f>
        <v>325829701</v>
      </c>
      <c r="M18" s="47">
        <f t="shared" si="2"/>
        <v>83.626959459251353</v>
      </c>
      <c r="N18" s="47">
        <f t="shared" si="3"/>
        <v>83.973994012216764</v>
      </c>
    </row>
    <row r="19" spans="1:14" x14ac:dyDescent="0.25">
      <c r="A19">
        <v>13</v>
      </c>
      <c r="B19" s="11" t="s">
        <v>138</v>
      </c>
      <c r="D19">
        <f t="array" ref="D19">SUM(IF((InputData!$O$9:$O$99='PD Trends'!$B19)*(InputData!$P$9:$P$99="PD"),InputData!Q$9:Q$99,0))</f>
        <v>114140731</v>
      </c>
      <c r="E19">
        <f t="array" ref="E19">SUM(IF((InputData!$O$9:$O$99='PD Trends'!$B19)*(InputData!$P$9:$P$99="PD"),InputData!R$9:R$99,0))</f>
        <v>4260043</v>
      </c>
      <c r="F19">
        <f t="array" ref="F19">SUM(IF((InputData!$O$9:$O$99='PD Trends'!$B19)*(InputData!$P$9:$P$99="PD"),InputData!S$9:S$99,0))</f>
        <v>10686620227</v>
      </c>
      <c r="G19" s="47">
        <f t="shared" si="0"/>
        <v>93.626702171725185</v>
      </c>
      <c r="H19" s="47">
        <f t="shared" si="1"/>
        <v>94.612781717363021</v>
      </c>
      <c r="J19">
        <f t="array" ref="J19">SUM(IF((InputData!$O$9:$O$99='PD Trends'!$B19)*(InputData!$P$9:$P$99="PD"),InputData!T$9:T$99,0))</f>
        <v>3914185</v>
      </c>
      <c r="K19">
        <f t="array" ref="K19">SUM(IF((InputData!$O$9:$O$99='PD Trends'!$B19)*(InputData!$P$9:$P$99="PD"),InputData!U$9:U$99,0))</f>
        <v>142307</v>
      </c>
      <c r="L19">
        <f t="array" ref="L19">SUM(IF((InputData!$O$9:$O$99='PD Trends'!$B19)*(InputData!$P$9:$P$99="PD"),InputData!V$9:V$99,0))</f>
        <v>326103557</v>
      </c>
      <c r="M19" s="47">
        <f t="shared" si="2"/>
        <v>83.31327134512037</v>
      </c>
      <c r="N19" s="47">
        <f t="shared" si="3"/>
        <v>84.003061923591716</v>
      </c>
    </row>
    <row r="20" spans="1:14" x14ac:dyDescent="0.25">
      <c r="A20">
        <v>14</v>
      </c>
      <c r="B20" s="11" t="s">
        <v>131</v>
      </c>
      <c r="D20">
        <f t="array" ref="D20">SUM(IF((InputData!$O$9:$O$99='PD Trends'!$B20)*(InputData!$P$9:$P$99="PD"),InputData!Q$9:Q$99,0))</f>
        <v>114698872</v>
      </c>
      <c r="E20">
        <f t="array" ref="E20">SUM(IF((InputData!$O$9:$O$99='PD Trends'!$B20)*(InputData!$P$9:$P$99="PD"),InputData!R$9:R$99,0))</f>
        <v>4248379</v>
      </c>
      <c r="F20">
        <f t="array" ref="F20">SUM(IF((InputData!$O$9:$O$99='PD Trends'!$B20)*(InputData!$P$9:$P$99="PD"),InputData!S$9:S$99,0))</f>
        <v>10715588029</v>
      </c>
      <c r="G20" s="47">
        <f t="shared" si="0"/>
        <v>93.42365659010143</v>
      </c>
      <c r="H20" s="47">
        <f t="shared" si="1"/>
        <v>94.596454516513191</v>
      </c>
      <c r="J20">
        <f t="array" ref="J20">SUM(IF((InputData!$O$9:$O$99='PD Trends'!$B20)*(InputData!$P$9:$P$99="PD"),InputData!T$9:T$99,0))</f>
        <v>3936868</v>
      </c>
      <c r="K20">
        <f t="array" ref="K20">SUM(IF((InputData!$O$9:$O$99='PD Trends'!$B20)*(InputData!$P$9:$P$99="PD"),InputData!U$9:U$99,0))</f>
        <v>144860</v>
      </c>
      <c r="L20">
        <f t="array" ref="L20">SUM(IF((InputData!$O$9:$O$99='PD Trends'!$B20)*(InputData!$P$9:$P$99="PD"),InputData!V$9:V$99,0))</f>
        <v>333105184</v>
      </c>
      <c r="M20" s="47">
        <f t="shared" si="2"/>
        <v>84.611722821288396</v>
      </c>
      <c r="N20" s="47">
        <f t="shared" si="3"/>
        <v>84.032129834966668</v>
      </c>
    </row>
    <row r="21" spans="1:14" x14ac:dyDescent="0.25">
      <c r="A21">
        <v>15</v>
      </c>
      <c r="B21" s="11" t="s">
        <v>132</v>
      </c>
      <c r="D21">
        <f t="array" ref="D21">SUM(IF((InputData!$O$9:$O$99='PD Trends'!$B21)*(InputData!$P$9:$P$99="PD"),InputData!Q$9:Q$99,0))</f>
        <v>115270198</v>
      </c>
      <c r="E21">
        <f t="array" ref="E21">SUM(IF((InputData!$O$9:$O$99='PD Trends'!$B21)*(InputData!$P$9:$P$99="PD"),InputData!R$9:R$99,0))</f>
        <v>4272753</v>
      </c>
      <c r="F21">
        <f t="array" ref="F21">SUM(IF((InputData!$O$9:$O$99='PD Trends'!$B21)*(InputData!$P$9:$P$99="PD"),InputData!S$9:S$99,0))</f>
        <v>10846628096</v>
      </c>
      <c r="G21" s="47">
        <f t="shared" si="0"/>
        <v>94.097418796834205</v>
      </c>
      <c r="H21" s="47">
        <f t="shared" si="1"/>
        <v>94.580127315663361</v>
      </c>
      <c r="J21">
        <f t="array" ref="J21">SUM(IF((InputData!$O$9:$O$99='PD Trends'!$B21)*(InputData!$P$9:$P$99="PD"),InputData!T$9:T$99,0))</f>
        <v>3960916</v>
      </c>
      <c r="K21">
        <f t="array" ref="K21">SUM(IF((InputData!$O$9:$O$99='PD Trends'!$B21)*(InputData!$P$9:$P$99="PD"),InputData!U$9:U$99,0))</f>
        <v>146118</v>
      </c>
      <c r="L21">
        <f t="array" ref="L21">SUM(IF((InputData!$O$9:$O$99='PD Trends'!$B21)*(InputData!$P$9:$P$99="PD"),InputData!V$9:V$99,0))</f>
        <v>336717932</v>
      </c>
      <c r="M21" s="47">
        <f t="shared" si="2"/>
        <v>85.010116851758539</v>
      </c>
      <c r="N21" s="47">
        <f t="shared" si="3"/>
        <v>84.061197746341605</v>
      </c>
    </row>
    <row r="22" spans="1:14" x14ac:dyDescent="0.25">
      <c r="A22">
        <v>16</v>
      </c>
      <c r="B22" s="11" t="s">
        <v>133</v>
      </c>
      <c r="D22">
        <f t="array" ref="D22">SUM(IF((InputData!$O$9:$O$99='PD Trends'!$B22)*(InputData!$P$9:$P$99="PD"),InputData!Q$9:Q$99,0))</f>
        <v>115873426</v>
      </c>
      <c r="E22">
        <f t="array" ref="E22">SUM(IF((InputData!$O$9:$O$99='PD Trends'!$B22)*(InputData!$P$9:$P$99="PD"),InputData!R$9:R$99,0))</f>
        <v>4294362</v>
      </c>
      <c r="F22">
        <f t="array" ref="F22">SUM(IF((InputData!$O$9:$O$99='PD Trends'!$B22)*(InputData!$P$9:$P$99="PD"),InputData!S$9:S$99,0))</f>
        <v>10975968480</v>
      </c>
      <c r="G22" s="47">
        <f t="shared" si="0"/>
        <v>94.723776269461467</v>
      </c>
      <c r="H22" s="47">
        <f t="shared" si="1"/>
        <v>94.563800114813546</v>
      </c>
      <c r="J22">
        <f t="array" ref="J22">SUM(IF((InputData!$O$9:$O$99='PD Trends'!$B22)*(InputData!$P$9:$P$99="PD"),InputData!T$9:T$99,0))</f>
        <v>3984947</v>
      </c>
      <c r="K22">
        <f t="array" ref="K22">SUM(IF((InputData!$O$9:$O$99='PD Trends'!$B22)*(InputData!$P$9:$P$99="PD"),InputData!U$9:U$99,0))</f>
        <v>146371</v>
      </c>
      <c r="L22">
        <f t="array" ref="L22">SUM(IF((InputData!$O$9:$O$99='PD Trends'!$B22)*(InputData!$P$9:$P$99="PD"),InputData!V$9:V$99,0))</f>
        <v>337916874</v>
      </c>
      <c r="M22" s="47">
        <f t="shared" si="2"/>
        <v>84.798335837339863</v>
      </c>
      <c r="N22" s="47">
        <f t="shared" si="3"/>
        <v>84.090265657716557</v>
      </c>
    </row>
    <row r="23" spans="1:14" x14ac:dyDescent="0.25">
      <c r="A23">
        <v>17</v>
      </c>
      <c r="B23" s="11" t="s">
        <v>134</v>
      </c>
      <c r="D23">
        <f t="array" ref="D23">SUM(IF((InputData!$O$9:$O$99='PD Trends'!$B23)*(InputData!$P$9:$P$99="PD"),InputData!Q$9:Q$99,0))</f>
        <v>116530659</v>
      </c>
      <c r="E23">
        <f t="array" ref="E23">SUM(IF((InputData!$O$9:$O$99='PD Trends'!$B23)*(InputData!$P$9:$P$99="PD"),InputData!R$9:R$99,0))</f>
        <v>4274987</v>
      </c>
      <c r="F23">
        <f t="array" ref="F23">SUM(IF((InputData!$O$9:$O$99='PD Trends'!$B23)*(InputData!$P$9:$P$99="PD"),InputData!S$9:S$99,0))</f>
        <v>11025634371</v>
      </c>
      <c r="G23" s="47">
        <f t="shared" si="0"/>
        <v>94.615738601461103</v>
      </c>
      <c r="H23" s="47">
        <f t="shared" si="1"/>
        <v>94.547472913963716</v>
      </c>
      <c r="J23">
        <f t="array" ref="J23">SUM(IF((InputData!$O$9:$O$99='PD Trends'!$B23)*(InputData!$P$9:$P$99="PD"),InputData!T$9:T$99,0))</f>
        <v>4013541</v>
      </c>
      <c r="K23">
        <f t="array" ref="K23">SUM(IF((InputData!$O$9:$O$99='PD Trends'!$B23)*(InputData!$P$9:$P$99="PD"),InputData!U$9:U$99,0))</f>
        <v>145677</v>
      </c>
      <c r="L23">
        <f t="array" ref="L23">SUM(IF((InputData!$O$9:$O$99='PD Trends'!$B23)*(InputData!$P$9:$P$99="PD"),InputData!V$9:V$99,0))</f>
        <v>337581693</v>
      </c>
      <c r="M23" s="47">
        <f t="shared" si="2"/>
        <v>84.110687544988323</v>
      </c>
      <c r="N23" s="47">
        <f t="shared" si="3"/>
        <v>84.119333569091509</v>
      </c>
    </row>
    <row r="24" spans="1:14" x14ac:dyDescent="0.25">
      <c r="A24">
        <v>18</v>
      </c>
      <c r="B24" s="11" t="s">
        <v>130</v>
      </c>
      <c r="D24">
        <f t="array" ref="D24">SUM(IF((InputData!$O$9:$O$99='PD Trends'!$B24)*(InputData!$P$9:$P$99="PD"),InputData!Q$9:Q$99,0))</f>
        <v>117122871</v>
      </c>
      <c r="E24">
        <f t="array" ref="E24">SUM(IF((InputData!$O$9:$O$99='PD Trends'!$B24)*(InputData!$P$9:$P$99="PD"),InputData!R$9:R$99,0))</f>
        <v>4257028</v>
      </c>
      <c r="F24">
        <f t="array" ref="F24">SUM(IF((InputData!$O$9:$O$99='PD Trends'!$B24)*(InputData!$P$9:$P$99="PD"),InputData!S$9:S$99,0))</f>
        <v>11103318734</v>
      </c>
      <c r="G24" s="47">
        <f t="shared" si="0"/>
        <v>94.800602471570215</v>
      </c>
      <c r="H24" s="47">
        <f t="shared" si="1"/>
        <v>94.531145713113887</v>
      </c>
      <c r="J24">
        <f t="array" ref="J24">SUM(IF((InputData!$O$9:$O$99='PD Trends'!$B24)*(InputData!$P$9:$P$99="PD"),InputData!T$9:T$99,0))</f>
        <v>4031805</v>
      </c>
      <c r="K24">
        <f t="array" ref="K24">SUM(IF((InputData!$O$9:$O$99='PD Trends'!$B24)*(InputData!$P$9:$P$99="PD"),InputData!U$9:U$99,0))</f>
        <v>141659</v>
      </c>
      <c r="L24">
        <f t="array" ref="L24">SUM(IF((InputData!$O$9:$O$99='PD Trends'!$B24)*(InputData!$P$9:$P$99="PD"),InputData!V$9:V$99,0))</f>
        <v>329408189</v>
      </c>
      <c r="M24" s="47">
        <f t="shared" si="2"/>
        <v>81.702410954894887</v>
      </c>
      <c r="N24" s="47">
        <f t="shared" si="3"/>
        <v>84.148401480466447</v>
      </c>
    </row>
    <row r="25" spans="1:14" x14ac:dyDescent="0.25">
      <c r="G25" s="47"/>
      <c r="H25" s="47"/>
    </row>
    <row r="26" spans="1:14" x14ac:dyDescent="0.25">
      <c r="F26" t="s">
        <v>147</v>
      </c>
      <c r="G26" s="47">
        <f>LINEST(G7:G24,A7:A24)</f>
        <v>-1.6327200849825405E-2</v>
      </c>
      <c r="H26" s="47"/>
      <c r="L26" t="s">
        <v>147</v>
      </c>
      <c r="M26">
        <f>LINEST(M7:M24,A7:$A$24)</f>
        <v>2.9067911374947394E-2</v>
      </c>
    </row>
    <row r="27" spans="1:14" x14ac:dyDescent="0.25">
      <c r="F27" t="s">
        <v>148</v>
      </c>
      <c r="G27" s="47">
        <f>INTERCEPT(G7:G24,A7:A24)</f>
        <v>94.825035328410749</v>
      </c>
      <c r="H27" s="47"/>
      <c r="L27" t="s">
        <v>148</v>
      </c>
      <c r="M27">
        <f>INTERCEPT(M7:M24,A7:$A$24)</f>
        <v>83.625179075717398</v>
      </c>
    </row>
    <row r="28" spans="1:14" x14ac:dyDescent="0.25">
      <c r="G28" s="47"/>
      <c r="H28" s="47"/>
    </row>
    <row r="29" spans="1:14" x14ac:dyDescent="0.25">
      <c r="F29" t="s">
        <v>150</v>
      </c>
      <c r="G29" s="46">
        <f>4*$G$26</f>
        <v>-6.5308803399301618E-2</v>
      </c>
      <c r="H29" s="47"/>
      <c r="L29" t="s">
        <v>150</v>
      </c>
      <c r="M29">
        <f>4*$M$26</f>
        <v>0.11627164549978958</v>
      </c>
    </row>
    <row r="30" spans="1:14" x14ac:dyDescent="0.25">
      <c r="F30" t="s">
        <v>151</v>
      </c>
      <c r="G30" s="37">
        <f>G29/$H$24</f>
        <v>-6.9087074854146851E-4</v>
      </c>
      <c r="H30" s="47"/>
      <c r="L30" t="s">
        <v>151</v>
      </c>
      <c r="M30" s="37">
        <f>M29/$N$24</f>
        <v>1.3817451485014837E-3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N30"/>
  <sheetViews>
    <sheetView zoomScale="70" workbookViewId="0">
      <selection activeCell="M30" sqref="M30"/>
    </sheetView>
  </sheetViews>
  <sheetFormatPr defaultRowHeight="13.2" x14ac:dyDescent="0.25"/>
  <cols>
    <col min="3" max="3" width="2.44140625" customWidth="1"/>
    <col min="4" max="4" width="11.109375" bestFit="1" customWidth="1"/>
    <col min="6" max="6" width="13.88671875" bestFit="1" customWidth="1"/>
    <col min="9" max="9" width="3.5546875" customWidth="1"/>
    <col min="12" max="12" width="14.44140625" customWidth="1"/>
  </cols>
  <sheetData>
    <row r="1" spans="1:14" x14ac:dyDescent="0.25">
      <c r="A1" s="7"/>
      <c r="B1" s="13" t="str">
        <f>InputData!B2&amp;" PIP Coverage Pure Premium Trend Analysis"</f>
        <v>Illinois PIP Coverage Pure Premium Trend Analysis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7"/>
    </row>
    <row r="3" spans="1:14" x14ac:dyDescent="0.25">
      <c r="D3" s="12" t="s">
        <v>45</v>
      </c>
      <c r="E3" s="12"/>
      <c r="F3" s="12"/>
      <c r="G3" s="12"/>
      <c r="H3" s="12"/>
      <c r="J3" s="12" t="s">
        <v>128</v>
      </c>
      <c r="K3" s="12"/>
      <c r="L3" s="12"/>
      <c r="M3" s="12"/>
      <c r="N3" s="12"/>
    </row>
    <row r="4" spans="1:14" x14ac:dyDescent="0.25">
      <c r="E4" s="3" t="s">
        <v>46</v>
      </c>
      <c r="F4" s="3" t="s">
        <v>48</v>
      </c>
      <c r="G4" s="3" t="s">
        <v>50</v>
      </c>
      <c r="H4" s="3" t="s">
        <v>52</v>
      </c>
      <c r="K4" s="3" t="s">
        <v>46</v>
      </c>
      <c r="L4" s="3" t="s">
        <v>48</v>
      </c>
      <c r="M4" s="3" t="s">
        <v>50</v>
      </c>
      <c r="N4" s="3" t="s">
        <v>52</v>
      </c>
    </row>
    <row r="5" spans="1:14" x14ac:dyDescent="0.25">
      <c r="B5" s="4" t="s">
        <v>43</v>
      </c>
      <c r="D5" s="4" t="s">
        <v>44</v>
      </c>
      <c r="E5" s="4" t="s">
        <v>47</v>
      </c>
      <c r="F5" s="4" t="s">
        <v>49</v>
      </c>
      <c r="G5" s="4" t="s">
        <v>51</v>
      </c>
      <c r="H5" s="4" t="s">
        <v>53</v>
      </c>
      <c r="J5" s="4" t="s">
        <v>44</v>
      </c>
      <c r="K5" s="4" t="s">
        <v>47</v>
      </c>
      <c r="L5" s="4" t="s">
        <v>49</v>
      </c>
      <c r="M5" s="4" t="s">
        <v>51</v>
      </c>
      <c r="N5" s="4" t="s">
        <v>53</v>
      </c>
    </row>
    <row r="7" spans="1:14" x14ac:dyDescent="0.25">
      <c r="A7">
        <v>1</v>
      </c>
      <c r="B7" s="11" t="s">
        <v>39</v>
      </c>
      <c r="D7">
        <f t="array" ref="D7">SUM(IF((InputData!$O$9:$O$99='PIP Trends'!$B7)*(InputData!$P$9:$P$99="PIP"),InputData!Q$9:Q$99,0))</f>
        <v>0</v>
      </c>
      <c r="E7">
        <f t="array" ref="E7">SUM(IF((InputData!$O$9:$O$99='PIP Trends'!$B7)*(InputData!$P$9:$P$99="PIP"),InputData!R$9:R$99,0))</f>
        <v>0</v>
      </c>
      <c r="F7">
        <f t="array" ref="F7">SUM(IF((InputData!$O$9:$O$99='PIP Trends'!$B7)*(InputData!$P$9:$P$99="PIP"),InputData!S$9:S$99,0))</f>
        <v>0</v>
      </c>
      <c r="G7">
        <f>F7/MAX(D7,1)</f>
        <v>0</v>
      </c>
      <c r="H7">
        <f>($G$26*$A7)+$G$27</f>
        <v>0</v>
      </c>
      <c r="J7">
        <f t="array" ref="J7">SUM(IF((InputData!$O$9:$O$99='PIP Trends'!$B7)*(InputData!$P$9:$P$99="PIP"),InputData!T$9:T$99,0))</f>
        <v>0</v>
      </c>
      <c r="K7">
        <f t="array" ref="K7">SUM(IF((InputData!$O$9:$O$99='PIP Trends'!$B7)*(InputData!$P$9:$P$99="PIP"),InputData!U$9:U$99,0))</f>
        <v>0</v>
      </c>
      <c r="L7">
        <f t="array" ref="L7">SUM(IF((InputData!$O$9:$O$99='PIP Trends'!$B7)*(InputData!$P$9:$P$99="PIP"),InputData!V$9:V$99,0))</f>
        <v>0</v>
      </c>
      <c r="M7">
        <f>L7/MAX(J7,1)</f>
        <v>0</v>
      </c>
      <c r="N7">
        <f>($M$26*A7)+$M$27</f>
        <v>0</v>
      </c>
    </row>
    <row r="8" spans="1:14" x14ac:dyDescent="0.25">
      <c r="A8">
        <v>2</v>
      </c>
      <c r="B8" s="11" t="s">
        <v>40</v>
      </c>
      <c r="D8">
        <f t="array" ref="D8">SUM(IF((InputData!$O$9:$O$99='PIP Trends'!$B8)*(InputData!$P$9:$P$99="PIP"),InputData!Q$9:Q$99,0))</f>
        <v>0</v>
      </c>
      <c r="E8">
        <f t="array" ref="E8">SUM(IF((InputData!$O$9:$O$99='PIP Trends'!$B8)*(InputData!$P$9:$P$99="PIP"),InputData!R$9:R$99,0))</f>
        <v>0</v>
      </c>
      <c r="F8">
        <f t="array" ref="F8">SUM(IF((InputData!$O$9:$O$99='PIP Trends'!$B8)*(InputData!$P$9:$P$99="PIP"),InputData!S$9:S$99,0))</f>
        <v>0</v>
      </c>
      <c r="G8">
        <f t="shared" ref="G8:G24" si="0">F8/MAX(D8,1)</f>
        <v>0</v>
      </c>
      <c r="H8">
        <f t="shared" ref="H8:H24" si="1">($G$26*$A8)+$G$27</f>
        <v>0</v>
      </c>
      <c r="J8">
        <f t="array" ref="J8">SUM(IF((InputData!$O$9:$O$99='PIP Trends'!$B8)*(InputData!$P$9:$P$99="PIP"),InputData!T$9:T$99,0))</f>
        <v>0</v>
      </c>
      <c r="K8">
        <f t="array" ref="K8">SUM(IF((InputData!$O$9:$O$99='PIP Trends'!$B8)*(InputData!$P$9:$P$99="PIP"),InputData!U$9:U$99,0))</f>
        <v>0</v>
      </c>
      <c r="L8">
        <f t="array" ref="L8">SUM(IF((InputData!$O$9:$O$99='PIP Trends'!$B8)*(InputData!$P$9:$P$99="PIP"),InputData!V$9:V$99,0))</f>
        <v>0</v>
      </c>
      <c r="M8">
        <f t="shared" ref="M8:M24" si="2">L8/MAX(J8,1)</f>
        <v>0</v>
      </c>
      <c r="N8">
        <f>($M$26*A8)+$M$27</f>
        <v>0</v>
      </c>
    </row>
    <row r="9" spans="1:14" x14ac:dyDescent="0.25">
      <c r="A9">
        <v>3</v>
      </c>
      <c r="B9" s="11" t="s">
        <v>143</v>
      </c>
      <c r="D9">
        <f t="array" ref="D9">SUM(IF((InputData!$O$9:$O$99='PIP Trends'!$B9)*(InputData!$P$9:$P$99="PIP"),InputData!Q$9:Q$99,0))</f>
        <v>0</v>
      </c>
      <c r="E9">
        <f t="array" ref="E9">SUM(IF((InputData!$O$9:$O$99='PIP Trends'!$B9)*(InputData!$P$9:$P$99="PIP"),InputData!R$9:R$99,0))</f>
        <v>0</v>
      </c>
      <c r="F9">
        <f t="array" ref="F9">SUM(IF((InputData!$O$9:$O$99='PIP Trends'!$B9)*(InputData!$P$9:$P$99="PIP"),InputData!S$9:S$99,0))</f>
        <v>0</v>
      </c>
      <c r="G9">
        <f t="shared" si="0"/>
        <v>0</v>
      </c>
      <c r="H9">
        <f t="shared" si="1"/>
        <v>0</v>
      </c>
      <c r="J9">
        <f t="array" ref="J9">SUM(IF((InputData!$O$9:$O$99='PIP Trends'!$B9)*(InputData!$P$9:$P$99="PIP"),InputData!T$9:T$99,0))</f>
        <v>0</v>
      </c>
      <c r="K9">
        <f t="array" ref="K9">SUM(IF((InputData!$O$9:$O$99='PIP Trends'!$B9)*(InputData!$P$9:$P$99="PIP"),InputData!U$9:U$99,0))</f>
        <v>0</v>
      </c>
      <c r="L9">
        <f t="array" ref="L9">SUM(IF((InputData!$O$9:$O$99='PIP Trends'!$B9)*(InputData!$P$9:$P$99="PIP"),InputData!V$9:V$99,0))</f>
        <v>0</v>
      </c>
      <c r="M9">
        <f t="shared" si="2"/>
        <v>0</v>
      </c>
      <c r="N9">
        <f t="shared" ref="N9:N24" si="3">($M$26*A9)+$M$27</f>
        <v>0</v>
      </c>
    </row>
    <row r="10" spans="1:14" x14ac:dyDescent="0.25">
      <c r="A10">
        <v>4</v>
      </c>
      <c r="B10" s="11" t="s">
        <v>144</v>
      </c>
      <c r="D10">
        <f t="array" ref="D10">SUM(IF((InputData!$O$9:$O$99='PIP Trends'!$B10)*(InputData!$P$9:$P$99="PIP"),InputData!Q$9:Q$99,0))</f>
        <v>0</v>
      </c>
      <c r="E10">
        <f t="array" ref="E10">SUM(IF((InputData!$O$9:$O$99='PIP Trends'!$B10)*(InputData!$P$9:$P$99="PIP"),InputData!R$9:R$99,0))</f>
        <v>0</v>
      </c>
      <c r="F10">
        <f t="array" ref="F10">SUM(IF((InputData!$O$9:$O$99='PIP Trends'!$B10)*(InputData!$P$9:$P$99="PIP"),InputData!S$9:S$99,0))</f>
        <v>0</v>
      </c>
      <c r="G10">
        <f t="shared" si="0"/>
        <v>0</v>
      </c>
      <c r="H10">
        <f t="shared" si="1"/>
        <v>0</v>
      </c>
      <c r="J10">
        <f t="array" ref="J10">SUM(IF((InputData!$O$9:$O$99='PIP Trends'!$B10)*(InputData!$P$9:$P$99="PIP"),InputData!T$9:T$99,0))</f>
        <v>0</v>
      </c>
      <c r="K10">
        <f t="array" ref="K10">SUM(IF((InputData!$O$9:$O$99='PIP Trends'!$B10)*(InputData!$P$9:$P$99="PIP"),InputData!U$9:U$99,0))</f>
        <v>0</v>
      </c>
      <c r="L10">
        <f t="array" ref="L10">SUM(IF((InputData!$O$9:$O$99='PIP Trends'!$B10)*(InputData!$P$9:$P$99="PIP"),InputData!V$9:V$99,0))</f>
        <v>0</v>
      </c>
      <c r="M10">
        <f t="shared" si="2"/>
        <v>0</v>
      </c>
      <c r="N10">
        <f t="shared" si="3"/>
        <v>0</v>
      </c>
    </row>
    <row r="11" spans="1:14" x14ac:dyDescent="0.25">
      <c r="A11">
        <v>5</v>
      </c>
      <c r="B11" s="11" t="s">
        <v>145</v>
      </c>
      <c r="D11">
        <f t="array" ref="D11">SUM(IF((InputData!$O$9:$O$99='PIP Trends'!$B11)*(InputData!$P$9:$P$99="PIP"),InputData!Q$9:Q$99,0))</f>
        <v>0</v>
      </c>
      <c r="E11">
        <f t="array" ref="E11">SUM(IF((InputData!$O$9:$O$99='PIP Trends'!$B11)*(InputData!$P$9:$P$99="PIP"),InputData!R$9:R$99,0))</f>
        <v>0</v>
      </c>
      <c r="F11">
        <f t="array" ref="F11">SUM(IF((InputData!$O$9:$O$99='PIP Trends'!$B11)*(InputData!$P$9:$P$99="PIP"),InputData!S$9:S$99,0))</f>
        <v>0</v>
      </c>
      <c r="G11">
        <f t="shared" si="0"/>
        <v>0</v>
      </c>
      <c r="H11">
        <f t="shared" si="1"/>
        <v>0</v>
      </c>
      <c r="J11">
        <f t="array" ref="J11">SUM(IF((InputData!$O$9:$O$99='PIP Trends'!$B11)*(InputData!$P$9:$P$99="PIP"),InputData!T$9:T$99,0))</f>
        <v>0</v>
      </c>
      <c r="K11">
        <f t="array" ref="K11">SUM(IF((InputData!$O$9:$O$99='PIP Trends'!$B11)*(InputData!$P$9:$P$99="PIP"),InputData!U$9:U$99,0))</f>
        <v>0</v>
      </c>
      <c r="L11">
        <f t="array" ref="L11">SUM(IF((InputData!$O$9:$O$99='PIP Trends'!$B11)*(InputData!$P$9:$P$99="PIP"),InputData!V$9:V$99,0))</f>
        <v>0</v>
      </c>
      <c r="M11">
        <f t="shared" si="2"/>
        <v>0</v>
      </c>
      <c r="N11">
        <f t="shared" si="3"/>
        <v>0</v>
      </c>
    </row>
    <row r="12" spans="1:14" x14ac:dyDescent="0.25">
      <c r="A12">
        <v>6</v>
      </c>
      <c r="B12" s="11" t="s">
        <v>139</v>
      </c>
      <c r="D12">
        <f t="array" ref="D12">SUM(IF((InputData!$O$9:$O$99='PIP Trends'!$B12)*(InputData!$P$9:$P$99="PIP"),InputData!Q$9:Q$99,0))</f>
        <v>0</v>
      </c>
      <c r="E12">
        <f t="array" ref="E12">SUM(IF((InputData!$O$9:$O$99='PIP Trends'!$B12)*(InputData!$P$9:$P$99="PIP"),InputData!R$9:R$99,0))</f>
        <v>0</v>
      </c>
      <c r="F12">
        <f t="array" ref="F12">SUM(IF((InputData!$O$9:$O$99='PIP Trends'!$B12)*(InputData!$P$9:$P$99="PIP"),InputData!S$9:S$99,0))</f>
        <v>0</v>
      </c>
      <c r="G12">
        <f t="shared" si="0"/>
        <v>0</v>
      </c>
      <c r="H12">
        <f t="shared" si="1"/>
        <v>0</v>
      </c>
      <c r="J12">
        <f t="array" ref="J12">SUM(IF((InputData!$O$9:$O$99='PIP Trends'!$B12)*(InputData!$P$9:$P$99="PIP"),InputData!T$9:T$99,0))</f>
        <v>0</v>
      </c>
      <c r="K12">
        <f t="array" ref="K12">SUM(IF((InputData!$O$9:$O$99='PIP Trends'!$B12)*(InputData!$P$9:$P$99="PIP"),InputData!U$9:U$99,0))</f>
        <v>0</v>
      </c>
      <c r="L12">
        <f t="array" ref="L12">SUM(IF((InputData!$O$9:$O$99='PIP Trends'!$B12)*(InputData!$P$9:$P$99="PIP"),InputData!V$9:V$99,0))</f>
        <v>0</v>
      </c>
      <c r="M12">
        <f t="shared" si="2"/>
        <v>0</v>
      </c>
      <c r="N12">
        <f t="shared" si="3"/>
        <v>0</v>
      </c>
    </row>
    <row r="13" spans="1:14" x14ac:dyDescent="0.25">
      <c r="A13">
        <v>7</v>
      </c>
      <c r="B13" s="11" t="s">
        <v>140</v>
      </c>
      <c r="D13">
        <f t="array" ref="D13">SUM(IF((InputData!$O$9:$O$99='PIP Trends'!$B13)*(InputData!$P$9:$P$99="PIP"),InputData!Q$9:Q$99,0))</f>
        <v>0</v>
      </c>
      <c r="E13">
        <f t="array" ref="E13">SUM(IF((InputData!$O$9:$O$99='PIP Trends'!$B13)*(InputData!$P$9:$P$99="PIP"),InputData!R$9:R$99,0))</f>
        <v>0</v>
      </c>
      <c r="F13">
        <f t="array" ref="F13">SUM(IF((InputData!$O$9:$O$99='PIP Trends'!$B13)*(InputData!$P$9:$P$99="PIP"),InputData!S$9:S$99,0))</f>
        <v>0</v>
      </c>
      <c r="G13">
        <f t="shared" si="0"/>
        <v>0</v>
      </c>
      <c r="H13">
        <f t="shared" si="1"/>
        <v>0</v>
      </c>
      <c r="J13">
        <f t="array" ref="J13">SUM(IF((InputData!$O$9:$O$99='PIP Trends'!$B13)*(InputData!$P$9:$P$99="PIP"),InputData!T$9:T$99,0))</f>
        <v>0</v>
      </c>
      <c r="K13">
        <f t="array" ref="K13">SUM(IF((InputData!$O$9:$O$99='PIP Trends'!$B13)*(InputData!$P$9:$P$99="PIP"),InputData!U$9:U$99,0))</f>
        <v>0</v>
      </c>
      <c r="L13">
        <f t="array" ref="L13">SUM(IF((InputData!$O$9:$O$99='PIP Trends'!$B13)*(InputData!$P$9:$P$99="PIP"),InputData!V$9:V$99,0))</f>
        <v>0</v>
      </c>
      <c r="M13">
        <f t="shared" si="2"/>
        <v>0</v>
      </c>
      <c r="N13">
        <f t="shared" si="3"/>
        <v>0</v>
      </c>
    </row>
    <row r="14" spans="1:14" x14ac:dyDescent="0.25">
      <c r="A14">
        <v>8</v>
      </c>
      <c r="B14" s="11" t="s">
        <v>141</v>
      </c>
      <c r="D14">
        <f t="array" ref="D14">SUM(IF((InputData!$O$9:$O$99='PIP Trends'!$B14)*(InputData!$P$9:$P$99="PIP"),InputData!Q$9:Q$99,0))</f>
        <v>0</v>
      </c>
      <c r="E14">
        <f t="array" ref="E14">SUM(IF((InputData!$O$9:$O$99='PIP Trends'!$B14)*(InputData!$P$9:$P$99="PIP"),InputData!R$9:R$99,0))</f>
        <v>0</v>
      </c>
      <c r="F14">
        <f t="array" ref="F14">SUM(IF((InputData!$O$9:$O$99='PIP Trends'!$B14)*(InputData!$P$9:$P$99="PIP"),InputData!S$9:S$99,0))</f>
        <v>0</v>
      </c>
      <c r="G14">
        <f t="shared" si="0"/>
        <v>0</v>
      </c>
      <c r="H14">
        <f t="shared" si="1"/>
        <v>0</v>
      </c>
      <c r="J14">
        <f t="array" ref="J14">SUM(IF((InputData!$O$9:$O$99='PIP Trends'!$B14)*(InputData!$P$9:$P$99="PIP"),InputData!T$9:T$99,0))</f>
        <v>0</v>
      </c>
      <c r="K14">
        <f t="array" ref="K14">SUM(IF((InputData!$O$9:$O$99='PIP Trends'!$B14)*(InputData!$P$9:$P$99="PIP"),InputData!U$9:U$99,0))</f>
        <v>0</v>
      </c>
      <c r="L14">
        <f t="array" ref="L14">SUM(IF((InputData!$O$9:$O$99='PIP Trends'!$B14)*(InputData!$P$9:$P$99="PIP"),InputData!V$9:V$99,0))</f>
        <v>0</v>
      </c>
      <c r="M14">
        <f t="shared" si="2"/>
        <v>0</v>
      </c>
      <c r="N14">
        <f t="shared" si="3"/>
        <v>0</v>
      </c>
    </row>
    <row r="15" spans="1:14" x14ac:dyDescent="0.25">
      <c r="A15">
        <v>9</v>
      </c>
      <c r="B15" s="11" t="s">
        <v>142</v>
      </c>
      <c r="D15">
        <f t="array" ref="D15">SUM(IF((InputData!$O$9:$O$99='PIP Trends'!$B15)*(InputData!$P$9:$P$99="PIP"),InputData!Q$9:Q$99,0))</f>
        <v>0</v>
      </c>
      <c r="E15">
        <f t="array" ref="E15">SUM(IF((InputData!$O$9:$O$99='PIP Trends'!$B15)*(InputData!$P$9:$P$99="PIP"),InputData!R$9:R$99,0))</f>
        <v>0</v>
      </c>
      <c r="F15">
        <f t="array" ref="F15">SUM(IF((InputData!$O$9:$O$99='PIP Trends'!$B15)*(InputData!$P$9:$P$99="PIP"),InputData!S$9:S$99,0))</f>
        <v>0</v>
      </c>
      <c r="G15">
        <f t="shared" si="0"/>
        <v>0</v>
      </c>
      <c r="H15">
        <f t="shared" si="1"/>
        <v>0</v>
      </c>
      <c r="J15">
        <f t="array" ref="J15">SUM(IF((InputData!$O$9:$O$99='PIP Trends'!$B15)*(InputData!$P$9:$P$99="PIP"),InputData!T$9:T$99,0))</f>
        <v>0</v>
      </c>
      <c r="K15">
        <f t="array" ref="K15">SUM(IF((InputData!$O$9:$O$99='PIP Trends'!$B15)*(InputData!$P$9:$P$99="PIP"),InputData!U$9:U$99,0))</f>
        <v>0</v>
      </c>
      <c r="L15">
        <f t="array" ref="L15">SUM(IF((InputData!$O$9:$O$99='PIP Trends'!$B15)*(InputData!$P$9:$P$99="PIP"),InputData!V$9:V$99,0))</f>
        <v>0</v>
      </c>
      <c r="M15">
        <f t="shared" si="2"/>
        <v>0</v>
      </c>
      <c r="N15">
        <f t="shared" si="3"/>
        <v>0</v>
      </c>
    </row>
    <row r="16" spans="1:14" x14ac:dyDescent="0.25">
      <c r="A16">
        <v>10</v>
      </c>
      <c r="B16" s="11" t="s">
        <v>135</v>
      </c>
      <c r="D16">
        <f t="array" ref="D16">SUM(IF((InputData!$O$9:$O$99='PIP Trends'!$B16)*(InputData!$P$9:$P$99="PIP"),InputData!Q$9:Q$99,0))</f>
        <v>0</v>
      </c>
      <c r="E16">
        <f t="array" ref="E16">SUM(IF((InputData!$O$9:$O$99='PIP Trends'!$B16)*(InputData!$P$9:$P$99="PIP"),InputData!R$9:R$99,0))</f>
        <v>0</v>
      </c>
      <c r="F16">
        <f t="array" ref="F16">SUM(IF((InputData!$O$9:$O$99='PIP Trends'!$B16)*(InputData!$P$9:$P$99="PIP"),InputData!S$9:S$99,0))</f>
        <v>0</v>
      </c>
      <c r="G16">
        <f t="shared" si="0"/>
        <v>0</v>
      </c>
      <c r="H16">
        <f t="shared" si="1"/>
        <v>0</v>
      </c>
      <c r="J16">
        <f t="array" ref="J16">SUM(IF((InputData!$O$9:$O$99='PIP Trends'!$B16)*(InputData!$P$9:$P$99="PIP"),InputData!T$9:T$99,0))</f>
        <v>0</v>
      </c>
      <c r="K16">
        <f t="array" ref="K16">SUM(IF((InputData!$O$9:$O$99='PIP Trends'!$B16)*(InputData!$P$9:$P$99="PIP"),InputData!U$9:U$99,0))</f>
        <v>0</v>
      </c>
      <c r="L16">
        <f t="array" ref="L16">SUM(IF((InputData!$O$9:$O$99='PIP Trends'!$B16)*(InputData!$P$9:$P$99="PIP"),InputData!V$9:V$99,0))</f>
        <v>0</v>
      </c>
      <c r="M16">
        <f t="shared" si="2"/>
        <v>0</v>
      </c>
      <c r="N16">
        <f t="shared" si="3"/>
        <v>0</v>
      </c>
    </row>
    <row r="17" spans="1:14" x14ac:dyDescent="0.25">
      <c r="A17">
        <v>11</v>
      </c>
      <c r="B17" s="11" t="s">
        <v>136</v>
      </c>
      <c r="D17">
        <f t="array" ref="D17">SUM(IF((InputData!$O$9:$O$99='PIP Trends'!$B17)*(InputData!$P$9:$P$99="PIP"),InputData!Q$9:Q$99,0))</f>
        <v>0</v>
      </c>
      <c r="E17">
        <f t="array" ref="E17">SUM(IF((InputData!$O$9:$O$99='PIP Trends'!$B17)*(InputData!$P$9:$P$99="PIP"),InputData!R$9:R$99,0))</f>
        <v>0</v>
      </c>
      <c r="F17">
        <f t="array" ref="F17">SUM(IF((InputData!$O$9:$O$99='PIP Trends'!$B17)*(InputData!$P$9:$P$99="PIP"),InputData!S$9:S$99,0))</f>
        <v>0</v>
      </c>
      <c r="G17">
        <f t="shared" si="0"/>
        <v>0</v>
      </c>
      <c r="H17">
        <f t="shared" si="1"/>
        <v>0</v>
      </c>
      <c r="J17">
        <f t="array" ref="J17">SUM(IF((InputData!$O$9:$O$99='PIP Trends'!$B17)*(InputData!$P$9:$P$99="PIP"),InputData!T$9:T$99,0))</f>
        <v>0</v>
      </c>
      <c r="K17">
        <f t="array" ref="K17">SUM(IF((InputData!$O$9:$O$99='PIP Trends'!$B17)*(InputData!$P$9:$P$99="PIP"),InputData!U$9:U$99,0))</f>
        <v>0</v>
      </c>
      <c r="L17">
        <f t="array" ref="L17">SUM(IF((InputData!$O$9:$O$99='PIP Trends'!$B17)*(InputData!$P$9:$P$99="PIP"),InputData!V$9:V$99,0))</f>
        <v>0</v>
      </c>
      <c r="M17">
        <f t="shared" si="2"/>
        <v>0</v>
      </c>
      <c r="N17">
        <f t="shared" si="3"/>
        <v>0</v>
      </c>
    </row>
    <row r="18" spans="1:14" x14ac:dyDescent="0.25">
      <c r="A18">
        <v>12</v>
      </c>
      <c r="B18" s="11" t="s">
        <v>137</v>
      </c>
      <c r="D18">
        <f t="array" ref="D18">SUM(IF((InputData!$O$9:$O$99='PIP Trends'!$B18)*(InputData!$P$9:$P$99="PIP"),InputData!Q$9:Q$99,0))</f>
        <v>0</v>
      </c>
      <c r="E18">
        <f t="array" ref="E18">SUM(IF((InputData!$O$9:$O$99='PIP Trends'!$B18)*(InputData!$P$9:$P$99="PIP"),InputData!R$9:R$99,0))</f>
        <v>0</v>
      </c>
      <c r="F18">
        <f t="array" ref="F18">SUM(IF((InputData!$O$9:$O$99='PIP Trends'!$B18)*(InputData!$P$9:$P$99="PIP"),InputData!S$9:S$99,0))</f>
        <v>0</v>
      </c>
      <c r="G18">
        <f t="shared" si="0"/>
        <v>0</v>
      </c>
      <c r="H18">
        <f t="shared" si="1"/>
        <v>0</v>
      </c>
      <c r="J18">
        <f t="array" ref="J18">SUM(IF((InputData!$O$9:$O$99='PIP Trends'!$B18)*(InputData!$P$9:$P$99="PIP"),InputData!T$9:T$99,0))</f>
        <v>0</v>
      </c>
      <c r="K18">
        <f t="array" ref="K18">SUM(IF((InputData!$O$9:$O$99='PIP Trends'!$B18)*(InputData!$P$9:$P$99="PIP"),InputData!U$9:U$99,0))</f>
        <v>0</v>
      </c>
      <c r="L18">
        <f t="array" ref="L18">SUM(IF((InputData!$O$9:$O$99='PIP Trends'!$B18)*(InputData!$P$9:$P$99="PIP"),InputData!V$9:V$99,0))</f>
        <v>0</v>
      </c>
      <c r="M18">
        <f t="shared" si="2"/>
        <v>0</v>
      </c>
      <c r="N18">
        <f t="shared" si="3"/>
        <v>0</v>
      </c>
    </row>
    <row r="19" spans="1:14" x14ac:dyDescent="0.25">
      <c r="A19">
        <v>13</v>
      </c>
      <c r="B19" s="11" t="s">
        <v>138</v>
      </c>
      <c r="D19">
        <f t="array" ref="D19">SUM(IF((InputData!$O$9:$O$99='PIP Trends'!$B19)*(InputData!$P$9:$P$99="PIP"),InputData!Q$9:Q$99,0))</f>
        <v>0</v>
      </c>
      <c r="E19">
        <f t="array" ref="E19">SUM(IF((InputData!$O$9:$O$99='PIP Trends'!$B19)*(InputData!$P$9:$P$99="PIP"),InputData!R$9:R$99,0))</f>
        <v>0</v>
      </c>
      <c r="F19">
        <f t="array" ref="F19">SUM(IF((InputData!$O$9:$O$99='PIP Trends'!$B19)*(InputData!$P$9:$P$99="PIP"),InputData!S$9:S$99,0))</f>
        <v>0</v>
      </c>
      <c r="G19">
        <f t="shared" si="0"/>
        <v>0</v>
      </c>
      <c r="H19">
        <f t="shared" si="1"/>
        <v>0</v>
      </c>
      <c r="J19">
        <f t="array" ref="J19">SUM(IF((InputData!$O$9:$O$99='PIP Trends'!$B19)*(InputData!$P$9:$P$99="PIP"),InputData!T$9:T$99,0))</f>
        <v>0</v>
      </c>
      <c r="K19">
        <f t="array" ref="K19">SUM(IF((InputData!$O$9:$O$99='PIP Trends'!$B19)*(InputData!$P$9:$P$99="PIP"),InputData!U$9:U$99,0))</f>
        <v>0</v>
      </c>
      <c r="L19">
        <f t="array" ref="L19">SUM(IF((InputData!$O$9:$O$99='PIP Trends'!$B19)*(InputData!$P$9:$P$99="PIP"),InputData!V$9:V$99,0))</f>
        <v>0</v>
      </c>
      <c r="M19">
        <f t="shared" si="2"/>
        <v>0</v>
      </c>
      <c r="N19">
        <f t="shared" si="3"/>
        <v>0</v>
      </c>
    </row>
    <row r="20" spans="1:14" x14ac:dyDescent="0.25">
      <c r="A20">
        <v>14</v>
      </c>
      <c r="B20" s="11" t="s">
        <v>131</v>
      </c>
      <c r="D20">
        <f t="array" ref="D20">SUM(IF((InputData!$O$9:$O$99='PIP Trends'!$B20)*(InputData!$P$9:$P$99="PIP"),InputData!Q$9:Q$99,0))</f>
        <v>0</v>
      </c>
      <c r="E20">
        <f t="array" ref="E20">SUM(IF((InputData!$O$9:$O$99='PIP Trends'!$B20)*(InputData!$P$9:$P$99="PIP"),InputData!R$9:R$99,0))</f>
        <v>0</v>
      </c>
      <c r="F20">
        <f t="array" ref="F20">SUM(IF((InputData!$O$9:$O$99='PIP Trends'!$B20)*(InputData!$P$9:$P$99="PIP"),InputData!S$9:S$99,0))</f>
        <v>0</v>
      </c>
      <c r="G20">
        <f t="shared" si="0"/>
        <v>0</v>
      </c>
      <c r="H20">
        <f t="shared" si="1"/>
        <v>0</v>
      </c>
      <c r="J20">
        <f t="array" ref="J20">SUM(IF((InputData!$O$9:$O$99='PIP Trends'!$B20)*(InputData!$P$9:$P$99="PIP"),InputData!T$9:T$99,0))</f>
        <v>0</v>
      </c>
      <c r="K20">
        <f t="array" ref="K20">SUM(IF((InputData!$O$9:$O$99='PIP Trends'!$B20)*(InputData!$P$9:$P$99="PIP"),InputData!U$9:U$99,0))</f>
        <v>0</v>
      </c>
      <c r="L20">
        <f t="array" ref="L20">SUM(IF((InputData!$O$9:$O$99='PIP Trends'!$B20)*(InputData!$P$9:$P$99="PIP"),InputData!V$9:V$99,0))</f>
        <v>0</v>
      </c>
      <c r="M20">
        <f t="shared" si="2"/>
        <v>0</v>
      </c>
      <c r="N20">
        <f t="shared" si="3"/>
        <v>0</v>
      </c>
    </row>
    <row r="21" spans="1:14" x14ac:dyDescent="0.25">
      <c r="A21">
        <v>15</v>
      </c>
      <c r="B21" s="11" t="s">
        <v>132</v>
      </c>
      <c r="D21">
        <f t="array" ref="D21">SUM(IF((InputData!$O$9:$O$99='PIP Trends'!$B21)*(InputData!$P$9:$P$99="PIP"),InputData!Q$9:Q$99,0))</f>
        <v>0</v>
      </c>
      <c r="E21">
        <f t="array" ref="E21">SUM(IF((InputData!$O$9:$O$99='PIP Trends'!$B21)*(InputData!$P$9:$P$99="PIP"),InputData!R$9:R$99,0))</f>
        <v>0</v>
      </c>
      <c r="F21">
        <f t="array" ref="F21">SUM(IF((InputData!$O$9:$O$99='PIP Trends'!$B21)*(InputData!$P$9:$P$99="PIP"),InputData!S$9:S$99,0))</f>
        <v>0</v>
      </c>
      <c r="G21">
        <f t="shared" si="0"/>
        <v>0</v>
      </c>
      <c r="H21">
        <f t="shared" si="1"/>
        <v>0</v>
      </c>
      <c r="J21">
        <f t="array" ref="J21">SUM(IF((InputData!$O$9:$O$99='PIP Trends'!$B21)*(InputData!$P$9:$P$99="PIP"),InputData!T$9:T$99,0))</f>
        <v>0</v>
      </c>
      <c r="K21">
        <f t="array" ref="K21">SUM(IF((InputData!$O$9:$O$99='PIP Trends'!$B21)*(InputData!$P$9:$P$99="PIP"),InputData!U$9:U$99,0))</f>
        <v>0</v>
      </c>
      <c r="L21">
        <f t="array" ref="L21">SUM(IF((InputData!$O$9:$O$99='PIP Trends'!$B21)*(InputData!$P$9:$P$99="PIP"),InputData!V$9:V$99,0))</f>
        <v>0</v>
      </c>
      <c r="M21">
        <f t="shared" si="2"/>
        <v>0</v>
      </c>
      <c r="N21">
        <f t="shared" si="3"/>
        <v>0</v>
      </c>
    </row>
    <row r="22" spans="1:14" x14ac:dyDescent="0.25">
      <c r="A22">
        <v>16</v>
      </c>
      <c r="B22" s="11" t="s">
        <v>133</v>
      </c>
      <c r="D22">
        <f t="array" ref="D22">SUM(IF((InputData!$O$9:$O$99='PIP Trends'!$B22)*(InputData!$P$9:$P$99="PIP"),InputData!Q$9:Q$99,0))</f>
        <v>0</v>
      </c>
      <c r="E22">
        <f t="array" ref="E22">SUM(IF((InputData!$O$9:$O$99='PIP Trends'!$B22)*(InputData!$P$9:$P$99="PIP"),InputData!R$9:R$99,0))</f>
        <v>0</v>
      </c>
      <c r="F22">
        <f t="array" ref="F22">SUM(IF((InputData!$O$9:$O$99='PIP Trends'!$B22)*(InputData!$P$9:$P$99="PIP"),InputData!S$9:S$99,0))</f>
        <v>0</v>
      </c>
      <c r="G22">
        <f t="shared" si="0"/>
        <v>0</v>
      </c>
      <c r="H22">
        <f t="shared" si="1"/>
        <v>0</v>
      </c>
      <c r="J22">
        <f t="array" ref="J22">SUM(IF((InputData!$O$9:$O$99='PIP Trends'!$B22)*(InputData!$P$9:$P$99="PIP"),InputData!T$9:T$99,0))</f>
        <v>0</v>
      </c>
      <c r="K22">
        <f t="array" ref="K22">SUM(IF((InputData!$O$9:$O$99='PIP Trends'!$B22)*(InputData!$P$9:$P$99="PIP"),InputData!U$9:U$99,0))</f>
        <v>0</v>
      </c>
      <c r="L22">
        <f t="array" ref="L22">SUM(IF((InputData!$O$9:$O$99='PIP Trends'!$B22)*(InputData!$P$9:$P$99="PIP"),InputData!V$9:V$99,0))</f>
        <v>0</v>
      </c>
      <c r="M22">
        <f t="shared" si="2"/>
        <v>0</v>
      </c>
      <c r="N22">
        <f t="shared" si="3"/>
        <v>0</v>
      </c>
    </row>
    <row r="23" spans="1:14" x14ac:dyDescent="0.25">
      <c r="A23">
        <v>17</v>
      </c>
      <c r="B23" s="11" t="s">
        <v>134</v>
      </c>
      <c r="D23">
        <f t="array" ref="D23">SUM(IF((InputData!$O$9:$O$99='PIP Trends'!$B23)*(InputData!$P$9:$P$99="PIP"),InputData!Q$9:Q$99,0))</f>
        <v>0</v>
      </c>
      <c r="E23">
        <f t="array" ref="E23">SUM(IF((InputData!$O$9:$O$99='PIP Trends'!$B23)*(InputData!$P$9:$P$99="PIP"),InputData!R$9:R$99,0))</f>
        <v>0</v>
      </c>
      <c r="F23">
        <f t="array" ref="F23">SUM(IF((InputData!$O$9:$O$99='PIP Trends'!$B23)*(InputData!$P$9:$P$99="PIP"),InputData!S$9:S$99,0))</f>
        <v>0</v>
      </c>
      <c r="G23">
        <f t="shared" si="0"/>
        <v>0</v>
      </c>
      <c r="H23">
        <f t="shared" si="1"/>
        <v>0</v>
      </c>
      <c r="J23">
        <f t="array" ref="J23">SUM(IF((InputData!$O$9:$O$99='PIP Trends'!$B23)*(InputData!$P$9:$P$99="PIP"),InputData!T$9:T$99,0))</f>
        <v>0</v>
      </c>
      <c r="K23">
        <f t="array" ref="K23">SUM(IF((InputData!$O$9:$O$99='PIP Trends'!$B23)*(InputData!$P$9:$P$99="PIP"),InputData!U$9:U$99,0))</f>
        <v>0</v>
      </c>
      <c r="L23">
        <f t="array" ref="L23">SUM(IF((InputData!$O$9:$O$99='PIP Trends'!$B23)*(InputData!$P$9:$P$99="PIP"),InputData!V$9:V$99,0))</f>
        <v>0</v>
      </c>
      <c r="M23">
        <f t="shared" si="2"/>
        <v>0</v>
      </c>
      <c r="N23">
        <f t="shared" si="3"/>
        <v>0</v>
      </c>
    </row>
    <row r="24" spans="1:14" x14ac:dyDescent="0.25">
      <c r="A24">
        <v>18</v>
      </c>
      <c r="B24" s="11" t="s">
        <v>130</v>
      </c>
      <c r="D24">
        <f t="array" ref="D24">SUM(IF((InputData!$O$9:$O$99='PIP Trends'!$B24)*(InputData!$P$9:$P$99="PIP"),InputData!Q$9:Q$99,0))</f>
        <v>0</v>
      </c>
      <c r="E24">
        <f t="array" ref="E24">SUM(IF((InputData!$O$9:$O$99='PIP Trends'!$B24)*(InputData!$P$9:$P$99="PIP"),InputData!R$9:R$99,0))</f>
        <v>0</v>
      </c>
      <c r="F24">
        <f t="array" ref="F24">SUM(IF((InputData!$O$9:$O$99='PIP Trends'!$B24)*(InputData!$P$9:$P$99="PIP"),InputData!S$9:S$99,0))</f>
        <v>0</v>
      </c>
      <c r="G24">
        <f t="shared" si="0"/>
        <v>0</v>
      </c>
      <c r="H24">
        <f t="shared" si="1"/>
        <v>0</v>
      </c>
      <c r="J24">
        <f t="array" ref="J24">SUM(IF((InputData!$O$9:$O$99='PIP Trends'!$B24)*(InputData!$P$9:$P$99="PIP"),InputData!T$9:T$99,0))</f>
        <v>0</v>
      </c>
      <c r="K24">
        <f t="array" ref="K24">SUM(IF((InputData!$O$9:$O$99='PIP Trends'!$B24)*(InputData!$P$9:$P$99="PIP"),InputData!U$9:U$99,0))</f>
        <v>0</v>
      </c>
      <c r="L24">
        <f t="array" ref="L24">SUM(IF((InputData!$O$9:$O$99='PIP Trends'!$B24)*(InputData!$P$9:$P$99="PIP"),InputData!V$9:V$99,0))</f>
        <v>0</v>
      </c>
      <c r="M24">
        <f t="shared" si="2"/>
        <v>0</v>
      </c>
      <c r="N24">
        <f t="shared" si="3"/>
        <v>0</v>
      </c>
    </row>
    <row r="26" spans="1:14" x14ac:dyDescent="0.25">
      <c r="F26" t="s">
        <v>147</v>
      </c>
      <c r="G26">
        <f>LINEST(G7:G24,A7:A24)</f>
        <v>0</v>
      </c>
      <c r="L26" t="s">
        <v>147</v>
      </c>
      <c r="M26">
        <f>LINEST(M7:M24,A7:$A$24)</f>
        <v>0</v>
      </c>
    </row>
    <row r="27" spans="1:14" x14ac:dyDescent="0.25">
      <c r="F27" t="s">
        <v>148</v>
      </c>
      <c r="G27">
        <f>INTERCEPT(G7:G24,A7:A24)</f>
        <v>0</v>
      </c>
      <c r="L27" t="s">
        <v>148</v>
      </c>
      <c r="M27">
        <f>INTERCEPT(M7:M24,A7:$A$24)</f>
        <v>0</v>
      </c>
    </row>
    <row r="29" spans="1:14" x14ac:dyDescent="0.25">
      <c r="F29" t="s">
        <v>150</v>
      </c>
      <c r="G29">
        <f>4*$G$26</f>
        <v>0</v>
      </c>
      <c r="L29" t="s">
        <v>150</v>
      </c>
      <c r="M29">
        <f>4*$M$26</f>
        <v>0</v>
      </c>
    </row>
    <row r="30" spans="1:14" x14ac:dyDescent="0.25">
      <c r="F30" t="s">
        <v>151</v>
      </c>
      <c r="G30" s="37">
        <f>G29/MAX($H$24,1)</f>
        <v>0</v>
      </c>
      <c r="L30" t="s">
        <v>151</v>
      </c>
      <c r="M30" s="37">
        <f>M29/MAX($N$24,1)</f>
        <v>0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N30"/>
  <sheetViews>
    <sheetView zoomScale="70" workbookViewId="0">
      <selection activeCell="O37" sqref="O37"/>
    </sheetView>
  </sheetViews>
  <sheetFormatPr defaultRowHeight="13.2" x14ac:dyDescent="0.25"/>
  <cols>
    <col min="3" max="3" width="2.44140625" customWidth="1"/>
    <col min="4" max="4" width="11.109375" bestFit="1" customWidth="1"/>
    <col min="6" max="6" width="13.88671875" bestFit="1" customWidth="1"/>
    <col min="9" max="9" width="3.5546875" customWidth="1"/>
    <col min="12" max="12" width="14.44140625" customWidth="1"/>
  </cols>
  <sheetData>
    <row r="1" spans="1:14" x14ac:dyDescent="0.25">
      <c r="A1" s="7"/>
      <c r="B1" s="13" t="str">
        <f>InputData!B2&amp;" COLL Coverage Pure Premium Trend Analysis"</f>
        <v>Illinois COLL Coverage Pure Premium Trend Analysis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7"/>
    </row>
    <row r="3" spans="1:14" x14ac:dyDescent="0.25">
      <c r="D3" s="12" t="s">
        <v>45</v>
      </c>
      <c r="E3" s="12"/>
      <c r="F3" s="12"/>
      <c r="G3" s="12"/>
      <c r="H3" s="12"/>
      <c r="J3" s="12" t="s">
        <v>128</v>
      </c>
      <c r="K3" s="12"/>
      <c r="L3" s="12"/>
      <c r="M3" s="12"/>
      <c r="N3" s="12"/>
    </row>
    <row r="4" spans="1:14" x14ac:dyDescent="0.25">
      <c r="E4" s="3" t="s">
        <v>46</v>
      </c>
      <c r="F4" s="3" t="s">
        <v>48</v>
      </c>
      <c r="G4" s="3" t="s">
        <v>50</v>
      </c>
      <c r="H4" s="3" t="s">
        <v>52</v>
      </c>
      <c r="K4" s="3" t="s">
        <v>46</v>
      </c>
      <c r="L4" s="3" t="s">
        <v>48</v>
      </c>
      <c r="M4" s="3" t="s">
        <v>50</v>
      </c>
      <c r="N4" s="3" t="s">
        <v>52</v>
      </c>
    </row>
    <row r="5" spans="1:14" x14ac:dyDescent="0.25">
      <c r="B5" s="4" t="s">
        <v>43</v>
      </c>
      <c r="D5" s="4" t="s">
        <v>44</v>
      </c>
      <c r="E5" s="4" t="s">
        <v>47</v>
      </c>
      <c r="F5" s="4" t="s">
        <v>49</v>
      </c>
      <c r="G5" s="4" t="s">
        <v>51</v>
      </c>
      <c r="H5" s="4" t="s">
        <v>53</v>
      </c>
      <c r="J5" s="4" t="s">
        <v>44</v>
      </c>
      <c r="K5" s="4" t="s">
        <v>47</v>
      </c>
      <c r="L5" s="4" t="s">
        <v>49</v>
      </c>
      <c r="M5" s="4" t="s">
        <v>51</v>
      </c>
      <c r="N5" s="4" t="s">
        <v>53</v>
      </c>
    </row>
    <row r="7" spans="1:14" x14ac:dyDescent="0.25">
      <c r="A7">
        <v>1</v>
      </c>
      <c r="B7" s="11" t="s">
        <v>39</v>
      </c>
      <c r="D7">
        <f t="array" ref="D7">SUM(IF((InputData!$O$9:$O$99='COLL Trends'!$B7)*(InputData!$P$9:$P$99="COLL"),InputData!Q$9:Q$99,0))</f>
        <v>86712859</v>
      </c>
      <c r="E7">
        <f t="array" ref="E7">SUM(IF((InputData!$O$9:$O$99='COLL Trends'!$B7)*(InputData!$P$9:$P$99="COLL"),InputData!R$9:R$99,0))</f>
        <v>5986159</v>
      </c>
      <c r="F7">
        <f t="array" ref="F7">SUM(IF((InputData!$O$9:$O$99='COLL Trends'!$B7)*(InputData!$P$9:$P$99="COLL"),InputData!S$9:S$99,0))</f>
        <v>15430137312</v>
      </c>
      <c r="G7" s="47">
        <f>F7/D7</f>
        <v>177.94520316761785</v>
      </c>
      <c r="H7" s="47">
        <f>($G$26*$A7)+$G$27</f>
        <v>178.02196240043261</v>
      </c>
      <c r="J7">
        <f t="array" ref="J7">SUM(IF((InputData!$O$9:$O$99='COLL Trends'!$B7)*(InputData!$P$9:$P$99="COLL"),InputData!T$9:T$99,0))</f>
        <v>3158114</v>
      </c>
      <c r="K7">
        <f t="array" ref="K7">SUM(IF((InputData!$O$9:$O$99='COLL Trends'!$B7)*(InputData!$P$9:$P$99="COLL"),InputData!U$9:U$99,0))</f>
        <v>200155</v>
      </c>
      <c r="L7">
        <f t="array" ref="L7">SUM(IF((InputData!$O$9:$O$99='COLL Trends'!$B7)*(InputData!$P$9:$P$99="COLL"),InputData!V$9:V$99,0))</f>
        <v>459218177</v>
      </c>
      <c r="M7" s="47">
        <f>L7/J7</f>
        <v>145.40899315224212</v>
      </c>
      <c r="N7" s="47">
        <f>($M$26*A7)+$M$27</f>
        <v>144.68644344486779</v>
      </c>
    </row>
    <row r="8" spans="1:14" x14ac:dyDescent="0.25">
      <c r="A8">
        <v>2</v>
      </c>
      <c r="B8" s="11" t="s">
        <v>40</v>
      </c>
      <c r="D8">
        <f t="array" ref="D8">SUM(IF((InputData!$O$9:$O$99='COLL Trends'!$B8)*(InputData!$P$9:$P$99="COLL"),InputData!Q$9:Q$99,0))</f>
        <v>87356399</v>
      </c>
      <c r="E8">
        <f t="array" ref="E8">SUM(IF((InputData!$O$9:$O$99='COLL Trends'!$B8)*(InputData!$P$9:$P$99="COLL"),InputData!R$9:R$99,0))</f>
        <v>5885987</v>
      </c>
      <c r="F8">
        <f t="array" ref="F8">SUM(IF((InputData!$O$9:$O$99='COLL Trends'!$B8)*(InputData!$P$9:$P$99="COLL"),InputData!S$9:S$99,0))</f>
        <v>15309021837</v>
      </c>
      <c r="G8" s="47">
        <f t="shared" ref="G8:G24" si="0">F8/D8</f>
        <v>175.24785833949039</v>
      </c>
      <c r="H8" s="47">
        <f t="shared" ref="H8:H24" si="1">($G$26*$A8)+$G$27</f>
        <v>177.56269323612503</v>
      </c>
      <c r="J8">
        <f t="array" ref="J8">SUM(IF((InputData!$O$9:$O$99='COLL Trends'!$B8)*(InputData!$P$9:$P$99="COLL"),InputData!T$9:T$99,0))</f>
        <v>3179063</v>
      </c>
      <c r="K8">
        <f t="array" ref="K8">SUM(IF((InputData!$O$9:$O$99='COLL Trends'!$B8)*(InputData!$P$9:$P$99="COLL"),InputData!U$9:U$99,0))</f>
        <v>193943</v>
      </c>
      <c r="L8">
        <f t="array" ref="L8">SUM(IF((InputData!$O$9:$O$99='COLL Trends'!$B8)*(InputData!$P$9:$P$99="COLL"),InputData!V$9:V$99,0))</f>
        <v>441035565</v>
      </c>
      <c r="M8" s="47">
        <f t="shared" ref="M8:M24" si="2">L8/J8</f>
        <v>138.73130699202878</v>
      </c>
      <c r="N8" s="47">
        <f t="shared" ref="N8:N24" si="3">($M$26*A8)+$M$27</f>
        <v>144.57532516081326</v>
      </c>
    </row>
    <row r="9" spans="1:14" x14ac:dyDescent="0.25">
      <c r="A9">
        <v>3</v>
      </c>
      <c r="B9" s="11" t="s">
        <v>143</v>
      </c>
      <c r="D9">
        <f t="array" ref="D9">SUM(IF((InputData!$O$9:$O$99='COLL Trends'!$B9)*(InputData!$P$9:$P$99="COLL"),InputData!Q$9:Q$99,0))</f>
        <v>87952897</v>
      </c>
      <c r="E9">
        <f t="array" ref="E9">SUM(IF((InputData!$O$9:$O$99='COLL Trends'!$B9)*(InputData!$P$9:$P$99="COLL"),InputData!R$9:R$99,0))</f>
        <v>5901070</v>
      </c>
      <c r="F9">
        <f t="array" ref="F9">SUM(IF((InputData!$O$9:$O$99='COLL Trends'!$B9)*(InputData!$P$9:$P$99="COLL"),InputData!S$9:S$99,0))</f>
        <v>15461420981</v>
      </c>
      <c r="G9" s="47">
        <f t="shared" si="0"/>
        <v>175.79206039114322</v>
      </c>
      <c r="H9" s="47">
        <f t="shared" si="1"/>
        <v>177.10342407181747</v>
      </c>
      <c r="J9">
        <f t="array" ref="J9">SUM(IF((InputData!$O$9:$O$99='COLL Trends'!$B9)*(InputData!$P$9:$P$99="COLL"),InputData!T$9:T$99,0))</f>
        <v>3201314</v>
      </c>
      <c r="K9">
        <f t="array" ref="K9">SUM(IF((InputData!$O$9:$O$99='COLL Trends'!$B9)*(InputData!$P$9:$P$99="COLL"),InputData!U$9:U$99,0))</f>
        <v>193513</v>
      </c>
      <c r="L9">
        <f t="array" ref="L9">SUM(IF((InputData!$O$9:$O$99='COLL Trends'!$B9)*(InputData!$P$9:$P$99="COLL"),InputData!V$9:V$99,0))</f>
        <v>447274130</v>
      </c>
      <c r="M9" s="47">
        <f t="shared" si="2"/>
        <v>139.71579482674926</v>
      </c>
      <c r="N9" s="47">
        <f t="shared" si="3"/>
        <v>144.46420687675871</v>
      </c>
    </row>
    <row r="10" spans="1:14" x14ac:dyDescent="0.25">
      <c r="A10">
        <v>4</v>
      </c>
      <c r="B10" s="11" t="s">
        <v>144</v>
      </c>
      <c r="D10">
        <f t="array" ref="D10">SUM(IF((InputData!$O$9:$O$99='COLL Trends'!$B10)*(InputData!$P$9:$P$99="COLL"),InputData!Q$9:Q$99,0))</f>
        <v>88442844</v>
      </c>
      <c r="E10">
        <f t="array" ref="E10">SUM(IF((InputData!$O$9:$O$99='COLL Trends'!$B10)*(InputData!$P$9:$P$99="COLL"),InputData!R$9:R$99,0))</f>
        <v>5919936</v>
      </c>
      <c r="F10">
        <f t="array" ref="F10">SUM(IF((InputData!$O$9:$O$99='COLL Trends'!$B10)*(InputData!$P$9:$P$99="COLL"),InputData!S$9:S$99,0))</f>
        <v>15630123883</v>
      </c>
      <c r="G10" s="47">
        <f t="shared" si="0"/>
        <v>176.72570415080727</v>
      </c>
      <c r="H10" s="47">
        <f t="shared" si="1"/>
        <v>176.64415490750989</v>
      </c>
      <c r="J10">
        <f t="array" ref="J10">SUM(IF((InputData!$O$9:$O$99='COLL Trends'!$B10)*(InputData!$P$9:$P$99="COLL"),InputData!T$9:T$99,0))</f>
        <v>3223035</v>
      </c>
      <c r="K10">
        <f t="array" ref="K10">SUM(IF((InputData!$O$9:$O$99='COLL Trends'!$B10)*(InputData!$P$9:$P$99="COLL"),InputData!U$9:U$99,0))</f>
        <v>194786</v>
      </c>
      <c r="L10">
        <f t="array" ref="L10">SUM(IF((InputData!$O$9:$O$99='COLL Trends'!$B10)*(InputData!$P$9:$P$99="COLL"),InputData!V$9:V$99,0))</f>
        <v>454874330</v>
      </c>
      <c r="M10" s="47">
        <f t="shared" si="2"/>
        <v>141.13229611220481</v>
      </c>
      <c r="N10" s="47">
        <f t="shared" si="3"/>
        <v>144.35308859270415</v>
      </c>
    </row>
    <row r="11" spans="1:14" x14ac:dyDescent="0.25">
      <c r="A11">
        <v>5</v>
      </c>
      <c r="B11" s="11" t="s">
        <v>145</v>
      </c>
      <c r="D11">
        <f t="array" ref="D11">SUM(IF((InputData!$O$9:$O$99='COLL Trends'!$B11)*(InputData!$P$9:$P$99="COLL"),InputData!Q$9:Q$99,0))</f>
        <v>88669430</v>
      </c>
      <c r="E11">
        <f t="array" ref="E11">SUM(IF((InputData!$O$9:$O$99='COLL Trends'!$B11)*(InputData!$P$9:$P$99="COLL"),InputData!R$9:R$99,0))</f>
        <v>5882671</v>
      </c>
      <c r="F11">
        <f t="array" ref="F11">SUM(IF((InputData!$O$9:$O$99='COLL Trends'!$B11)*(InputData!$P$9:$P$99="COLL"),InputData!S$9:S$99,0))</f>
        <v>15721889384</v>
      </c>
      <c r="G11" s="47">
        <f t="shared" si="0"/>
        <v>177.30901601600462</v>
      </c>
      <c r="H11" s="47">
        <f t="shared" si="1"/>
        <v>176.18488574320233</v>
      </c>
      <c r="J11">
        <f t="array" ref="J11">SUM(IF((InputData!$O$9:$O$99='COLL Trends'!$B11)*(InputData!$P$9:$P$99="COLL"),InputData!T$9:T$99,0))</f>
        <v>3235034</v>
      </c>
      <c r="K11">
        <f t="array" ref="K11">SUM(IF((InputData!$O$9:$O$99='COLL Trends'!$B11)*(InputData!$P$9:$P$99="COLL"),InputData!U$9:U$99,0))</f>
        <v>192957</v>
      </c>
      <c r="L11">
        <f t="array" ref="L11">SUM(IF((InputData!$O$9:$O$99='COLL Trends'!$B11)*(InputData!$P$9:$P$99="COLL"),InputData!V$9:V$99,0))</f>
        <v>460159167</v>
      </c>
      <c r="M11" s="47">
        <f t="shared" si="2"/>
        <v>142.24245154764989</v>
      </c>
      <c r="N11" s="47">
        <f t="shared" si="3"/>
        <v>144.2419703086496</v>
      </c>
    </row>
    <row r="12" spans="1:14" x14ac:dyDescent="0.25">
      <c r="A12">
        <v>6</v>
      </c>
      <c r="B12" s="11" t="s">
        <v>139</v>
      </c>
      <c r="D12">
        <f t="array" ref="D12">SUM(IF((InputData!$O$9:$O$99='COLL Trends'!$B12)*(InputData!$P$9:$P$99="COLL"),InputData!Q$9:Q$99,0))</f>
        <v>88716889</v>
      </c>
      <c r="E12">
        <f t="array" ref="E12">SUM(IF((InputData!$O$9:$O$99='COLL Trends'!$B12)*(InputData!$P$9:$P$99="COLL"),InputData!R$9:R$99,0))</f>
        <v>5859837</v>
      </c>
      <c r="F12">
        <f t="array" ref="F12">SUM(IF((InputData!$O$9:$O$99='COLL Trends'!$B12)*(InputData!$P$9:$P$99="COLL"),InputData!S$9:S$99,0))</f>
        <v>15894915032</v>
      </c>
      <c r="G12" s="47">
        <f t="shared" si="0"/>
        <v>179.16447714932835</v>
      </c>
      <c r="H12" s="47">
        <f t="shared" si="1"/>
        <v>175.72561657889477</v>
      </c>
      <c r="J12">
        <f t="array" ref="J12">SUM(IF((InputData!$O$9:$O$99='COLL Trends'!$B12)*(InputData!$P$9:$P$99="COLL"),InputData!T$9:T$99,0))</f>
        <v>3240986</v>
      </c>
      <c r="K12">
        <f t="array" ref="K12">SUM(IF((InputData!$O$9:$O$99='COLL Trends'!$B12)*(InputData!$P$9:$P$99="COLL"),InputData!U$9:U$99,0))</f>
        <v>197510</v>
      </c>
      <c r="L12">
        <f t="array" ref="L12">SUM(IF((InputData!$O$9:$O$99='COLL Trends'!$B12)*(InputData!$P$9:$P$99="COLL"),InputData!V$9:V$99,0))</f>
        <v>490360995</v>
      </c>
      <c r="M12" s="47">
        <f t="shared" si="2"/>
        <v>151.29994236321909</v>
      </c>
      <c r="N12" s="47">
        <f t="shared" si="3"/>
        <v>144.13085202459507</v>
      </c>
    </row>
    <row r="13" spans="1:14" x14ac:dyDescent="0.25">
      <c r="A13">
        <v>7</v>
      </c>
      <c r="B13" s="11" t="s">
        <v>140</v>
      </c>
      <c r="D13">
        <f t="array" ref="D13">SUM(IF((InputData!$O$9:$O$99='COLL Trends'!$B13)*(InputData!$P$9:$P$99="COLL"),InputData!Q$9:Q$99,0))</f>
        <v>88681882</v>
      </c>
      <c r="E13">
        <f t="array" ref="E13">SUM(IF((InputData!$O$9:$O$99='COLL Trends'!$B13)*(InputData!$P$9:$P$99="COLL"),InputData!R$9:R$99,0))</f>
        <v>5761810</v>
      </c>
      <c r="F13">
        <f t="array" ref="F13">SUM(IF((InputData!$O$9:$O$99='COLL Trends'!$B13)*(InputData!$P$9:$P$99="COLL"),InputData!S$9:S$99,0))</f>
        <v>15801526989</v>
      </c>
      <c r="G13" s="47">
        <f t="shared" si="0"/>
        <v>178.18213408010445</v>
      </c>
      <c r="H13" s="47">
        <f t="shared" si="1"/>
        <v>175.26634741458719</v>
      </c>
      <c r="J13">
        <f t="array" ref="J13">SUM(IF((InputData!$O$9:$O$99='COLL Trends'!$B13)*(InputData!$P$9:$P$99="COLL"),InputData!T$9:T$99,0))</f>
        <v>3255471</v>
      </c>
      <c r="K13">
        <f t="array" ref="K13">SUM(IF((InputData!$O$9:$O$99='COLL Trends'!$B13)*(InputData!$P$9:$P$99="COLL"),InputData!U$9:U$99,0))</f>
        <v>194922</v>
      </c>
      <c r="L13">
        <f t="array" ref="L13">SUM(IF((InputData!$O$9:$O$99='COLL Trends'!$B13)*(InputData!$P$9:$P$99="COLL"),InputData!V$9:V$99,0))</f>
        <v>485903066</v>
      </c>
      <c r="M13" s="47">
        <f t="shared" si="2"/>
        <v>149.25737811825078</v>
      </c>
      <c r="N13" s="47">
        <f t="shared" si="3"/>
        <v>144.01973374054052</v>
      </c>
    </row>
    <row r="14" spans="1:14" x14ac:dyDescent="0.25">
      <c r="A14">
        <v>8</v>
      </c>
      <c r="B14" s="11" t="s">
        <v>141</v>
      </c>
      <c r="D14">
        <f t="array" ref="D14">SUM(IF((InputData!$O$9:$O$99='COLL Trends'!$B14)*(InputData!$P$9:$P$99="COLL"),InputData!Q$9:Q$99,0))</f>
        <v>88624478</v>
      </c>
      <c r="E14">
        <f t="array" ref="E14">SUM(IF((InputData!$O$9:$O$99='COLL Trends'!$B14)*(InputData!$P$9:$P$99="COLL"),InputData!R$9:R$99,0))</f>
        <v>5665540</v>
      </c>
      <c r="F14">
        <f t="array" ref="F14">SUM(IF((InputData!$O$9:$O$99='COLL Trends'!$B14)*(InputData!$P$9:$P$99="COLL"),InputData!S$9:S$99,0))</f>
        <v>15671412045</v>
      </c>
      <c r="G14" s="47">
        <f t="shared" si="0"/>
        <v>176.8293861770334</v>
      </c>
      <c r="H14" s="47">
        <f t="shared" si="1"/>
        <v>174.80707825027963</v>
      </c>
      <c r="J14">
        <f t="array" ref="J14">SUM(IF((InputData!$O$9:$O$99='COLL Trends'!$B14)*(InputData!$P$9:$P$99="COLL"),InputData!T$9:T$99,0))</f>
        <v>3254468</v>
      </c>
      <c r="K14">
        <f t="array" ref="K14">SUM(IF((InputData!$O$9:$O$99='COLL Trends'!$B14)*(InputData!$P$9:$P$99="COLL"),InputData!U$9:U$99,0))</f>
        <v>191260</v>
      </c>
      <c r="L14">
        <f t="array" ref="L14">SUM(IF((InputData!$O$9:$O$99='COLL Trends'!$B14)*(InputData!$P$9:$P$99="COLL"),InputData!V$9:V$99,0))</f>
        <v>482435847</v>
      </c>
      <c r="M14" s="47">
        <f t="shared" si="2"/>
        <v>148.23800602740602</v>
      </c>
      <c r="N14" s="47">
        <f t="shared" si="3"/>
        <v>143.90861545648596</v>
      </c>
    </row>
    <row r="15" spans="1:14" x14ac:dyDescent="0.25">
      <c r="A15">
        <v>9</v>
      </c>
      <c r="B15" s="11" t="s">
        <v>142</v>
      </c>
      <c r="D15">
        <f t="array" ref="D15">SUM(IF((InputData!$O$9:$O$99='COLL Trends'!$B15)*(InputData!$P$9:$P$99="COLL"),InputData!Q$9:Q$99,0))</f>
        <v>88675823</v>
      </c>
      <c r="E15">
        <f t="array" ref="E15">SUM(IF((InputData!$O$9:$O$99='COLL Trends'!$B15)*(InputData!$P$9:$P$99="COLL"),InputData!R$9:R$99,0))</f>
        <v>5587567</v>
      </c>
      <c r="F15">
        <f t="array" ref="F15">SUM(IF((InputData!$O$9:$O$99='COLL Trends'!$B15)*(InputData!$P$9:$P$99="COLL"),InputData!S$9:S$99,0))</f>
        <v>15486863812</v>
      </c>
      <c r="G15" s="47">
        <f t="shared" si="0"/>
        <v>174.64584244118038</v>
      </c>
      <c r="H15" s="47">
        <f t="shared" si="1"/>
        <v>174.34780908597205</v>
      </c>
      <c r="J15">
        <f t="array" ref="J15">SUM(IF((InputData!$O$9:$O$99='COLL Trends'!$B15)*(InputData!$P$9:$P$99="COLL"),InputData!T$9:T$99,0))</f>
        <v>3257333</v>
      </c>
      <c r="K15">
        <f t="array" ref="K15">SUM(IF((InputData!$O$9:$O$99='COLL Trends'!$B15)*(InputData!$P$9:$P$99="COLL"),InputData!U$9:U$99,0))</f>
        <v>188819</v>
      </c>
      <c r="L15">
        <f t="array" ref="L15">SUM(IF((InputData!$O$9:$O$99='COLL Trends'!$B15)*(InputData!$P$9:$P$99="COLL"),InputData!V$9:V$99,0))</f>
        <v>479048230</v>
      </c>
      <c r="M15" s="47">
        <f t="shared" si="2"/>
        <v>147.06762556975292</v>
      </c>
      <c r="N15" s="47">
        <f t="shared" si="3"/>
        <v>143.79749717243141</v>
      </c>
    </row>
    <row r="16" spans="1:14" x14ac:dyDescent="0.25">
      <c r="A16">
        <v>10</v>
      </c>
      <c r="B16" s="11" t="s">
        <v>135</v>
      </c>
      <c r="D16">
        <f t="array" ref="D16">SUM(IF((InputData!$O$9:$O$99='COLL Trends'!$B16)*(InputData!$P$9:$P$99="COLL"),InputData!Q$9:Q$99,0))</f>
        <v>88782725</v>
      </c>
      <c r="E16">
        <f t="array" ref="E16">SUM(IF((InputData!$O$9:$O$99='COLL Trends'!$B16)*(InputData!$P$9:$P$99="COLL"),InputData!R$9:R$99,0))</f>
        <v>5547670</v>
      </c>
      <c r="F16">
        <f t="array" ref="F16">SUM(IF((InputData!$O$9:$O$99='COLL Trends'!$B16)*(InputData!$P$9:$P$99="COLL"),InputData!S$9:S$99,0))</f>
        <v>15416075920</v>
      </c>
      <c r="G16" s="47">
        <f t="shared" si="0"/>
        <v>173.63823784413015</v>
      </c>
      <c r="H16" s="47">
        <f t="shared" si="1"/>
        <v>173.88853992166449</v>
      </c>
      <c r="J16">
        <f t="array" ref="J16">SUM(IF((InputData!$O$9:$O$99='COLL Trends'!$B16)*(InputData!$P$9:$P$99="COLL"),InputData!T$9:T$99,0))</f>
        <v>3257684</v>
      </c>
      <c r="K16">
        <f t="array" ref="K16">SUM(IF((InputData!$O$9:$O$99='COLL Trends'!$B16)*(InputData!$P$9:$P$99="COLL"),InputData!U$9:U$99,0))</f>
        <v>184090</v>
      </c>
      <c r="L16">
        <f t="array" ref="L16">SUM(IF((InputData!$O$9:$O$99='COLL Trends'!$B16)*(InputData!$P$9:$P$99="COLL"),InputData!V$9:V$99,0))</f>
        <v>468892830</v>
      </c>
      <c r="M16" s="47">
        <f t="shared" si="2"/>
        <v>143.93441168633913</v>
      </c>
      <c r="N16" s="47">
        <f t="shared" si="3"/>
        <v>143.68637888837688</v>
      </c>
    </row>
    <row r="17" spans="1:14" x14ac:dyDescent="0.25">
      <c r="A17">
        <v>11</v>
      </c>
      <c r="B17" s="11" t="s">
        <v>136</v>
      </c>
      <c r="D17">
        <f t="array" ref="D17">SUM(IF((InputData!$O$9:$O$99='COLL Trends'!$B17)*(InputData!$P$9:$P$99="COLL"),InputData!Q$9:Q$99,0))</f>
        <v>88954873</v>
      </c>
      <c r="E17">
        <f t="array" ref="E17">SUM(IF((InputData!$O$9:$O$99='COLL Trends'!$B17)*(InputData!$P$9:$P$99="COLL"),InputData!R$9:R$99,0))</f>
        <v>5490029</v>
      </c>
      <c r="F17">
        <f t="array" ref="F17">SUM(IF((InputData!$O$9:$O$99='COLL Trends'!$B17)*(InputData!$P$9:$P$99="COLL"),InputData!S$9:S$99,0))</f>
        <v>15265398712</v>
      </c>
      <c r="G17" s="47">
        <f t="shared" si="0"/>
        <v>171.60834698735391</v>
      </c>
      <c r="H17" s="47">
        <f t="shared" si="1"/>
        <v>173.4292707573569</v>
      </c>
      <c r="J17">
        <f t="array" ref="J17">SUM(IF((InputData!$O$9:$O$99='COLL Trends'!$B17)*(InputData!$P$9:$P$99="COLL"),InputData!T$9:T$99,0))</f>
        <v>3250845</v>
      </c>
      <c r="K17">
        <f t="array" ref="K17">SUM(IF((InputData!$O$9:$O$99='COLL Trends'!$B17)*(InputData!$P$9:$P$99="COLL"),InputData!U$9:U$99,0))</f>
        <v>181654</v>
      </c>
      <c r="L17">
        <f t="array" ref="L17">SUM(IF((InputData!$O$9:$O$99='COLL Trends'!$B17)*(InputData!$P$9:$P$99="COLL"),InputData!V$9:V$99,0))</f>
        <v>469882242</v>
      </c>
      <c r="M17" s="47">
        <f t="shared" si="2"/>
        <v>144.54157057626554</v>
      </c>
      <c r="N17" s="47">
        <f t="shared" si="3"/>
        <v>143.57526060432232</v>
      </c>
    </row>
    <row r="18" spans="1:14" x14ac:dyDescent="0.25">
      <c r="A18">
        <v>12</v>
      </c>
      <c r="B18" s="11" t="s">
        <v>137</v>
      </c>
      <c r="D18">
        <f t="array" ref="D18">SUM(IF((InputData!$O$9:$O$99='COLL Trends'!$B18)*(InputData!$P$9:$P$99="COLL"),InputData!Q$9:Q$99,0))</f>
        <v>89197440</v>
      </c>
      <c r="E18">
        <f t="array" ref="E18">SUM(IF((InputData!$O$9:$O$99='COLL Trends'!$B18)*(InputData!$P$9:$P$99="COLL"),InputData!R$9:R$99,0))</f>
        <v>5427877</v>
      </c>
      <c r="F18">
        <f t="array" ref="F18">SUM(IF((InputData!$O$9:$O$99='COLL Trends'!$B18)*(InputData!$P$9:$P$99="COLL"),InputData!S$9:S$99,0))</f>
        <v>15177901782</v>
      </c>
      <c r="G18" s="47">
        <f t="shared" si="0"/>
        <v>170.16073311072606</v>
      </c>
      <c r="H18" s="47">
        <f t="shared" si="1"/>
        <v>172.97000159304935</v>
      </c>
      <c r="J18">
        <f t="array" ref="J18">SUM(IF((InputData!$O$9:$O$99='COLL Trends'!$B18)*(InputData!$P$9:$P$99="COLL"),InputData!T$9:T$99,0))</f>
        <v>3259092</v>
      </c>
      <c r="K18">
        <f t="array" ref="K18">SUM(IF((InputData!$O$9:$O$99='COLL Trends'!$B18)*(InputData!$P$9:$P$99="COLL"),InputData!U$9:U$99,0))</f>
        <v>179741</v>
      </c>
      <c r="L18">
        <f t="array" ref="L18">SUM(IF((InputData!$O$9:$O$99='COLL Trends'!$B18)*(InputData!$P$9:$P$99="COLL"),InputData!V$9:V$99,0))</f>
        <v>467129713</v>
      </c>
      <c r="M18" s="47">
        <f t="shared" si="2"/>
        <v>143.33124471478558</v>
      </c>
      <c r="N18" s="47">
        <f t="shared" si="3"/>
        <v>143.46414232026777</v>
      </c>
    </row>
    <row r="19" spans="1:14" x14ac:dyDescent="0.25">
      <c r="A19">
        <v>13</v>
      </c>
      <c r="B19" s="11" t="s">
        <v>138</v>
      </c>
      <c r="D19">
        <f t="array" ref="D19">SUM(IF((InputData!$O$9:$O$99='COLL Trends'!$B19)*(InputData!$P$9:$P$99="COLL"),InputData!Q$9:Q$99,0))</f>
        <v>89452451</v>
      </c>
      <c r="E19">
        <f t="array" ref="E19">SUM(IF((InputData!$O$9:$O$99='COLL Trends'!$B19)*(InputData!$P$9:$P$99="COLL"),InputData!R$9:R$99,0))</f>
        <v>5378463</v>
      </c>
      <c r="F19">
        <f t="array" ref="F19">SUM(IF((InputData!$O$9:$O$99='COLL Trends'!$B19)*(InputData!$P$9:$P$99="COLL"),InputData!S$9:S$99,0))</f>
        <v>15151306339</v>
      </c>
      <c r="G19" s="47">
        <f t="shared" si="0"/>
        <v>169.37832524007644</v>
      </c>
      <c r="H19" s="47">
        <f t="shared" si="1"/>
        <v>172.51073242874179</v>
      </c>
      <c r="J19">
        <f t="array" ref="J19">SUM(IF((InputData!$O$9:$O$99='COLL Trends'!$B19)*(InputData!$P$9:$P$99="COLL"),InputData!T$9:T$99,0))</f>
        <v>3267725</v>
      </c>
      <c r="K19">
        <f t="array" ref="K19">SUM(IF((InputData!$O$9:$O$99='COLL Trends'!$B19)*(InputData!$P$9:$P$99="COLL"),InputData!U$9:U$99,0))</f>
        <v>177214</v>
      </c>
      <c r="L19">
        <f t="array" ref="L19">SUM(IF((InputData!$O$9:$O$99='COLL Trends'!$B19)*(InputData!$P$9:$P$99="COLL"),InputData!V$9:V$99,0))</f>
        <v>462859726</v>
      </c>
      <c r="M19" s="47">
        <f t="shared" si="2"/>
        <v>141.64586248842849</v>
      </c>
      <c r="N19" s="47">
        <f t="shared" si="3"/>
        <v>143.35302403621321</v>
      </c>
    </row>
    <row r="20" spans="1:14" x14ac:dyDescent="0.25">
      <c r="A20">
        <v>14</v>
      </c>
      <c r="B20" s="11" t="s">
        <v>131</v>
      </c>
      <c r="D20">
        <f t="array" ref="D20">SUM(IF((InputData!$O$9:$O$99='COLL Trends'!$B20)*(InputData!$P$9:$P$99="COLL"),InputData!Q$9:Q$99,0))</f>
        <v>89776055</v>
      </c>
      <c r="E20">
        <f t="array" ref="E20">SUM(IF((InputData!$O$9:$O$99='COLL Trends'!$B20)*(InputData!$P$9:$P$99="COLL"),InputData!R$9:R$99,0))</f>
        <v>5345059</v>
      </c>
      <c r="F20">
        <f t="array" ref="F20">SUM(IF((InputData!$O$9:$O$99='COLL Trends'!$B20)*(InputData!$P$9:$P$99="COLL"),InputData!S$9:S$99,0))</f>
        <v>15235997395</v>
      </c>
      <c r="G20" s="47">
        <f t="shared" si="0"/>
        <v>169.71114842370829</v>
      </c>
      <c r="H20" s="47">
        <f t="shared" si="1"/>
        <v>172.0514632644342</v>
      </c>
      <c r="J20">
        <f t="array" ref="J20">SUM(IF((InputData!$O$9:$O$99='COLL Trends'!$B20)*(InputData!$P$9:$P$99="COLL"),InputData!T$9:T$99,0))</f>
        <v>3280855</v>
      </c>
      <c r="K20">
        <f t="array" ref="K20">SUM(IF((InputData!$O$9:$O$99='COLL Trends'!$B20)*(InputData!$P$9:$P$99="COLL"),InputData!U$9:U$99,0))</f>
        <v>180672</v>
      </c>
      <c r="L20">
        <f t="array" ref="L20">SUM(IF((InputData!$O$9:$O$99='COLL Trends'!$B20)*(InputData!$P$9:$P$99="COLL"),InputData!V$9:V$99,0))</f>
        <v>471816374</v>
      </c>
      <c r="M20" s="47">
        <f t="shared" si="2"/>
        <v>143.8089686987081</v>
      </c>
      <c r="N20" s="47">
        <f t="shared" si="3"/>
        <v>143.24190575215869</v>
      </c>
    </row>
    <row r="21" spans="1:14" x14ac:dyDescent="0.25">
      <c r="A21">
        <v>15</v>
      </c>
      <c r="B21" s="11" t="s">
        <v>132</v>
      </c>
      <c r="D21">
        <f t="array" ref="D21">SUM(IF((InputData!$O$9:$O$99='COLL Trends'!$B21)*(InputData!$P$9:$P$99="COLL"),InputData!Q$9:Q$99,0))</f>
        <v>90136904</v>
      </c>
      <c r="E21">
        <f t="array" ref="E21">SUM(IF((InputData!$O$9:$O$99='COLL Trends'!$B21)*(InputData!$P$9:$P$99="COLL"),InputData!R$9:R$99,0))</f>
        <v>5359504</v>
      </c>
      <c r="F21">
        <f t="array" ref="F21">SUM(IF((InputData!$O$9:$O$99='COLL Trends'!$B21)*(InputData!$P$9:$P$99="COLL"),InputData!S$9:S$99,0))</f>
        <v>15444317847</v>
      </c>
      <c r="G21" s="47">
        <f t="shared" si="0"/>
        <v>171.34289244059238</v>
      </c>
      <c r="H21" s="47">
        <f t="shared" si="1"/>
        <v>171.59219410012665</v>
      </c>
      <c r="J21">
        <f t="array" ref="J21">SUM(IF((InputData!$O$9:$O$99='COLL Trends'!$B21)*(InputData!$P$9:$P$99="COLL"),InputData!T$9:T$99,0))</f>
        <v>3295157</v>
      </c>
      <c r="K21">
        <f t="array" ref="K21">SUM(IF((InputData!$O$9:$O$99='COLL Trends'!$B21)*(InputData!$P$9:$P$99="COLL"),InputData!U$9:U$99,0))</f>
        <v>182155</v>
      </c>
      <c r="L21">
        <f t="array" ref="L21">SUM(IF((InputData!$O$9:$O$99='COLL Trends'!$B21)*(InputData!$P$9:$P$99="COLL"),InputData!V$9:V$99,0))</f>
        <v>476446851</v>
      </c>
      <c r="M21" s="47">
        <f t="shared" si="2"/>
        <v>144.59003045985366</v>
      </c>
      <c r="N21" s="47">
        <f t="shared" si="3"/>
        <v>143.13078746810413</v>
      </c>
    </row>
    <row r="22" spans="1:14" x14ac:dyDescent="0.25">
      <c r="A22">
        <v>16</v>
      </c>
      <c r="B22" s="11" t="s">
        <v>133</v>
      </c>
      <c r="D22">
        <f t="array" ref="D22">SUM(IF((InputData!$O$9:$O$99='COLL Trends'!$B22)*(InputData!$P$9:$P$99="COLL"),InputData!Q$9:Q$99,0))</f>
        <v>90552865</v>
      </c>
      <c r="E22">
        <f t="array" ref="E22">SUM(IF((InputData!$O$9:$O$99='COLL Trends'!$B22)*(InputData!$P$9:$P$99="COLL"),InputData!R$9:R$99,0))</f>
        <v>5375305</v>
      </c>
      <c r="F22">
        <f t="array" ref="F22">SUM(IF((InputData!$O$9:$O$99='COLL Trends'!$B22)*(InputData!$P$9:$P$99="COLL"),InputData!S$9:S$99,0))</f>
        <v>15559402903</v>
      </c>
      <c r="G22" s="47">
        <f t="shared" si="0"/>
        <v>171.82673240653401</v>
      </c>
      <c r="H22" s="47">
        <f t="shared" si="1"/>
        <v>171.13292493581906</v>
      </c>
      <c r="J22">
        <f t="array" ref="J22">SUM(IF((InputData!$O$9:$O$99='COLL Trends'!$B22)*(InputData!$P$9:$P$99="COLL"),InputData!T$9:T$99,0))</f>
        <v>3310406</v>
      </c>
      <c r="K22">
        <f t="array" ref="K22">SUM(IF((InputData!$O$9:$O$99='COLL Trends'!$B22)*(InputData!$P$9:$P$99="COLL"),InputData!U$9:U$99,0))</f>
        <v>181884</v>
      </c>
      <c r="L22">
        <f t="array" ref="L22">SUM(IF((InputData!$O$9:$O$99='COLL Trends'!$B22)*(InputData!$P$9:$P$99="COLL"),InputData!V$9:V$99,0))</f>
        <v>473924230</v>
      </c>
      <c r="M22" s="47">
        <f t="shared" si="2"/>
        <v>143.16196563201009</v>
      </c>
      <c r="N22" s="47">
        <f t="shared" si="3"/>
        <v>143.01966918404958</v>
      </c>
    </row>
    <row r="23" spans="1:14" x14ac:dyDescent="0.25">
      <c r="A23">
        <v>17</v>
      </c>
      <c r="B23" s="11" t="s">
        <v>134</v>
      </c>
      <c r="D23">
        <f t="array" ref="D23">SUM(IF((InputData!$O$9:$O$99='COLL Trends'!$B23)*(InputData!$P$9:$P$99="COLL"),InputData!Q$9:Q$99,0))</f>
        <v>91027511</v>
      </c>
      <c r="E23">
        <f t="array" ref="E23">SUM(IF((InputData!$O$9:$O$99='COLL Trends'!$B23)*(InputData!$P$9:$P$99="COLL"),InputData!R$9:R$99,0))</f>
        <v>5379114</v>
      </c>
      <c r="F23">
        <f t="array" ref="F23">SUM(IF((InputData!$O$9:$O$99='COLL Trends'!$B23)*(InputData!$P$9:$P$99="COLL"),InputData!S$9:S$99,0))</f>
        <v>15718058305</v>
      </c>
      <c r="G23" s="47">
        <f t="shared" si="0"/>
        <v>172.6737129503629</v>
      </c>
      <c r="H23" s="47">
        <f t="shared" si="1"/>
        <v>170.67365577151151</v>
      </c>
      <c r="J23">
        <f t="array" ref="J23">SUM(IF((InputData!$O$9:$O$99='COLL Trends'!$B23)*(InputData!$P$9:$P$99="COLL"),InputData!T$9:T$99,0))</f>
        <v>3329883</v>
      </c>
      <c r="K23">
        <f t="array" ref="K23">SUM(IF((InputData!$O$9:$O$99='COLL Trends'!$B23)*(InputData!$P$9:$P$99="COLL"),InputData!U$9:U$99,0))</f>
        <v>182642</v>
      </c>
      <c r="L23">
        <f t="array" ref="L23">SUM(IF((InputData!$O$9:$O$99='COLL Trends'!$B23)*(InputData!$P$9:$P$99="COLL"),InputData!V$9:V$99,0))</f>
        <v>478592329</v>
      </c>
      <c r="M23" s="47">
        <f t="shared" si="2"/>
        <v>143.72646996906496</v>
      </c>
      <c r="N23" s="47">
        <f t="shared" si="3"/>
        <v>142.90855089999502</v>
      </c>
    </row>
    <row r="24" spans="1:14" x14ac:dyDescent="0.25">
      <c r="A24">
        <v>18</v>
      </c>
      <c r="B24" s="11" t="s">
        <v>130</v>
      </c>
      <c r="D24">
        <f t="array" ref="D24">SUM(IF((InputData!$O$9:$O$99='COLL Trends'!$B24)*(InputData!$P$9:$P$99="COLL"),InputData!Q$9:Q$99,0))</f>
        <v>91473429</v>
      </c>
      <c r="E24">
        <f t="array" ref="E24">SUM(IF((InputData!$O$9:$O$99='COLL Trends'!$B24)*(InputData!$P$9:$P$99="COLL"),InputData!R$9:R$99,0))</f>
        <v>5334701</v>
      </c>
      <c r="F24">
        <f t="array" ref="F24">SUM(IF((InputData!$O$9:$O$99='COLL Trends'!$B24)*(InputData!$P$9:$P$99="COLL"),InputData!S$9:S$99,0))</f>
        <v>15728428913</v>
      </c>
      <c r="G24" s="47">
        <f t="shared" si="0"/>
        <v>171.94532975253392</v>
      </c>
      <c r="H24" s="47">
        <f t="shared" si="1"/>
        <v>170.21438660720395</v>
      </c>
      <c r="J24">
        <f t="array" ref="J24">SUM(IF((InputData!$O$9:$O$99='COLL Trends'!$B24)*(InputData!$P$9:$P$99="COLL"),InputData!T$9:T$99,0))</f>
        <v>3341865</v>
      </c>
      <c r="K24">
        <f t="array" ref="K24">SUM(IF((InputData!$O$9:$O$99='COLL Trends'!$B24)*(InputData!$P$9:$P$99="COLL"),InputData!U$9:U$99,0))</f>
        <v>174523</v>
      </c>
      <c r="L24">
        <f t="array" ref="L24">SUM(IF((InputData!$O$9:$O$99='COLL Trends'!$B24)*(InputData!$P$9:$P$99="COLL"),InputData!V$9:V$99,0))</f>
        <v>452891435</v>
      </c>
      <c r="M24" s="47">
        <f t="shared" si="2"/>
        <v>135.52056561231527</v>
      </c>
      <c r="N24" s="47">
        <f t="shared" si="3"/>
        <v>142.79743261594049</v>
      </c>
    </row>
    <row r="26" spans="1:14" x14ac:dyDescent="0.25">
      <c r="F26" t="s">
        <v>147</v>
      </c>
      <c r="G26" s="47">
        <f>LINEST(G7:G24,A7:A24)</f>
        <v>-0.45926916430756842</v>
      </c>
      <c r="L26" t="s">
        <v>147</v>
      </c>
      <c r="M26" s="47">
        <f>LINEST(M7:M24,A7:$A$24)</f>
        <v>-0.11111828405454792</v>
      </c>
    </row>
    <row r="27" spans="1:14" x14ac:dyDescent="0.25">
      <c r="F27" t="s">
        <v>148</v>
      </c>
      <c r="G27" s="47">
        <f>INTERCEPT(G7:G24,A7:A24)</f>
        <v>178.48123156474017</v>
      </c>
      <c r="L27" t="s">
        <v>148</v>
      </c>
      <c r="M27" s="47">
        <f>INTERCEPT(M7:M24,A7:$A$24)</f>
        <v>144.79756172892235</v>
      </c>
    </row>
    <row r="29" spans="1:14" x14ac:dyDescent="0.25">
      <c r="F29" t="s">
        <v>150</v>
      </c>
      <c r="G29">
        <f>4*$G$26</f>
        <v>-1.8370766572302737</v>
      </c>
      <c r="L29" t="s">
        <v>150</v>
      </c>
      <c r="M29">
        <f>4*$M$26</f>
        <v>-0.44447313621819168</v>
      </c>
    </row>
    <row r="30" spans="1:14" x14ac:dyDescent="0.25">
      <c r="F30" t="s">
        <v>151</v>
      </c>
      <c r="G30" s="37">
        <f>G29/MAX($H$24,1)</f>
        <v>-1.07927226002912E-2</v>
      </c>
      <c r="L30" t="s">
        <v>151</v>
      </c>
      <c r="M30" s="37">
        <f>M29/MAX($N$24,1)</f>
        <v>-3.1126129376122628E-3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30"/>
  <sheetViews>
    <sheetView zoomScale="70" workbookViewId="0">
      <selection activeCell="M30" activeCellId="1" sqref="G30 M30"/>
    </sheetView>
  </sheetViews>
  <sheetFormatPr defaultRowHeight="13.2" x14ac:dyDescent="0.25"/>
  <cols>
    <col min="3" max="3" width="2.44140625" customWidth="1"/>
    <col min="4" max="4" width="11.109375" bestFit="1" customWidth="1"/>
    <col min="6" max="6" width="13.88671875" bestFit="1" customWidth="1"/>
    <col min="9" max="9" width="3.5546875" customWidth="1"/>
    <col min="12" max="12" width="14.44140625" customWidth="1"/>
  </cols>
  <sheetData>
    <row r="1" spans="1:14" x14ac:dyDescent="0.25">
      <c r="A1" s="7"/>
      <c r="B1" s="13" t="str">
        <f>InputData!B2&amp;" COMP Coverage Pure Premium Trend Analysis"</f>
        <v>Illinois COMP Coverage Pure Premium Trend Analysis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x14ac:dyDescent="0.25">
      <c r="A2" s="7"/>
    </row>
    <row r="3" spans="1:14" x14ac:dyDescent="0.25">
      <c r="D3" s="12" t="s">
        <v>45</v>
      </c>
      <c r="E3" s="12"/>
      <c r="F3" s="12"/>
      <c r="G3" s="12"/>
      <c r="H3" s="12"/>
      <c r="J3" s="12" t="s">
        <v>128</v>
      </c>
      <c r="K3" s="12"/>
      <c r="L3" s="12"/>
      <c r="M3" s="12"/>
      <c r="N3" s="12"/>
    </row>
    <row r="4" spans="1:14" x14ac:dyDescent="0.25">
      <c r="E4" s="3" t="s">
        <v>46</v>
      </c>
      <c r="F4" s="3" t="s">
        <v>48</v>
      </c>
      <c r="G4" s="3" t="s">
        <v>50</v>
      </c>
      <c r="H4" s="3" t="s">
        <v>52</v>
      </c>
      <c r="K4" s="3" t="s">
        <v>46</v>
      </c>
      <c r="L4" s="3" t="s">
        <v>48</v>
      </c>
      <c r="M4" s="3" t="s">
        <v>50</v>
      </c>
      <c r="N4" s="3" t="s">
        <v>52</v>
      </c>
    </row>
    <row r="5" spans="1:14" x14ac:dyDescent="0.25">
      <c r="B5" s="4" t="s">
        <v>43</v>
      </c>
      <c r="D5" s="4" t="s">
        <v>44</v>
      </c>
      <c r="E5" s="4" t="s">
        <v>47</v>
      </c>
      <c r="F5" s="4" t="s">
        <v>49</v>
      </c>
      <c r="G5" s="4" t="s">
        <v>51</v>
      </c>
      <c r="H5" s="4" t="s">
        <v>53</v>
      </c>
      <c r="J5" s="4" t="s">
        <v>44</v>
      </c>
      <c r="K5" s="4" t="s">
        <v>47</v>
      </c>
      <c r="L5" s="4" t="s">
        <v>49</v>
      </c>
      <c r="M5" s="4" t="s">
        <v>51</v>
      </c>
      <c r="N5" s="4" t="s">
        <v>53</v>
      </c>
    </row>
    <row r="7" spans="1:14" x14ac:dyDescent="0.25">
      <c r="A7">
        <v>1</v>
      </c>
      <c r="B7" s="11" t="s">
        <v>39</v>
      </c>
      <c r="D7">
        <f t="array" ref="D7">SUM(IF((InputData!$O$9:$O$99='COMP Trends'!$B7)*(InputData!$P$9:$P$99="COMP"),InputData!Q$9:Q$99,0))</f>
        <v>91772412</v>
      </c>
      <c r="E7">
        <f t="array" ref="E7">SUM(IF((InputData!$O$9:$O$99='COMP Trends'!$B7)*(InputData!$P$9:$P$99="COMP"),InputData!R$9:R$99,0))</f>
        <v>7898586</v>
      </c>
      <c r="F7">
        <f t="array" ref="F7">SUM(IF((InputData!$O$9:$O$99='COMP Trends'!$B7)*(InputData!$P$9:$P$99="COMP"),InputData!S$9:S$99,0))</f>
        <v>7574143660</v>
      </c>
      <c r="G7" s="44">
        <f>F7/D7</f>
        <v>82.531814245004256</v>
      </c>
      <c r="H7" s="44">
        <f>($G$26*$A7)+$G$27</f>
        <v>80.597979041428601</v>
      </c>
      <c r="J7">
        <f t="array" ref="J7">SUM(IF((InputData!$O$9:$O$99='COMP Trends'!$B7)*(InputData!$P$9:$P$99="COMP"),InputData!T$9:T$99,0))</f>
        <v>3446893</v>
      </c>
      <c r="K7">
        <f t="array" ref="K7">SUM(IF((InputData!$O$9:$O$99='COMP Trends'!$B7)*(InputData!$P$9:$P$99="COMP"),InputData!U$9:U$99,0))</f>
        <v>214017</v>
      </c>
      <c r="L7">
        <f t="array" ref="L7">SUM(IF((InputData!$O$9:$O$99='COMP Trends'!$B7)*(InputData!$P$9:$P$99="COMP"),InputData!V$9:V$99,0))</f>
        <v>203841833</v>
      </c>
      <c r="M7" s="44">
        <f>L7/J7</f>
        <v>59.137847621031462</v>
      </c>
      <c r="N7" s="44">
        <f>($M$26*A7)+$M$27</f>
        <v>60.587079947464964</v>
      </c>
    </row>
    <row r="8" spans="1:14" x14ac:dyDescent="0.25">
      <c r="A8">
        <v>2</v>
      </c>
      <c r="B8" s="11" t="s">
        <v>40</v>
      </c>
      <c r="D8">
        <f t="array" ref="D8">SUM(IF((InputData!$O$9:$O$99='COMP Trends'!$B8)*(InputData!$P$9:$P$99="COMP"),InputData!Q$9:Q$99,0))</f>
        <v>92410399</v>
      </c>
      <c r="E8">
        <f t="array" ref="E8">SUM(IF((InputData!$O$9:$O$99='COMP Trends'!$B8)*(InputData!$P$9:$P$99="COMP"),InputData!R$9:R$99,0))</f>
        <v>7901695</v>
      </c>
      <c r="F8">
        <f t="array" ref="F8">SUM(IF((InputData!$O$9:$O$99='COMP Trends'!$B8)*(InputData!$P$9:$P$99="COMP"),InputData!S$9:S$99,0))</f>
        <v>7668589569</v>
      </c>
      <c r="G8" s="44">
        <f t="shared" ref="G8:G24" si="0">F8/D8</f>
        <v>82.984054305403447</v>
      </c>
      <c r="H8" s="44">
        <f t="shared" ref="H8:H24" si="1">($G$26*$A8)+$G$27</f>
        <v>80.042300553126466</v>
      </c>
      <c r="J8">
        <f t="array" ref="J8">SUM(IF((InputData!$O$9:$O$99='COMP Trends'!$B8)*(InputData!$P$9:$P$99="COMP"),InputData!T$9:T$99,0))</f>
        <v>3465948</v>
      </c>
      <c r="K8">
        <f t="array" ref="K8">SUM(IF((InputData!$O$9:$O$99='COMP Trends'!$B8)*(InputData!$P$9:$P$99="COMP"),InputData!U$9:U$99,0))</f>
        <v>211832</v>
      </c>
      <c r="L8">
        <f t="array" ref="L8">SUM(IF((InputData!$O$9:$O$99='COMP Trends'!$B8)*(InputData!$P$9:$P$99="COMP"),InputData!V$9:V$99,0))</f>
        <v>206179011</v>
      </c>
      <c r="M8" s="44">
        <f t="shared" ref="M8:M24" si="2">L8/J8</f>
        <v>59.487046833939807</v>
      </c>
      <c r="N8" s="44">
        <f t="shared" ref="N8:N24" si="3">($M$26*A8)+$M$27</f>
        <v>59.830367763388217</v>
      </c>
    </row>
    <row r="9" spans="1:14" x14ac:dyDescent="0.25">
      <c r="A9">
        <v>3</v>
      </c>
      <c r="B9" s="11" t="s">
        <v>143</v>
      </c>
      <c r="D9">
        <f t="array" ref="D9">SUM(IF((InputData!$O$9:$O$99='COMP Trends'!$B9)*(InputData!$P$9:$P$99="COMP"),InputData!Q$9:Q$99,0))</f>
        <v>93005005</v>
      </c>
      <c r="E9">
        <f t="array" ref="E9">SUM(IF((InputData!$O$9:$O$99='COMP Trends'!$B9)*(InputData!$P$9:$P$99="COMP"),InputData!R$9:R$99,0))</f>
        <v>7753338</v>
      </c>
      <c r="F9">
        <f t="array" ref="F9">SUM(IF((InputData!$O$9:$O$99='COMP Trends'!$B9)*(InputData!$P$9:$P$99="COMP"),InputData!S$9:S$99,0))</f>
        <v>7446302965</v>
      </c>
      <c r="G9" s="44">
        <f t="shared" si="0"/>
        <v>80.063465025349984</v>
      </c>
      <c r="H9" s="44">
        <f t="shared" si="1"/>
        <v>79.486622064824331</v>
      </c>
      <c r="J9">
        <f t="array" ref="J9">SUM(IF((InputData!$O$9:$O$99='COMP Trends'!$B9)*(InputData!$P$9:$P$99="COMP"),InputData!T$9:T$99,0))</f>
        <v>3486213</v>
      </c>
      <c r="K9">
        <f t="array" ref="K9">SUM(IF((InputData!$O$9:$O$99='COMP Trends'!$B9)*(InputData!$P$9:$P$99="COMP"),InputData!U$9:U$99,0))</f>
        <v>207162</v>
      </c>
      <c r="L9">
        <f t="array" ref="L9">SUM(IF((InputData!$O$9:$O$99='COMP Trends'!$B9)*(InputData!$P$9:$P$99="COMP"),InputData!V$9:V$99,0))</f>
        <v>202708848</v>
      </c>
      <c r="M9" s="44">
        <f t="shared" si="2"/>
        <v>58.145858557695703</v>
      </c>
      <c r="N9" s="44">
        <f t="shared" si="3"/>
        <v>59.073655579311463</v>
      </c>
    </row>
    <row r="10" spans="1:14" x14ac:dyDescent="0.25">
      <c r="A10">
        <v>4</v>
      </c>
      <c r="B10" s="11" t="s">
        <v>144</v>
      </c>
      <c r="D10">
        <f t="array" ref="D10">SUM(IF((InputData!$O$9:$O$99='COMP Trends'!$B10)*(InputData!$P$9:$P$99="COMP"),InputData!Q$9:Q$99,0))</f>
        <v>93493939</v>
      </c>
      <c r="E10">
        <f t="array" ref="E10">SUM(IF((InputData!$O$9:$O$99='COMP Trends'!$B10)*(InputData!$P$9:$P$99="COMP"),InputData!R$9:R$99,0))</f>
        <v>7672488</v>
      </c>
      <c r="F10">
        <f t="array" ref="F10">SUM(IF((InputData!$O$9:$O$99='COMP Trends'!$B10)*(InputData!$P$9:$P$99="COMP"),InputData!S$9:S$99,0))</f>
        <v>7169934466</v>
      </c>
      <c r="G10" s="44">
        <f t="shared" si="0"/>
        <v>76.688762316453477</v>
      </c>
      <c r="H10" s="44">
        <f t="shared" si="1"/>
        <v>78.93094357652221</v>
      </c>
      <c r="J10">
        <f t="array" ref="J10">SUM(IF((InputData!$O$9:$O$99='COMP Trends'!$B10)*(InputData!$P$9:$P$99="COMP"),InputData!T$9:T$99,0))</f>
        <v>3506374</v>
      </c>
      <c r="K10">
        <f t="array" ref="K10">SUM(IF((InputData!$O$9:$O$99='COMP Trends'!$B10)*(InputData!$P$9:$P$99="COMP"),InputData!U$9:U$99,0))</f>
        <v>203765</v>
      </c>
      <c r="L10">
        <f t="array" ref="L10">SUM(IF((InputData!$O$9:$O$99='COMP Trends'!$B10)*(InputData!$P$9:$P$99="COMP"),InputData!V$9:V$99,0))</f>
        <v>200100752</v>
      </c>
      <c r="M10" s="44">
        <f t="shared" si="2"/>
        <v>57.067714967085656</v>
      </c>
      <c r="N10" s="44">
        <f t="shared" si="3"/>
        <v>58.316943395234709</v>
      </c>
    </row>
    <row r="11" spans="1:14" x14ac:dyDescent="0.25">
      <c r="A11">
        <v>5</v>
      </c>
      <c r="B11" s="11" t="s">
        <v>145</v>
      </c>
      <c r="D11">
        <f t="array" ref="D11">SUM(IF((InputData!$O$9:$O$99='COMP Trends'!$B11)*(InputData!$P$9:$P$99="COMP"),InputData!Q$9:Q$99,0))</f>
        <v>93739673</v>
      </c>
      <c r="E11">
        <f t="array" ref="E11">SUM(IF((InputData!$O$9:$O$99='COMP Trends'!$B11)*(InputData!$P$9:$P$99="COMP"),InputData!R$9:R$99,0))</f>
        <v>7607393</v>
      </c>
      <c r="F11">
        <f t="array" ref="F11">SUM(IF((InputData!$O$9:$O$99='COMP Trends'!$B11)*(InputData!$P$9:$P$99="COMP"),InputData!S$9:S$99,0))</f>
        <v>7120005597</v>
      </c>
      <c r="G11" s="44">
        <f t="shared" si="0"/>
        <v>75.955093175970433</v>
      </c>
      <c r="H11" s="44">
        <f t="shared" si="1"/>
        <v>78.375265088220075</v>
      </c>
      <c r="J11">
        <f t="array" ref="J11">SUM(IF((InputData!$O$9:$O$99='COMP Trends'!$B11)*(InputData!$P$9:$P$99="COMP"),InputData!T$9:T$99,0))</f>
        <v>3517418</v>
      </c>
      <c r="K11">
        <f t="array" ref="K11">SUM(IF((InputData!$O$9:$O$99='COMP Trends'!$B11)*(InputData!$P$9:$P$99="COMP"),InputData!U$9:U$99,0))</f>
        <v>202208</v>
      </c>
      <c r="L11">
        <f t="array" ref="L11">SUM(IF((InputData!$O$9:$O$99='COMP Trends'!$B11)*(InputData!$P$9:$P$99="COMP"),InputData!V$9:V$99,0))</f>
        <v>203121148</v>
      </c>
      <c r="M11" s="44">
        <f t="shared" si="2"/>
        <v>57.747230496915634</v>
      </c>
      <c r="N11" s="44">
        <f t="shared" si="3"/>
        <v>57.560231211157955</v>
      </c>
    </row>
    <row r="12" spans="1:14" x14ac:dyDescent="0.25">
      <c r="A12">
        <v>6</v>
      </c>
      <c r="B12" s="11" t="s">
        <v>139</v>
      </c>
      <c r="D12">
        <f t="array" ref="D12">SUM(IF((InputData!$O$9:$O$99='COMP Trends'!$B12)*(InputData!$P$9:$P$99="COMP"),InputData!Q$9:Q$99,0))</f>
        <v>93793746</v>
      </c>
      <c r="E12">
        <f t="array" ref="E12">SUM(IF((InputData!$O$9:$O$99='COMP Trends'!$B12)*(InputData!$P$9:$P$99="COMP"),InputData!R$9:R$99,0))</f>
        <v>7545135</v>
      </c>
      <c r="F12">
        <f t="array" ref="F12">SUM(IF((InputData!$O$9:$O$99='COMP Trends'!$B12)*(InputData!$P$9:$P$99="COMP"),InputData!S$9:S$99,0))</f>
        <v>7082493789</v>
      </c>
      <c r="G12" s="44">
        <f t="shared" si="0"/>
        <v>75.511365000817861</v>
      </c>
      <c r="H12" s="44">
        <f t="shared" si="1"/>
        <v>77.81958659991794</v>
      </c>
      <c r="J12">
        <f t="array" ref="J12">SUM(IF((InputData!$O$9:$O$99='COMP Trends'!$B12)*(InputData!$P$9:$P$99="COMP"),InputData!T$9:T$99,0))</f>
        <v>3522863</v>
      </c>
      <c r="K12">
        <f t="array" ref="K12">SUM(IF((InputData!$O$9:$O$99='COMP Trends'!$B12)*(InputData!$P$9:$P$99="COMP"),InputData!U$9:U$99,0))</f>
        <v>200554</v>
      </c>
      <c r="L12">
        <f t="array" ref="L12">SUM(IF((InputData!$O$9:$O$99='COMP Trends'!$B12)*(InputData!$P$9:$P$99="COMP"),InputData!V$9:V$99,0))</f>
        <v>201291491</v>
      </c>
      <c r="M12" s="44">
        <f t="shared" si="2"/>
        <v>57.138608853083419</v>
      </c>
      <c r="N12" s="44">
        <f t="shared" si="3"/>
        <v>56.803519027081208</v>
      </c>
    </row>
    <row r="13" spans="1:14" x14ac:dyDescent="0.25">
      <c r="A13">
        <v>7</v>
      </c>
      <c r="B13" s="11" t="s">
        <v>140</v>
      </c>
      <c r="D13">
        <f t="array" ref="D13">SUM(IF((InputData!$O$9:$O$99='COMP Trends'!$B13)*(InputData!$P$9:$P$99="COMP"),InputData!Q$9:Q$99,0))</f>
        <v>93761341</v>
      </c>
      <c r="E13">
        <f t="array" ref="E13">SUM(IF((InputData!$O$9:$O$99='COMP Trends'!$B13)*(InputData!$P$9:$P$99="COMP"),InputData!R$9:R$99,0))</f>
        <v>7598503</v>
      </c>
      <c r="F13">
        <f t="array" ref="F13">SUM(IF((InputData!$O$9:$O$99='COMP Trends'!$B13)*(InputData!$P$9:$P$99="COMP"),InputData!S$9:S$99,0))</f>
        <v>7414967128</v>
      </c>
      <c r="G13" s="44">
        <f t="shared" si="0"/>
        <v>79.083415925119922</v>
      </c>
      <c r="H13" s="44">
        <f t="shared" si="1"/>
        <v>77.263908111615805</v>
      </c>
      <c r="J13">
        <f t="array" ref="J13">SUM(IF((InputData!$O$9:$O$99='COMP Trends'!$B13)*(InputData!$P$9:$P$99="COMP"),InputData!T$9:T$99,0))</f>
        <v>3525921</v>
      </c>
      <c r="K13">
        <f t="array" ref="K13">SUM(IF((InputData!$O$9:$O$99='COMP Trends'!$B13)*(InputData!$P$9:$P$99="COMP"),InputData!U$9:U$99,0))</f>
        <v>198200</v>
      </c>
      <c r="L13">
        <f t="array" ref="L13">SUM(IF((InputData!$O$9:$O$99='COMP Trends'!$B13)*(InputData!$P$9:$P$99="COMP"),InputData!V$9:V$99,0))</f>
        <v>196185390</v>
      </c>
      <c r="M13" s="44">
        <f t="shared" si="2"/>
        <v>55.640892124355595</v>
      </c>
      <c r="N13" s="44">
        <f t="shared" si="3"/>
        <v>56.046806843004454</v>
      </c>
    </row>
    <row r="14" spans="1:14" x14ac:dyDescent="0.25">
      <c r="A14">
        <v>8</v>
      </c>
      <c r="B14" s="11" t="s">
        <v>141</v>
      </c>
      <c r="D14">
        <f t="array" ref="D14">SUM(IF((InputData!$O$9:$O$99='COMP Trends'!$B14)*(InputData!$P$9:$P$99="COMP"),InputData!Q$9:Q$99,0))</f>
        <v>93725129</v>
      </c>
      <c r="E14">
        <f t="array" ref="E14">SUM(IF((InputData!$O$9:$O$99='COMP Trends'!$B14)*(InputData!$P$9:$P$99="COMP"),InputData!R$9:R$99,0))</f>
        <v>7584724</v>
      </c>
      <c r="F14">
        <f t="array" ref="F14">SUM(IF((InputData!$O$9:$O$99='COMP Trends'!$B14)*(InputData!$P$9:$P$99="COMP"),InputData!S$9:S$99,0))</f>
        <v>7508499377</v>
      </c>
      <c r="G14" s="44">
        <f t="shared" si="0"/>
        <v>80.111912964131534</v>
      </c>
      <c r="H14" s="44">
        <f t="shared" si="1"/>
        <v>76.70822962331367</v>
      </c>
      <c r="J14">
        <f t="array" ref="J14">SUM(IF((InputData!$O$9:$O$99='COMP Trends'!$B14)*(InputData!$P$9:$P$99="COMP"),InputData!T$9:T$99,0))</f>
        <v>3525370</v>
      </c>
      <c r="K14">
        <f t="array" ref="K14">SUM(IF((InputData!$O$9:$O$99='COMP Trends'!$B14)*(InputData!$P$9:$P$99="COMP"),InputData!U$9:U$99,0))</f>
        <v>198926</v>
      </c>
      <c r="L14">
        <f t="array" ref="L14">SUM(IF((InputData!$O$9:$O$99='COMP Trends'!$B14)*(InputData!$P$9:$P$99="COMP"),InputData!V$9:V$99,0))</f>
        <v>202327144</v>
      </c>
      <c r="M14" s="44">
        <f t="shared" si="2"/>
        <v>57.391747249224906</v>
      </c>
      <c r="N14" s="44">
        <f t="shared" si="3"/>
        <v>55.2900946589277</v>
      </c>
    </row>
    <row r="15" spans="1:14" x14ac:dyDescent="0.25">
      <c r="A15">
        <v>9</v>
      </c>
      <c r="B15" s="11" t="s">
        <v>142</v>
      </c>
      <c r="D15">
        <f t="array" ref="D15">SUM(IF((InputData!$O$9:$O$99='COMP Trends'!$B15)*(InputData!$P$9:$P$99="COMP"),InputData!Q$9:Q$99,0))</f>
        <v>93807411</v>
      </c>
      <c r="E15">
        <f t="array" ref="E15">SUM(IF((InputData!$O$9:$O$99='COMP Trends'!$B15)*(InputData!$P$9:$P$99="COMP"),InputData!R$9:R$99,0))</f>
        <v>7456329</v>
      </c>
      <c r="F15">
        <f t="array" ref="F15">SUM(IF((InputData!$O$9:$O$99='COMP Trends'!$B15)*(InputData!$P$9:$P$99="COMP"),InputData!S$9:S$99,0))</f>
        <v>7463661259</v>
      </c>
      <c r="G15" s="44">
        <f t="shared" si="0"/>
        <v>79.563663248312011</v>
      </c>
      <c r="H15" s="44">
        <f t="shared" si="1"/>
        <v>76.152551135011535</v>
      </c>
      <c r="J15">
        <f t="array" ref="J15">SUM(IF((InputData!$O$9:$O$99='COMP Trends'!$B15)*(InputData!$P$9:$P$99="COMP"),InputData!T$9:T$99,0))</f>
        <v>3529566</v>
      </c>
      <c r="K15">
        <f t="array" ref="K15">SUM(IF((InputData!$O$9:$O$99='COMP Trends'!$B15)*(InputData!$P$9:$P$99="COMP"),InputData!U$9:U$99,0))</f>
        <v>194164</v>
      </c>
      <c r="L15">
        <f t="array" ref="L15">SUM(IF((InputData!$O$9:$O$99='COMP Trends'!$B15)*(InputData!$P$9:$P$99="COMP"),InputData!V$9:V$99,0))</f>
        <v>195694427</v>
      </c>
      <c r="M15" s="44">
        <f t="shared" si="2"/>
        <v>55.444331399384517</v>
      </c>
      <c r="N15" s="44">
        <f t="shared" si="3"/>
        <v>54.533382474850946</v>
      </c>
    </row>
    <row r="16" spans="1:14" x14ac:dyDescent="0.25">
      <c r="A16">
        <v>10</v>
      </c>
      <c r="B16" s="11" t="s">
        <v>135</v>
      </c>
      <c r="D16">
        <f t="array" ref="D16">SUM(IF((InputData!$O$9:$O$99='COMP Trends'!$B16)*(InputData!$P$9:$P$99="COMP"),InputData!Q$9:Q$99,0))</f>
        <v>93944490</v>
      </c>
      <c r="E16">
        <f t="array" ref="E16">SUM(IF((InputData!$O$9:$O$99='COMP Trends'!$B16)*(InputData!$P$9:$P$99="COMP"),InputData!R$9:R$99,0))</f>
        <v>7365414</v>
      </c>
      <c r="F16">
        <f t="array" ref="F16">SUM(IF((InputData!$O$9:$O$99='COMP Trends'!$B16)*(InputData!$P$9:$P$99="COMP"),InputData!S$9:S$99,0))</f>
        <v>7318277363</v>
      </c>
      <c r="G16" s="44">
        <f t="shared" si="0"/>
        <v>77.900016946177473</v>
      </c>
      <c r="H16" s="44">
        <f t="shared" si="1"/>
        <v>75.596872646709414</v>
      </c>
      <c r="J16">
        <f t="array" ref="J16">SUM(IF((InputData!$O$9:$O$99='COMP Trends'!$B16)*(InputData!$P$9:$P$99="COMP"),InputData!T$9:T$99,0))</f>
        <v>3531020</v>
      </c>
      <c r="K16">
        <f t="array" ref="K16">SUM(IF((InputData!$O$9:$O$99='COMP Trends'!$B16)*(InputData!$P$9:$P$99="COMP"),InputData!U$9:U$99,0))</f>
        <v>191437</v>
      </c>
      <c r="L16">
        <f t="array" ref="L16">SUM(IF((InputData!$O$9:$O$99='COMP Trends'!$B16)*(InputData!$P$9:$P$99="COMP"),InputData!V$9:V$99,0))</f>
        <v>192196842</v>
      </c>
      <c r="M16" s="44">
        <f t="shared" si="2"/>
        <v>54.43096952155468</v>
      </c>
      <c r="N16" s="44">
        <f t="shared" si="3"/>
        <v>53.776670290774199</v>
      </c>
    </row>
    <row r="17" spans="1:14" x14ac:dyDescent="0.25">
      <c r="A17">
        <v>11</v>
      </c>
      <c r="B17" s="11" t="s">
        <v>136</v>
      </c>
      <c r="D17">
        <f t="array" ref="D17">SUM(IF((InputData!$O$9:$O$99='COMP Trends'!$B17)*(InputData!$P$9:$P$99="COMP"),InputData!Q$9:Q$99,0))</f>
        <v>94140356</v>
      </c>
      <c r="E17">
        <f t="array" ref="E17">SUM(IF((InputData!$O$9:$O$99='COMP Trends'!$B17)*(InputData!$P$9:$P$99="COMP"),InputData!R$9:R$99,0))</f>
        <v>7076619</v>
      </c>
      <c r="F17">
        <f t="array" ref="F17">SUM(IF((InputData!$O$9:$O$99='COMP Trends'!$B17)*(InputData!$P$9:$P$99="COMP"),InputData!S$9:S$99,0))</f>
        <v>6671262833</v>
      </c>
      <c r="G17" s="44">
        <f t="shared" si="0"/>
        <v>70.865069099589974</v>
      </c>
      <c r="H17" s="44">
        <f t="shared" si="1"/>
        <v>75.041194158407279</v>
      </c>
      <c r="J17">
        <f t="array" ref="J17">SUM(IF((InputData!$O$9:$O$99='COMP Trends'!$B17)*(InputData!$P$9:$P$99="COMP"),InputData!T$9:T$99,0))</f>
        <v>3536068</v>
      </c>
      <c r="K17">
        <f t="array" ref="K17">SUM(IF((InputData!$O$9:$O$99='COMP Trends'!$B17)*(InputData!$P$9:$P$99="COMP"),InputData!U$9:U$99,0))</f>
        <v>190096</v>
      </c>
      <c r="L17">
        <f t="array" ref="L17">SUM(IF((InputData!$O$9:$O$99='COMP Trends'!$B17)*(InputData!$P$9:$P$99="COMP"),InputData!V$9:V$99,0))</f>
        <v>194796978</v>
      </c>
      <c r="M17" s="44">
        <f t="shared" si="2"/>
        <v>55.088583703707059</v>
      </c>
      <c r="N17" s="44">
        <f t="shared" si="3"/>
        <v>53.019958106697445</v>
      </c>
    </row>
    <row r="18" spans="1:14" x14ac:dyDescent="0.25">
      <c r="A18">
        <v>12</v>
      </c>
      <c r="B18" s="11" t="s">
        <v>137</v>
      </c>
      <c r="D18">
        <f t="array" ref="D18">SUM(IF((InputData!$O$9:$O$99='COMP Trends'!$B18)*(InputData!$P$9:$P$99="COMP"),InputData!Q$9:Q$99,0))</f>
        <v>94396161</v>
      </c>
      <c r="E18">
        <f t="array" ref="E18">SUM(IF((InputData!$O$9:$O$99='COMP Trends'!$B18)*(InputData!$P$9:$P$99="COMP"),InputData!R$9:R$99,0))</f>
        <v>6954679</v>
      </c>
      <c r="F18">
        <f t="array" ref="F18">SUM(IF((InputData!$O$9:$O$99='COMP Trends'!$B18)*(InputData!$P$9:$P$99="COMP"),InputData!S$9:S$99,0))</f>
        <v>6640881578</v>
      </c>
      <c r="G18" s="44">
        <f t="shared" si="0"/>
        <v>70.351182798630973</v>
      </c>
      <c r="H18" s="44">
        <f t="shared" si="1"/>
        <v>74.485515670105144</v>
      </c>
      <c r="J18">
        <f t="array" ref="J18">SUM(IF((InputData!$O$9:$O$99='COMP Trends'!$B18)*(InputData!$P$9:$P$99="COMP"),InputData!T$9:T$99,0))</f>
        <v>3545501</v>
      </c>
      <c r="K18">
        <f t="array" ref="K18">SUM(IF((InputData!$O$9:$O$99='COMP Trends'!$B18)*(InputData!$P$9:$P$99="COMP"),InputData!U$9:U$99,0))</f>
        <v>185102</v>
      </c>
      <c r="L18">
        <f t="array" ref="L18">SUM(IF((InputData!$O$9:$O$99='COMP Trends'!$B18)*(InputData!$P$9:$P$99="COMP"),InputData!V$9:V$99,0))</f>
        <v>186782138</v>
      </c>
      <c r="M18" s="44">
        <f t="shared" si="2"/>
        <v>52.681451225087791</v>
      </c>
      <c r="N18" s="44">
        <f t="shared" si="3"/>
        <v>52.26324592262069</v>
      </c>
    </row>
    <row r="19" spans="1:14" x14ac:dyDescent="0.25">
      <c r="A19">
        <v>13</v>
      </c>
      <c r="B19" s="11" t="s">
        <v>138</v>
      </c>
      <c r="D19">
        <f t="array" ref="D19">SUM(IF((InputData!$O$9:$O$99='COMP Trends'!$B19)*(InputData!$P$9:$P$99="COMP"),InputData!Q$9:Q$99,0))</f>
        <v>94655771</v>
      </c>
      <c r="E19">
        <f t="array" ref="E19">SUM(IF((InputData!$O$9:$O$99='COMP Trends'!$B19)*(InputData!$P$9:$P$99="COMP"),InputData!R$9:R$99,0))</f>
        <v>6905596</v>
      </c>
      <c r="F19">
        <f t="array" ref="F19">SUM(IF((InputData!$O$9:$O$99='COMP Trends'!$B19)*(InputData!$P$9:$P$99="COMP"),InputData!S$9:S$99,0))</f>
        <v>6621861420</v>
      </c>
      <c r="G19" s="44">
        <f t="shared" si="0"/>
        <v>69.957292091572526</v>
      </c>
      <c r="H19" s="44">
        <f t="shared" si="1"/>
        <v>73.929837181803009</v>
      </c>
      <c r="J19">
        <f t="array" ref="J19">SUM(IF((InputData!$O$9:$O$99='COMP Trends'!$B19)*(InputData!$P$9:$P$99="COMP"),InputData!T$9:T$99,0))</f>
        <v>3555044</v>
      </c>
      <c r="K19">
        <f t="array" ref="K19">SUM(IF((InputData!$O$9:$O$99='COMP Trends'!$B19)*(InputData!$P$9:$P$99="COMP"),InputData!U$9:U$99,0))</f>
        <v>182140</v>
      </c>
      <c r="L19">
        <f t="array" ref="L19">SUM(IF((InputData!$O$9:$O$99='COMP Trends'!$B19)*(InputData!$P$9:$P$99="COMP"),InputData!V$9:V$99,0))</f>
        <v>185731978</v>
      </c>
      <c r="M19" s="44">
        <f t="shared" si="2"/>
        <v>52.24463550943392</v>
      </c>
      <c r="N19" s="44">
        <f t="shared" si="3"/>
        <v>51.506533738543936</v>
      </c>
    </row>
    <row r="20" spans="1:14" x14ac:dyDescent="0.25">
      <c r="A20">
        <v>14</v>
      </c>
      <c r="B20" s="11" t="s">
        <v>131</v>
      </c>
      <c r="D20">
        <f t="array" ref="D20">SUM(IF((InputData!$O$9:$O$99='COMP Trends'!$B20)*(InputData!$P$9:$P$99="COMP"),InputData!Q$9:Q$99,0))</f>
        <v>94983282</v>
      </c>
      <c r="E20">
        <f t="array" ref="E20">SUM(IF((InputData!$O$9:$O$99='COMP Trends'!$B20)*(InputData!$P$9:$P$99="COMP"),InputData!R$9:R$99,0))</f>
        <v>6886101</v>
      </c>
      <c r="F20">
        <f t="array" ref="F20">SUM(IF((InputData!$O$9:$O$99='COMP Trends'!$B20)*(InputData!$P$9:$P$99="COMP"),InputData!S$9:S$99,0))</f>
        <v>6638587480</v>
      </c>
      <c r="G20" s="44">
        <f t="shared" si="0"/>
        <v>69.892167760638131</v>
      </c>
      <c r="H20" s="44">
        <f t="shared" si="1"/>
        <v>73.374158693500874</v>
      </c>
      <c r="J20">
        <f t="array" ref="J20">SUM(IF((InputData!$O$9:$O$99='COMP Trends'!$B20)*(InputData!$P$9:$P$99="COMP"),InputData!T$9:T$99,0))</f>
        <v>3569910</v>
      </c>
      <c r="K20">
        <f t="array" ref="K20">SUM(IF((InputData!$O$9:$O$99='COMP Trends'!$B20)*(InputData!$P$9:$P$99="COMP"),InputData!U$9:U$99,0))</f>
        <v>186399</v>
      </c>
      <c r="L20">
        <f t="array" ref="L20">SUM(IF((InputData!$O$9:$O$99='COMP Trends'!$B20)*(InputData!$P$9:$P$99="COMP"),InputData!V$9:V$99,0))</f>
        <v>191310329</v>
      </c>
      <c r="M20" s="44">
        <f t="shared" si="2"/>
        <v>53.589678451277486</v>
      </c>
      <c r="N20" s="44">
        <f t="shared" si="3"/>
        <v>50.749821554467189</v>
      </c>
    </row>
    <row r="21" spans="1:14" x14ac:dyDescent="0.25">
      <c r="A21">
        <v>15</v>
      </c>
      <c r="B21" s="11" t="s">
        <v>132</v>
      </c>
      <c r="D21">
        <f t="array" ref="D21">SUM(IF((InputData!$O$9:$O$99='COMP Trends'!$B21)*(InputData!$P$9:$P$99="COMP"),InputData!Q$9:Q$99,0))</f>
        <v>95343714</v>
      </c>
      <c r="E21">
        <f t="array" ref="E21">SUM(IF((InputData!$O$9:$O$99='COMP Trends'!$B21)*(InputData!$P$9:$P$99="COMP"),InputData!R$9:R$99,0))</f>
        <v>6819094</v>
      </c>
      <c r="F21">
        <f t="array" ref="F21">SUM(IF((InputData!$O$9:$O$99='COMP Trends'!$B21)*(InputData!$P$9:$P$99="COMP"),InputData!S$9:S$99,0))</f>
        <v>6558309230</v>
      </c>
      <c r="G21" s="44">
        <f t="shared" si="0"/>
        <v>68.78596348784987</v>
      </c>
      <c r="H21" s="44">
        <f t="shared" si="1"/>
        <v>72.818480205198739</v>
      </c>
      <c r="J21">
        <f t="array" ref="J21">SUM(IF((InputData!$O$9:$O$99='COMP Trends'!$B21)*(InputData!$P$9:$P$99="COMP"),InputData!T$9:T$99,0))</f>
        <v>3585309</v>
      </c>
      <c r="K21">
        <f t="array" ref="K21">SUM(IF((InputData!$O$9:$O$99='COMP Trends'!$B21)*(InputData!$P$9:$P$99="COMP"),InputData!U$9:U$99,0))</f>
        <v>179413</v>
      </c>
      <c r="L21">
        <f t="array" ref="L21">SUM(IF((InputData!$O$9:$O$99='COMP Trends'!$B21)*(InputData!$P$9:$P$99="COMP"),InputData!V$9:V$99,0))</f>
        <v>176438552</v>
      </c>
      <c r="M21" s="44">
        <f t="shared" si="2"/>
        <v>49.211532952947707</v>
      </c>
      <c r="N21" s="44">
        <f t="shared" si="3"/>
        <v>49.993109370390435</v>
      </c>
    </row>
    <row r="22" spans="1:14" x14ac:dyDescent="0.25">
      <c r="A22">
        <v>16</v>
      </c>
      <c r="B22" s="11" t="s">
        <v>133</v>
      </c>
      <c r="D22">
        <f t="array" ref="D22">SUM(IF((InputData!$O$9:$O$99='COMP Trends'!$B22)*(InputData!$P$9:$P$99="COMP"),InputData!Q$9:Q$99,0))</f>
        <v>95754930</v>
      </c>
      <c r="E22">
        <f t="array" ref="E22">SUM(IF((InputData!$O$9:$O$99='COMP Trends'!$B22)*(InputData!$P$9:$P$99="COMP"),InputData!R$9:R$99,0))</f>
        <v>6708084</v>
      </c>
      <c r="F22">
        <f t="array" ref="F22">SUM(IF((InputData!$O$9:$O$99='COMP Trends'!$B22)*(InputData!$P$9:$P$99="COMP"),InputData!S$9:S$99,0))</f>
        <v>6565693907</v>
      </c>
      <c r="G22" s="44">
        <f t="shared" si="0"/>
        <v>68.567685308735534</v>
      </c>
      <c r="H22" s="44">
        <f t="shared" si="1"/>
        <v>72.262801716896604</v>
      </c>
      <c r="J22">
        <f t="array" ref="J22">SUM(IF((InputData!$O$9:$O$99='COMP Trends'!$B22)*(InputData!$P$9:$P$99="COMP"),InputData!T$9:T$99,0))</f>
        <v>3601742</v>
      </c>
      <c r="K22">
        <f t="array" ref="K22">SUM(IF((InputData!$O$9:$O$99='COMP Trends'!$B22)*(InputData!$P$9:$P$99="COMP"),InputData!U$9:U$99,0))</f>
        <v>175407</v>
      </c>
      <c r="L22">
        <f t="array" ref="L22">SUM(IF((InputData!$O$9:$O$99='COMP Trends'!$B22)*(InputData!$P$9:$P$99="COMP"),InputData!V$9:V$99,0))</f>
        <v>171603053</v>
      </c>
      <c r="M22" s="44">
        <f t="shared" si="2"/>
        <v>47.644460097363996</v>
      </c>
      <c r="N22" s="44">
        <f t="shared" si="3"/>
        <v>49.236397186313681</v>
      </c>
    </row>
    <row r="23" spans="1:14" x14ac:dyDescent="0.25">
      <c r="A23">
        <v>17</v>
      </c>
      <c r="B23" s="11" t="s">
        <v>134</v>
      </c>
      <c r="D23">
        <f t="array" ref="D23">SUM(IF((InputData!$O$9:$O$99='COMP Trends'!$B23)*(InputData!$P$9:$P$99="COMP"),InputData!Q$9:Q$99,0))</f>
        <v>96260543</v>
      </c>
      <c r="E23">
        <f t="array" ref="E23">SUM(IF((InputData!$O$9:$O$99='COMP Trends'!$B23)*(InputData!$P$9:$P$99="COMP"),InputData!R$9:R$99,0))</f>
        <v>6809235</v>
      </c>
      <c r="F23">
        <f t="array" ref="F23">SUM(IF((InputData!$O$9:$O$99='COMP Trends'!$B23)*(InputData!$P$9:$P$99="COMP"),InputData!S$9:S$99,0))</f>
        <v>7489398882</v>
      </c>
      <c r="G23" s="44">
        <f t="shared" si="0"/>
        <v>77.803414032268648</v>
      </c>
      <c r="H23" s="44">
        <f t="shared" si="1"/>
        <v>71.707123228594469</v>
      </c>
      <c r="J23">
        <f t="array" ref="J23">SUM(IF((InputData!$O$9:$O$99='COMP Trends'!$B23)*(InputData!$P$9:$P$99="COMP"),InputData!T$9:T$99,0))</f>
        <v>3619763</v>
      </c>
      <c r="K23">
        <f t="array" ref="K23">SUM(IF((InputData!$O$9:$O$99='COMP Trends'!$B23)*(InputData!$P$9:$P$99="COMP"),InputData!U$9:U$99,0))</f>
        <v>173402</v>
      </c>
      <c r="L23">
        <f t="array" ref="L23">SUM(IF((InputData!$O$9:$O$99='COMP Trends'!$B23)*(InputData!$P$9:$P$99="COMP"),InputData!V$9:V$99,0))</f>
        <v>170376858</v>
      </c>
      <c r="M23" s="44">
        <f t="shared" si="2"/>
        <v>47.068511944014013</v>
      </c>
      <c r="N23" s="44">
        <f t="shared" si="3"/>
        <v>48.479685002236934</v>
      </c>
    </row>
    <row r="24" spans="1:14" x14ac:dyDescent="0.25">
      <c r="A24">
        <v>18</v>
      </c>
      <c r="B24" s="11" t="s">
        <v>130</v>
      </c>
      <c r="D24">
        <f t="array" ref="D24">SUM(IF((InputData!$O$9:$O$99='COMP Trends'!$B24)*(InputData!$P$9:$P$99="COMP"),InputData!Q$9:Q$99,0))</f>
        <v>96698369</v>
      </c>
      <c r="E24">
        <f t="array" ref="E24">SUM(IF((InputData!$O$9:$O$99='COMP Trends'!$B24)*(InputData!$P$9:$P$99="COMP"),InputData!R$9:R$99,0))</f>
        <v>6752997</v>
      </c>
      <c r="F24">
        <f t="array" ref="F24">SUM(IF((InputData!$O$9:$O$99='COMP Trends'!$B24)*(InputData!$P$9:$P$99="COMP"),InputData!S$9:S$99,0))</f>
        <v>7651594600</v>
      </c>
      <c r="G24" s="44">
        <f t="shared" si="0"/>
        <v>79.128476303462776</v>
      </c>
      <c r="H24" s="44">
        <f t="shared" si="1"/>
        <v>71.151444740292348</v>
      </c>
      <c r="J24">
        <f t="array" ref="J24">SUM(IF((InputData!$O$9:$O$99='COMP Trends'!$B24)*(InputData!$P$9:$P$99="COMP"),InputData!T$9:T$99,0))</f>
        <v>3632200</v>
      </c>
      <c r="K24">
        <f t="array" ref="K24">SUM(IF((InputData!$O$9:$O$99='COMP Trends'!$B24)*(InputData!$P$9:$P$99="COMP"),InputData!U$9:U$99,0))</f>
        <v>164987</v>
      </c>
      <c r="L24">
        <f t="array" ref="L24">SUM(IF((InputData!$O$9:$O$99='COMP Trends'!$B24)*(InputData!$P$9:$P$99="COMP"),InputData!V$9:V$99,0))</f>
        <v>165735010</v>
      </c>
      <c r="M24" s="44">
        <f t="shared" si="2"/>
        <v>45.629373382522992</v>
      </c>
      <c r="N24" s="44">
        <f t="shared" si="3"/>
        <v>47.72297281816018</v>
      </c>
    </row>
    <row r="26" spans="1:14" x14ac:dyDescent="0.25">
      <c r="F26" t="s">
        <v>147</v>
      </c>
      <c r="G26" s="47">
        <f>LINEST(G7:G24,A7:A24)</f>
        <v>-0.55567848830213296</v>
      </c>
      <c r="L26" t="s">
        <v>147</v>
      </c>
      <c r="M26" s="47">
        <f>LINEST(M7:M24,A7:$A$24)</f>
        <v>-0.75671218407675223</v>
      </c>
    </row>
    <row r="27" spans="1:14" x14ac:dyDescent="0.25">
      <c r="F27" t="s">
        <v>148</v>
      </c>
      <c r="G27" s="47">
        <f>INTERCEPT(G7:G24,A7:A24)</f>
        <v>81.153657529730737</v>
      </c>
      <c r="L27" t="s">
        <v>148</v>
      </c>
      <c r="M27" s="47">
        <f>INTERCEPT(M7:M24,A7:$A$24)</f>
        <v>61.343792131541719</v>
      </c>
    </row>
    <row r="29" spans="1:14" x14ac:dyDescent="0.25">
      <c r="F29" t="s">
        <v>150</v>
      </c>
      <c r="G29">
        <f>4*$G$26</f>
        <v>-2.2227139532085318</v>
      </c>
      <c r="L29" t="s">
        <v>150</v>
      </c>
      <c r="M29">
        <f>4*$M$26</f>
        <v>-3.0268487363070089</v>
      </c>
    </row>
    <row r="30" spans="1:14" x14ac:dyDescent="0.25">
      <c r="F30" t="s">
        <v>151</v>
      </c>
      <c r="G30" s="37">
        <f>G29/MAX($H$24,1)</f>
        <v>-3.1239196355345843E-2</v>
      </c>
      <c r="L30" t="s">
        <v>151</v>
      </c>
      <c r="M30" s="37">
        <f>M29/MAX($N$24,1)</f>
        <v>-6.342540201425155E-2</v>
      </c>
    </row>
  </sheetData>
  <phoneticPr fontId="1" type="noConversion"/>
  <pageMargins left="0.25" right="0.25" top="0.5" bottom="0.5" header="0.5" footer="0.5"/>
  <pageSetup scale="87" orientation="portrait" horizontalDpi="4294967294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38"/>
  <sheetViews>
    <sheetView topLeftCell="A2" zoomScale="85" workbookViewId="0">
      <selection activeCell="G36" sqref="G36:G38"/>
    </sheetView>
  </sheetViews>
  <sheetFormatPr defaultRowHeight="13.2" x14ac:dyDescent="0.25"/>
  <cols>
    <col min="1" max="1" width="12.44140625" customWidth="1"/>
    <col min="2" max="2" width="2.6640625" customWidth="1"/>
    <col min="5" max="5" width="2.6640625" customWidth="1"/>
    <col min="6" max="6" width="9.6640625" customWidth="1"/>
    <col min="7" max="7" width="9.33203125" customWidth="1"/>
    <col min="8" max="8" width="14.109375" customWidth="1"/>
    <col min="9" max="9" width="2.6640625" customWidth="1"/>
    <col min="10" max="10" width="12.6640625" bestFit="1" customWidth="1"/>
    <col min="11" max="11" width="9" customWidth="1"/>
  </cols>
  <sheetData>
    <row r="1" spans="1:11" x14ac:dyDescent="0.25">
      <c r="A1" s="13" t="str">
        <f>InputData!B2&amp;"Illinois Loss Projection Factor Calculation"</f>
        <v>IllinoisIllinois Loss Projection Factor Calculation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5"/>
      <c r="C2" s="5"/>
      <c r="D2" s="5"/>
      <c r="H2" s="5"/>
      <c r="I2" s="5"/>
      <c r="J2" s="5"/>
      <c r="K2" s="5"/>
    </row>
    <row r="3" spans="1:11" x14ac:dyDescent="0.25">
      <c r="A3" s="5"/>
      <c r="B3" s="5"/>
      <c r="C3" s="5"/>
      <c r="D3" s="5"/>
      <c r="F3" s="3" t="s">
        <v>71</v>
      </c>
      <c r="G3" s="3"/>
      <c r="J3" s="33" t="str">
        <f>'BI Trends'!B24</f>
        <v>2010 Q1</v>
      </c>
      <c r="K3" s="5"/>
    </row>
    <row r="4" spans="1:11" x14ac:dyDescent="0.25">
      <c r="A4" s="5"/>
      <c r="B4" s="5"/>
      <c r="C4" s="5" t="s">
        <v>56</v>
      </c>
      <c r="D4" s="5" t="s">
        <v>58</v>
      </c>
      <c r="F4" s="33" t="str">
        <f>J3</f>
        <v>2010 Q1</v>
      </c>
      <c r="G4" s="5" t="s">
        <v>72</v>
      </c>
      <c r="H4" s="3" t="s">
        <v>59</v>
      </c>
      <c r="I4" s="3"/>
      <c r="J4" s="5" t="s">
        <v>61</v>
      </c>
      <c r="K4" s="5"/>
    </row>
    <row r="5" spans="1:11" x14ac:dyDescent="0.25">
      <c r="C5" s="16" t="s">
        <v>57</v>
      </c>
      <c r="D5" s="16" t="s">
        <v>57</v>
      </c>
      <c r="F5" s="16" t="s">
        <v>70</v>
      </c>
      <c r="G5" s="16" t="s">
        <v>73</v>
      </c>
      <c r="H5" s="4" t="s">
        <v>57</v>
      </c>
      <c r="I5" s="4"/>
      <c r="J5" s="4" t="s">
        <v>49</v>
      </c>
      <c r="K5" s="4" t="s">
        <v>60</v>
      </c>
    </row>
    <row r="6" spans="1:11" x14ac:dyDescent="0.25">
      <c r="A6" s="6" t="s">
        <v>54</v>
      </c>
    </row>
    <row r="7" spans="1:11" x14ac:dyDescent="0.25">
      <c r="A7" s="15" t="s">
        <v>33</v>
      </c>
      <c r="C7" s="38">
        <f>'BI Trends'!G31</f>
        <v>4.676898373375777E-3</v>
      </c>
      <c r="D7" s="38">
        <f>'BI Trends'!M31</f>
        <v>4.9578574023556293E-3</v>
      </c>
      <c r="F7">
        <f>'BI Trends'!K24</f>
        <v>37786</v>
      </c>
      <c r="G7">
        <f t="array" ref="G7">MAX(IF(($F7&lt;=$G$18:$G$28)*($F7&gt;=$F$18:$F$28),$H$18:$H$28,0),0)</f>
        <v>0.1</v>
      </c>
      <c r="H7" s="39">
        <f>(D7*G7)+C7*(1-G7)</f>
        <v>4.7049942762737631E-3</v>
      </c>
      <c r="J7">
        <f>'BI Trends'!L24</f>
        <v>363971812</v>
      </c>
      <c r="K7" s="37">
        <f>J7/SUM($J$7:$J$11)</f>
        <v>0.27741617665802232</v>
      </c>
    </row>
    <row r="8" spans="1:11" x14ac:dyDescent="0.25">
      <c r="A8" s="15" t="s">
        <v>37</v>
      </c>
      <c r="C8" s="38">
        <f>'PD Trends'!G30</f>
        <v>-6.9087074854146851E-4</v>
      </c>
      <c r="D8" s="38">
        <f>'PD Trends'!M30</f>
        <v>1.3817451485014837E-3</v>
      </c>
      <c r="F8">
        <f>'PD Trends'!K24</f>
        <v>141659</v>
      </c>
      <c r="G8">
        <f t="array" ref="G8">MAX(IF(($F8&lt;=$G$18:$G$28)*($F8&gt;=$F$18:$F$28),$H$18:$H$28,0),0)</f>
        <v>0.5</v>
      </c>
      <c r="H8" s="39">
        <f t="shared" ref="H8:H11" si="0">(D8*G8)+C8*(1-G8)</f>
        <v>3.4543719998000758E-4</v>
      </c>
      <c r="J8">
        <f>'PD Trends'!L24</f>
        <v>329408189</v>
      </c>
      <c r="K8" s="37">
        <f t="shared" ref="K8:K11" si="1">J8/SUM($J$7:$J$11)</f>
        <v>0.25107208124189351</v>
      </c>
    </row>
    <row r="9" spans="1:11" x14ac:dyDescent="0.25">
      <c r="A9" s="15" t="s">
        <v>38</v>
      </c>
      <c r="C9" s="38">
        <f>'PIP Trends'!G30</f>
        <v>0</v>
      </c>
      <c r="D9" s="38">
        <f>'PIP Trends'!M30</f>
        <v>0</v>
      </c>
      <c r="F9">
        <f>'PIP Trends'!K24</f>
        <v>0</v>
      </c>
      <c r="G9">
        <f t="array" ref="G9">MAX(IF(($F9&lt;=$G$18:$G$28)*($F9&gt;=$F$18:$F$28),$H$18:$H$28,0),0)</f>
        <v>0</v>
      </c>
      <c r="H9" s="39">
        <f t="shared" si="0"/>
        <v>0</v>
      </c>
      <c r="J9">
        <f>'PIP Trends'!L24</f>
        <v>0</v>
      </c>
      <c r="K9" s="37">
        <f t="shared" si="1"/>
        <v>0</v>
      </c>
    </row>
    <row r="10" spans="1:11" x14ac:dyDescent="0.25">
      <c r="A10" s="15" t="s">
        <v>35</v>
      </c>
      <c r="C10" s="38">
        <f>'COMP Trends'!G30</f>
        <v>-3.1239196355345843E-2</v>
      </c>
      <c r="D10" s="38">
        <f>'COMP Trends'!M30</f>
        <v>-6.342540201425155E-2</v>
      </c>
      <c r="F10">
        <f>'COMP Trends'!K24</f>
        <v>164987</v>
      </c>
      <c r="G10">
        <f t="array" ref="G10">MAX(IF(($F10&lt;=$G$18:$G$28)*($F10&gt;=$F$18:$F$28),$H$18:$H$28,0),0)</f>
        <v>0.6</v>
      </c>
      <c r="H10" s="39">
        <f t="shared" si="0"/>
        <v>-5.0550919750689267E-2</v>
      </c>
      <c r="J10">
        <f>'COMP Trends'!L24</f>
        <v>165735010</v>
      </c>
      <c r="K10" s="37">
        <f t="shared" si="1"/>
        <v>0.12632179552569059</v>
      </c>
    </row>
    <row r="11" spans="1:11" x14ac:dyDescent="0.25">
      <c r="A11" s="15" t="s">
        <v>34</v>
      </c>
      <c r="C11" s="38">
        <f>'COLL Trends'!G30</f>
        <v>-1.07927226002912E-2</v>
      </c>
      <c r="D11" s="38">
        <f>'COLL Trends'!M30</f>
        <v>-3.1126129376122628E-3</v>
      </c>
      <c r="F11">
        <f>'COLL Trends'!K24</f>
        <v>174523</v>
      </c>
      <c r="G11">
        <f t="array" ref="G11">MAX(IF(($F11&lt;=$G$18:$G$28)*($F11&gt;=$F$18:$F$28),$H$18:$H$28,0),0)</f>
        <v>0.6</v>
      </c>
      <c r="H11" s="39">
        <f t="shared" si="0"/>
        <v>-6.184656802683838E-3</v>
      </c>
      <c r="J11">
        <f>'COLL Trends'!L24</f>
        <v>452891435</v>
      </c>
      <c r="K11" s="37">
        <f t="shared" si="1"/>
        <v>0.34518994657439356</v>
      </c>
    </row>
    <row r="13" spans="1:11" x14ac:dyDescent="0.25">
      <c r="A13" s="15" t="s">
        <v>55</v>
      </c>
      <c r="H13" s="40">
        <f>SUMPRODUCT($K$7:$K$11,$H$7:$H$11)</f>
        <v>-7.1285931396224585E-3</v>
      </c>
      <c r="I13" s="10"/>
      <c r="J13" s="8">
        <f>SUM(J7:J11)</f>
        <v>1312006446</v>
      </c>
      <c r="K13" s="10">
        <f>SUM(K7:K11)</f>
        <v>1</v>
      </c>
    </row>
    <row r="14" spans="1:11" x14ac:dyDescent="0.25">
      <c r="A14" s="15" t="s">
        <v>62</v>
      </c>
    </row>
    <row r="16" spans="1:11" x14ac:dyDescent="0.25">
      <c r="A16" s="7" t="s">
        <v>74</v>
      </c>
      <c r="F16" s="5" t="s">
        <v>103</v>
      </c>
      <c r="G16" s="5"/>
    </row>
    <row r="17" spans="1:9" x14ac:dyDescent="0.25">
      <c r="F17" s="4" t="s">
        <v>104</v>
      </c>
      <c r="G17" s="4" t="s">
        <v>105</v>
      </c>
      <c r="H17" s="4" t="s">
        <v>73</v>
      </c>
    </row>
    <row r="18" spans="1:9" x14ac:dyDescent="0.25">
      <c r="F18" s="27">
        <v>0</v>
      </c>
      <c r="G18" s="27">
        <v>24999</v>
      </c>
      <c r="H18" s="9">
        <v>0</v>
      </c>
      <c r="I18" s="9"/>
    </row>
    <row r="19" spans="1:9" x14ac:dyDescent="0.25">
      <c r="F19" s="27">
        <v>25000</v>
      </c>
      <c r="G19" s="27">
        <f>F20-1</f>
        <v>49999</v>
      </c>
      <c r="H19" s="9">
        <v>0.1</v>
      </c>
      <c r="I19" s="9"/>
    </row>
    <row r="20" spans="1:9" x14ac:dyDescent="0.25">
      <c r="F20" s="27">
        <v>50000</v>
      </c>
      <c r="G20" s="27">
        <f>F21-1</f>
        <v>74999</v>
      </c>
      <c r="H20" s="9">
        <v>0.2</v>
      </c>
      <c r="I20" s="9"/>
    </row>
    <row r="21" spans="1:9" x14ac:dyDescent="0.25">
      <c r="F21" s="27">
        <v>75000</v>
      </c>
      <c r="G21" s="27">
        <f t="shared" ref="G21:G27" si="2">F22-1</f>
        <v>99999</v>
      </c>
      <c r="H21" s="9">
        <v>0.3</v>
      </c>
      <c r="I21" s="9"/>
    </row>
    <row r="22" spans="1:9" x14ac:dyDescent="0.25">
      <c r="F22" s="27">
        <v>100000</v>
      </c>
      <c r="G22" s="27">
        <f t="shared" si="2"/>
        <v>124999</v>
      </c>
      <c r="H22" s="9">
        <v>0.4</v>
      </c>
      <c r="I22" s="9"/>
    </row>
    <row r="23" spans="1:9" x14ac:dyDescent="0.25">
      <c r="F23" s="27">
        <v>125000</v>
      </c>
      <c r="G23" s="27">
        <f t="shared" si="2"/>
        <v>149999</v>
      </c>
      <c r="H23" s="9">
        <v>0.5</v>
      </c>
      <c r="I23" s="9"/>
    </row>
    <row r="24" spans="1:9" x14ac:dyDescent="0.25">
      <c r="F24" s="27">
        <v>150000</v>
      </c>
      <c r="G24" s="27">
        <f t="shared" si="2"/>
        <v>174999</v>
      </c>
      <c r="H24" s="9">
        <v>0.6</v>
      </c>
      <c r="I24" s="9"/>
    </row>
    <row r="25" spans="1:9" x14ac:dyDescent="0.25">
      <c r="F25" s="27">
        <v>175000</v>
      </c>
      <c r="G25" s="27">
        <f t="shared" si="2"/>
        <v>199999</v>
      </c>
      <c r="H25" s="9">
        <v>0.7</v>
      </c>
      <c r="I25" s="9"/>
    </row>
    <row r="26" spans="1:9" x14ac:dyDescent="0.25">
      <c r="F26" s="27">
        <v>200000</v>
      </c>
      <c r="G26" s="27">
        <f t="shared" si="2"/>
        <v>224999</v>
      </c>
      <c r="H26" s="9">
        <v>0.8</v>
      </c>
      <c r="I26" s="9"/>
    </row>
    <row r="27" spans="1:9" x14ac:dyDescent="0.25">
      <c r="F27" s="27">
        <v>225000</v>
      </c>
      <c r="G27" s="27">
        <f t="shared" si="2"/>
        <v>249999</v>
      </c>
      <c r="H27" s="9">
        <v>0.9</v>
      </c>
      <c r="I27" s="9"/>
    </row>
    <row r="28" spans="1:9" x14ac:dyDescent="0.25">
      <c r="F28" s="27">
        <v>250000</v>
      </c>
      <c r="G28" s="27">
        <v>9999999</v>
      </c>
      <c r="H28" s="9">
        <v>1</v>
      </c>
      <c r="I28" s="9"/>
    </row>
    <row r="30" spans="1:9" x14ac:dyDescent="0.25">
      <c r="C30" s="3"/>
    </row>
    <row r="31" spans="1:9" x14ac:dyDescent="0.25">
      <c r="A31" s="7" t="s">
        <v>75</v>
      </c>
      <c r="C31" s="3"/>
    </row>
    <row r="32" spans="1:9" x14ac:dyDescent="0.25">
      <c r="C32" s="3"/>
    </row>
    <row r="33" spans="1:7" x14ac:dyDescent="0.25">
      <c r="A33" s="3" t="s">
        <v>64</v>
      </c>
      <c r="C33" s="3" t="s">
        <v>66</v>
      </c>
      <c r="D33" s="3" t="s">
        <v>67</v>
      </c>
      <c r="F33" s="3" t="s">
        <v>69</v>
      </c>
    </row>
    <row r="34" spans="1:7" x14ac:dyDescent="0.25">
      <c r="A34" s="4" t="s">
        <v>65</v>
      </c>
      <c r="B34" s="6"/>
      <c r="C34" s="4" t="s">
        <v>65</v>
      </c>
      <c r="D34" s="4" t="s">
        <v>68</v>
      </c>
      <c r="F34" s="4" t="s">
        <v>57</v>
      </c>
      <c r="G34" s="4" t="s">
        <v>76</v>
      </c>
    </row>
    <row r="36" spans="1:7" x14ac:dyDescent="0.25">
      <c r="A36" s="3">
        <v>2007</v>
      </c>
      <c r="C36" s="3">
        <v>2011</v>
      </c>
      <c r="D36" s="3">
        <f>C36-A36</f>
        <v>4</v>
      </c>
      <c r="F36" s="40">
        <f>$H$13</f>
        <v>-7.1285931396224585E-3</v>
      </c>
      <c r="G36" s="17">
        <f>1+$D36*$F36</f>
        <v>0.97148562744151012</v>
      </c>
    </row>
    <row r="37" spans="1:7" x14ac:dyDescent="0.25">
      <c r="A37" s="3">
        <v>2008</v>
      </c>
      <c r="C37" s="3">
        <v>2011</v>
      </c>
      <c r="D37" s="3">
        <f>C37-A37</f>
        <v>3</v>
      </c>
      <c r="F37" s="40">
        <f t="shared" ref="F37:F38" si="3">$H$13</f>
        <v>-7.1285931396224585E-3</v>
      </c>
      <c r="G37" s="17">
        <f t="shared" ref="G37:G38" si="4">1+$D37*$F37</f>
        <v>0.97861422058113268</v>
      </c>
    </row>
    <row r="38" spans="1:7" x14ac:dyDescent="0.25">
      <c r="A38" s="3">
        <v>2009</v>
      </c>
      <c r="C38" s="3">
        <v>2011</v>
      </c>
      <c r="D38" s="3">
        <f>C38-A38</f>
        <v>2</v>
      </c>
      <c r="F38" s="40">
        <f t="shared" si="3"/>
        <v>-7.1285931396224585E-3</v>
      </c>
      <c r="G38" s="17">
        <f t="shared" si="4"/>
        <v>0.98574281372075512</v>
      </c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7"/>
  <sheetViews>
    <sheetView zoomScaleNormal="100" workbookViewId="0">
      <selection activeCell="D8" sqref="D8"/>
    </sheetView>
  </sheetViews>
  <sheetFormatPr defaultRowHeight="13.2" x14ac:dyDescent="0.25"/>
  <cols>
    <col min="2" max="2" width="3.88671875" customWidth="1"/>
    <col min="4" max="4" width="15.109375" bestFit="1" customWidth="1"/>
    <col min="5" max="5" width="14.109375" bestFit="1" customWidth="1"/>
    <col min="7" max="7" width="9" customWidth="1"/>
    <col min="9" max="9" width="8.6640625" customWidth="1"/>
  </cols>
  <sheetData>
    <row r="1" spans="1:9" x14ac:dyDescent="0.25">
      <c r="A1" s="13" t="str">
        <f>InputData!B2&amp;" Deductible Factor Calculation"</f>
        <v>Illinois Deductible Factor Calculation</v>
      </c>
      <c r="B1" s="5"/>
      <c r="C1" s="5"/>
      <c r="D1" s="5"/>
      <c r="E1" s="5"/>
      <c r="F1" s="5"/>
      <c r="G1" s="5"/>
      <c r="H1" s="5"/>
      <c r="I1" s="5"/>
    </row>
    <row r="3" spans="1:9" x14ac:dyDescent="0.25">
      <c r="A3" s="13" t="s">
        <v>146</v>
      </c>
      <c r="B3" s="5"/>
      <c r="C3" s="5"/>
      <c r="D3" s="5"/>
      <c r="E3" s="5"/>
      <c r="F3" s="5"/>
      <c r="G3" s="5"/>
      <c r="H3" s="5"/>
      <c r="I3" s="5"/>
    </row>
    <row r="5" spans="1:9" x14ac:dyDescent="0.25">
      <c r="C5" s="3"/>
      <c r="D5" s="3"/>
      <c r="E5" s="3"/>
      <c r="F5" s="3" t="s">
        <v>48</v>
      </c>
      <c r="G5" s="3" t="s">
        <v>80</v>
      </c>
      <c r="H5" s="3" t="s">
        <v>81</v>
      </c>
      <c r="I5" s="3" t="s">
        <v>80</v>
      </c>
    </row>
    <row r="6" spans="1:9" ht="15.6" x14ac:dyDescent="0.25">
      <c r="A6" s="6" t="s">
        <v>77</v>
      </c>
      <c r="C6" s="4" t="s">
        <v>78</v>
      </c>
      <c r="D6" s="4" t="s">
        <v>51</v>
      </c>
      <c r="E6" s="4" t="s">
        <v>48</v>
      </c>
      <c r="F6" s="4" t="s">
        <v>79</v>
      </c>
      <c r="G6" s="4" t="s">
        <v>126</v>
      </c>
      <c r="H6" s="4" t="s">
        <v>82</v>
      </c>
      <c r="I6" s="4" t="s">
        <v>82</v>
      </c>
    </row>
    <row r="8" spans="1:9" x14ac:dyDescent="0.25">
      <c r="A8" s="3">
        <v>0</v>
      </c>
      <c r="C8" s="8">
        <f t="array" ref="C8">SUM(IF(InputData!$E$10:$E$549='Deductible Factors'!$A8,InputData!$G$10:$G$549,0))</f>
        <v>3626</v>
      </c>
      <c r="D8" s="41">
        <f t="array" ref="D8">SUM(IF(InputData!$E$9:$E$549='Deductible Factors'!$A8,InputData!$H$9:$H$549,0))</f>
        <v>3097831.3600000017</v>
      </c>
      <c r="E8" s="41">
        <f t="array" ref="E8">SUM(IF(InputData!$E$10:$E$549='Deductible Factors'!$A8,InputData!$J$10:$J$549,0))</f>
        <v>2283239.2499999986</v>
      </c>
      <c r="F8" s="10">
        <f>E8/D8</f>
        <v>0.73704439805270661</v>
      </c>
      <c r="G8" s="10">
        <f>F8/$F$15-1</f>
        <v>1.4442928305974156E-2</v>
      </c>
      <c r="H8" s="30">
        <v>1.17</v>
      </c>
      <c r="I8" s="9">
        <f>$H8*(1+$G8)</f>
        <v>1.1868982261179897</v>
      </c>
    </row>
    <row r="9" spans="1:9" x14ac:dyDescent="0.25">
      <c r="A9" s="3">
        <v>100</v>
      </c>
      <c r="C9" s="8">
        <f t="array" ref="C9">SUM(IF(InputData!$E$10:$E$549='Deductible Factors'!$A9,InputData!$G$10:$G$549,0))</f>
        <v>7783</v>
      </c>
      <c r="D9" s="41">
        <f t="array" ref="D9">SUM(IF(InputData!$E$10:$E$549='Deductible Factors'!$A9,InputData!$H$10:$H$549,0))</f>
        <v>6134243.4799999986</v>
      </c>
      <c r="E9" s="41">
        <f t="array" ref="E9">SUM(IF(InputData!$E$10:$E$549='Deductible Factors'!$A9,InputData!$J$10:$J$549,0))</f>
        <v>4530654.4699999988</v>
      </c>
      <c r="F9" s="10">
        <f t="shared" ref="F9:F13" si="0">E9/D9</f>
        <v>0.73858406252892983</v>
      </c>
      <c r="G9" s="10">
        <f t="shared" ref="G9:G13" si="1">F9/$F$15-1</f>
        <v>1.6562070306096688E-2</v>
      </c>
      <c r="H9" s="30">
        <v>1.08</v>
      </c>
      <c r="I9" s="9">
        <f t="shared" ref="I9:I13" si="2">$H9*(1+$G9)</f>
        <v>1.0978870359305846</v>
      </c>
    </row>
    <row r="10" spans="1:9" x14ac:dyDescent="0.25">
      <c r="A10" s="3">
        <v>250</v>
      </c>
      <c r="C10" s="8">
        <f t="array" ref="C10">SUM(IF(InputData!$E$10:$E$549='Deductible Factors'!$A10,InputData!$G$10:$G$549,0))</f>
        <v>14393</v>
      </c>
      <c r="D10" s="41">
        <f t="array" ref="D10">SUM(IF(InputData!$E$10:$E$549='Deductible Factors'!$A10,InputData!$H$10:$H$549,0))</f>
        <v>10508393.020000009</v>
      </c>
      <c r="E10" s="41">
        <f t="array" ref="E10">SUM(IF(InputData!$E$10:$E$549='Deductible Factors'!$A10,InputData!$J$10:$J$549,0))</f>
        <v>7694890.7499999991</v>
      </c>
      <c r="F10" s="10">
        <f t="shared" si="0"/>
        <v>0.73226141574213721</v>
      </c>
      <c r="G10" s="10">
        <f t="shared" si="1"/>
        <v>7.859793566752149E-3</v>
      </c>
      <c r="H10" s="30">
        <v>1</v>
      </c>
      <c r="I10" s="9">
        <f t="shared" si="2"/>
        <v>1.0078597935667521</v>
      </c>
    </row>
    <row r="11" spans="1:9" x14ac:dyDescent="0.25">
      <c r="A11" s="3">
        <v>500</v>
      </c>
      <c r="C11" s="8">
        <f t="array" ref="C11">SUM(IF(InputData!$E$10:$E$549='Deductible Factors'!$A11,InputData!$G$10:$G$549,0))</f>
        <v>7632</v>
      </c>
      <c r="D11" s="41">
        <f t="array" ref="D11">SUM(IF(InputData!$E$10:$E$549='Deductible Factors'!$A11,InputData!$H$10:$H$549,0))</f>
        <v>5309328.6599999964</v>
      </c>
      <c r="E11" s="41">
        <f t="array" ref="E11">SUM(IF(InputData!$E$10:$E$549='Deductible Factors'!$A11,InputData!$J$10:$J$549,0))</f>
        <v>3787887.22</v>
      </c>
      <c r="F11" s="10">
        <f t="shared" si="0"/>
        <v>0.71343995871598631</v>
      </c>
      <c r="G11" s="10">
        <f t="shared" si="1"/>
        <v>-1.8045421954915986E-2</v>
      </c>
      <c r="H11" s="30">
        <v>0.96</v>
      </c>
      <c r="I11" s="9">
        <f t="shared" si="2"/>
        <v>0.94267639492328059</v>
      </c>
    </row>
    <row r="12" spans="1:9" x14ac:dyDescent="0.25">
      <c r="A12" s="3">
        <v>1000</v>
      </c>
      <c r="C12" s="8">
        <f t="array" ref="C12">SUM(IF(InputData!$E$10:$E$549='Deductible Factors'!$A12,InputData!$G$10:$G$549,0))</f>
        <v>4098</v>
      </c>
      <c r="D12" s="41">
        <f t="array" ref="D12">SUM(IF(InputData!$E$10:$E$549='Deductible Factors'!$A12,InputData!$H$10:$H$549,0))</f>
        <v>2628226.2500000005</v>
      </c>
      <c r="E12" s="41">
        <f t="array" ref="E12">SUM(IF(InputData!$E$10:$E$549='Deductible Factors'!$A12,InputData!$J$10:$J$549,0))</f>
        <v>1820329.8299999998</v>
      </c>
      <c r="F12" s="10">
        <f t="shared" si="0"/>
        <v>0.69260773496954442</v>
      </c>
      <c r="G12" s="10">
        <f t="shared" si="1"/>
        <v>-4.6718188638035896E-2</v>
      </c>
      <c r="H12" s="30">
        <v>0.88</v>
      </c>
      <c r="I12" s="9">
        <f t="shared" si="2"/>
        <v>0.83888799399852843</v>
      </c>
    </row>
    <row r="13" spans="1:9" x14ac:dyDescent="0.25">
      <c r="A13" s="3">
        <v>2000</v>
      </c>
      <c r="C13" s="8">
        <f t="array" ref="C13">SUM(IF(InputData!$E$10:$E$549='Deductible Factors'!$A13,InputData!$G$10:$G$549,0))</f>
        <v>2883</v>
      </c>
      <c r="D13" s="41">
        <f t="array" ref="D13">SUM(IF(InputData!$E$10:$E$549='Deductible Factors'!$A13,InputData!$H$10:$H$549,0))</f>
        <v>1786598.61</v>
      </c>
      <c r="E13" s="41">
        <f t="array" ref="E13">SUM(IF(InputData!$E$10:$E$549='Deductible Factors'!$A13,InputData!$J$10:$J$549,0))</f>
        <v>1290544.95</v>
      </c>
      <c r="F13" s="10">
        <f t="shared" si="0"/>
        <v>0.72234744994008471</v>
      </c>
      <c r="G13" s="10">
        <f t="shared" si="1"/>
        <v>-5.7854529420480194E-3</v>
      </c>
      <c r="H13" s="30">
        <v>0.85</v>
      </c>
      <c r="I13" s="9">
        <f t="shared" si="2"/>
        <v>0.84508236499925915</v>
      </c>
    </row>
    <row r="14" spans="1:9" x14ac:dyDescent="0.25">
      <c r="A14" s="3"/>
    </row>
    <row r="15" spans="1:9" x14ac:dyDescent="0.25">
      <c r="A15" s="3" t="s">
        <v>63</v>
      </c>
      <c r="C15" s="8">
        <f>SUM(C8:C13)</f>
        <v>40415</v>
      </c>
      <c r="D15" s="18">
        <f>SUM(D8:D13)</f>
        <v>29464621.380000003</v>
      </c>
      <c r="E15" s="18">
        <f>SUM(E8:E13)</f>
        <v>21407546.469999991</v>
      </c>
      <c r="F15" s="10">
        <f>E15/D15</f>
        <v>0.72655087584227396</v>
      </c>
      <c r="G15" s="10">
        <f>F15/$F$15-1</f>
        <v>0</v>
      </c>
    </row>
    <row r="17" spans="1:2" ht="15.6" x14ac:dyDescent="0.25">
      <c r="A17" s="34">
        <v>1</v>
      </c>
      <c r="B17" s="35" t="s">
        <v>127</v>
      </c>
    </row>
  </sheetData>
  <phoneticPr fontId="1" type="noConversion"/>
  <conditionalFormatting sqref="G8:G13">
    <cfRule type="cellIs" priority="3" operator="notBetween">
      <formula>-0.1</formula>
      <formula>0.1</formula>
    </cfRule>
    <cfRule type="cellIs" priority="2" operator="notBetween">
      <formula>-0.1</formula>
      <formula>0.1</formula>
    </cfRule>
  </conditionalFormatting>
  <conditionalFormatting sqref="G9">
    <cfRule type="cellIs" dxfId="1" priority="1" operator="notBetween">
      <formula>-0.1</formula>
      <formula>0.1</formula>
    </cfRule>
  </conditionalFormatting>
  <pageMargins left="0.75" right="0.75" top="1" bottom="1" header="0.5" footer="0.5"/>
  <pageSetup orientation="portrait" horizontalDpi="4294967294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1:K42"/>
  <sheetViews>
    <sheetView topLeftCell="A12" zoomScaleNormal="100" zoomScaleSheetLayoutView="85" workbookViewId="0">
      <selection activeCell="M22" sqref="M22"/>
    </sheetView>
  </sheetViews>
  <sheetFormatPr defaultColWidth="9.109375" defaultRowHeight="13.2" x14ac:dyDescent="0.25"/>
  <cols>
    <col min="1" max="3" width="9.109375" style="20"/>
    <col min="4" max="4" width="1.6640625" style="20" customWidth="1"/>
    <col min="5" max="5" width="9.109375" style="20"/>
    <col min="6" max="6" width="13.88671875" style="20" bestFit="1" customWidth="1"/>
    <col min="7" max="7" width="12.6640625" style="20" bestFit="1" customWidth="1"/>
    <col min="8" max="8" width="9.109375" style="20"/>
    <col min="9" max="9" width="9" style="20" customWidth="1"/>
    <col min="10" max="11" width="8.109375" style="20" customWidth="1"/>
    <col min="12" max="16384" width="9.109375" style="20"/>
  </cols>
  <sheetData>
    <row r="1" spans="2:11" x14ac:dyDescent="0.25">
      <c r="B1" s="21" t="str">
        <f>InputData!B2&amp;" Age / Sex Factor Calculation"</f>
        <v>Illinois Age / Sex Factor Calculation</v>
      </c>
      <c r="C1" s="21"/>
      <c r="D1" s="22"/>
      <c r="E1" s="22"/>
      <c r="F1" s="22"/>
      <c r="G1" s="22"/>
      <c r="H1" s="22"/>
      <c r="I1" s="22"/>
      <c r="J1" s="22"/>
      <c r="K1" s="22"/>
    </row>
    <row r="3" spans="2:11" x14ac:dyDescent="0.25">
      <c r="B3" s="13" t="s">
        <v>146</v>
      </c>
      <c r="C3" s="21"/>
      <c r="D3" s="22"/>
      <c r="E3" s="22"/>
      <c r="F3" s="22"/>
      <c r="G3" s="22"/>
      <c r="H3" s="22"/>
      <c r="I3" s="22"/>
      <c r="J3" s="22"/>
      <c r="K3" s="22"/>
    </row>
    <row r="5" spans="2:11" x14ac:dyDescent="0.25">
      <c r="E5" s="23"/>
      <c r="F5" s="23"/>
      <c r="G5" s="23"/>
      <c r="H5" s="23" t="s">
        <v>48</v>
      </c>
      <c r="I5" s="23" t="s">
        <v>80</v>
      </c>
      <c r="J5" s="23" t="s">
        <v>81</v>
      </c>
      <c r="K5" s="23" t="s">
        <v>80</v>
      </c>
    </row>
    <row r="6" spans="2:11" ht="15.6" x14ac:dyDescent="0.25">
      <c r="B6" s="24" t="s">
        <v>83</v>
      </c>
      <c r="C6" s="24" t="s">
        <v>84</v>
      </c>
      <c r="E6" s="24" t="s">
        <v>78</v>
      </c>
      <c r="F6" s="24" t="s">
        <v>51</v>
      </c>
      <c r="G6" s="24" t="s">
        <v>48</v>
      </c>
      <c r="H6" s="24" t="s">
        <v>79</v>
      </c>
      <c r="I6" s="4" t="s">
        <v>126</v>
      </c>
      <c r="J6" s="4" t="s">
        <v>82</v>
      </c>
      <c r="K6" s="4" t="s">
        <v>82</v>
      </c>
    </row>
    <row r="8" spans="2:11" x14ac:dyDescent="0.25">
      <c r="B8" s="25" t="s">
        <v>100</v>
      </c>
      <c r="C8" s="23" t="s">
        <v>85</v>
      </c>
      <c r="E8">
        <f t="array" ref="E8">SUM(IF((InputData!$F$9:$F$549=LEFT('Age Sex Factors'!$B$8,1)&amp;'Age Sex Factors'!$C8),InputData!G$9:G$549,0))</f>
        <v>955</v>
      </c>
      <c r="F8">
        <f t="array" ref="F8">SUM(IF((InputData!$F$9:$F$549=LEFT('Age Sex Factors'!$B$8,1)&amp;'Age Sex Factors'!$C8),InputData!H$9:H$549,0))</f>
        <v>1042205.48</v>
      </c>
      <c r="G8">
        <f t="array" ref="G8">SUM(IF((InputData!$F$9:$F$549=LEFT('Age Sex Factors'!$B$8,1)&amp;'Age Sex Factors'!$C8),InputData!J$9:J$549,0))</f>
        <v>799690.49000000011</v>
      </c>
      <c r="H8" s="37">
        <f>G8/F8</f>
        <v>0.76730597309851045</v>
      </c>
      <c r="I8" s="37">
        <f>(H8/$H$40)-1</f>
        <v>5.6093934521777022E-2</v>
      </c>
      <c r="J8" s="31">
        <v>1.5</v>
      </c>
      <c r="K8">
        <f>J8*(1+I8)</f>
        <v>1.5841409017826655</v>
      </c>
    </row>
    <row r="9" spans="2:11" x14ac:dyDescent="0.25">
      <c r="B9" s="25"/>
      <c r="C9" s="23" t="s">
        <v>86</v>
      </c>
      <c r="E9">
        <f t="array" ref="E9">SUM(IF((InputData!$F$9:$F$549=LEFT('Age Sex Factors'!$B$8,1)&amp;'Age Sex Factors'!$C9),InputData!$G$9:$G$549,0))</f>
        <v>1691</v>
      </c>
      <c r="F9">
        <f t="array" ref="F9">SUM(IF((InputData!$F$9:$F$549=LEFT('Age Sex Factors'!$B$8,1)&amp;'Age Sex Factors'!$C9),InputData!H$9:H$549,0))</f>
        <v>1545867.3199999989</v>
      </c>
      <c r="G9">
        <f t="array" ref="G9">SUM(IF((InputData!$F$9:$F$549=LEFT('Age Sex Factors'!$B$8,1)&amp;'Age Sex Factors'!$C9),InputData!J$9:J$549,0))</f>
        <v>1184907.79</v>
      </c>
      <c r="H9" s="37">
        <f t="shared" ref="H9:H40" si="0">G9/F9</f>
        <v>0.76650031646959249</v>
      </c>
      <c r="I9" s="37">
        <f t="shared" ref="I9:I40" si="1">(H9/$H$40)-1</f>
        <v>5.4985056044431602E-2</v>
      </c>
      <c r="J9" s="31">
        <v>1.25</v>
      </c>
      <c r="K9">
        <f t="shared" ref="K9:K38" si="2">J9*(1+I9)</f>
        <v>1.3187313200555395</v>
      </c>
    </row>
    <row r="10" spans="2:11" x14ac:dyDescent="0.25">
      <c r="B10" s="25"/>
      <c r="C10" s="23" t="s">
        <v>87</v>
      </c>
      <c r="E10">
        <f t="array" ref="E10">SUM(IF((InputData!$F$9:$F$549=LEFT('Age Sex Factors'!$B$8,1)&amp;'Age Sex Factors'!$C10),InputData!$G$9:$G$549,0))</f>
        <v>1736</v>
      </c>
      <c r="F10">
        <f t="array" ref="F10">SUM(IF((InputData!$F$9:$F$549=LEFT('Age Sex Factors'!$B$8,1)&amp;'Age Sex Factors'!$C10),InputData!H$9:H$549,0))</f>
        <v>1394279.5000000007</v>
      </c>
      <c r="G10">
        <f t="array" ref="G10">SUM(IF((InputData!$F$9:$F$549=LEFT('Age Sex Factors'!$B$8,1)&amp;'Age Sex Factors'!$C10),InputData!J$9:J$549,0))</f>
        <v>998607.72000000009</v>
      </c>
      <c r="H10" s="37">
        <f t="shared" si="0"/>
        <v>0.71621774543769712</v>
      </c>
      <c r="I10" s="37">
        <f t="shared" si="1"/>
        <v>-1.422217046066887E-2</v>
      </c>
      <c r="J10" s="31">
        <v>1.1000000000000001</v>
      </c>
      <c r="K10">
        <f t="shared" si="2"/>
        <v>1.0843556124932643</v>
      </c>
    </row>
    <row r="11" spans="2:11" x14ac:dyDescent="0.25">
      <c r="B11" s="25"/>
      <c r="C11" s="23" t="s">
        <v>88</v>
      </c>
      <c r="E11">
        <f t="array" ref="E11">SUM(IF((InputData!$F$9:$F$549=LEFT('Age Sex Factors'!$B$8,1)&amp;'Age Sex Factors'!$C11),InputData!$G$9:$G$549,0))</f>
        <v>1836</v>
      </c>
      <c r="F11">
        <f t="array" ref="F11">SUM(IF((InputData!$F$9:$F$549=LEFT('Age Sex Factors'!$B$8,1)&amp;'Age Sex Factors'!$C11),InputData!H$9:H$549,0))</f>
        <v>1336709.8899999994</v>
      </c>
      <c r="G11">
        <f t="array" ref="G11">SUM(IF((InputData!$F$9:$F$549=LEFT('Age Sex Factors'!$B$8,1)&amp;'Age Sex Factors'!$C11),InputData!J$9:J$549,0))</f>
        <v>838100.6100000001</v>
      </c>
      <c r="H11" s="37">
        <f t="shared" si="0"/>
        <v>0.62698766297001096</v>
      </c>
      <c r="I11" s="37">
        <f t="shared" si="1"/>
        <v>-0.13703543163008625</v>
      </c>
      <c r="J11" s="31">
        <v>1</v>
      </c>
      <c r="K11">
        <f t="shared" si="2"/>
        <v>0.86296456836991375</v>
      </c>
    </row>
    <row r="12" spans="2:11" x14ac:dyDescent="0.25">
      <c r="B12" s="25"/>
      <c r="C12" s="23" t="s">
        <v>89</v>
      </c>
      <c r="E12">
        <f t="array" ref="E12">SUM(IF((InputData!$F$9:$F$549=LEFT('Age Sex Factors'!$B$8,1)&amp;'Age Sex Factors'!$C12),InputData!$G$9:$G$549,0))</f>
        <v>1969</v>
      </c>
      <c r="F12">
        <f t="array" ref="F12">SUM(IF((InputData!$F$9:$F$549=LEFT('Age Sex Factors'!$B$8,1)&amp;'Age Sex Factors'!$C12),InputData!H$9:H$549,0))</f>
        <v>1437273.5699999998</v>
      </c>
      <c r="G12">
        <f t="array" ref="G12">SUM(IF((InputData!$F$9:$F$549=LEFT('Age Sex Factors'!$B$8,1)&amp;'Age Sex Factors'!$C12),InputData!J$9:J$549,0))</f>
        <v>1075352.27</v>
      </c>
      <c r="H12" s="37">
        <f t="shared" si="0"/>
        <v>0.74818899647615456</v>
      </c>
      <c r="I12" s="37">
        <f t="shared" si="1"/>
        <v>2.9781975844149544E-2</v>
      </c>
      <c r="J12" s="31">
        <v>1</v>
      </c>
      <c r="K12">
        <f t="shared" si="2"/>
        <v>1.0297819758441495</v>
      </c>
    </row>
    <row r="13" spans="2:11" x14ac:dyDescent="0.25">
      <c r="B13" s="25"/>
      <c r="C13" s="23" t="s">
        <v>90</v>
      </c>
      <c r="E13">
        <f t="array" ref="E13">SUM(IF((InputData!$F$9:$F$549=LEFT('Age Sex Factors'!$B$8,1)&amp;'Age Sex Factors'!$C13),InputData!$G$9:$G$549,0))</f>
        <v>2115</v>
      </c>
      <c r="F13">
        <f t="array" ref="F13">SUM(IF((InputData!$F$9:$F$549=LEFT('Age Sex Factors'!$B$8,1)&amp;'Age Sex Factors'!$C13),InputData!H$9:H$549,0))</f>
        <v>1390501.9500000009</v>
      </c>
      <c r="G13">
        <f t="array" ref="G13">SUM(IF((InputData!$F$9:$F$549=LEFT('Age Sex Factors'!$B$8,1)&amp;'Age Sex Factors'!$C13),InputData!J$9:J$549,0))</f>
        <v>1036966.3900000001</v>
      </c>
      <c r="H13" s="37">
        <f t="shared" si="0"/>
        <v>0.74574968413384779</v>
      </c>
      <c r="I13" s="37">
        <f t="shared" si="1"/>
        <v>2.6424589013559263E-2</v>
      </c>
      <c r="J13" s="31">
        <v>0.9</v>
      </c>
      <c r="K13">
        <f t="shared" si="2"/>
        <v>0.92378213011220334</v>
      </c>
    </row>
    <row r="14" spans="2:11" x14ac:dyDescent="0.25">
      <c r="B14" s="25"/>
      <c r="C14" s="23" t="s">
        <v>91</v>
      </c>
      <c r="E14">
        <f t="array" ref="E14">SUM(IF((InputData!$F$9:$F$549=LEFT('Age Sex Factors'!$B$8,1)&amp;'Age Sex Factors'!$C14),InputData!$G$9:$G$549,0))</f>
        <v>2100</v>
      </c>
      <c r="F14">
        <f t="array" ref="F14">SUM(IF((InputData!$F$9:$F$549=LEFT('Age Sex Factors'!$B$8,1)&amp;'Age Sex Factors'!$C14),InputData!H$9:H$549,0))</f>
        <v>1294958.2600000002</v>
      </c>
      <c r="G14">
        <f t="array" ref="G14">SUM(IF((InputData!$F$9:$F$549=LEFT('Age Sex Factors'!$B$8,1)&amp;'Age Sex Factors'!$C14),InputData!J$9:J$549,0))</f>
        <v>928591.3</v>
      </c>
      <c r="H14" s="37">
        <f t="shared" si="0"/>
        <v>0.71708203166332163</v>
      </c>
      <c r="I14" s="37">
        <f t="shared" si="1"/>
        <v>-1.3032596193591428E-2</v>
      </c>
      <c r="J14" s="31">
        <v>0.85</v>
      </c>
      <c r="K14">
        <f t="shared" si="2"/>
        <v>0.83892229323544731</v>
      </c>
    </row>
    <row r="15" spans="2:11" x14ac:dyDescent="0.25">
      <c r="B15" s="25"/>
      <c r="C15" s="23" t="s">
        <v>92</v>
      </c>
      <c r="E15">
        <f t="array" ref="E15">SUM(IF((InputData!$F$9:$F$549=LEFT('Age Sex Factors'!$B$8,1)&amp;'Age Sex Factors'!$C15),InputData!$G$9:$G$549,0))</f>
        <v>1929</v>
      </c>
      <c r="F15">
        <f t="array" ref="F15">SUM(IF((InputData!$F$9:$F$549=LEFT('Age Sex Factors'!$B$8,1)&amp;'Age Sex Factors'!$C15),InputData!H$9:H$549,0))</f>
        <v>1195725.0300000005</v>
      </c>
      <c r="G15">
        <f t="array" ref="G15">SUM(IF((InputData!$F$9:$F$549=LEFT('Age Sex Factors'!$B$8,1)&amp;'Age Sex Factors'!$C15),InputData!J$9:J$549,0))</f>
        <v>843239.62</v>
      </c>
      <c r="H15" s="37">
        <f t="shared" si="0"/>
        <v>0.70521198339387414</v>
      </c>
      <c r="I15" s="37">
        <f t="shared" si="1"/>
        <v>-2.9370128311609789E-2</v>
      </c>
      <c r="J15" s="31">
        <v>0.85</v>
      </c>
      <c r="K15">
        <f t="shared" si="2"/>
        <v>0.82503539093513167</v>
      </c>
    </row>
    <row r="16" spans="2:11" x14ac:dyDescent="0.25">
      <c r="B16" s="25"/>
      <c r="C16" s="23" t="s">
        <v>93</v>
      </c>
      <c r="E16">
        <f t="array" ref="E16">SUM(IF((InputData!$F$9:$F$549=LEFT('Age Sex Factors'!$B$8,1)&amp;'Age Sex Factors'!$C16),InputData!$G$9:$G$549,0))</f>
        <v>1581</v>
      </c>
      <c r="F16">
        <f t="array" ref="F16">SUM(IF((InputData!$F$9:$F$549=LEFT('Age Sex Factors'!$B$8,1)&amp;'Age Sex Factors'!$C16),InputData!H$9:H$549,0))</f>
        <v>922083.33000000031</v>
      </c>
      <c r="G16">
        <f t="array" ref="G16">SUM(IF((InputData!$F$9:$F$549=LEFT('Age Sex Factors'!$B$8,1)&amp;'Age Sex Factors'!$C16),InputData!J$9:J$549,0))</f>
        <v>556321.69000000006</v>
      </c>
      <c r="H16" s="37">
        <f t="shared" si="0"/>
        <v>0.60333125206807492</v>
      </c>
      <c r="I16" s="37">
        <f t="shared" si="1"/>
        <v>-0.16959531379182979</v>
      </c>
      <c r="J16" s="31">
        <v>0.8</v>
      </c>
      <c r="K16">
        <f t="shared" si="2"/>
        <v>0.66432374896653623</v>
      </c>
    </row>
    <row r="17" spans="2:11" x14ac:dyDescent="0.25">
      <c r="B17" s="25"/>
      <c r="C17" s="23" t="s">
        <v>94</v>
      </c>
      <c r="E17">
        <f t="array" ref="E17">SUM(IF((InputData!$F$9:$F$549=LEFT('Age Sex Factors'!$B$8,1)&amp;'Age Sex Factors'!$C17),InputData!$G$9:$G$549,0))</f>
        <v>1252</v>
      </c>
      <c r="F17">
        <f t="array" ref="F17">SUM(IF((InputData!$F$9:$F$549=LEFT('Age Sex Factors'!$B$8,1)&amp;'Age Sex Factors'!$C17),InputData!H$9:H$549,0))</f>
        <v>727952.09000000043</v>
      </c>
      <c r="G17">
        <f t="array" ref="G17">SUM(IF((InputData!$F$9:$F$549=LEFT('Age Sex Factors'!$B$8,1)&amp;'Age Sex Factors'!$C17),InputData!J$9:J$549,0))</f>
        <v>522799.16000000003</v>
      </c>
      <c r="H17" s="37">
        <f t="shared" si="0"/>
        <v>0.71817797789412174</v>
      </c>
      <c r="I17" s="37">
        <f t="shared" si="1"/>
        <v>-1.1524172947208866E-2</v>
      </c>
      <c r="J17" s="31">
        <v>0.8</v>
      </c>
      <c r="K17">
        <f t="shared" si="2"/>
        <v>0.79078066164223293</v>
      </c>
    </row>
    <row r="18" spans="2:11" x14ac:dyDescent="0.25">
      <c r="B18" s="25"/>
      <c r="C18" s="23" t="s">
        <v>95</v>
      </c>
      <c r="E18">
        <f t="array" ref="E18">SUM(IF((InputData!$F$9:$F$549=LEFT('Age Sex Factors'!$B$8,1)&amp;'Age Sex Factors'!$C18),InputData!$G$9:$G$549,0))</f>
        <v>892</v>
      </c>
      <c r="F18">
        <f t="array" ref="F18">SUM(IF((InputData!$F$9:$F$549=LEFT('Age Sex Factors'!$B$8,1)&amp;'Age Sex Factors'!$C18),InputData!H$9:H$549,0))</f>
        <v>520673.16</v>
      </c>
      <c r="G18">
        <f t="array" ref="G18">SUM(IF((InputData!$F$9:$F$549=LEFT('Age Sex Factors'!$B$8,1)&amp;'Age Sex Factors'!$C18),InputData!J$9:J$549,0))</f>
        <v>383669.43000000005</v>
      </c>
      <c r="H18" s="37">
        <f t="shared" si="0"/>
        <v>0.73687191788414841</v>
      </c>
      <c r="I18" s="37">
        <f t="shared" si="1"/>
        <v>1.4205532447964186E-2</v>
      </c>
      <c r="J18" s="31">
        <v>0.8</v>
      </c>
      <c r="K18">
        <f t="shared" si="2"/>
        <v>0.81136442595837144</v>
      </c>
    </row>
    <row r="19" spans="2:11" x14ac:dyDescent="0.25">
      <c r="B19" s="25"/>
      <c r="C19" s="23" t="s">
        <v>96</v>
      </c>
      <c r="E19">
        <f t="array" ref="E19">SUM(IF((InputData!$F$9:$F$549=LEFT('Age Sex Factors'!$B$8,1)&amp;'Age Sex Factors'!$C19),InputData!$G$9:$G$549,0))</f>
        <v>830</v>
      </c>
      <c r="F19">
        <f t="array" ref="F19">SUM(IF((InputData!$F$9:$F$549=LEFT('Age Sex Factors'!$B$8,1)&amp;'Age Sex Factors'!$C19),InputData!H$9:H$549,0))</f>
        <v>546300.48000000021</v>
      </c>
      <c r="G19">
        <f t="array" ref="G19">SUM(IF((InputData!$F$9:$F$549=LEFT('Age Sex Factors'!$B$8,1)&amp;'Age Sex Factors'!$C19),InputData!J$9:J$549,0))</f>
        <v>321188.24</v>
      </c>
      <c r="H19" s="37">
        <f t="shared" si="0"/>
        <v>0.58793329268171224</v>
      </c>
      <c r="I19" s="37">
        <f t="shared" si="1"/>
        <v>-0.19078854319715144</v>
      </c>
      <c r="J19" s="31">
        <v>0.9</v>
      </c>
      <c r="K19">
        <f t="shared" si="2"/>
        <v>0.7282903111225637</v>
      </c>
    </row>
    <row r="20" spans="2:11" x14ac:dyDescent="0.25">
      <c r="B20" s="25"/>
      <c r="C20" s="23" t="s">
        <v>97</v>
      </c>
      <c r="E20">
        <f t="array" ref="E20">SUM(IF((InputData!$F$9:$F$549=LEFT('Age Sex Factors'!$B$8,1)&amp;'Age Sex Factors'!$C20),InputData!$G$9:$G$549,0))</f>
        <v>573</v>
      </c>
      <c r="F20">
        <f t="array" ref="F20">SUM(IF((InputData!$F$9:$F$549=LEFT('Age Sex Factors'!$B$8,1)&amp;'Age Sex Factors'!$C20),InputData!H$9:H$549,0))</f>
        <v>375969.81000000011</v>
      </c>
      <c r="G20">
        <f t="array" ref="G20">SUM(IF((InputData!$F$9:$F$549=LEFT('Age Sex Factors'!$B$8,1)&amp;'Age Sex Factors'!$C20),InputData!J$9:J$549,0))</f>
        <v>273204.25</v>
      </c>
      <c r="H20" s="37">
        <f t="shared" si="0"/>
        <v>0.72666539369211569</v>
      </c>
      <c r="I20" s="37">
        <f t="shared" si="1"/>
        <v>1.5761848708639725E-4</v>
      </c>
      <c r="J20" s="31">
        <v>0.9</v>
      </c>
      <c r="K20">
        <f t="shared" si="2"/>
        <v>0.90014185663837776</v>
      </c>
    </row>
    <row r="21" spans="2:11" x14ac:dyDescent="0.25">
      <c r="B21" s="25"/>
      <c r="C21" s="23" t="s">
        <v>98</v>
      </c>
      <c r="E21">
        <f t="array" ref="E21">SUM(IF((InputData!$F$9:$F$549=LEFT('Age Sex Factors'!$B$8,1)&amp;'Age Sex Factors'!$C21),InputData!$G$9:$G$549,0))</f>
        <v>474</v>
      </c>
      <c r="F21">
        <f t="array" ref="F21">SUM(IF((InputData!$F$9:$F$549=LEFT('Age Sex Factors'!$B$8,1)&amp;'Age Sex Factors'!$C21),InputData!H$9:H$549,0))</f>
        <v>346934.38</v>
      </c>
      <c r="G21">
        <f t="array" ref="G21">SUM(IF((InputData!$F$9:$F$549=LEFT('Age Sex Factors'!$B$8,1)&amp;'Age Sex Factors'!$C21),InputData!J$9:J$549,0))</f>
        <v>271073.78000000003</v>
      </c>
      <c r="H21" s="37">
        <f t="shared" si="0"/>
        <v>0.78134020617962396</v>
      </c>
      <c r="I21" s="37">
        <f t="shared" si="1"/>
        <v>7.5410177262306366E-2</v>
      </c>
      <c r="J21" s="31">
        <v>1</v>
      </c>
      <c r="K21">
        <f t="shared" si="2"/>
        <v>1.0754101772623064</v>
      </c>
    </row>
    <row r="22" spans="2:11" x14ac:dyDescent="0.25">
      <c r="B22" s="25"/>
      <c r="C22" s="23" t="s">
        <v>99</v>
      </c>
      <c r="E22">
        <f t="array" ref="E22">SUM(IF((InputData!$F$9:$F$549=LEFT('Age Sex Factors'!$B$8,1)&amp;'Age Sex Factors'!$C22),InputData!$G$9:$G$549,0))</f>
        <v>286</v>
      </c>
      <c r="F22">
        <f t="array" ref="F22">SUM(IF((InputData!$F$9:$F$549=LEFT('Age Sex Factors'!$B$8,1)&amp;'Age Sex Factors'!$C22),InputData!H$9:H$549,0))</f>
        <v>208025.53</v>
      </c>
      <c r="G22">
        <f t="array" ref="G22">SUM(IF((InputData!$F$9:$F$549=LEFT('Age Sex Factors'!$B$8,1)&amp;'Age Sex Factors'!$C22),InputData!J$9:J$549,0))</f>
        <v>162516.02000000002</v>
      </c>
      <c r="H22" s="37">
        <f t="shared" si="0"/>
        <v>0.78123113062132332</v>
      </c>
      <c r="I22" s="37">
        <f t="shared" si="1"/>
        <v>7.52600493608373E-2</v>
      </c>
      <c r="J22" s="31">
        <v>1</v>
      </c>
      <c r="K22">
        <f t="shared" si="2"/>
        <v>1.0752600493608373</v>
      </c>
    </row>
    <row r="23" spans="2:11" x14ac:dyDescent="0.25">
      <c r="B23" s="25"/>
      <c r="C23" s="23"/>
      <c r="E23"/>
      <c r="F23"/>
      <c r="G23"/>
      <c r="H23" s="37"/>
      <c r="I23" s="37"/>
      <c r="J23" s="32"/>
      <c r="K23"/>
    </row>
    <row r="24" spans="2:11" x14ac:dyDescent="0.25">
      <c r="B24" s="25" t="s">
        <v>101</v>
      </c>
      <c r="C24" s="23" t="s">
        <v>85</v>
      </c>
      <c r="E24">
        <f t="array" ref="E24">SUM(IF((InputData!$F$9:$F$549=LEFT('Age Sex Factors'!$B$24,1)&amp;'Age Sex Factors'!$C24),InputData!$G$9:$G$549,0))</f>
        <v>918</v>
      </c>
      <c r="F24">
        <f t="array" ref="F24">SUM(IF((InputData!$F$9:$F$549=LEFT('Age Sex Factors'!$B$24,1)&amp;'Age Sex Factors'!$C24),InputData!H$9:H$549,0))</f>
        <v>1272603.8</v>
      </c>
      <c r="G24">
        <f t="array" ref="G24">SUM(IF((InputData!$F$9:$F$549=LEFT('Age Sex Factors'!$B$24,1)&amp;'Age Sex Factors'!$C24),InputData!J$9:J$549,0))</f>
        <v>896356.15999999992</v>
      </c>
      <c r="H24" s="37">
        <f t="shared" si="0"/>
        <v>0.7043481718347846</v>
      </c>
      <c r="I24" s="37">
        <f t="shared" si="1"/>
        <v>-3.0559049263756632E-2</v>
      </c>
      <c r="J24" s="31">
        <v>1.9</v>
      </c>
      <c r="K24">
        <f t="shared" si="2"/>
        <v>1.8419378063988623</v>
      </c>
    </row>
    <row r="25" spans="2:11" x14ac:dyDescent="0.25">
      <c r="B25" s="25"/>
      <c r="C25" s="23" t="s">
        <v>86</v>
      </c>
      <c r="E25">
        <f t="array" ref="E25">SUM(IF((InputData!$F$9:$F$549=LEFT('Age Sex Factors'!$B$24,1)&amp;'Age Sex Factors'!$C25),InputData!$G$9:$G$549,0))</f>
        <v>1730</v>
      </c>
      <c r="F25">
        <f t="array" ref="F25">SUM(IF((InputData!$F$9:$F$549=LEFT('Age Sex Factors'!$B$24,1)&amp;'Age Sex Factors'!$C25),InputData!H$9:H$549,0))</f>
        <v>1899657.030000001</v>
      </c>
      <c r="G25">
        <f t="array" ref="G25">SUM(IF((InputData!$F$9:$F$549=LEFT('Age Sex Factors'!$B$24,1)&amp;'Age Sex Factors'!$C25),InputData!J$9:J$549,0))</f>
        <v>1630786.99</v>
      </c>
      <c r="H25" s="37">
        <f t="shared" si="0"/>
        <v>0.8584639038763745</v>
      </c>
      <c r="I25" s="37">
        <f t="shared" si="1"/>
        <v>0.18156062076337953</v>
      </c>
      <c r="J25" s="31">
        <v>1.5</v>
      </c>
      <c r="K25">
        <f t="shared" si="2"/>
        <v>1.7723409311450693</v>
      </c>
    </row>
    <row r="26" spans="2:11" x14ac:dyDescent="0.25">
      <c r="B26" s="25"/>
      <c r="C26" s="23" t="s">
        <v>87</v>
      </c>
      <c r="E26">
        <f t="array" ref="E26">SUM(IF((InputData!$F$9:$F$549=LEFT('Age Sex Factors'!$B$24,1)&amp;'Age Sex Factors'!$C26),InputData!$G$9:$G$549,0))</f>
        <v>1787</v>
      </c>
      <c r="F26">
        <f t="array" ref="F26">SUM(IF((InputData!$F$9:$F$549=LEFT('Age Sex Factors'!$B$24,1)&amp;'Age Sex Factors'!$C26),InputData!H$9:H$549,0))</f>
        <v>1752517.3900000008</v>
      </c>
      <c r="G26">
        <f t="array" ref="G26">SUM(IF((InputData!$F$9:$F$549=LEFT('Age Sex Factors'!$B$24,1)&amp;'Age Sex Factors'!$C26),InputData!J$9:J$549,0))</f>
        <v>1161400.4399999997</v>
      </c>
      <c r="H26" s="37">
        <f t="shared" si="0"/>
        <v>0.66270408877369213</v>
      </c>
      <c r="I26" s="37">
        <f t="shared" si="1"/>
        <v>-8.7876553716304984E-2</v>
      </c>
      <c r="J26" s="31">
        <v>1.35</v>
      </c>
      <c r="K26">
        <f t="shared" si="2"/>
        <v>1.2313666524829883</v>
      </c>
    </row>
    <row r="27" spans="2:11" x14ac:dyDescent="0.25">
      <c r="B27" s="25"/>
      <c r="C27" s="23" t="s">
        <v>88</v>
      </c>
      <c r="E27">
        <f t="array" ref="E27">SUM(IF((InputData!$F$9:$F$549=LEFT('Age Sex Factors'!$B$24,1)&amp;'Age Sex Factors'!$C27),InputData!$G$9:$G$549,0))</f>
        <v>1897</v>
      </c>
      <c r="F27">
        <f t="array" ref="F27">SUM(IF((InputData!$F$9:$F$549=LEFT('Age Sex Factors'!$B$24,1)&amp;'Age Sex Factors'!$C27),InputData!H$9:H$549,0))</f>
        <v>1383808.76</v>
      </c>
      <c r="G27">
        <f t="array" ref="G27">SUM(IF((InputData!$F$9:$F$549=LEFT('Age Sex Factors'!$B$24,1)&amp;'Age Sex Factors'!$C27),InputData!J$9:J$549,0))</f>
        <v>1113557.9200000002</v>
      </c>
      <c r="H27" s="37">
        <f t="shared" si="0"/>
        <v>0.80470506632722871</v>
      </c>
      <c r="I27" s="37">
        <f t="shared" si="1"/>
        <v>0.1075687788475268</v>
      </c>
      <c r="J27" s="31">
        <v>1</v>
      </c>
      <c r="K27">
        <f t="shared" si="2"/>
        <v>1.1075687788475268</v>
      </c>
    </row>
    <row r="28" spans="2:11" x14ac:dyDescent="0.25">
      <c r="B28" s="25"/>
      <c r="C28" s="23" t="s">
        <v>89</v>
      </c>
      <c r="E28">
        <f t="array" ref="E28">SUM(IF((InputData!$F$9:$F$549=LEFT('Age Sex Factors'!$B$24,1)&amp;'Age Sex Factors'!$C28),InputData!$G$9:$G$549,0))</f>
        <v>1961</v>
      </c>
      <c r="F28">
        <f t="array" ref="F28">SUM(IF((InputData!$F$9:$F$549=LEFT('Age Sex Factors'!$B$24,1)&amp;'Age Sex Factors'!$C28),InputData!H$9:H$549,0))</f>
        <v>1432681.3100000012</v>
      </c>
      <c r="G28">
        <f t="array" ref="G28">SUM(IF((InputData!$F$9:$F$549=LEFT('Age Sex Factors'!$B$24,1)&amp;'Age Sex Factors'!$C28),InputData!J$9:J$549,0))</f>
        <v>972402.60000000009</v>
      </c>
      <c r="H28" s="37">
        <f t="shared" si="0"/>
        <v>0.67872917250522324</v>
      </c>
      <c r="I28" s="37">
        <f t="shared" si="1"/>
        <v>-6.5820171617868239E-2</v>
      </c>
      <c r="J28" s="31">
        <v>1</v>
      </c>
      <c r="K28">
        <f t="shared" si="2"/>
        <v>0.93417982838213176</v>
      </c>
    </row>
    <row r="29" spans="2:11" x14ac:dyDescent="0.25">
      <c r="B29" s="25"/>
      <c r="C29" s="23" t="s">
        <v>90</v>
      </c>
      <c r="E29">
        <f t="array" ref="E29">SUM(IF((InputData!$F$9:$F$549=LEFT('Age Sex Factors'!$B$24,1)&amp;'Age Sex Factors'!$C29),InputData!$G$9:$G$549,0))</f>
        <v>2210</v>
      </c>
      <c r="F29">
        <f t="array" ref="F29">SUM(IF((InputData!$F$9:$F$549=LEFT('Age Sex Factors'!$B$24,1)&amp;'Age Sex Factors'!$C29),InputData!H$9:H$549,0))</f>
        <v>1458135.5300000014</v>
      </c>
      <c r="G29">
        <f t="array" ref="G29">SUM(IF((InputData!$F$9:$F$549=LEFT('Age Sex Factors'!$B$24,1)&amp;'Age Sex Factors'!$C29),InputData!J$9:J$549,0))</f>
        <v>1008733.8400000002</v>
      </c>
      <c r="H29" s="37">
        <f t="shared" si="0"/>
        <v>0.69179703754972577</v>
      </c>
      <c r="I29" s="37">
        <f t="shared" si="1"/>
        <v>-4.7834005089126164E-2</v>
      </c>
      <c r="J29" s="31">
        <v>0.9</v>
      </c>
      <c r="K29">
        <f t="shared" si="2"/>
        <v>0.85694939541978643</v>
      </c>
    </row>
    <row r="30" spans="2:11" x14ac:dyDescent="0.25">
      <c r="B30" s="25"/>
      <c r="C30" s="23" t="s">
        <v>91</v>
      </c>
      <c r="E30">
        <f t="array" ref="E30">SUM(IF((InputData!$F$9:$F$549=LEFT('Age Sex Factors'!$B$24,1)&amp;'Age Sex Factors'!$C30),InputData!$G$9:$G$549,0))</f>
        <v>2097</v>
      </c>
      <c r="F30">
        <f t="array" ref="F30">SUM(IF((InputData!$F$9:$F$549=LEFT('Age Sex Factors'!$B$24,1)&amp;'Age Sex Factors'!$C30),InputData!H$9:H$549,0))</f>
        <v>1297484.1299999992</v>
      </c>
      <c r="G30">
        <f t="array" ref="G30">SUM(IF((InputData!$F$9:$F$549=LEFT('Age Sex Factors'!$B$24,1)&amp;'Age Sex Factors'!$C30),InputData!J$9:J$549,0))</f>
        <v>986709.74</v>
      </c>
      <c r="H30" s="37">
        <f t="shared" si="0"/>
        <v>0.76047923607358547</v>
      </c>
      <c r="I30" s="37">
        <f t="shared" si="1"/>
        <v>4.6697845064158638E-2</v>
      </c>
      <c r="J30" s="31">
        <v>0.85</v>
      </c>
      <c r="K30">
        <f t="shared" si="2"/>
        <v>0.88969316830453482</v>
      </c>
    </row>
    <row r="31" spans="2:11" x14ac:dyDescent="0.25">
      <c r="B31" s="25"/>
      <c r="C31" s="23" t="s">
        <v>92</v>
      </c>
      <c r="E31">
        <f t="array" ref="E31">SUM(IF((InputData!$F$9:$F$549=LEFT('Age Sex Factors'!$B$24,1)&amp;'Age Sex Factors'!$C31),InputData!$G$9:$G$549,0))</f>
        <v>1894</v>
      </c>
      <c r="F31">
        <f t="array" ref="F31">SUM(IF((InputData!$F$9:$F$549=LEFT('Age Sex Factors'!$B$24,1)&amp;'Age Sex Factors'!$C31),InputData!H$9:H$549,0))</f>
        <v>1170472.0299999993</v>
      </c>
      <c r="G31">
        <f t="array" ref="G31">SUM(IF((InputData!$F$9:$F$549=LEFT('Age Sex Factors'!$B$24,1)&amp;'Age Sex Factors'!$C31),InputData!J$9:J$549,0))</f>
        <v>887565.10000000021</v>
      </c>
      <c r="H31" s="37">
        <f t="shared" si="0"/>
        <v>0.75829671897413964</v>
      </c>
      <c r="I31" s="37">
        <f t="shared" si="1"/>
        <v>4.3693902502097037E-2</v>
      </c>
      <c r="J31" s="31">
        <v>0.85</v>
      </c>
      <c r="K31">
        <f t="shared" si="2"/>
        <v>0.88713981712678247</v>
      </c>
    </row>
    <row r="32" spans="2:11" x14ac:dyDescent="0.25">
      <c r="B32" s="25"/>
      <c r="C32" s="23" t="s">
        <v>93</v>
      </c>
      <c r="E32">
        <f t="array" ref="E32">SUM(IF((InputData!$F$9:$F$549=LEFT('Age Sex Factors'!$B$24,1)&amp;'Age Sex Factors'!$C32),InputData!$G$9:$G$549,0))</f>
        <v>1642</v>
      </c>
      <c r="F32">
        <f t="array" ref="F32">SUM(IF((InputData!$F$9:$F$549=LEFT('Age Sex Factors'!$B$24,1)&amp;'Age Sex Factors'!$C32),InputData!H$9:H$549,0))</f>
        <v>959805.75000000035</v>
      </c>
      <c r="G32">
        <f t="array" ref="G32">SUM(IF((InputData!$F$9:$F$549=LEFT('Age Sex Factors'!$B$24,1)&amp;'Age Sex Factors'!$C32),InputData!J$9:J$549,0))</f>
        <v>600749.3600000001</v>
      </c>
      <c r="H32" s="37">
        <f t="shared" si="0"/>
        <v>0.6259072317497576</v>
      </c>
      <c r="I32" s="37">
        <f t="shared" si="1"/>
        <v>-0.13852250054181359</v>
      </c>
      <c r="J32" s="31">
        <v>0.8</v>
      </c>
      <c r="K32">
        <f t="shared" si="2"/>
        <v>0.68918199956654913</v>
      </c>
    </row>
    <row r="33" spans="2:11" x14ac:dyDescent="0.25">
      <c r="B33" s="25"/>
      <c r="C33" s="23" t="s">
        <v>94</v>
      </c>
      <c r="E33">
        <f t="array" ref="E33">SUM(IF((InputData!$F$9:$F$549=LEFT('Age Sex Factors'!$B$24,1)&amp;'Age Sex Factors'!$C33),InputData!$G$9:$G$549,0))</f>
        <v>1284</v>
      </c>
      <c r="F33">
        <f t="array" ref="F33">SUM(IF((InputData!$F$9:$F$549=LEFT('Age Sex Factors'!$B$24,1)&amp;'Age Sex Factors'!$C33),InputData!H$9:H$549,0))</f>
        <v>749462.3600000001</v>
      </c>
      <c r="G33">
        <f t="array" ref="G33">SUM(IF((InputData!$F$9:$F$549=LEFT('Age Sex Factors'!$B$24,1)&amp;'Age Sex Factors'!$C33),InputData!J$9:J$549,0))</f>
        <v>575802.25</v>
      </c>
      <c r="H33" s="37">
        <f t="shared" si="0"/>
        <v>0.76828708248937272</v>
      </c>
      <c r="I33" s="37">
        <f t="shared" si="1"/>
        <v>5.7444300233916445E-2</v>
      </c>
      <c r="J33" s="31">
        <v>0.8</v>
      </c>
      <c r="K33">
        <f t="shared" si="2"/>
        <v>0.8459554401871332</v>
      </c>
    </row>
    <row r="34" spans="2:11" x14ac:dyDescent="0.25">
      <c r="B34" s="25"/>
      <c r="C34" s="23" t="s">
        <v>95</v>
      </c>
      <c r="E34">
        <f t="array" ref="E34">SUM(IF((InputData!$F$9:$F$549=LEFT('Age Sex Factors'!$B$24,1)&amp;'Age Sex Factors'!$C34),InputData!$G$9:$G$549,0))</f>
        <v>866</v>
      </c>
      <c r="F34">
        <f t="array" ref="F34">SUM(IF((InputData!$F$9:$F$549=LEFT('Age Sex Factors'!$B$24,1)&amp;'Age Sex Factors'!$C34),InputData!H$9:H$549,0))</f>
        <v>504477.93999999994</v>
      </c>
      <c r="G34">
        <f t="array" ref="G34">SUM(IF((InputData!$F$9:$F$549=LEFT('Age Sex Factors'!$B$24,1)&amp;'Age Sex Factors'!$C34),InputData!J$9:J$549,0))</f>
        <v>360152.38999999996</v>
      </c>
      <c r="H34" s="37">
        <f t="shared" si="0"/>
        <v>0.71391107805427523</v>
      </c>
      <c r="I34" s="37">
        <f t="shared" si="1"/>
        <v>-1.7396989265680673E-2</v>
      </c>
      <c r="J34" s="31">
        <v>0.8</v>
      </c>
      <c r="K34">
        <f t="shared" si="2"/>
        <v>0.78608240858745548</v>
      </c>
    </row>
    <row r="35" spans="2:11" x14ac:dyDescent="0.25">
      <c r="B35" s="25"/>
      <c r="C35" s="23" t="s">
        <v>96</v>
      </c>
      <c r="E35">
        <f t="array" ref="E35">SUM(IF((InputData!$F$9:$F$549=LEFT('Age Sex Factors'!$B$24,1)&amp;'Age Sex Factors'!$C35),InputData!$G$9:$G$549,0))</f>
        <v>731</v>
      </c>
      <c r="F35">
        <f t="array" ref="F35">SUM(IF((InputData!$F$9:$F$549=LEFT('Age Sex Factors'!$B$24,1)&amp;'Age Sex Factors'!$C35),InputData!H$9:H$549,0))</f>
        <v>479228.18999999994</v>
      </c>
      <c r="G35">
        <f t="array" ref="G35">SUM(IF((InputData!$F$9:$F$549=LEFT('Age Sex Factors'!$B$24,1)&amp;'Age Sex Factors'!$C35),InputData!J$9:J$549,0))</f>
        <v>341857.85000000003</v>
      </c>
      <c r="H35" s="37">
        <f t="shared" si="0"/>
        <v>0.7133508777937293</v>
      </c>
      <c r="I35" s="37">
        <f t="shared" si="1"/>
        <v>-1.8168029917027373E-2</v>
      </c>
      <c r="J35" s="31">
        <v>0.9</v>
      </c>
      <c r="K35">
        <f t="shared" si="2"/>
        <v>0.88364877307467538</v>
      </c>
    </row>
    <row r="36" spans="2:11" x14ac:dyDescent="0.25">
      <c r="B36" s="25"/>
      <c r="C36" s="23" t="s">
        <v>97</v>
      </c>
      <c r="E36">
        <f t="array" ref="E36">SUM(IF((InputData!$F$9:$F$549=LEFT('Age Sex Factors'!$B$24,1)&amp;'Age Sex Factors'!$C36),InputData!$G$9:$G$549,0))</f>
        <v>571</v>
      </c>
      <c r="F36">
        <f t="array" ref="F36">SUM(IF((InputData!$F$9:$F$549=LEFT('Age Sex Factors'!$B$24,1)&amp;'Age Sex Factors'!$C36),InputData!H$9:H$549,0))</f>
        <v>375452.34000000014</v>
      </c>
      <c r="G36">
        <f t="array" ref="G36">SUM(IF((InputData!$F$9:$F$549=LEFT('Age Sex Factors'!$B$24,1)&amp;'Age Sex Factors'!$C36),InputData!J$9:J$549,0))</f>
        <v>298818.56</v>
      </c>
      <c r="H36" s="37">
        <f t="shared" si="0"/>
        <v>0.79588945963154711</v>
      </c>
      <c r="I36" s="37">
        <f t="shared" si="1"/>
        <v>9.5435276585263518E-2</v>
      </c>
      <c r="J36" s="31">
        <v>0.9</v>
      </c>
      <c r="K36">
        <f t="shared" si="2"/>
        <v>0.98589174892673714</v>
      </c>
    </row>
    <row r="37" spans="2:11" x14ac:dyDescent="0.25">
      <c r="B37" s="25"/>
      <c r="C37" s="23" t="s">
        <v>98</v>
      </c>
      <c r="E37">
        <f t="array" ref="E37">SUM(IF((InputData!$F$9:$F$549=LEFT('Age Sex Factors'!$B$24,1)&amp;'Age Sex Factors'!$C37),InputData!$G$9:$G$549,0))</f>
        <v>372</v>
      </c>
      <c r="F37">
        <f t="array" ref="F37">SUM(IF((InputData!$F$9:$F$549=LEFT('Age Sex Factors'!$B$24,1)&amp;'Age Sex Factors'!$C37),InputData!H$9:H$549,0))</f>
        <v>270573.7</v>
      </c>
      <c r="G37">
        <f t="array" ref="G37">SUM(IF((InputData!$F$9:$F$549=LEFT('Age Sex Factors'!$B$24,1)&amp;'Age Sex Factors'!$C37),InputData!J$9:J$549,0))</f>
        <v>230819.82</v>
      </c>
      <c r="H37" s="37">
        <f t="shared" si="0"/>
        <v>0.85307559456074256</v>
      </c>
      <c r="I37" s="37">
        <f t="shared" si="1"/>
        <v>0.17414433445117128</v>
      </c>
      <c r="J37" s="31">
        <v>1</v>
      </c>
      <c r="K37">
        <f t="shared" si="2"/>
        <v>1.1741443344511713</v>
      </c>
    </row>
    <row r="38" spans="2:11" x14ac:dyDescent="0.25">
      <c r="B38" s="25"/>
      <c r="C38" s="23" t="s">
        <v>99</v>
      </c>
      <c r="E38">
        <f t="array" ref="E38">SUM(IF((InputData!$F$9:$F$549=LEFT('Age Sex Factors'!$B$24,1)&amp;'Age Sex Factors'!$C38),InputData!$G$9:$G$549,0))</f>
        <v>236</v>
      </c>
      <c r="F38">
        <f t="array" ref="F38">SUM(IF((InputData!$F$9:$F$549=LEFT('Age Sex Factors'!$B$24,1)&amp;'Age Sex Factors'!$C38),InputData!H$9:H$549,0))</f>
        <v>172801.34</v>
      </c>
      <c r="G38">
        <f t="array" ref="G38">SUM(IF((InputData!$F$9:$F$549=LEFT('Age Sex Factors'!$B$24,1)&amp;'Age Sex Factors'!$C38),InputData!J$9:J$549,0))</f>
        <v>145604.69</v>
      </c>
      <c r="H38" s="37">
        <f t="shared" si="0"/>
        <v>0.84261319964301207</v>
      </c>
      <c r="I38" s="37">
        <f t="shared" si="1"/>
        <v>0.15974424869585269</v>
      </c>
      <c r="J38" s="31">
        <v>1</v>
      </c>
      <c r="K38">
        <f t="shared" si="2"/>
        <v>1.1597442486958527</v>
      </c>
    </row>
    <row r="39" spans="2:11" x14ac:dyDescent="0.25">
      <c r="H39" s="37"/>
      <c r="I39" s="37"/>
      <c r="K39"/>
    </row>
    <row r="40" spans="2:11" x14ac:dyDescent="0.25">
      <c r="B40" s="23" t="s">
        <v>102</v>
      </c>
      <c r="C40" s="19" t="s">
        <v>102</v>
      </c>
      <c r="E40" s="26">
        <f>SUM(E8:E38)</f>
        <v>40415</v>
      </c>
      <c r="F40" s="26">
        <f t="shared" ref="F40:G40" si="3">SUM(F8:F38)</f>
        <v>29464621.380000006</v>
      </c>
      <c r="G40" s="26">
        <f t="shared" si="3"/>
        <v>21407546.470000003</v>
      </c>
      <c r="H40" s="37">
        <f t="shared" si="0"/>
        <v>0.72655087584227418</v>
      </c>
      <c r="I40" s="37">
        <f t="shared" si="1"/>
        <v>0</v>
      </c>
      <c r="K40"/>
    </row>
    <row r="42" spans="2:11" ht="15.6" x14ac:dyDescent="0.25">
      <c r="B42" s="34">
        <v>1</v>
      </c>
      <c r="C42" s="35" t="s">
        <v>127</v>
      </c>
    </row>
  </sheetData>
  <phoneticPr fontId="1" type="noConversion"/>
  <conditionalFormatting sqref="I8:I38">
    <cfRule type="cellIs" dxfId="0" priority="1" operator="notBetween">
      <formula>-0.1</formula>
      <formula>0.1</formula>
    </cfRule>
  </conditionalFormatting>
  <pageMargins left="0.5" right="0.5" top="1" bottom="1" header="0.5" footer="0.5"/>
  <pageSetup orientation="portrait" horizontalDpi="4294967294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28"/>
  <sheetViews>
    <sheetView tabSelected="1" workbookViewId="0">
      <selection activeCell="J11" sqref="J11"/>
    </sheetView>
  </sheetViews>
  <sheetFormatPr defaultRowHeight="13.2" x14ac:dyDescent="0.25"/>
  <cols>
    <col min="2" max="2" width="2.33203125" customWidth="1"/>
    <col min="3" max="3" width="12.33203125" bestFit="1" customWidth="1"/>
    <col min="4" max="4" width="10.44140625" customWidth="1"/>
    <col min="6" max="6" width="11.6640625" bestFit="1" customWidth="1"/>
    <col min="7" max="7" width="10" customWidth="1"/>
  </cols>
  <sheetData>
    <row r="1" spans="1:9" x14ac:dyDescent="0.25">
      <c r="A1" s="21" t="str">
        <f>InputData!B2&amp;" Overall Indicated Rate Change Calculation"</f>
        <v>Illinois Overall Indicated Rate Change Calculation</v>
      </c>
      <c r="B1" s="22"/>
      <c r="C1" s="22"/>
      <c r="D1" s="22"/>
      <c r="E1" s="22"/>
      <c r="F1" s="22"/>
      <c r="G1" s="22"/>
      <c r="H1" s="22"/>
      <c r="I1" s="22"/>
    </row>
    <row r="2" spans="1:9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9" x14ac:dyDescent="0.25">
      <c r="A3" s="13" t="s">
        <v>146</v>
      </c>
      <c r="B3" s="22"/>
      <c r="C3" s="22"/>
      <c r="D3" s="22"/>
      <c r="E3" s="22"/>
      <c r="F3" s="22"/>
      <c r="G3" s="22"/>
      <c r="H3" s="22"/>
      <c r="I3" s="22"/>
    </row>
    <row r="6" spans="1:9" x14ac:dyDescent="0.25">
      <c r="C6" s="3" t="s">
        <v>106</v>
      </c>
      <c r="D6" s="3" t="s">
        <v>106</v>
      </c>
      <c r="F6" s="3" t="s">
        <v>68</v>
      </c>
      <c r="G6" s="3" t="s">
        <v>68</v>
      </c>
    </row>
    <row r="7" spans="1:9" ht="15.6" x14ac:dyDescent="0.25">
      <c r="A7" s="4" t="s">
        <v>65</v>
      </c>
      <c r="C7" s="4" t="s">
        <v>51</v>
      </c>
      <c r="D7" s="4" t="s">
        <v>107</v>
      </c>
      <c r="E7" s="4" t="s">
        <v>124</v>
      </c>
      <c r="F7" s="4" t="s">
        <v>107</v>
      </c>
      <c r="G7" s="4" t="s">
        <v>108</v>
      </c>
    </row>
    <row r="8" spans="1:9" x14ac:dyDescent="0.25">
      <c r="A8" s="3"/>
    </row>
    <row r="9" spans="1:9" x14ac:dyDescent="0.25">
      <c r="A9" s="42">
        <v>2007</v>
      </c>
      <c r="C9">
        <f t="array" ref="C9">SUM(IF(InputData!$D$9:$D$549='Indicated Change'!$A9,InputData!$H$9:$H$549,0))</f>
        <v>9598692.3000000045</v>
      </c>
      <c r="D9">
        <f t="array" ref="D9">SUM(IF(InputData!$D$9:$D$549='Indicated Change'!$A9,InputData!$J$9:$J$549,0))</f>
        <v>6192386.2199999969</v>
      </c>
      <c r="E9" s="44">
        <f>ROUND('Loss Projection Factors'!G36,3)</f>
        <v>0.97099999999999997</v>
      </c>
      <c r="F9">
        <f>D9*E9</f>
        <v>6012807.0196199967</v>
      </c>
      <c r="G9" s="37">
        <f>F9/C9</f>
        <v>0.62641939461065899</v>
      </c>
    </row>
    <row r="10" spans="1:9" x14ac:dyDescent="0.25">
      <c r="A10" s="3">
        <v>2008</v>
      </c>
      <c r="C10">
        <f t="array" ref="C10">SUM(IF(InputData!$D$9:$D$549='Indicated Change'!$A10,InputData!$H$9:$H$549,0))</f>
        <v>9728931.0099999961</v>
      </c>
      <c r="D10" s="43">
        <f t="array" ref="D10">SUM(IF(InputData!$D$9:$D$549='Indicated Change'!$A10,InputData!$J$9:$J$549,0))</f>
        <v>7206722.6999999983</v>
      </c>
      <c r="E10" s="44">
        <f>ROUND('Loss Projection Factors'!G37,3)</f>
        <v>0.97899999999999998</v>
      </c>
      <c r="F10">
        <f t="shared" ref="F10:F11" si="0">D10*E10</f>
        <v>7055381.5232999986</v>
      </c>
      <c r="G10" s="37">
        <f t="shared" ref="G10:G13" si="1">F10/C10</f>
        <v>0.72519596613934689</v>
      </c>
    </row>
    <row r="11" spans="1:9" x14ac:dyDescent="0.25">
      <c r="A11" s="3">
        <v>2009</v>
      </c>
      <c r="C11">
        <f t="array" ref="C11">SUM(IF(InputData!$D$9:$D$549='Indicated Change'!$A11,InputData!$H$9:$H$549,0))</f>
        <v>10136998.070000006</v>
      </c>
      <c r="D11" s="43">
        <f t="array" ref="D11">SUM(IF(InputData!$D$9:$D$549='Indicated Change'!$A11,InputData!$J$9:$J$549,0))</f>
        <v>8008437.5499999933</v>
      </c>
      <c r="E11" s="44">
        <f>ROUND('Loss Projection Factors'!G38,3)</f>
        <v>0.98599999999999999</v>
      </c>
      <c r="F11">
        <f t="shared" si="0"/>
        <v>7896319.4242999936</v>
      </c>
      <c r="G11" s="37">
        <f t="shared" si="1"/>
        <v>0.77896033616389837</v>
      </c>
    </row>
    <row r="12" spans="1:9" x14ac:dyDescent="0.25">
      <c r="G12" s="37"/>
    </row>
    <row r="13" spans="1:9" x14ac:dyDescent="0.25">
      <c r="A13" s="3" t="s">
        <v>63</v>
      </c>
      <c r="C13">
        <f>SUM(C9:C11)</f>
        <v>29464621.38000001</v>
      </c>
      <c r="D13">
        <f t="shared" ref="D13:E13" si="2">SUM(D9:D11)</f>
        <v>21407546.469999988</v>
      </c>
      <c r="E13">
        <f t="shared" si="2"/>
        <v>2.9359999999999999</v>
      </c>
      <c r="F13">
        <f>SUM(F9:F11)</f>
        <v>20964507.96721999</v>
      </c>
      <c r="G13" s="37">
        <f t="shared" si="1"/>
        <v>0.71151458886385943</v>
      </c>
    </row>
    <row r="16" spans="1:9" x14ac:dyDescent="0.25">
      <c r="C16" t="s">
        <v>109</v>
      </c>
      <c r="E16" s="12" t="s">
        <v>110</v>
      </c>
      <c r="F16" s="12"/>
      <c r="G16" s="12"/>
    </row>
    <row r="17" spans="1:7" x14ac:dyDescent="0.25">
      <c r="E17" s="5" t="s">
        <v>122</v>
      </c>
      <c r="F17" s="5"/>
      <c r="G17" s="5"/>
    </row>
    <row r="19" spans="1:7" x14ac:dyDescent="0.25">
      <c r="C19" t="s">
        <v>111</v>
      </c>
      <c r="D19" t="s">
        <v>112</v>
      </c>
      <c r="G19" s="10">
        <f>G13</f>
        <v>0.71151458886385943</v>
      </c>
    </row>
    <row r="20" spans="1:7" x14ac:dyDescent="0.25">
      <c r="C20" t="s">
        <v>113</v>
      </c>
      <c r="D20" t="s">
        <v>114</v>
      </c>
      <c r="G20" s="29">
        <v>0.1</v>
      </c>
    </row>
    <row r="21" spans="1:7" x14ac:dyDescent="0.25">
      <c r="C21" t="s">
        <v>115</v>
      </c>
      <c r="D21" t="s">
        <v>116</v>
      </c>
      <c r="G21" s="29">
        <v>0.35</v>
      </c>
    </row>
    <row r="22" spans="1:7" x14ac:dyDescent="0.25">
      <c r="C22" t="s">
        <v>117</v>
      </c>
      <c r="D22" t="s">
        <v>120</v>
      </c>
      <c r="G22" s="29">
        <v>0.05</v>
      </c>
    </row>
    <row r="23" spans="1:7" x14ac:dyDescent="0.25">
      <c r="C23" t="s">
        <v>118</v>
      </c>
      <c r="D23" t="s">
        <v>119</v>
      </c>
      <c r="G23" s="45">
        <v>1.95E-2</v>
      </c>
    </row>
    <row r="24" spans="1:7" x14ac:dyDescent="0.25">
      <c r="D24" t="s">
        <v>121</v>
      </c>
    </row>
    <row r="26" spans="1:7" x14ac:dyDescent="0.25">
      <c r="C26" t="s">
        <v>123</v>
      </c>
      <c r="G26" s="28">
        <f>(G19*(1+G20))/(1-G21-G22+(1.5*G23))-1</f>
        <v>0.24380778347277787</v>
      </c>
    </row>
    <row r="28" spans="1:7" ht="15.6" x14ac:dyDescent="0.25">
      <c r="A28" s="36">
        <v>1</v>
      </c>
      <c r="B28" t="s">
        <v>125</v>
      </c>
    </row>
  </sheetData>
  <phoneticPr fontId="1" type="noConversion"/>
  <pageMargins left="0.75" right="0.75" top="1" bottom="1" header="0.5" footer="0.5"/>
  <pageSetup orientation="portrait" horizontalDpi="4294967294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InputData</vt:lpstr>
      <vt:lpstr>BI Trends</vt:lpstr>
      <vt:lpstr>PD Trends</vt:lpstr>
      <vt:lpstr>PIP Trends</vt:lpstr>
      <vt:lpstr>COLL Trends</vt:lpstr>
      <vt:lpstr>COMP Trends</vt:lpstr>
      <vt:lpstr>Loss Projection Factors</vt:lpstr>
      <vt:lpstr>Deductible Factors</vt:lpstr>
      <vt:lpstr>Age Sex Factors</vt:lpstr>
      <vt:lpstr>Indicated Change</vt:lpstr>
      <vt:lpstr>'Age Sex Factors'!Print_Area</vt:lpstr>
      <vt:lpstr>'BI Trends'!Print_Area</vt:lpstr>
      <vt:lpstr>'COLL Trends'!Print_Area</vt:lpstr>
      <vt:lpstr>'COMP Trends'!Print_Area</vt:lpstr>
      <vt:lpstr>'Deductible Factors'!Print_Area</vt:lpstr>
      <vt:lpstr>'Loss Projection Factors'!Print_Area</vt:lpstr>
      <vt:lpstr>'PD Trends'!Print_Area</vt:lpstr>
      <vt:lpstr>'PIP Trends'!Print_Area</vt:lpstr>
    </vt:vector>
  </TitlesOfParts>
  <Company>State Farm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Duvvuri</dc:creator>
  <cp:lastModifiedBy>obeng.daniel@hotmail.com</cp:lastModifiedBy>
  <cp:lastPrinted>2006-10-31T00:27:26Z</cp:lastPrinted>
  <dcterms:created xsi:type="dcterms:W3CDTF">2006-10-29T17:37:17Z</dcterms:created>
  <dcterms:modified xsi:type="dcterms:W3CDTF">2016-12-15T07:36:10Z</dcterms:modified>
</cp:coreProperties>
</file>