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13" documentId="8_{B6337239-1A00-434D-AAD0-422EA1FEB5AE}" xr6:coauthVersionLast="47" xr6:coauthVersionMax="47" xr10:uidLastSave="{A565BF31-6566-4075-9E51-5B7F26F4A69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3" i="1" l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N434" i="1" a="1"/>
  <c r="N434" i="1" s="1"/>
  <c r="L431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1" i="12" l="1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<sst xmlns="http://schemas.openxmlformats.org/spreadsheetml/2006/main" count="7754" uniqueCount="1919">
  <si>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</si>
  <si>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</si>
  <si>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</si>
  <si>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</si>
  <si>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</si>
  <si>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</si>
  <si>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</si>
  <si>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</si>
  <si>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</si>
  <si>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</si>
  <si>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</si>
  <si>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</si>
  <si>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</si>
  <si>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</si>
  <si>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</si>
  <si>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</si>
  <si>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</si>
  <si>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</si>
  <si>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</si>
  <si>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</si>
  <si>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</si>
  <si>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</si>
  <si>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</si>
  <si>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</si>
  <si>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</si>
  <si>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</si>
  <si>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</si>
  <si>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</si>
  <si>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</si>
  <si>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</si>
  <si>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</si>
  <si>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</si>
  <si>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</si>
  <si>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</si>
  <si>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</si>
  <si>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</si>
  <si>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</si>
  <si>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</si>
  <si>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</si>
  <si>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</si>
  <si>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</si>
  <si>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</si>
  <si>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</si>
  <si>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</si>
  <si>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</si>
  <si>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</si>
  <si>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</si>
  <si>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</si>
  <si>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</si>
  <si>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</si>
  <si>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</si>
  <si>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</si>
  <si>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</si>
  <si>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</si>
  <si>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</si>
  <si>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</si>
  <si>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</si>
  <si>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</si>
  <si>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</si>
  <si>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</si>
  <si>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</si>
  <si>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</si>
  <si>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</si>
  <si>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</si>
  <si>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</si>
  <si>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</si>
  <si>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</si>
  <si>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</si>
  <si>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</si>
  <si>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</si>
  <si>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</si>
  <si>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</si>
  <si>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</si>
  <si>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</si>
  <si>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</si>
  <si>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</si>
  <si>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</si>
  <si>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</si>
  <si>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</si>
  <si>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</si>
  <si>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</si>
  <si>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</si>
  <si>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</si>
  <si>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</si>
  <si>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</si>
  <si>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</si>
  <si>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</si>
  <si>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</si>
  <si>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</si>
  <si>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</si>
  <si>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</si>
  <si>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</si>
  <si>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</si>
  <si>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</si>
  <si>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</si>
  <si>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</si>
  <si>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</si>
  <si>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</si>
  <si>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</si>
  <si>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</si>
  <si>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</si>
  <si>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</si>
  <si>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</si>
  <si>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</si>
  <si>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</si>
  <si>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</si>
  <si>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</si>
  <si>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</si>
  <si>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</si>
  <si>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</si>
  <si>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</si>
  <si>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</si>
  <si>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</si>
  <si>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</si>
  <si>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</si>
  <si>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</si>
  <si>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</si>
  <si>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</si>
  <si>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</si>
  <si>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</si>
  <si>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</si>
  <si>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</si>
  <si>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</si>
  <si>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</si>
  <si>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</si>
  <si>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</si>
  <si>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</si>
  <si>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</si>
  <si>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</si>
  <si>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</si>
  <si>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</si>
  <si>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</si>
  <si>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</si>
  <si>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</si>
  <si>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</si>
  <si>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</si>
  <si>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</si>
  <si>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</si>
  <si>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</si>
  <si>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</si>
  <si>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</si>
  <si>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</si>
  <si>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</si>
  <si>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</si>
  <si>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</si>
  <si>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</si>
  <si>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</si>
  <si>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</si>
  <si>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</si>
  <si>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</si>
  <si>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</si>
  <si>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</si>
  <si>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</si>
  <si>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</si>
  <si>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</si>
  <si>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</si>
  <si>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</si>
  <si>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</si>
  <si>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</si>
  <si>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</si>
  <si>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</si>
  <si>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</si>
  <si>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</si>
  <si>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</si>
  <si>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</si>
  <si>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</si>
  <si>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</si>
  <si>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</si>
  <si>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</si>
  <si>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</si>
  <si>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</si>
  <si>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</si>
  <si>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</si>
  <si>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</si>
  <si>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</si>
  <si>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</si>
  <si>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</si>
  <si>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</si>
  <si>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</si>
  <si>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</si>
  <si>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</si>
  <si>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</si>
  <si>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</si>
  <si>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</si>
  <si>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</si>
  <si>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</si>
  <si>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</si>
  <si>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</si>
  <si>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</si>
  <si>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</si>
  <si>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</si>
  <si>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</si>
  <si>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</si>
  <si>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</si>
  <si>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</si>
  <si>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</si>
  <si>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</si>
  <si>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</si>
  <si>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</si>
  <si>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</si>
  <si>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</si>
  <si>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</si>
  <si>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</si>
  <si>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</si>
  <si>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</si>
  <si>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</si>
  <si>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</si>
  <si>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</si>
  <si>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</si>
  <si>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</si>
  <si>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</si>
  <si>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</si>
  <si>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</si>
  <si>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</si>
  <si>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</si>
  <si>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</si>
  <si>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</si>
  <si>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</si>
  <si>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</si>
  <si>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</si>
  <si>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</si>
  <si>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</si>
  <si>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</si>
  <si>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</si>
  <si>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</si>
  <si>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</si>
  <si>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</si>
  <si>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</si>
  <si>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</si>
  <si>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</si>
  <si>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</si>
  <si>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</si>
  <si>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</si>
  <si>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</si>
  <si>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</si>
  <si>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</si>
  <si>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</si>
  <si>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</si>
  <si>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</si>
  <si>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</si>
  <si>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</si>
  <si>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</si>
  <si>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</si>
  <si>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</si>
  <si>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</si>
  <si>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</si>
  <si>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</si>
  <si>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</si>
  <si>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</si>
  <si>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</si>
  <si>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</si>
  <si>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</si>
  <si>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</si>
  <si>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</si>
  <si>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</si>
  <si>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</si>
  <si>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</si>
  <si>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</si>
  <si>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</si>
  <si>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</si>
  <si>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</si>
  <si>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</si>
  <si>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</si>
  <si>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</si>
  <si>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</si>
  <si>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</si>
  <si>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</si>
  <si>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</si>
  <si>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</si>
  <si>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</si>
  <si>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</si>
  <si>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</si>
  <si>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</si>
  <si>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</si>
  <si>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</si>
  <si>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</si>
  <si>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</si>
  <si>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</si>
  <si>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</si>
  <si>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</si>
  <si>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</si>
  <si>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</si>
  <si>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</si>
  <si>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</si>
  <si>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</si>
  <si>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</si>
  <si>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</si>
  <si>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</si>
  <si>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</si>
  <si>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</si>
  <si>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</si>
  <si>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</si>
  <si>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</si>
  <si>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</si>
  <si>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</si>
  <si>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</si>
  <si>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</si>
  <si>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</si>
  <si>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</si>
  <si>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</si>
  <si>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</si>
  <si>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</si>
  <si>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</si>
  <si>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</si>
  <si>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</si>
  <si>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</si>
  <si>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</si>
  <si>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</si>
  <si>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</si>
  <si>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</si>
  <si>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</si>
  <si>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</si>
  <si>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</si>
  <si>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</si>
  <si>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</si>
  <si>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</si>
  <si>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</si>
  <si>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</si>
  <si>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</si>
  <si>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</si>
  <si>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</si>
  <si>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</si>
  <si>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</si>
  <si>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</si>
  <si>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</si>
  <si>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</si>
  <si>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</si>
  <si>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</si>
  <si>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</si>
  <si>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</si>
  <si>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</si>
  <si>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</si>
  <si>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</si>
  <si>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</si>
  <si>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</si>
  <si>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</si>
  <si>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</si>
  <si>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</si>
  <si>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</si>
  <si>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</si>
  <si>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</si>
  <si>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</si>
  <si>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</si>
  <si>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</si>
  <si>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</si>
  <si>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</si>
  <si>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</si>
  <si>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</si>
  <si>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</si>
  <si>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</si>
  <si>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</si>
  <si>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</si>
  <si>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</si>
  <si>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</si>
  <si>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</si>
  <si>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</si>
  <si>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</si>
  <si>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</si>
  <si>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</si>
  <si>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</si>
  <si>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</si>
  <si>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</si>
  <si>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</si>
  <si>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</si>
  <si>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</si>
  <si>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</si>
  <si>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</si>
  <si>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</si>
  <si>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</si>
  <si>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</si>
  <si>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</si>
  <si>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</si>
  <si>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</si>
  <si>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</si>
  <si>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</si>
  <si>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</si>
  <si>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</si>
  <si>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</si>
  <si>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</si>
  <si>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</si>
  <si>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</si>
  <si>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</si>
  <si>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</si>
  <si>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</si>
  <si>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</si>
  <si>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</si>
  <si>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</si>
  <si>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</si>
  <si>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</si>
  <si>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</si>
  <si>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</si>
  <si>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</si>
  <si>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</si>
  <si>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</si>
  <si>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</si>
  <si>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</si>
  <si>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</si>
  <si>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</si>
  <si>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</si>
  <si>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</si>
  <si>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</si>
  <si>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</si>
  <si>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</si>
  <si>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</si>
  <si>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</si>
  <si>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</si>
  <si>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</si>
  <si>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</si>
  <si>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</si>
  <si>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</si>
  <si>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</si>
  <si>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</si>
  <si>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</si>
  <si>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</si>
  <si>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</si>
  <si>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</si>
  <si>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</si>
  <si>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</si>
  <si>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</si>
  <si>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</si>
  <si>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</si>
  <si>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</si>
  <si>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</si>
  <si>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</si>
  <si>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</si>
  <si>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</si>
  <si>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</si>
  <si>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</si>
  <si>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</si>
  <si>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</si>
  <si>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</si>
  <si>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</si>
  <si>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</si>
  <si>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</si>
  <si>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</si>
  <si>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</si>
  <si>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</si>
  <si>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</si>
  <si>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</si>
  <si>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</si>
  <si>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</si>
  <si>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</si>
  <si>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</si>
  <si>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</si>
  <si>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</si>
  <si>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</si>
  <si>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</si>
  <si>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</si>
  <si>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</si>
  <si>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</si>
  <si>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</si>
  <si>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</si>
  <si>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</si>
  <si>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</si>
  <si>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</si>
  <si>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</si>
  <si>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</si>
  <si>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</si>
  <si>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</si>
  <si>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</si>
  <si>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</si>
  <si>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</si>
  <si>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</si>
  <si>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</si>
  <si>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</si>
  <si>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</si>
  <si>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</si>
  <si>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</si>
  <si>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</si>
  <si>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</si>
  <si>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</si>
  <si>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</si>
  <si>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</si>
  <si>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</si>
  <si>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</si>
  <si>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</si>
  <si>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</si>
  <si>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</si>
  <si>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</si>
  <si>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</si>
  <si>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</si>
  <si>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</si>
  <si>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</si>
  <si>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</si>
  <si>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</si>
  <si>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</si>
  <si>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</si>
  <si>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</si>
  <si>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</si>
  <si>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</si>
  <si>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</si>
  <si>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</si>
  <si>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</si>
  <si>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</si>
  <si>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</si>
  <si>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</si>
  <si>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</si>
  <si>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</si>
  <si>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</si>
  <si>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</si>
  <si>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</si>
  <si>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</si>
  <si>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</si>
  <si>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</si>
  <si>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</si>
  <si>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</si>
  <si>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</si>
  <si>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</si>
  <si>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</si>
  <si>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</si>
  <si>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</si>
  <si>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</si>
  <si>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</si>
  <si>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</si>
  <si>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</si>
  <si>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</si>
  <si>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</si>
  <si>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</si>
  <si>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</si>
  <si>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</si>
  <si>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</si>
  <si>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</si>
  <si>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</si>
  <si>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</si>
  <si>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</si>
  <si>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</si>
  <si>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</si>
  <si>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</si>
  <si>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</si>
  <si>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</si>
  <si>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</si>
  <si>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</si>
  <si>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</si>
  <si>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</si>
  <si>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</si>
  <si>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</si>
  <si>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</si>
  <si>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</si>
  <si>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</si>
  <si>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</si>
  <si>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</si>
  <si>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</si>
  <si>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</si>
  <si>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</si>
  <si>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</si>
  <si>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</si>
  <si>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</si>
  <si>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</si>
  <si>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</si>
  <si>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</si>
  <si>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</si>
  <si>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</si>
  <si>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</si>
  <si>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</si>
  <si>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</si>
  <si>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</si>
  <si>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</si>
  <si>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</si>
  <si>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</si>
  <si>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</si>
  <si>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</si>
  <si>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</si>
  <si>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</si>
  <si>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</si>
  <si>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</si>
  <si>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</si>
  <si>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</si>
  <si>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</si>
  <si>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</si>
  <si>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</si>
  <si>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</si>
  <si>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</si>
  <si>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</si>
  <si>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</si>
  <si>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</si>
  <si>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</si>
  <si>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</si>
  <si>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</si>
  <si>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</si>
  <si>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</si>
  <si>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</si>
  <si>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</si>
  <si>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</si>
  <si>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</si>
  <si>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</si>
  <si>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</si>
  <si>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</si>
  <si>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</si>
  <si>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</si>
  <si>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</si>
  <si>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</si>
  <si>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</si>
  <si>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</si>
  <si>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</si>
  <si>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</si>
  <si>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</si>
  <si>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</si>
  <si>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</si>
  <si>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</si>
  <si>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</si>
  <si>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</si>
  <si>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</si>
  <si>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</si>
  <si>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</si>
  <si>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</si>
  <si>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</si>
  <si>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</si>
  <si>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</si>
  <si>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</si>
  <si>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</si>
  <si>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</si>
  <si>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</si>
  <si>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</si>
  <si>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</si>
  <si>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</si>
  <si>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</si>
  <si>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</si>
  <si>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</si>
  <si>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</si>
  <si>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</si>
  <si>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</si>
  <si>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</si>
  <si>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</si>
  <si>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</si>
  <si>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</si>
  <si>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</si>
  <si>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</si>
  <si>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</si>
  <si>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</si>
  <si>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</si>
  <si>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</si>
  <si>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</si>
  <si>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</si>
  <si>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</si>
  <si>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</si>
  <si>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</si>
  <si>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</si>
  <si>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</si>
  <si>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</si>
  <si>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</si>
  <si>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</si>
  <si>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</si>
  <si>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</si>
  <si>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</si>
  <si>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</si>
  <si>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</si>
  <si>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</si>
  <si>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</si>
  <si>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</si>
  <si>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</si>
  <si>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</si>
  <si>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</si>
  <si>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</si>
  <si>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</si>
  <si>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</si>
  <si>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</si>
  <si>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</si>
  <si>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</si>
  <si>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</si>
  <si>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</si>
  <si>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</si>
  <si>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</si>
  <si>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</si>
  <si>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</si>
  <si>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</si>
  <si>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</si>
  <si>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</si>
  <si>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</si>
  <si>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</si>
  <si>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</si>
  <si>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</si>
  <si>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</si>
  <si>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</si>
  <si>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</si>
  <si>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</si>
  <si>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</si>
  <si>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</si>
  <si>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</si>
  <si>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</si>
  <si>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</si>
  <si>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</si>
  <si>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</si>
  <si>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</si>
  <si>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</si>
  <si>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</si>
  <si>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</si>
  <si>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</si>
  <si>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</si>
  <si>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</si>
  <si>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</si>
  <si>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</si>
  <si>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</si>
  <si>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</si>
  <si>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</si>
  <si>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</si>
  <si>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</si>
  <si>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</si>
  <si>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</si>
  <si>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</si>
  <si>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</si>
  <si>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</si>
  <si>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</si>
  <si>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</si>
  <si>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</si>
  <si>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</si>
  <si>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</si>
  <si>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</si>
  <si>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</si>
  <si>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</si>
  <si>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</si>
  <si>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</si>
  <si>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</si>
  <si>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</si>
  <si>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</si>
  <si>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</si>
  <si>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</si>
  <si>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</si>
  <si>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</si>
  <si>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</si>
  <si>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</si>
  <si>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</si>
  <si>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</si>
  <si>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</si>
  <si>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</si>
  <si>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</si>
  <si>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</si>
  <si>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</si>
  <si>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</si>
  <si>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</si>
  <si>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</si>
  <si>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</si>
  <si>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</si>
  <si>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</si>
  <si>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</si>
  <si>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</si>
  <si>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</si>
  <si>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</si>
  <si>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</si>
  <si>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</si>
  <si>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</si>
  <si>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</si>
  <si>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</si>
  <si>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</si>
  <si>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</si>
  <si>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</si>
  <si>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</si>
  <si>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</si>
  <si>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</si>
  <si>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</si>
  <si>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</si>
  <si>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</si>
  <si>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</si>
  <si>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</si>
  <si>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</si>
  <si>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</si>
  <si>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</si>
  <si>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</si>
  <si>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</si>
  <si>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</si>
  <si>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</si>
  <si>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</si>
  <si>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</si>
  <si>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</si>
  <si>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</si>
  <si>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</si>
  <si>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</si>
  <si>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</si>
  <si>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</si>
  <si>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</si>
  <si>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</si>
  <si>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</si>
  <si>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</si>
  <si>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</si>
  <si>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</si>
  <si>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</si>
  <si>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</si>
  <si>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</si>
  <si>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</si>
  <si>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</si>
  <si>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</si>
  <si>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</si>
  <si>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</si>
  <si>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</si>
  <si>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</si>
  <si>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</si>
  <si>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</si>
  <si>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</si>
  <si>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</si>
  <si>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</si>
  <si>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</si>
  <si>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</si>
  <si>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</si>
  <si>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</si>
  <si>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</si>
  <si>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</si>
  <si>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</si>
  <si>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</si>
  <si>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</si>
  <si>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</si>
  <si>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</si>
  <si>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</si>
  <si>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</si>
  <si>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</si>
  <si>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</si>
  <si>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</si>
  <si>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</si>
  <si>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</si>
  <si>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</si>
  <si>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</si>
  <si>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</si>
  <si>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</si>
  <si>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</si>
  <si>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</si>
  <si>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</si>
  <si>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</si>
  <si>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</si>
  <si>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</si>
  <si>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</si>
  <si>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</si>
  <si>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</si>
  <si>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</si>
  <si>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</si>
  <si>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</si>
  <si>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</si>
  <si>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</si>
  <si>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</si>
  <si>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</si>
  <si>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</si>
  <si>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</si>
  <si>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</si>
  <si>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</si>
  <si>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</si>
  <si>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</si>
  <si>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</si>
  <si>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</si>
  <si>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</si>
  <si>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</si>
  <si>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</si>
  <si>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</si>
  <si>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</si>
  <si>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</si>
  <si>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</si>
  <si>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</si>
  <si>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</si>
  <si>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</si>
  <si>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</si>
  <si>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</si>
  <si>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</si>
  <si>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</si>
  <si>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</si>
  <si>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</si>
  <si>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</si>
  <si>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</si>
  <si>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</si>
  <si>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</si>
  <si>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</si>
  <si>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</si>
  <si>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</si>
  <si>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</si>
  <si>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</si>
  <si>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</si>
  <si>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</si>
  <si>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</si>
  <si>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</si>
  <si>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</si>
  <si>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</si>
  <si>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</si>
  <si>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</si>
  <si>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</si>
  <si>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</si>
  <si>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</si>
  <si>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</si>
  <si>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</si>
  <si>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</si>
  <si>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</si>
  <si>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</si>
  <si>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</si>
  <si>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</si>
  <si>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</si>
  <si>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</si>
  <si>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</si>
  <si>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</si>
  <si>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</si>
  <si>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</si>
  <si>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</si>
  <si>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</si>
  <si>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</si>
  <si>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</si>
  <si>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</si>
  <si>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</si>
  <si>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</si>
  <si>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</si>
  <si>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</si>
  <si>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</si>
  <si>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</si>
  <si>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</si>
  <si>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</si>
  <si>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</si>
  <si>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</si>
  <si>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</si>
  <si>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</si>
  <si>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</si>
  <si>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</si>
  <si>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</si>
  <si>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</si>
  <si>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</si>
  <si>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</si>
  <si>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</si>
  <si>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</si>
  <si>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</si>
  <si>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</si>
  <si>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</si>
  <si>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</si>
  <si>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</si>
  <si>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</si>
  <si>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</si>
  <si>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</si>
  <si>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</si>
  <si>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</si>
  <si>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</si>
  <si>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</si>
  <si>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</si>
  <si>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</si>
  <si>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</si>
  <si>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</si>
  <si>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</si>
  <si>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</si>
  <si>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</si>
  <si>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</si>
  <si>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</si>
  <si>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</si>
  <si>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</si>
  <si>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</si>
  <si>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</si>
  <si>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</si>
  <si>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</si>
  <si>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</si>
  <si>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</si>
  <si>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</si>
  <si>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</si>
  <si>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</si>
  <si>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</si>
  <si>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</si>
  <si>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</si>
  <si>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</si>
  <si>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</si>
  <si>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</si>
  <si>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</si>
  <si>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</si>
  <si>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</si>
  <si>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</si>
  <si>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</si>
  <si>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</si>
  <si>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</si>
  <si>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</si>
  <si>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</si>
  <si>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</si>
  <si>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</si>
  <si>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</si>
  <si>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</si>
  <si>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</si>
  <si>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</si>
  <si>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</si>
  <si>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</si>
  <si>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</si>
  <si>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</si>
  <si>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</si>
  <si>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</si>
  <si>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</si>
  <si>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</si>
  <si>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</si>
  <si>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</si>
  <si>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</si>
  <si>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</si>
  <si>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</si>
  <si>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</si>
  <si>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</si>
  <si>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</si>
  <si>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</si>
  <si>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</si>
  <si>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</si>
  <si>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</si>
  <si>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</si>
  <si>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</si>
  <si>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</si>
  <si>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</si>
  <si>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</si>
  <si>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</si>
  <si>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</si>
  <si>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</si>
  <si>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</si>
  <si>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</si>
  <si>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</si>
  <si>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</si>
  <si>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</si>
  <si>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</si>
  <si>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</si>
  <si>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</si>
  <si>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</si>
  <si>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</si>
  <si>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</si>
  <si>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</si>
  <si>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</si>
  <si>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</si>
  <si>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</si>
  <si>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</si>
  <si>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</si>
  <si>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</si>
  <si>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</si>
  <si>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</si>
  <si>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</si>
  <si>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</si>
  <si>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</si>
  <si>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</si>
  <si>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</si>
  <si>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</si>
  <si>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</si>
  <si>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</si>
  <si>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</si>
  <si>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</si>
  <si>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</si>
  <si>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</si>
  <si>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</si>
  <si>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</si>
  <si>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</si>
  <si>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</si>
  <si>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</si>
  <si>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</si>
  <si>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</si>
  <si>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</si>
  <si>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</si>
  <si>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</si>
  <si>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</si>
  <si>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</si>
  <si>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</si>
  <si>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</si>
  <si>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</si>
  <si>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</si>
  <si>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</si>
  <si>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</si>
  <si>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</si>
  <si>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</si>
  <si>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</si>
  <si>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</si>
  <si>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</si>
  <si>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</si>
  <si>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</si>
  <si>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</si>
  <si>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</si>
  <si>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</si>
  <si>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</si>
  <si>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</si>
  <si>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</si>
  <si>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</si>
  <si>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</si>
  <si>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</si>
  <si>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</si>
  <si>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</si>
  <si>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</si>
  <si>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</si>
  <si>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</si>
  <si>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</si>
  <si>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</si>
  <si>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</si>
  <si>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</si>
  <si>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</si>
  <si>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</si>
  <si>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</si>
  <si>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</si>
  <si>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</si>
  <si>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</si>
  <si>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</si>
  <si>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</si>
  <si>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</si>
  <si>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</si>
  <si>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</si>
  <si>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</si>
  <si>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</si>
  <si>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</si>
  <si>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</si>
  <si>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</si>
  <si>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</si>
  <si>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</si>
  <si>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</si>
  <si>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</si>
  <si>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</si>
  <si>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</si>
  <si>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</si>
  <si>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</si>
  <si>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</si>
  <si>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</si>
  <si>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</si>
  <si>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</si>
  <si>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</si>
  <si>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</si>
  <si>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</si>
  <si>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</si>
  <si>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</si>
  <si>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</si>
  <si>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</si>
  <si>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</si>
  <si>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</si>
  <si>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</si>
  <si>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</si>
  <si>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</si>
  <si>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</si>
  <si>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</si>
  <si>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</si>
  <si>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</si>
  <si>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</si>
  <si>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</si>
  <si>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</si>
  <si>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</si>
  <si>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</si>
  <si>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</si>
  <si>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</si>
  <si>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</si>
  <si>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</si>
  <si>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</si>
  <si>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</si>
  <si>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</si>
  <si>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</si>
  <si>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</si>
  <si>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</si>
  <si>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</si>
  <si>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</si>
  <si>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</si>
  <si>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</si>
  <si>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</si>
  <si>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</si>
  <si>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</si>
  <si>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</si>
  <si>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</si>
  <si>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</si>
  <si>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</si>
  <si>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</si>
  <si>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</si>
  <si>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</si>
  <si>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</si>
  <si>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</si>
  <si>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</si>
  <si>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</si>
  <si>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</si>
  <si>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</si>
  <si>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</si>
  <si>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</si>
  <si>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</si>
  <si>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</si>
  <si>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</si>
  <si>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</si>
  <si>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</si>
  <si>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</si>
  <si>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</si>
  <si>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</si>
  <si>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</si>
  <si>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</si>
  <si>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</si>
  <si>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</si>
  <si>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</si>
  <si>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</si>
  <si>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</si>
  <si>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</si>
  <si>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</si>
  <si>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</si>
  <si>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</si>
  <si>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</si>
  <si>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</si>
  <si>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</si>
  <si>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</si>
  <si>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</si>
  <si>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</si>
  <si>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</si>
  <si>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</si>
  <si>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</si>
  <si>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</si>
  <si>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</si>
  <si>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</si>
  <si>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</si>
  <si>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</si>
  <si>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</si>
  <si>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</si>
  <si>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</si>
  <si>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</si>
  <si>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</si>
  <si>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</si>
  <si>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</si>
  <si>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</si>
  <si>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</si>
  <si>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</si>
  <si>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</si>
  <si>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</si>
  <si>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</si>
  <si>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</si>
  <si>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</si>
  <si>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</si>
  <si>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</si>
  <si>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</si>
  <si>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</si>
  <si>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</si>
  <si>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</si>
  <si>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</si>
  <si>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</si>
  <si>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</si>
  <si>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</si>
  <si>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</si>
  <si>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</si>
  <si>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</si>
  <si>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</si>
  <si>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</si>
  <si>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</si>
  <si>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</si>
  <si>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</si>
  <si>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</si>
  <si>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</si>
  <si>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</si>
  <si>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</si>
  <si>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</si>
  <si>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</si>
  <si>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</si>
  <si>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</si>
  <si>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</si>
  <si>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</si>
  <si>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</si>
  <si>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</si>
  <si>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</si>
  <si>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</si>
  <si>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</si>
  <si>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</si>
  <si>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</si>
  <si>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</si>
  <si>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</si>
  <si>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</si>
  <si>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</si>
  <si>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</si>
  <si>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</si>
  <si>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</si>
  <si>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</si>
  <si>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</si>
  <si>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</si>
  <si>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</si>
  <si>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</si>
  <si>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</si>
  <si>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</si>
  <si>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</si>
  <si>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</si>
  <si>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</si>
  <si>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</si>
  <si>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</si>
  <si>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</si>
  <si>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</si>
  <si>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</si>
  <si>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</si>
  <si>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</si>
  <si>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</si>
  <si>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</si>
  <si>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</si>
  <si>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</si>
  <si>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</si>
  <si>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</si>
  <si>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</si>
  <si>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</si>
  <si>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</si>
  <si>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</si>
  <si>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</si>
  <si>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</si>
  <si>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</si>
  <si>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</si>
  <si>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</si>
  <si>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</si>
  <si>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</si>
  <si>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</si>
  <si>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</si>
  <si>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</si>
  <si>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</si>
  <si>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</si>
  <si>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</si>
  <si>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</si>
  <si>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</si>
  <si>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</si>
  <si>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</si>
  <si>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</si>
  <si>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</si>
  <si>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</si>
  <si>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</si>
  <si>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</si>
  <si>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</si>
  <si>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</si>
  <si>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</si>
  <si>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</si>
  <si>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</si>
  <si>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</si>
  <si>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</si>
  <si>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</si>
  <si>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</si>
  <si>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</si>
  <si>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</si>
  <si>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</si>
  <si>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</si>
  <si>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</si>
  <si>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</si>
  <si>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</si>
  <si>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</si>
  <si>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</si>
  <si>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</si>
  <si>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</si>
  <si>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</si>
  <si>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</si>
  <si>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</si>
  <si>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</si>
  <si>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</si>
  <si>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</si>
  <si>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</si>
  <si>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</si>
  <si>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</si>
  <si>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</si>
  <si>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</si>
  <si>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</si>
  <si>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</si>
  <si>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</si>
  <si>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</si>
  <si>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</si>
  <si>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</si>
  <si>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</si>
  <si>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</si>
  <si>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</si>
  <si>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</si>
  <si>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</si>
  <si>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</si>
  <si>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</si>
  <si>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</si>
  <si>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</si>
  <si>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</si>
  <si>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</si>
  <si>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</si>
  <si>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</si>
  <si>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</si>
  <si>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</si>
  <si>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</si>
  <si>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</si>
  <si>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</si>
  <si>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</si>
  <si>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</si>
  <si>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</si>
  <si>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</si>
  <si>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</si>
  <si>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</si>
  <si>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</si>
  <si>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</si>
  <si>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</si>
  <si>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</si>
  <si>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</si>
  <si>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</si>
  <si>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</si>
  <si>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</si>
  <si>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</si>
  <si>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</si>
  <si>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</si>
  <si>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</si>
  <si>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</si>
  <si>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</si>
  <si>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</si>
  <si>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</si>
  <si>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</si>
  <si>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</si>
  <si>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</si>
  <si>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</si>
  <si>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</si>
  <si>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</si>
  <si>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</si>
  <si>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</si>
  <si>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</si>
  <si>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</si>
  <si>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</si>
  <si>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</si>
  <si>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</si>
  <si>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</si>
  <si>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</si>
  <si>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</si>
  <si>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</si>
  <si>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</si>
  <si>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</si>
  <si>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</si>
  <si>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</si>
  <si>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</si>
  <si>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</si>
  <si>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</si>
  <si>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</si>
  <si>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</si>
  <si>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</si>
  <si>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</si>
  <si>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</si>
  <si>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</si>
  <si>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</si>
  <si>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</si>
  <si>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</si>
  <si>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</si>
  <si>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</si>
  <si>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</si>
  <si>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</si>
  <si>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</si>
  <si>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</si>
  <si>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</si>
  <si>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</si>
  <si>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</si>
  <si>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</si>
  <si>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</si>
  <si>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</si>
  <si>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</si>
  <si>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</si>
  <si>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</si>
  <si>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</si>
  <si>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</si>
  <si>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</si>
  <si>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</si>
  <si>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</si>
  <si>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</si>
  <si>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</si>
  <si>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</si>
  <si>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</si>
  <si>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</si>
  <si>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</si>
  <si>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</si>
  <si>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</si>
  <si>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</si>
  <si>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</si>
  <si>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</si>
  <si>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</si>
  <si>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</si>
  <si>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</si>
  <si>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</si>
  <si>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</si>
  <si>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</si>
  <si>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</si>
  <si>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</si>
  <si>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</si>
  <si>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</si>
  <si>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</si>
  <si>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</si>
  <si>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</si>
  <si>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</si>
  <si>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</si>
  <si>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</si>
  <si>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</si>
  <si>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</si>
  <si>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</si>
  <si>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</si>
  <si>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</si>
  <si>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</si>
  <si>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</si>
  <si>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</si>
  <si>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</si>
  <si>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</si>
  <si>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</si>
  <si>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</si>
  <si>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</si>
  <si>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</si>
  <si>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</si>
  <si>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</si>
  <si>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</si>
  <si>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</si>
  <si>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</si>
  <si>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</si>
  <si>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</si>
  <si>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</si>
  <si>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</si>
  <si>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</si>
  <si>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</si>
  <si>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</si>
  <si>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</si>
  <si>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</si>
  <si>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</si>
  <si>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</si>
  <si>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</si>
  <si>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</si>
  <si>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</si>
  <si>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</si>
  <si>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</si>
  <si>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</si>
  <si>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</si>
  <si>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</si>
  <si>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</si>
  <si>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</si>
  <si>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</si>
  <si>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</si>
  <si>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</si>
  <si>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</si>
  <si>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</si>
  <si>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</si>
  <si>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</si>
  <si>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</si>
  <si>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</si>
  <si>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</si>
  <si>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</si>
  <si>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</si>
  <si>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</si>
  <si>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</si>
  <si>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</si>
  <si>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</si>
  <si>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</si>
  <si>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</si>
  <si>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</si>
  <si>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</si>
  <si>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</si>
  <si>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</si>
  <si>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</si>
  <si>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</si>
  <si>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</si>
  <si>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</si>
  <si>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</si>
  <si>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</si>
  <si>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</si>
  <si>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</si>
  <si>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</si>
  <si>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</si>
  <si>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</si>
  <si>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</si>
  <si>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</si>
  <si>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</si>
  <si>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</si>
  <si>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</si>
  <si>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</si>
  <si>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</si>
  <si>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</si>
  <si>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</si>
  <si>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</si>
  <si>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</si>
  <si>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</si>
  <si>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</si>
  <si>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</si>
  <si>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</si>
  <si>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</si>
  <si>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</si>
  <si>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</si>
  <si>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</si>
  <si>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</si>
  <si>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</si>
  <si>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</si>
  <si>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</si>
  <si>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</si>
  <si>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</si>
  <si>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</si>
  <si>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</si>
  <si>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</si>
  <si>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</si>
  <si>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</si>
  <si>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</si>
  <si>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</si>
  <si>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</si>
  <si>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</si>
  <si>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</si>
  <si>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</si>
  <si>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</si>
  <si>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</si>
  <si>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</si>
  <si>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</si>
  <si>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</si>
  <si>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</si>
  <si>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</si>
  <si>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</si>
  <si>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</si>
  <si>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</si>
  <si>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</si>
  <si>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</si>
  <si>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</si>
  <si>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</si>
  <si>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</si>
  <si>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</si>
  <si>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</si>
  <si>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</si>
  <si>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</si>
  <si>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</si>
  <si>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</si>
  <si>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</si>
  <si>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</si>
  <si>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</si>
  <si>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</si>
  <si>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</si>
  <si>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</si>
  <si>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</si>
  <si>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</si>
  <si>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</si>
  <si>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</si>
  <si>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</si>
  <si>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</si>
  <si>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</si>
  <si>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</si>
  <si>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</si>
  <si>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</si>
  <si>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</si>
  <si>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</si>
  <si>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</si>
  <si>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</si>
  <si>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</si>
  <si>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</si>
  <si>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</si>
  <si>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</si>
  <si>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</si>
  <si>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</si>
  <si>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</si>
  <si>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</si>
  <si>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</si>
  <si>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</si>
  <si>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</si>
  <si>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</si>
  <si>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</si>
  <si>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</si>
  <si>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</si>
  <si>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</si>
  <si>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</si>
  <si>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</si>
  <si>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</si>
  <si>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</si>
  <si>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</si>
  <si>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</si>
  <si>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</si>
  <si>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</si>
  <si>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</si>
  <si>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</si>
  <si>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</si>
  <si>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</si>
  <si>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</si>
  <si>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</si>
  <si>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</si>
  <si>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</si>
  <si>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</si>
  <si>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</si>
  <si>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</si>
  <si>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</si>
  <si>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</si>
  <si>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</si>
  <si>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</si>
  <si>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</si>
  <si>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</si>
  <si>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</si>
  <si>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</si>
  <si>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</si>
  <si>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</si>
  <si>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</si>
  <si>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</si>
  <si>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</si>
  <si>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</si>
  <si>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</si>
  <si>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</si>
  <si>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</si>
  <si>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</si>
  <si>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</si>
  <si>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</si>
  <si>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</si>
  <si>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</si>
  <si>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</si>
  <si>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</si>
  <si>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</si>
  <si>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</si>
  <si>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</si>
  <si>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</si>
  <si>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</si>
  <si>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</si>
  <si>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</si>
  <si>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</si>
  <si>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</si>
  <si>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</si>
  <si>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</si>
  <si>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</si>
  <si>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</si>
  <si>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</si>
  <si>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</si>
  <si>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</si>
  <si>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</si>
  <si>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</si>
  <si>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</si>
  <si>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</si>
  <si>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</si>
  <si>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</si>
  <si>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</si>
  <si>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</si>
  <si>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</si>
  <si>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</si>
  <si>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</si>
  <si>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</si>
  <si>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</si>
  <si>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</si>
  <si>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</si>
  <si>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</si>
  <si>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</si>
  <si>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</si>
  <si>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</si>
  <si>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</si>
  <si>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</si>
  <si>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</si>
  <si>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</si>
  <si>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</si>
  <si>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</si>
  <si>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</si>
  <si>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</si>
  <si>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</si>
  <si>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</si>
  <si>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</si>
  <si>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</si>
  <si>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</si>
  <si>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</si>
  <si>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</si>
  <si>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</si>
  <si>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</si>
  <si>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</si>
  <si>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</si>
  <si>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</si>
  <si>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</si>
  <si>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</si>
  <si>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</si>
  <si>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</si>
  <si>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</si>
  <si>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</si>
  <si>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</si>
  <si>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</si>
  <si>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</si>
  <si>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</si>
  <si>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</si>
  <si>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</si>
  <si>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</si>
  <si>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</si>
  <si>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</si>
  <si>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</si>
  <si>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</si>
  <si>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</si>
  <si>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</si>
  <si>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</si>
  <si>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</si>
  <si>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</si>
  <si>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</si>
  <si>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</si>
  <si>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</si>
  <si>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</si>
  <si>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</si>
  <si>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</si>
  <si>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</si>
  <si>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</si>
  <si>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</si>
  <si>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</si>
  <si>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</si>
  <si>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</si>
  <si>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</si>
  <si>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</si>
  <si>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</si>
  <si>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</si>
  <si>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</si>
  <si>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</si>
  <si>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</si>
  <si>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</si>
  <si>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</si>
  <si>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</si>
  <si>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</si>
  <si>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</si>
  <si>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</si>
  <si>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</si>
  <si>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</si>
  <si>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</si>
  <si>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</si>
  <si>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</si>
  <si>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</si>
  <si>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</si>
  <si>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</si>
  <si>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</si>
  <si>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</si>
  <si>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</si>
  <si>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</si>
  <si>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</si>
  <si>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</si>
  <si>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</si>
  <si>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</si>
  <si>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</si>
  <si>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</si>
  <si>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</si>
  <si>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</si>
  <si>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</si>
  <si>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</si>
  <si>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</si>
  <si>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</si>
  <si>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</si>
  <si>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</si>
  <si>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</si>
  <si>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</si>
  <si>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</si>
  <si>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</si>
  <si>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</si>
  <si>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</si>
  <si>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</si>
  <si>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</si>
  <si>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</si>
  <si>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</si>
  <si>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</si>
  <si>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</si>
  <si>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</si>
  <si>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</si>
  <si>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</si>
  <si>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</si>
  <si>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</si>
  <si>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</si>
  <si>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</si>
  <si>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</si>
  <si>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</si>
  <si>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</si>
  <si>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</si>
  <si>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</si>
  <si>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</si>
  <si>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</si>
  <si>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</si>
  <si>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</si>
  <si>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</si>
  <si>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</si>
  <si>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</si>
  <si>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</si>
  <si>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</si>
  <si>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</si>
  <si>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</si>
  <si>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</si>
  <si>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</si>
  <si>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</si>
  <si>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</si>
  <si>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</si>
  <si>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</si>
  <si>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</si>
  <si>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</si>
  <si>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</si>
  <si>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</si>
  <si>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</si>
  <si>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</si>
  <si>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</si>
  <si>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</si>
  <si>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</si>
  <si>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</si>
  <si>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</si>
  <si>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</si>
  <si>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</si>
  <si>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</si>
  <si>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</si>
  <si>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</si>
  <si>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</si>
  <si>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</si>
  <si>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</si>
  <si>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</si>
  <si>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</si>
  <si>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</si>
  <si>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</si>
  <si>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</si>
  <si>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</si>
  <si>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</si>
  <si>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9323 / 9425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</si>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</sst>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W433" activePane="bottomRight" state="frozen"/>
      <selection pane="bottomRight" activeCell="Y437" sqref="Y437:Y4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/>
      <c r="AU424" s="232"/>
      <c r="AV424" s="232"/>
      <c r="AW424" s="232"/>
      <c r="AX424" s="38"/>
      <c r="AY424" s="303" t="str">
        <f>IF(D424="","*",IFERROR(IF(ISODD(COUNT(AS424:AX424)),"ERRO",SUM((AT424-AS424),(AV424-AU424),(AX424-AW424))),"ERRO"))</f>
        <v>ERRO</v>
      </c>
      <c r="AZ424" s="13"/>
      <c r="BA424" s="71"/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1</v>
      </c>
      <c r="BI424" s="16"/>
      <c r="BJ424" s="296" t="s">
        <v>1833</v>
      </c>
      <c r="BK424" s="296" t="s">
        <v>1834</v>
      </c>
      <c r="BL424" s="15"/>
      <c r="BM424" s="14"/>
      <c r="BN424" s="14"/>
      <c r="BO424" s="159"/>
      <c r="BP424" s="17"/>
      <c r="BQ424" s="12" t="e">
        <f>IF(AND(BR424&lt;1,BS424&lt;1),"Produção e Intervalo",IF(BR424&lt;1,"Intervalo",IF(BS424&lt;1,"Produção","Aderente")))</f>
        <v>#VALUE!</v>
      </c>
      <c r="BR424" s="18" t="e">
        <f>IF(OR(B424="",F424=""),"*",AY424/P424)</f>
        <v>#VALUE!</v>
      </c>
      <c r="BS424" s="18">
        <f>IF(OR(B424="",F424=""),"*",BA424/Q424)</f>
        <v>0</v>
      </c>
      <c r="BT424" s="215" t="str">
        <f>IF(BN424="","",SUBSTITUTE(BM424," ","")&amp;SUBSTITUTE(BN424," ",""))</f>
        <v/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783</v>
      </c>
      <c r="G433" s="154" t="str">
        <f>IF(D433="","*",VLOOKUP(F433,BS_ATIVIDADE[#All],3,FALSE))</f>
        <v>OUTROS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CARGA</v>
      </c>
      <c r="AJ433" s="9" t="str">
        <f>IF(D433="","*",VLOOKUP(AI433,BS_ATIVIDADE[#Data],3,FALSE))</f>
        <v>OUTROS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296"/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TAL-TSF</v>
      </c>
      <c r="AN434" s="292" t="str">
        <f>IF(BS_CONTROLE[[#This Row],[SB]]=0, "-", BS_CONTROLE[[#This Row],[SB]])</f>
        <v>TAL699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695.49300000000005</v>
      </c>
      <c r="AQ434" s="276">
        <f>IF(BS_CONTROLE[[#This Row],[KM - Fim]]=0, "-", BS_CONTROLE[[#This Row],[KM - Fim]])</f>
        <v>690.95399999999995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/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1846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1847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/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1848</v>
      </c>
      <c r="W438" s="322" t="s">
        <v>1849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/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296"/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1850</v>
      </c>
      <c r="W439" s="322" t="s">
        <v>1851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/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/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1852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/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1853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1854</v>
      </c>
      <c r="N442" s="194" t="s">
        <v>1855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1856</v>
      </c>
      <c r="W442" s="322" t="s">
        <v>1857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/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1858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1859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/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1860</v>
      </c>
      <c r="J444" s="207">
        <v>72</v>
      </c>
      <c r="K444" s="207">
        <v>321</v>
      </c>
      <c r="L444" s="207" t="s">
        <v>609</v>
      </c>
      <c r="M444" s="194" t="s">
        <v>1861</v>
      </c>
      <c r="N444" s="194" t="s">
        <v>1862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1863</v>
      </c>
      <c r="W444" s="167" t="s">
        <v>1864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/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/>
      <c r="BI444" s="16"/>
      <c r="BJ444" s="296"/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1865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/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79"/>
      <c r="BI446" s="179"/>
      <c r="BJ446" s="297"/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5150</v>
      </c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5" operator="equal">
      <formula>"ERRO"</formula>
    </cfRule>
  </conditionalFormatting>
  <conditionalFormatting sqref="X4 Y1:Z368 Y369:Y446">
    <cfRule type="cellIs" dxfId="135" priority="18424" operator="equal">
      <formula>"OPORTUNIDADE"</formula>
    </cfRule>
  </conditionalFormatting>
  <conditionalFormatting sqref="AZ6:AZ416">
    <cfRule type="expression" dxfId="134" priority="18419">
      <formula>$BU6=1</formula>
    </cfRule>
  </conditionalFormatting>
  <conditionalFormatting sqref="BQ6:BQ493">
    <cfRule type="cellIs" dxfId="133" priority="18430" operator="equal">
      <formula>"Produção e Intervalo"</formula>
    </cfRule>
    <cfRule type="cellIs" dxfId="132" priority="18431" operator="equal">
      <formula>"Aderente"</formula>
    </cfRule>
    <cfRule type="cellIs" dxfId="131" priority="18432" operator="equal">
      <formula>"Intervalo"</formula>
    </cfRule>
    <cfRule type="cellIs" dxfId="130" priority="18433" operator="equal">
      <formula>"Produção"</formula>
    </cfRule>
    <cfRule type="cellIs" dxfId="129" priority="18434" operator="equal">
      <formula>"ERRO"</formula>
    </cfRule>
  </conditionalFormatting>
  <conditionalFormatting sqref="BR6:BS446">
    <cfRule type="cellIs" dxfId="128" priority="18412" operator="equal">
      <formula>"*"</formula>
    </cfRule>
    <cfRule type="cellIs" dxfId="127" priority="18413" operator="greaterThanOrEqual">
      <formula>1</formula>
    </cfRule>
    <cfRule type="cellIs" dxfId="126" priority="18414" operator="lessThan">
      <formula>1</formula>
    </cfRule>
  </conditionalFormatting>
  <conditionalFormatting sqref="Y6:Z368 X370:X416 X418 X420 Y369:Y446">
    <cfRule type="cellIs" dxfId="125" priority="18360" operator="equal">
      <formula>"NÃO"</formula>
    </cfRule>
    <cfRule type="cellIs" dxfId="124" priority="18361" operator="equal">
      <formula>"SIM"</formula>
    </cfRule>
  </conditionalFormatting>
  <conditionalFormatting sqref="X370:X416 X418 X420">
    <cfRule type="cellIs" dxfId="123" priority="18359" operator="equal">
      <formula>"OPORTUNIDADE"</formula>
    </cfRule>
  </conditionalFormatting>
  <conditionalFormatting sqref="Z369:Z416">
    <cfRule type="cellIs" dxfId="122" priority="18357" operator="equal">
      <formula>"NÃO"</formula>
    </cfRule>
    <cfRule type="cellIs" dxfId="121" priority="18358" operator="equal">
      <formula>"SIM"</formula>
    </cfRule>
  </conditionalFormatting>
  <conditionalFormatting sqref="Z369:Z416">
    <cfRule type="cellIs" dxfId="120" priority="18356" operator="equal">
      <formula>"OPORTUNIDADE"</formula>
    </cfRule>
  </conditionalFormatting>
  <conditionalFormatting sqref="Y1048469:Y1048576">
    <cfRule type="cellIs" dxfId="119" priority="18241" operator="equal">
      <formula>"OPORTUNIDADE"</formula>
    </cfRule>
  </conditionalFormatting>
  <conditionalFormatting sqref="Y1048469:Y1048576">
    <cfRule type="cellIs" dxfId="118" priority="18239" operator="equal">
      <formula>"NÃO"</formula>
    </cfRule>
    <cfRule type="cellIs" dxfId="117" priority="18240" operator="equal">
      <formula>"SIM"</formula>
    </cfRule>
  </conditionalFormatting>
  <conditionalFormatting sqref="Z417:Z444">
    <cfRule type="cellIs" dxfId="116" priority="17976" operator="equal">
      <formula>"OPORTUNIDADE"</formula>
    </cfRule>
  </conditionalFormatting>
  <conditionalFormatting sqref="Z417:Z444">
    <cfRule type="cellIs" dxfId="115" priority="17974" operator="equal">
      <formula>"NÃO"</formula>
    </cfRule>
    <cfRule type="cellIs" dxfId="114" priority="17975" operator="equal">
      <formula>"SIM"</formula>
    </cfRule>
  </conditionalFormatting>
  <conditionalFormatting sqref="Z443">
    <cfRule type="cellIs" dxfId="113" priority="17959" operator="equal">
      <formula>"NÃO"</formula>
    </cfRule>
    <cfRule type="cellIs" dxfId="112" priority="17960" operator="equal">
      <formula>"SIM"</formula>
    </cfRule>
  </conditionalFormatting>
  <conditionalFormatting sqref="Z443">
    <cfRule type="cellIs" dxfId="111" priority="17958" operator="equal">
      <formula>"OPORTUNIDADE"</formula>
    </cfRule>
  </conditionalFormatting>
  <conditionalFormatting sqref="BI443"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8">
      <iconSet showValue="0">
        <cfvo type="percent" val="0"/>
        <cfvo type="num" val="1"/>
        <cfvo type="num" val="1" gte="0"/>
      </iconSet>
    </cfRule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8">
      <formula>$BU386=1</formula>
    </cfRule>
  </conditionalFormatting>
  <conditionalFormatting sqref="AZ419:AZ443">
    <cfRule type="expression" dxfId="109" priority="18738">
      <formula>$BU391=1</formula>
    </cfRule>
  </conditionalFormatting>
  <conditionalFormatting sqref="BI417:BI442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1">
      <iconSet showValue="0">
        <cfvo type="percent" val="0"/>
        <cfvo type="num" val="1"/>
        <cfvo type="num" val="1" gte="0"/>
      </iconSet>
    </cfRule>
    <cfRule type="iconSet" priority="18742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3" operator="equal">
      <formula>"*"</formula>
    </cfRule>
    <cfRule type="cellIs" dxfId="107" priority="13374" operator="greaterThanOrEqual">
      <formula>1</formula>
    </cfRule>
    <cfRule type="cellIs" dxfId="106" priority="13375" operator="lessThan">
      <formula>1</formula>
    </cfRule>
  </conditionalFormatting>
  <conditionalFormatting sqref="BK1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93 BK425 BK427:BK428">
    <cfRule type="iconSet" priority="2063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93">
    <cfRule type="iconSet" priority="2066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4">
      <iconSet showValue="0">
        <cfvo type="percent" val="0"/>
        <cfvo type="num" val="1"/>
        <cfvo type="num" val="1" gte="0"/>
      </iconSet>
    </cfRule>
    <cfRule type="iconSet" priority="2067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1866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1867</v>
      </c>
      <c r="E3" s="306" t="s">
        <v>1868</v>
      </c>
      <c r="F3" s="306" t="s">
        <v>1869</v>
      </c>
      <c r="G3" s="306" t="s">
        <v>1870</v>
      </c>
      <c r="H3" s="306" t="s">
        <v>1871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1872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1873</v>
      </c>
      <c r="G10" s="307" t="s">
        <v>1874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1875</v>
      </c>
      <c r="G11" s="307" t="s">
        <v>1876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1877</v>
      </c>
      <c r="G12" s="307" t="s">
        <v>1876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1878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1879</v>
      </c>
      <c r="C4" s="311" t="s">
        <v>1880</v>
      </c>
      <c r="D4" s="311" t="s">
        <v>1881</v>
      </c>
      <c r="E4" s="311" t="s">
        <v>1882</v>
      </c>
      <c r="F4" s="311" t="s">
        <v>7</v>
      </c>
      <c r="G4" s="311" t="s">
        <v>1883</v>
      </c>
      <c r="H4" s="182"/>
    </row>
    <row r="5" spans="1:8">
      <c r="A5" s="182"/>
      <c r="B5" s="312" t="s">
        <v>1884</v>
      </c>
      <c r="C5" s="312">
        <v>309525</v>
      </c>
      <c r="D5" s="312" t="s">
        <v>1885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1886</v>
      </c>
      <c r="C6" s="312">
        <v>257410</v>
      </c>
      <c r="D6" s="312" t="s">
        <v>1887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1888</v>
      </c>
      <c r="C7" s="312">
        <v>256875</v>
      </c>
      <c r="D7" s="312" t="s">
        <v>1889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1890</v>
      </c>
      <c r="C8" s="312">
        <v>257278</v>
      </c>
      <c r="D8" s="312" t="s">
        <v>1891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1892</v>
      </c>
      <c r="C9" s="312">
        <v>261794</v>
      </c>
      <c r="D9" s="312" t="s">
        <v>1893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1894</v>
      </c>
      <c r="C10" s="312">
        <v>257033</v>
      </c>
      <c r="D10" s="312" t="s">
        <v>1895</v>
      </c>
      <c r="E10" s="312" t="s">
        <v>838</v>
      </c>
      <c r="F10" s="312" t="s">
        <v>194</v>
      </c>
      <c r="G10" s="312" t="s">
        <v>1896</v>
      </c>
      <c r="H10" s="182"/>
    </row>
    <row r="11" spans="1:8">
      <c r="A11" s="182"/>
      <c r="B11" s="312" t="s">
        <v>1897</v>
      </c>
      <c r="C11" s="312">
        <v>396578</v>
      </c>
      <c r="D11" s="312" t="s">
        <v>1898</v>
      </c>
      <c r="E11" s="312" t="s">
        <v>838</v>
      </c>
      <c r="F11" s="312" t="s">
        <v>194</v>
      </c>
      <c r="G11" s="312" t="s">
        <v>1896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G1" workbookViewId="0">
      <selection activeCell="B431" sqref="B431:U44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1899</v>
      </c>
      <c r="W1" s="386"/>
      <c r="X1" s="386"/>
      <c r="Y1" s="103"/>
    </row>
    <row r="2" spans="1:25" s="100" customFormat="1" ht="11.25" customHeight="1">
      <c r="A2" s="104" t="s">
        <v>1900</v>
      </c>
      <c r="B2" s="104" t="s">
        <v>1901</v>
      </c>
      <c r="C2" s="104" t="s">
        <v>605</v>
      </c>
      <c r="D2" s="105" t="s">
        <v>1178</v>
      </c>
      <c r="E2" s="105" t="s">
        <v>1179</v>
      </c>
      <c r="F2" s="105" t="s">
        <v>1902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1903</v>
      </c>
      <c r="U2" s="107" t="s">
        <v>1181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220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1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TAL-TSF</v>
      </c>
      <c r="L431" s="318" t="str">
        <f>IF(FN_MC!N434="","*",FN_MC!N434)</f>
        <v>TAL699</v>
      </c>
      <c r="M431" s="110">
        <f>IF(FN_MC!J434="","*",FN_MC!J434)</f>
        <v>98</v>
      </c>
      <c r="N431" s="286">
        <f>IF(FN_MC!K434="","*",FN_MC!K434)</f>
        <v>695.49300000000005</v>
      </c>
      <c r="O431" s="286">
        <f>IF(FN_MC!L434="","*",FN_MC!L434)</f>
        <v>690.95399999999995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1353</v>
      </c>
      <c r="W431" s="111">
        <f ca="1">_xlfn.XLOOKUP(G431&amp;$W$2,BS_CONTROLE[CHAVE],BS_CONTROLE[Quantidade_11],"-")</f>
        <v>0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220</v>
      </c>
    </row>
    <row r="436" spans="1:24" s="112" customFormat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1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>
        <f ca="1">_xlfn.XLOOKUP(G442&amp;$X$2,BS_CONTROLE[CHAVE],BS_CONTROLE[Quantidade_11],"-")</f>
        <v>0</v>
      </c>
    </row>
    <row r="443" spans="1:24" s="112" customFormat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>
        <f>IF(FN_MC!J452="","*",FN_MC!J452)</f>
        <v>5150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1904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1905</v>
      </c>
      <c r="C2" s="95" t="s">
        <v>1163</v>
      </c>
      <c r="D2" s="95" t="s">
        <v>1165</v>
      </c>
      <c r="E2" s="95" t="s">
        <v>1906</v>
      </c>
      <c r="F2" s="95" t="s">
        <v>1907</v>
      </c>
      <c r="G2" s="95" t="s">
        <v>1908</v>
      </c>
      <c r="H2" s="95" t="s">
        <v>1909</v>
      </c>
      <c r="I2" s="95" t="s">
        <v>1910</v>
      </c>
      <c r="J2" s="95" t="s">
        <v>1911</v>
      </c>
      <c r="K2" s="130" t="s">
        <v>1912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1913</v>
      </c>
      <c r="D5" s="388"/>
      <c r="E5" s="388"/>
      <c r="F5" s="388"/>
      <c r="G5" s="388"/>
      <c r="H5" s="388"/>
      <c r="I5" s="388"/>
      <c r="J5" s="389"/>
      <c r="K5" s="390" t="s">
        <v>1914</v>
      </c>
      <c r="L5" s="391"/>
      <c r="M5" s="391"/>
      <c r="N5" s="391"/>
      <c r="O5" s="392" t="s">
        <v>1915</v>
      </c>
      <c r="P5" s="393"/>
      <c r="Q5" s="394"/>
    </row>
    <row r="6" spans="1:17" s="93" customFormat="1" ht="15.75" customHeight="1">
      <c r="A6" s="87" t="s">
        <v>1902</v>
      </c>
      <c r="B6" s="94" t="s">
        <v>1901</v>
      </c>
      <c r="C6" s="95" t="s">
        <v>1178</v>
      </c>
      <c r="D6" s="96" t="s">
        <v>1179</v>
      </c>
      <c r="E6" s="95" t="s">
        <v>1916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1917</v>
      </c>
      <c r="M6" s="138" t="s">
        <v>628</v>
      </c>
      <c r="N6" s="139" t="s">
        <v>1173</v>
      </c>
      <c r="O6" s="236" t="s">
        <v>1216</v>
      </c>
      <c r="P6" s="152"/>
      <c r="Q6" s="183" t="s">
        <v>1918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1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1918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2026-01-26T21:48:17Z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