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466" documentId="8_{B6337239-1A00-434D-AAD0-422EA1FEB5AE}" xr6:coauthVersionLast="47" xr6:coauthVersionMax="47" xr10:uidLastSave="{6DC203C8-C838-4946-B385-DF6E1F50E379}"/>
  <bookViews>
    <workbookView xWindow="-120" yWindow="-120" windowWidth="20730" windowHeight="11040" firstSheet="3" activeTab="8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98" i="1" l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M490" i="1" a="1"/>
  <c r="M490" i="1" s="1"/>
  <c r="N492" i="1" a="1"/>
  <c r="N492" i="1" s="1"/>
  <c r="M492" i="1" a="1"/>
  <c r="M492" i="1" s="1"/>
  <c r="N455" i="1" a="1"/>
  <c r="N455" i="1"/>
  <c r="M455" i="1" a="1"/>
  <c r="M455" i="1"/>
  <c r="N519" i="1" a="1"/>
  <c r="N519" i="1"/>
  <c r="M519" i="1" a="1"/>
  <c r="M519" i="1"/>
  <c r="N518" i="1" a="1"/>
  <c r="N518" i="1"/>
  <c r="M518" i="1" a="1"/>
  <c r="M518" i="1"/>
  <c r="H515" i="1" a="1"/>
  <c r="H515" i="1"/>
  <c r="N517" i="1" a="1"/>
  <c r="N517" i="1"/>
  <c r="N516" i="1" a="1"/>
  <c r="N516" i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M544" i="1" a="1"/>
  <c r="M544" i="1"/>
  <c r="N543" i="1" a="1"/>
  <c r="N543" i="1"/>
  <c r="M543" i="1" a="1"/>
  <c r="M543" i="1"/>
  <c r="N542" i="1" a="1"/>
  <c r="N542" i="1"/>
  <c r="M542" i="1" a="1"/>
  <c r="M542" i="1"/>
  <c r="N541" i="1" a="1"/>
  <c r="N541" i="1"/>
  <c r="M541" i="1" a="1"/>
  <c r="M541" i="1"/>
  <c r="N540" i="1" a="1"/>
  <c r="N540" i="1"/>
  <c r="M540" i="1" a="1"/>
  <c r="M540" i="1"/>
  <c r="N539" i="1" a="1"/>
  <c r="N539" i="1"/>
  <c r="M539" i="1" a="1"/>
  <c r="M539" i="1"/>
  <c r="N538" i="1" a="1"/>
  <c r="N538" i="1"/>
  <c r="M538" i="1" a="1"/>
  <c r="M538" i="1"/>
  <c r="N537" i="1" a="1"/>
  <c r="N537" i="1"/>
  <c r="M537" i="1" a="1"/>
  <c r="M537" i="1"/>
  <c r="N536" i="1" a="1"/>
  <c r="N536" i="1"/>
  <c r="M536" i="1" a="1"/>
  <c r="M536" i="1"/>
  <c r="N535" i="1" a="1"/>
  <c r="N535" i="1"/>
  <c r="M535" i="1" a="1"/>
  <c r="M535" i="1"/>
  <c r="N534" i="1" a="1"/>
  <c r="N534" i="1"/>
  <c r="M534" i="1" a="1"/>
  <c r="M534" i="1"/>
  <c r="N533" i="1" a="1"/>
  <c r="N533" i="1"/>
  <c r="M533" i="1" a="1"/>
  <c r="M533" i="1"/>
  <c r="N532" i="1" a="1"/>
  <c r="N532" i="1"/>
  <c r="M532" i="1" a="1"/>
  <c r="M532" i="1"/>
  <c r="N531" i="1" a="1"/>
  <c r="N531" i="1"/>
  <c r="M531" i="1" a="1"/>
  <c r="M531" i="1"/>
  <c r="N530" i="1" a="1"/>
  <c r="N530" i="1"/>
  <c r="M530" i="1" a="1"/>
  <c r="M530" i="1"/>
  <c r="N529" i="1" a="1"/>
  <c r="N529" i="1"/>
  <c r="M529" i="1" a="1"/>
  <c r="M529" i="1"/>
  <c r="N528" i="1" a="1"/>
  <c r="N528" i="1"/>
  <c r="M528" i="1" a="1"/>
  <c r="M528" i="1"/>
  <c r="N527" i="1" a="1"/>
  <c r="N527" i="1"/>
  <c r="M527" i="1" a="1"/>
  <c r="M527" i="1"/>
  <c r="N526" i="1" a="1"/>
  <c r="N526" i="1"/>
  <c r="M526" i="1" a="1"/>
  <c r="M526" i="1"/>
  <c r="N525" i="1" a="1"/>
  <c r="N525" i="1"/>
  <c r="M525" i="1" a="1"/>
  <c r="M525" i="1"/>
  <c r="N524" i="1" a="1"/>
  <c r="N524" i="1"/>
  <c r="M524" i="1" a="1"/>
  <c r="M524" i="1"/>
  <c r="N523" i="1" a="1"/>
  <c r="N523" i="1"/>
  <c r="M523" i="1" a="1"/>
  <c r="M523" i="1"/>
  <c r="N522" i="1" a="1"/>
  <c r="N522" i="1"/>
  <c r="M522" i="1" a="1"/>
  <c r="M522" i="1"/>
  <c r="N521" i="1" a="1"/>
  <c r="N521" i="1"/>
  <c r="M521" i="1" a="1"/>
  <c r="M521" i="1"/>
  <c r="N520" i="1" a="1"/>
  <c r="N520" i="1"/>
  <c r="M520" i="1" a="1"/>
  <c r="M520" i="1"/>
  <c r="N515" i="1" a="1"/>
  <c r="N515" i="1"/>
  <c r="M515" i="1" a="1"/>
  <c r="M515" i="1"/>
  <c r="N514" i="1" a="1"/>
  <c r="N514" i="1"/>
  <c r="M514" i="1" a="1"/>
  <c r="M514" i="1"/>
  <c r="N511" i="1" a="1"/>
  <c r="N511" i="1"/>
  <c r="M511" i="1" a="1"/>
  <c r="M511" i="1"/>
  <c r="N510" i="1" a="1"/>
  <c r="N510" i="1"/>
  <c r="M510" i="1" a="1"/>
  <c r="M510" i="1"/>
  <c r="N509" i="1" a="1"/>
  <c r="N509" i="1"/>
  <c r="M509" i="1" a="1"/>
  <c r="M509" i="1"/>
  <c r="N508" i="1" a="1"/>
  <c r="N508" i="1"/>
  <c r="M508" i="1" a="1"/>
  <c r="M508" i="1"/>
  <c r="N507" i="1" a="1"/>
  <c r="N507" i="1"/>
  <c r="M507" i="1" a="1"/>
  <c r="M507" i="1"/>
  <c r="N506" i="1" a="1"/>
  <c r="N506" i="1"/>
  <c r="M506" i="1" a="1"/>
  <c r="M506" i="1"/>
  <c r="N505" i="1" a="1"/>
  <c r="N505" i="1"/>
  <c r="M505" i="1" a="1"/>
  <c r="M505" i="1"/>
  <c r="N504" i="1" a="1"/>
  <c r="N504" i="1"/>
  <c r="M504" i="1" a="1"/>
  <c r="M504" i="1"/>
  <c r="N503" i="1" a="1"/>
  <c r="N503" i="1"/>
  <c r="M503" i="1" a="1"/>
  <c r="M503" i="1"/>
  <c r="N502" i="1" a="1"/>
  <c r="N502" i="1"/>
  <c r="M502" i="1" a="1"/>
  <c r="M502" i="1"/>
  <c r="N501" i="1" a="1"/>
  <c r="N501" i="1"/>
  <c r="M501" i="1" a="1"/>
  <c r="M501" i="1"/>
  <c r="M500" i="1" a="1"/>
  <c r="M500" i="1"/>
  <c r="N498" i="1" a="1"/>
  <c r="N498" i="1"/>
  <c r="M498" i="1" a="1"/>
  <c r="M498" i="1"/>
  <c r="N497" i="1" a="1"/>
  <c r="N497" i="1"/>
  <c r="M497" i="1" a="1"/>
  <c r="M497" i="1"/>
  <c r="N496" i="1" a="1"/>
  <c r="N496" i="1"/>
  <c r="M496" i="1" a="1"/>
  <c r="M496" i="1"/>
  <c r="N495" i="1" a="1"/>
  <c r="N495" i="1"/>
  <c r="M495" i="1" a="1"/>
  <c r="M495" i="1"/>
  <c r="N494" i="1" a="1"/>
  <c r="N494" i="1"/>
  <c r="M494" i="1" a="1"/>
  <c r="M494" i="1"/>
  <c r="N491" i="1" a="1"/>
  <c r="N491" i="1" s="1"/>
  <c r="M491" i="1" a="1"/>
  <c r="M491" i="1" s="1"/>
  <c r="H484" i="1" a="1"/>
  <c r="H484" i="1"/>
  <c r="M484" i="1" a="1"/>
  <c r="M484" i="1"/>
  <c r="N484" i="1" a="1"/>
  <c r="N484" i="1"/>
  <c r="M486" i="1" a="1"/>
  <c r="M486" i="1" s="1"/>
  <c r="N486" i="1" a="1"/>
  <c r="N486" i="1" s="1"/>
  <c r="M487" i="1" a="1"/>
  <c r="M487" i="1" s="1"/>
  <c r="N487" i="1" a="1"/>
  <c r="N487" i="1" s="1"/>
  <c r="N481" i="1" a="1"/>
  <c r="N481" i="1" s="1"/>
  <c r="M481" i="1" a="1"/>
  <c r="M481" i="1" s="1"/>
  <c r="N482" i="1" a="1"/>
  <c r="N482" i="1" s="1"/>
  <c r="N483" i="1" a="1"/>
  <c r="N483" i="1" s="1"/>
  <c r="N499" i="1" a="1"/>
  <c r="N499" i="1" s="1"/>
  <c r="M499" i="1" a="1"/>
  <c r="M499" i="1" s="1"/>
  <c r="N488" i="1" a="1"/>
  <c r="N488" i="1" s="1"/>
  <c r="M488" i="1" a="1"/>
  <c r="M488" i="1" s="1"/>
  <c r="N474" i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L479" i="12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K479" i="12"/>
  <c r="K480" i="12"/>
  <c r="K481" i="12"/>
  <c r="K482" i="12"/>
  <c r="K483" i="12"/>
  <c r="K484" i="12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L480" i="12"/>
  <c r="L481" i="12"/>
  <c r="L482" i="12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BR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S489" i="12" s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S491" i="12" s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89" i="1" l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<sst xmlns="http://schemas.openxmlformats.org/spreadsheetml/2006/main" count="11257" uniqueCount="1717">
  <si>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</si>
  <si>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</si>
  <si>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</si>
  <si>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</si>
  <si>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</si>
  <si>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</si>
  <si>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</si>
  <si>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</si>
  <si>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</si>
  <si>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</si>
  <si>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</si>
  <si>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</si>
  <si>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</si>
  <si>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</si>
  <si>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</si>
  <si>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</si>
  <si>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</si>
  <si>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</si>
  <si>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</si>
  <si>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</si>
  <si>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</si>
  <si>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</si>
  <si>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</si>
  <si>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</si>
  <si>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</si>
  <si>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</si>
  <si>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</si>
  <si>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</si>
  <si>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</si>
  <si>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</si>
  <si>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</si>
  <si>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</si>
  <si>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</si>
  <si>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</si>
  <si>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</si>
  <si>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</si>
  <si>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</si>
  <si>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</si>
  <si>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</si>
  <si>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</si>
  <si>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</si>
  <si>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</si>
  <si>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</si>
  <si>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</si>
  <si>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</si>
  <si>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</si>
  <si>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</si>
  <si>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</si>
  <si>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</si>
  <si>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</si>
  <si>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</si>
  <si>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</si>
  <si>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</si>
  <si>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</si>
  <si>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</si>
  <si>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</si>
  <si>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</si>
  <si>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</si>
  <si>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</si>
  <si>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</si>
  <si>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</si>
  <si>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</si>
  <si>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</si>
  <si>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</si>
  <si>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</si>
  <si>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</si>
  <si>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</si>
  <si>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</si>
  <si>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</si>
  <si>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</si>
  <si>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</si>
  <si>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</si>
  <si>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</si>
  <si>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</si>
  <si>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</si>
  <si>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</si>
  <si>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</si>
  <si>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</si>
  <si>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</si>
  <si>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</si>
  <si>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</si>
  <si>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</si>
  <si>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</si>
  <si>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</si>
  <si>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</si>
  <si>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</si>
  <si>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</si>
  <si>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</si>
  <si>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</si>
  <si>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</si>
  <si>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</si>
  <si>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</si>
  <si>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</si>
  <si>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</si>
  <si>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</si>
  <si>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</si>
  <si>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</si>
  <si>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</si>
  <si>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</si>
  <si>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</si>
  <si>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</si>
  <si>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</si>
  <si>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</si>
  <si>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</si>
  <si>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</si>
  <si>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</si>
  <si>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</si>
  <si>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</si>
  <si>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</si>
  <si>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</si>
  <si>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</si>
  <si>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</si>
  <si>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</si>
  <si>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</si>
  <si>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</si>
  <si>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</si>
  <si>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</si>
  <si>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</si>
  <si>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</si>
  <si>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</si>
  <si>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</si>
  <si>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</si>
  <si>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</si>
  <si>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</si>
  <si>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</si>
  <si>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</si>
  <si>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</si>
  <si>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</si>
  <si>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</si>
  <si>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</si>
  <si>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</si>
  <si>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</si>
  <si>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</si>
  <si>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</si>
  <si>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</si>
  <si>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</si>
  <si>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</si>
  <si>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</si>
  <si>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</si>
  <si>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</si>
  <si>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</si>
  <si>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</si>
  <si>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</si>
  <si>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</si>
  <si>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</si>
  <si>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</si>
  <si>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</si>
  <si>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</si>
  <si>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</si>
  <si>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</si>
  <si>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</si>
  <si>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</si>
  <si>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</si>
  <si>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</si>
  <si>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</si>
  <si>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</si>
  <si>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</si>
  <si>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</si>
  <si>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</si>
  <si>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</si>
  <si>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</si>
  <si>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</si>
  <si>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</si>
  <si>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</si>
  <si>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</si>
  <si>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</si>
  <si>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</si>
  <si>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</si>
  <si>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</si>
  <si>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</si>
  <si>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</si>
  <si>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</si>
  <si>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</si>
  <si>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</si>
  <si>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</si>
  <si>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</si>
  <si>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</si>
  <si>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</si>
  <si>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</si>
  <si>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</si>
  <si>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</si>
  <si>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</si>
  <si>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</si>
  <si>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</si>
  <si>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</si>
  <si>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</si>
  <si>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</si>
  <si>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</si>
  <si>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</si>
  <si>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</si>
  <si>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</si>
  <si>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</si>
  <si>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</si>
  <si>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</si>
  <si>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</si>
  <si>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</si>
  <si>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</si>
  <si>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</si>
  <si>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</si>
  <si>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</si>
  <si>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</si>
  <si>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</si>
  <si>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</si>
  <si>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</si>
  <si>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</si>
  <si>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</si>
  <si>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</si>
  <si>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</si>
  <si>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</si>
  <si>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</si>
  <si>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</si>
  <si>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</si>
  <si>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</si>
  <si>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</si>
  <si>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</si>
  <si>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</si>
  <si>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</si>
  <si>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</si>
  <si>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</si>
  <si>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</si>
  <si>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</si>
  <si>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</si>
  <si>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</si>
  <si>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</si>
  <si>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</si>
  <si>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</si>
  <si>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</si>
  <si>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</si>
  <si>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</si>
  <si>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</si>
  <si>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</si>
  <si>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</si>
  <si>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</si>
  <si>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</si>
  <si>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</si>
  <si>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</si>
  <si>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</si>
  <si>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</si>
  <si>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</si>
  <si>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</si>
  <si>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</si>
  <si>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</si>
  <si>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</si>
  <si>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</si>
  <si>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</si>
  <si>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</si>
  <si>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</si>
  <si>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</si>
  <si>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</si>
  <si>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</si>
  <si>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</si>
  <si>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</si>
  <si>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</si>
  <si>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</si>
  <si>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</si>
  <si>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</si>
  <si>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</si>
  <si>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</si>
  <si>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</si>
  <si>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</si>
  <si>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</si>
  <si>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</si>
  <si>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</si>
  <si>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</si>
  <si>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</si>
  <si>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</si>
  <si>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</si>
  <si>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</si>
  <si>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</si>
  <si>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</si>
  <si>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</si>
  <si>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</si>
  <si>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</si>
  <si>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</si>
  <si>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</si>
  <si>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</si>
  <si>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</si>
  <si>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</si>
  <si>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</si>
  <si>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</si>
  <si>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</si>
  <si>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</si>
  <si>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</si>
  <si>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</si>
  <si>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</si>
  <si>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</si>
  <si>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</si>
  <si>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</si>
  <si>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</si>
  <si>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</si>
  <si>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</si>
  <si>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</si>
  <si>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</si>
  <si>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</si>
  <si>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</si>
  <si>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</si>
  <si>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</si>
  <si>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</si>
  <si>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</si>
  <si>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</si>
  <si>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</si>
  <si>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</si>
  <si>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</si>
  <si>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</si>
  <si>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</si>
  <si>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</si>
  <si>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</si>
  <si>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</si>
  <si>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</si>
  <si>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</si>
  <si>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</si>
  <si>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</si>
  <si>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</si>
  <si>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</si>
  <si>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</si>
  <si>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</si>
  <si>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</si>
  <si>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</si>
  <si>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</si>
  <si>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</si>
  <si>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</si>
  <si>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</si>
  <si>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</si>
  <si>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</si>
  <si>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</si>
  <si>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</si>
  <si>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</si>
  <si>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</si>
  <si>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</si>
  <si>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</si>
  <si>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</si>
  <si>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</si>
  <si>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</si>
  <si>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</si>
  <si>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</si>
  <si>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</si>
  <si>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</si>
  <si>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</si>
  <si>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</si>
  <si>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</si>
  <si>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</si>
  <si>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</si>
  <si>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</si>
  <si>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</si>
  <si>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</si>
  <si>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</si>
  <si>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</si>
  <si>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</si>
  <si>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</si>
  <si>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</si>
  <si>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</si>
  <si>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</si>
  <si>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</si>
  <si>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</si>
  <si>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</si>
  <si>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</si>
  <si>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</si>
  <si>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</si>
  <si>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</si>
  <si>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</si>
  <si>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</si>
  <si>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</si>
  <si>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</si>
  <si>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</si>
  <si>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</si>
  <si>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</si>
  <si>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</si>
  <si>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</si>
  <si>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</si>
  <si>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</si>
  <si>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</si>
  <si>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</si>
  <si>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</si>
  <si>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</si>
  <si>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</si>
  <si>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</si>
  <si>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</si>
  <si>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</si>
  <si>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</si>
  <si>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</si>
  <si>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</si>
  <si>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</si>
  <si>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</si>
  <si>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</si>
  <si>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</si>
  <si>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</si>
  <si>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</si>
  <si>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</si>
  <si>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</si>
  <si>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</si>
  <si>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</si>
  <si>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</si>
  <si>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</si>
  <si>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</si>
  <si>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</si>
  <si>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</si>
  <si>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</si>
  <si>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</si>
  <si>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</si>
  <si>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</si>
  <si>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</si>
  <si>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</si>
  <si>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</si>
  <si>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</si>
  <si>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</si>
  <si>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</si>
  <si>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</si>
  <si>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</si>
  <si>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</si>
  <si>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</si>
  <si>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</si>
  <si>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</si>
  <si>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</si>
  <si>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</si>
  <si>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</si>
  <si>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</si>
  <si>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</si>
  <si>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</si>
  <si>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</si>
  <si>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</si>
  <si>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</si>
  <si>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</si>
  <si>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</si>
  <si>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</si>
  <si>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</si>
  <si>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</si>
  <si>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</si>
  <si>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</si>
  <si>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</si>
  <si>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</si>
  <si>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</si>
  <si>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</si>
  <si>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</si>
  <si>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</si>
  <si>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</si>
  <si>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</si>
  <si>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</si>
  <si>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</si>
  <si>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</si>
  <si>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</si>
  <si>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</si>
  <si>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</si>
  <si>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</si>
  <si>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</si>
  <si>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</si>
  <si>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</si>
  <si>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</si>
  <si>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</si>
  <si>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</si>
  <si>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</si>
  <si>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</si>
  <si>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</si>
  <si>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</si>
  <si>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</si>
  <si>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</si>
  <si>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</si>
  <si>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</si>
  <si>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</si>
  <si>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</si>
  <si>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</si>
  <si>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</si>
  <si>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</si>
  <si>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</si>
  <si>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</si>
  <si>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</si>
  <si>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</si>
  <si>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</si>
  <si>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</si>
  <si>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</si>
  <si>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</si>
  <si>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</si>
  <si>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</si>
  <si>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</si>
  <si>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</si>
  <si>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</si>
  <si>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</si>
  <si>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</si>
  <si>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</si>
  <si>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</si>
  <si>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</si>
  <si>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</si>
  <si>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</si>
  <si>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</si>
  <si>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</si>
  <si>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</si>
  <si>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</si>
  <si>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</si>
  <si>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</si>
  <si>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</si>
  <si>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</si>
  <si>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</si>
  <si>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</si>
  <si>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</si>
  <si>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</si>
  <si>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</si>
  <si>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</si>
  <si>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</si>
  <si>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</si>
  <si>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</si>
  <si>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</si>
  <si>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</si>
  <si>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</si>
  <si>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</si>
  <si>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</si>
  <si>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</si>
  <si>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</si>
  <si>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</si>
  <si>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</si>
  <si>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</si>
  <si>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</si>
  <si>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</si>
  <si>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</si>
  <si>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</si>
  <si>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</si>
  <si>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</si>
  <si>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</si>
  <si>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</si>
  <si>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</si>
  <si>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</si>
  <si>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</si>
  <si>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</si>
  <si>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</si>
  <si>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</si>
  <si>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</si>
  <si>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</si>
  <si>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</si>
  <si>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</si>
  <si>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</si>
  <si>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</si>
  <si>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</si>
  <si>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</si>
  <si>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</si>
  <si>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</si>
  <si>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</si>
  <si>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</si>
  <si>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</si>
  <si>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</si>
  <si>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</si>
  <si>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</si>
  <si>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</si>
  <si>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</si>
  <si>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</si>
  <si>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</si>
  <si>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</si>
  <si>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</si>
  <si>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</si>
  <si>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</si>
  <si>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</si>
  <si>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</si>
  <si>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</si>
  <si>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</si>
  <si>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</si>
  <si>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</si>
  <si>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</si>
  <si>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</si>
  <si>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</si>
  <si>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</si>
  <si>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</si>
  <si>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</si>
  <si>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</si>
  <si>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</si>
  <si>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</si>
  <si>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</si>
  <si>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</si>
  <si>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</si>
  <si>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</si>
  <si>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</si>
  <si>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</si>
  <si>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</si>
  <si>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</si>
  <si>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</si>
  <si>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</si>
  <si>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</si>
  <si>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</si>
  <si>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</si>
  <si>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</si>
  <si>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</si>
  <si>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</si>
  <si>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</si>
  <si>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</si>
  <si>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</si>
  <si>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</si>
  <si>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</si>
  <si>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</si>
  <si>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</si>
  <si>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</si>
  <si>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</si>
  <si>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</si>
  <si>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</si>
  <si>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</si>
  <si>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</si>
  <si>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</si>
  <si>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</si>
  <si>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</si>
  <si>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</si>
  <si>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</si>
  <si>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</si>
  <si>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</si>
  <si>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</si>
  <si>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</si>
  <si>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</si>
  <si>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</si>
  <si>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</si>
  <si>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</si>
  <si>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</si>
  <si>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</si>
  <si>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</si>
  <si>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</si>
  <si>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</si>
  <si>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</si>
  <si>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</si>
  <si>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</si>
  <si>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</si>
  <si>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</si>
  <si>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</si>
  <si>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</si>
  <si>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</si>
  <si>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</si>
  <si>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</si>
  <si>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</si>
  <si>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</si>
  <si>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</si>
  <si>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</si>
  <si>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</si>
  <si>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</si>
  <si>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</si>
  <si>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</si>
  <si>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</si>
  <si>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</si>
  <si>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</si>
  <si>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</si>
  <si>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</si>
  <si>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</si>
  <si>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</si>
  <si>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</si>
  <si>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</si>
  <si>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</si>
  <si>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</si>
  <si>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</si>
  <si>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</si>
  <si>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</si>
  <si>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</si>
  <si>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</si>
  <si>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</si>
  <si>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</si>
  <si>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</si>
  <si>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</si>
  <si>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</si>
  <si>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</si>
  <si>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</si>
  <si>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</si>
  <si>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</si>
  <si>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</si>
  <si>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</si>
  <si>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</si>
  <si>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</si>
  <si>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</si>
  <si>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</si>
  <si>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</si>
  <si>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</si>
  <si>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</si>
  <si>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</si>
  <si>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</si>
  <si>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</si>
  <si>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</si>
  <si>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</si>
  <si>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</si>
  <si>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</si>
  <si>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</si>
  <si>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</si>
  <si>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</si>
  <si>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</si>
  <si>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</si>
  <si>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</si>
  <si>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</si>
  <si>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</si>
  <si>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</si>
  <si>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</si>
  <si>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</si>
  <si>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</si>
  <si>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</si>
  <si>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</si>
  <si>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</si>
  <si>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</si>
  <si>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</si>
  <si>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</si>
  <si>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</si>
  <si>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</si>
  <si>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</si>
  <si>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</si>
  <si>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</si>
  <si>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</si>
  <si>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</si>
  <si>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</si>
  <si>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</si>
  <si>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</si>
  <si>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</si>
  <si>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</si>
  <si>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</si>
  <si>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</si>
  <si>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</si>
  <si>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</si>
  <si>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</si>
  <si>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</si>
  <si>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</si>
  <si>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</si>
  <si>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</si>
  <si>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</si>
  <si>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</si>
  <si>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</si>
  <si>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</si>
  <si>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</si>
  <si>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</si>
  <si>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</si>
  <si>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</si>
  <si>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</si>
  <si>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</si>
  <si>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</si>
  <si>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</si>
  <si>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</si>
  <si>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</si>
  <si>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</si>
  <si>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</si>
  <si>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</si>
  <si>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</si>
  <si>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</si>
  <si>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</si>
  <si>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</si>
  <si>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</si>
  <si>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</si>
  <si>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</si>
  <si>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</si>
  <si>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</si>
  <si>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</si>
  <si>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</si>
  <si>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</si>
  <si>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</si>
  <si>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</si>
  <si>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</si>
  <si>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</si>
  <si>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</si>
  <si>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</si>
  <si>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</si>
  <si>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</si>
  <si>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</si>
  <si>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</si>
  <si>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</si>
  <si>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</si>
  <si>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</si>
  <si>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</si>
  <si>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</si>
  <si>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</si>
  <si>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</si>
  <si>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</si>
  <si>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</si>
  <si>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</si>
  <si>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</si>
  <si>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</si>
  <si>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</si>
  <si>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</si>
  <si>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</si>
  <si>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</si>
  <si>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</si>
  <si>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</si>
  <si>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</si>
  <si>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</si>
  <si>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</si>
  <si>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</si>
  <si>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</si>
  <si>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</si>
  <si>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</si>
  <si>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</si>
  <si>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</si>
  <si>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</si>
  <si>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</si>
  <si>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</si>
  <si>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</si>
  <si>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</si>
  <si>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</si>
  <si>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</si>
  <si>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</si>
  <si>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</si>
  <si>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</si>
  <si>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</si>
  <si>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</si>
  <si>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</si>
  <si>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</si>
  <si>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</si>
  <si>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</si>
  <si>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</si>
  <si>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</si>
  <si>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</si>
  <si>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</si>
  <si>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</si>
  <si>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</si>
  <si>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</si>
  <si>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</si>
  <si>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</si>
  <si>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</si>
  <si>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</si>
  <si>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</si>
  <si>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</si>
  <si>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</si>
  <si>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</si>
  <si>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</si>
  <si>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</si>
  <si>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</si>
  <si>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</si>
  <si>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</si>
  <si>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</si>
  <si>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</si>
  <si>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</si>
  <si>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</si>
  <si>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</si>
  <si>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</si>
  <si>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</si>
  <si>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</si>
  <si>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</si>
  <si>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</si>
  <si>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</si>
  <si>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</si>
  <si>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</si>
  <si>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</si>
  <si>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</si>
  <si>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</si>
  <si>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</si>
  <si>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</si>
  <si>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</si>
  <si>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</si>
  <si>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</si>
  <si>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</si>
  <si>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</si>
  <si>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</si>
  <si>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</si>
  <si>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</si>
  <si>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</si>
  <si>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</si>
  <si>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</si>
  <si>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</si>
  <si>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</si>
  <si>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</si>
  <si>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</si>
  <si>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</si>
  <si>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</si>
  <si>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</si>
  <si>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</si>
  <si>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</si>
  <si>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</si>
  <si>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</si>
  <si>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</si>
  <si>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</si>
  <si>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</si>
  <si>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</si>
  <si>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</si>
  <si>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</si>
  <si>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</si>
  <si>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</si>
  <si>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</si>
  <si>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</si>
  <si>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</si>
  <si>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</si>
  <si>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</si>
  <si>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</si>
  <si>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</si>
  <si>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</si>
  <si>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</si>
  <si>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</si>
  <si>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</si>
  <si>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</si>
  <si>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</si>
  <si>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</si>
  <si>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</si>
  <si>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</si>
  <si>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</si>
  <si>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</si>
  <si>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</si>
  <si>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</si>
  <si>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</si>
  <si>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</si>
  <si>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</si>
  <si>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</si>
  <si>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</si>
  <si>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</si>
  <si>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</si>
  <si>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</si>
  <si>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</si>
  <si>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</si>
  <si>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</si>
  <si>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</si>
  <si>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</si>
  <si>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</si>
  <si>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</si>
  <si>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</si>
  <si>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</si>
  <si>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</si>
  <si>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</si>
  <si>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</si>
  <si>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</si>
  <si>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</si>
  <si>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</si>
  <si>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</si>
  <si>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</si>
  <si>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</si>
  <si>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</si>
  <si>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</si>
  <si>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</si>
  <si>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</si>
  <si>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</si>
  <si>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</si>
  <si>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</si>
  <si>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</si>
  <si>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</si>
  <si>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</si>
  <si>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</si>
  <si>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</si>
  <si>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</si>
  <si>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</si>
  <si>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</si>
  <si>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</si>
  <si>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</si>
  <si>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</si>
  <si>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</si>
  <si>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</si>
  <si>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</si>
  <si>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</si>
  <si>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</si>
  <si>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</si>
  <si>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</si>
  <si>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</si>
  <si>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</si>
  <si>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</si>
  <si>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</si>
  <si>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</si>
  <si>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</si>
  <si>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</si>
  <si>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</si>
  <si>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</si>
  <si>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</si>
  <si>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</si>
  <si>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</si>
  <si>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</si>
  <si>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</si>
  <si>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</si>
  <si>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</si>
  <si>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</si>
  <si>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</si>
  <si>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</si>
  <si>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</si>
  <si>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</si>
  <si>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</si>
  <si>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</si>
  <si>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</si>
  <si>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</si>
  <si>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</si>
  <si>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</si>
  <si>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</si>
  <si>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</si>
  <si>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</si>
  <si>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</si>
  <si>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</si>
  <si>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</si>
  <si>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</si>
  <si>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</si>
  <si>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</si>
  <si>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</si>
  <si>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</si>
  <si>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</si>
  <si>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</si>
  <si>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</si>
  <si>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</si>
  <si>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</si>
  <si>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</si>
  <si>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</si>
  <si>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</si>
  <si>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</si>
  <si>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</si>
  <si>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</si>
  <si>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</si>
  <si>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</si>
  <si>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</si>
  <si>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</si>
  <si>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</si>
  <si>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</si>
  <si>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</si>
  <si>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</si>
  <si>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</si>
  <si>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</si>
  <si>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</si>
  <si>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</si>
  <si>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</si>
  <si>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</si>
  <si>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</si>
  <si>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</si>
  <si>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</si>
  <si>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</si>
  <si>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</si>
  <si>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</si>
  <si>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</si>
  <si>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</si>
  <si>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</si>
  <si>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</si>
  <si>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</si>
  <si>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</si>
  <si>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</si>
  <si>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</si>
  <si>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</si>
  <si>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</si>
  <si>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</si>
  <si>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</si>
  <si>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</si>
  <si>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</si>
  <si>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</si>
  <si>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</si>
  <si>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</si>
  <si>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</si>
  <si>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</si>
  <si>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</si>
  <si>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</si>
  <si>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</si>
  <si>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</si>
  <si>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</si>
  <si>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</si>
  <si>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</si>
  <si>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</si>
  <si>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</si>
  <si>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</si>
  <si>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</si>
  <si>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</si>
  <si>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</si>
  <si>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</si>
  <si>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</si>
  <si>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</si>
  <si>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</si>
  <si>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</si>
  <si>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</si>
  <si>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</si>
  <si>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</si>
  <si>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</si>
  <si>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</si>
  <si>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</si>
  <si>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</si>
  <si>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</si>
  <si>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</si>
  <si>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</si>
  <si>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</si>
  <si>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</si>
  <si>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</si>
  <si>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</si>
  <si>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</si>
  <si>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</si>
  <si>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</si>
  <si>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</si>
  <si>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</si>
  <si>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</si>
  <si>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</si>
  <si>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</si>
  <si>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</si>
  <si>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</si>
  <si>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</si>
  <si>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</si>
  <si>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</si>
  <si>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</si>
  <si>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</si>
  <si>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</si>
  <si>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</si>
  <si>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</si>
  <si>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</si>
  <si>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</si>
  <si>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</si>
  <si>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</si>
  <si>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</si>
  <si>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</si>
  <si>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</si>
  <si>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</si>
  <si>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</si>
  <si>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</si>
  <si>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</si>
  <si>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</si>
  <si>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</si>
  <si>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</si>
  <si>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</si>
  <si>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</si>
  <si>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</si>
  <si>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</si>
  <si>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</si>
  <si>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</si>
  <si>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</si>
  <si>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</si>
  <si>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</si>
  <si>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</si>
  <si>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</si>
  <si>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</si>
  <si>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</si>
  <si>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</si>
  <si>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</si>
  <si>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</si>
  <si>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</si>
  <si>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</si>
  <si>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</si>
  <si>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</si>
  <si>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</si>
  <si>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</si>
  <si>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</si>
  <si>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</si>
  <si>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</si>
  <si>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</si>
  <si>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</si>
  <si>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</si>
  <si>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</si>
  <si>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</si>
  <si>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</si>
  <si>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</si>
  <si>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</si>
  <si>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</si>
  <si>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</si>
  <si>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</si>
  <si>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</si>
  <si>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</si>
  <si>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</si>
  <si>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</si>
  <si>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</si>
  <si>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</si>
  <si>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</si>
  <si>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</si>
  <si>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</si>
  <si>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</si>
  <si>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</si>
  <si>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</si>
  <si>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</si>
  <si>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</si>
  <si>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</si>
  <si>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</si>
  <si>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</si>
  <si>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</si>
  <si>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</si>
  <si>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</si>
  <si>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</si>
  <si>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</si>
  <si>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</si>
  <si>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</si>
  <si>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</si>
  <si>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</si>
  <si>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</si>
  <si>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</si>
  <si>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</si>
  <si>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</si>
  <si>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</si>
  <si>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</si>
  <si>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</si>
  <si>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</si>
  <si>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</si>
  <si>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</si>
  <si>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</si>
  <si>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</si>
  <si>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</si>
  <si>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</si>
  <si>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</si>
  <si>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</si>
  <si>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</si>
  <si>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</si>
  <si>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</si>
  <si>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</si>
  <si>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</si>
  <si>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</si>
  <si>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</si>
  <si>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</si>
  <si>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</si>
  <si>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</si>
  <si>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</si>
  <si>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</si>
  <si>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</si>
  <si>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</si>
  <si>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</si>
  <si>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</si>
  <si>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</si>
  <si>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</si>
  <si>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</si>
  <si>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</si>
  <si>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</si>
  <si>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</si>
  <si>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</si>
  <si>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</si>
  <si>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</si>
  <si>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</si>
  <si>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</si>
  <si>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</si>
  <si>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</si>
  <si>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</si>
  <si>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</si>
  <si>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</si>
  <si>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</si>
  <si>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</si>
  <si>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</si>
  <si>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</si>
  <si>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</si>
  <si>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</si>
  <si>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</si>
  <si>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</si>
  <si>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</si>
  <si>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</si>
  <si>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</si>
  <si>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</si>
  <si>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</si>
  <si>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</si>
  <si>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</si>
  <si>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</si>
  <si>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</si>
  <si>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</si>
  <si>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</si>
  <si>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</si>
  <si>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</si>
  <si>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</si>
  <si>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</si>
  <si>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</si>
  <si>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</si>
  <si>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</si>
  <si>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</si>
  <si>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</si>
  <si>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</si>
  <si>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</si>
  <si>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</si>
  <si>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</si>
  <si>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</si>
  <si>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</si>
  <si>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</si>
  <si>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</si>
  <si>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</si>
  <si>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</si>
  <si>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</si>
  <si>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</si>
  <si>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</si>
  <si>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</si>
  <si>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</si>
  <si>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</si>
  <si>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</si>
  <si>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</si>
  <si>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</si>
  <si>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</si>
  <si>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</si>
  <si>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</si>
  <si>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</si>
  <si>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</si>
  <si>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</si>
  <si>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</si>
  <si>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</si>
  <si>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</si>
  <si>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</si>
  <si>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</si>
  <si>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</si>
  <si>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</si>
  <si>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</si>
  <si>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</si>
  <si>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</si>
  <si>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</si>
  <si>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</si>
  <si>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</si>
  <si>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</si>
  <si>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</si>
  <si>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</si>
  <si>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</si>
  <si>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</si>
  <si>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</si>
  <si>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</si>
  <si>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</si>
  <si>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</si>
  <si>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</si>
  <si>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</si>
  <si>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</si>
  <si>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</si>
  <si>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</si>
  <si>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</si>
  <si>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</si>
  <si>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</si>
  <si>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</si>
  <si>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</si>
  <si>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</si>
  <si>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</si>
  <si>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</si>
  <si>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</si>
  <si>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</si>
  <si>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</si>
  <si>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</si>
  <si>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</si>
  <si>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</si>
  <si>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</si>
  <si>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</si>
  <si>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</si>
  <si>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</si>
  <si>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</si>
  <si>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</si>
  <si>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</si>
  <si>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</si>
  <si>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</si>
  <si>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</si>
  <si>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</si>
  <si>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</si>
  <si>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</si>
  <si>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</si>
  <si>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</si>
  <si>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</si>
  <si>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</si>
  <si>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</si>
  <si>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</si>
  <si>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</si>
  <si>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</si>
  <si>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</si>
  <si>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</si>
  <si>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</si>
  <si>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</si>
  <si>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</si>
  <si>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</si>
  <si>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</si>
  <si>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</si>
  <si>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</si>
  <si>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</si>
  <si>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</si>
  <si>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</si>
  <si>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</si>
  <si>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</si>
  <si>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</si>
  <si>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</si>
  <si>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</si>
  <si>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</si>
  <si>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</si>
  <si>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</si>
  <si>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</si>
  <si>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</si>
  <si>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</si>
  <si>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</si>
  <si>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</si>
  <si>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</si>
  <si>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</si>
  <si>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</si>
  <si>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</si>
  <si>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</si>
  <si>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</si>
  <si>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</si>
  <si>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</si>
  <si>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</si>
  <si>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</si>
  <si>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</si>
  <si>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</si>
  <si>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</si>
  <si>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</si>
  <si>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</si>
  <si>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</si>
  <si>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</si>
  <si>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</si>
  <si>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</si>
  <si>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</si>
  <si>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</si>
  <si>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</si>
  <si>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</si>
  <si>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</si>
  <si>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</si>
  <si>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</si>
  <si>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</si>
  <si>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</si>
  <si>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</si>
  <si>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</si>
  <si>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</si>
  <si>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</si>
  <si>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</si>
  <si>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</si>
  <si>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</si>
  <si>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</si>
  <si>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</si>
  <si>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</si>
  <si>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</si>
  <si>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</si>
  <si>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</si>
  <si>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</si>
  <si>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</si>
  <si>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</si>
  <si>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</si>
  <si>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</si>
  <si>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</si>
  <si>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</si>
  <si>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</si>
  <si>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</si>
  <si>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</si>
  <si>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</si>
  <si>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</si>
  <si>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</si>
  <si>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</si>
  <si>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</si>
  <si>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</si>
  <si>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</si>
  <si>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</si>
  <si>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</si>
  <si>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</si>
  <si>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</si>
  <si>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</si>
  <si>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</si>
  <si>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</si>
  <si>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</si>
  <si>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</si>
  <si>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</si>
  <si>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</si>
  <si>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</si>
  <si>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</si>
  <si>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</si>
  <si>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</si>
  <si>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</si>
  <si>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</si>
  <si>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</si>
  <si>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</si>
  <si>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</si>
  <si>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</si>
  <si>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</si>
  <si>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</si>
  <si>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</si>
  <si>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</si>
  <si>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</si>
  <si>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</si>
  <si>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</si>
  <si>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</si>
  <si>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</si>
  <si>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</si>
  <si>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</si>
  <si>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</si>
  <si>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</si>
  <si>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</si>
  <si>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</si>
  <si>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</si>
  <si>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</si>
  <si>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</si>
  <si>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</si>
  <si>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</si>
  <si>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</si>
  <si>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</si>
  <si>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</si>
  <si>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</si>
  <si>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</si>
  <si>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</si>
  <si>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</si>
  <si>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</si>
  <si>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</si>
  <si>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</si>
  <si>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</si>
  <si>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</si>
  <si>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</si>
  <si>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</si>
  <si>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</si>
  <si>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</si>
  <si>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</si>
  <si>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</si>
  <si>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</si>
  <si>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</si>
  <si>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</si>
  <si>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</si>
  <si>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</si>
  <si>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</si>
  <si>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</si>
  <si>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</si>
  <si>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</si>
  <si>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</si>
  <si>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</si>
  <si>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</si>
  <si>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</si>
  <si>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</si>
  <si>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</si>
  <si>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</si>
  <si>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</si>
  <si>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</si>
  <si>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</si>
  <si>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</si>
  <si>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</si>
  <si>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</si>
  <si>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</si>
  <si>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</si>
  <si>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</si>
  <si>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</si>
  <si>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</si>
  <si>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</si>
  <si>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</si>
  <si>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</si>
  <si>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</si>
  <si>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</si>
  <si>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</si>
  <si>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</si>
  <si>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</si>
  <si>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</si>
  <si>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</si>
  <si>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</si>
  <si>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</si>
  <si>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</si>
  <si>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</si>
  <si>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</si>
  <si>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</si>
  <si>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</si>
  <si>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</si>
  <si>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</si>
  <si>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</si>
  <si>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</si>
  <si>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</si>
  <si>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</si>
  <si>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</si>
  <si>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</si>
  <si>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</si>
  <si>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</si>
  <si>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</si>
  <si>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</si>
  <si>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</si>
  <si>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</si>
  <si>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</si>
  <si>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</si>
  <si>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</si>
  <si>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</si>
  <si>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</si>
  <si>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</si>
  <si>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</si>
  <si>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</si>
  <si>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</si>
  <si>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</si>
  <si>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</si>
  <si>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</si>
  <si>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</si>
  <si>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</si>
  <si>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</si>
  <si>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</si>
  <si>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</si>
  <si>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</si>
  <si>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</si>
  <si>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</si>
  <si>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</si>
  <si>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</si>
  <si>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</si>
  <si>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</si>
  <si>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</si>
  <si>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</si>
  <si>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</si>
  <si>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</si>
  <si>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</si>
  <si>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</si>
  <si>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</si>
  <si>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</si>
  <si>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</si>
  <si>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</si>
  <si>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</si>
  <si>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</si>
  <si>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</si>
  <si>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</si>
  <si>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</si>
  <si>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</si>
  <si>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</si>
  <si>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</si>
  <si>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</si>
  <si>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</si>
  <si>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</si>
  <si>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</si>
  <si>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</si>
  <si>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</si>
  <si>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</si>
  <si>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</si>
  <si>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</si>
  <si>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</si>
  <si>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</si>
  <si>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</si>
  <si>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</si>
  <si>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</si>
  <si>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</si>
  <si>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</si>
  <si>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</si>
  <si>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</si>
  <si>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</si>
  <si>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</si>
  <si>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</si>
  <si>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</si>
  <si>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</si>
  <si>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</si>
  <si>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</si>
  <si>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</si>
  <si>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</si>
  <si>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</si>
  <si>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</si>
  <si>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</si>
  <si>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</si>
  <si>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</si>
  <si>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</si>
  <si>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</si>
  <si>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</si>
  <si>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</si>
  <si>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</si>
  <si>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</si>
  <si>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</si>
  <si>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</si>
  <si>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</si>
  <si>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</si>
  <si>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</si>
  <si>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</si>
  <si>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</si>
  <si>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</si>
  <si>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</si>
  <si>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</si>
  <si>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</si>
  <si>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</si>
  <si>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</si>
  <si>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</si>
  <si>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</si>
  <si>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</si>
  <si>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</si>
  <si>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</si>
  <si>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</si>
  <si>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</si>
  <si>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</si>
  <si>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</si>
  <si>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</si>
  <si>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</si>
  <si>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</si>
  <si>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</si>
  <si>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</si>
  <si>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</si>
  <si>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</si>
  <si>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</si>
  <si>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</si>
  <si>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</si>
  <si>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</si>
  <si>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</si>
  <si>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</si>
  <si>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</si>
  <si>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</si>
  <si>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</si>
  <si>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</si>
  <si>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</si>
  <si>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</si>
  <si>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</si>
  <si>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</si>
  <si>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</si>
  <si>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</si>
  <si>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</si>
  <si>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</si>
  <si>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</si>
  <si>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Descarga de pedra km 183+000 em ZDY1832 (30min) + Descarga de dormentes km168+000 em ZER169 (30min) + Descarga de jacaré km158+000 em ZPSZCX (10min).</t>
  </si>
  <si>
    <t>Bloco para execuções de soldas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</si>
  <si>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</si>
  <si>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</si>
  <si>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</si>
  <si>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</si>
  <si>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</si>
  <si>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</si>
  <si>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>ZKW-ZEV</t>
  </si>
  <si>
    <t>ZKWZEV</t>
  </si>
  <si>
    <t>Andresa / John</t>
  </si>
  <si>
    <t>V98 CCP + R7D Embarcado</t>
  </si>
  <si>
    <t>Deslocamento direto de ZEV para ZKW</t>
  </si>
  <si>
    <t>Edson / Moisés</t>
  </si>
  <si>
    <t>Antoni / Moisés</t>
  </si>
  <si>
    <t>Substituição de dormentes - Podendo ser fracionado em 2 intervalo de 01h00 cada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</si>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</sst>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BC474" activePane="bottomRight" state="frozen"/>
      <selection pane="bottomRight" activeCell="BM481" sqref="BM48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23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61">
        <v>46010</v>
      </c>
      <c r="C455" s="8"/>
      <c r="D455" s="52" t="s">
        <v>561</v>
      </c>
      <c r="E455" s="31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23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 hidden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0.56000000000000005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60" t="s">
        <v>1596</v>
      </c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0.56333333333333313</v>
      </c>
      <c r="BS465" s="19">
        <f>IF(OR(B465="",F465=""),"*",BA465/Q465)</f>
        <v>0.56000000000000005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60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>
        <v>0.40625</v>
      </c>
      <c r="AS474" s="242">
        <v>0</v>
      </c>
      <c r="AT474" s="242">
        <v>0</v>
      </c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83" t="s">
        <v>1607</v>
      </c>
      <c r="BK474" s="283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83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>
        <v>0</v>
      </c>
      <c r="AS475" s="242">
        <v>0</v>
      </c>
      <c r="AT475" s="242">
        <v>0</v>
      </c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83" t="s">
        <v>1609</v>
      </c>
      <c r="BK475" s="283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83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>
        <v>0.40972222222222221</v>
      </c>
      <c r="AS476" s="242">
        <v>0</v>
      </c>
      <c r="AT476" s="242">
        <v>6.25E-2</v>
      </c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83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>
        <v>0.35416666666666669</v>
      </c>
      <c r="AS477" s="242">
        <v>0</v>
      </c>
      <c r="AT477" s="242">
        <v>6.25E-2</v>
      </c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83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1614</v>
      </c>
      <c r="W479" s="261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>
        <v>0</v>
      </c>
      <c r="AS479" s="242">
        <v>0</v>
      </c>
      <c r="AT479" s="242">
        <v>0</v>
      </c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83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>
        <v>0</v>
      </c>
      <c r="AS481" s="242">
        <v>0</v>
      </c>
      <c r="AT481" s="242">
        <v>0</v>
      </c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83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>
        <v>0.3527777777777778</v>
      </c>
      <c r="AS482" s="242">
        <v>0.39583333333333331</v>
      </c>
      <c r="AT482" s="242">
        <v>0.4375</v>
      </c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83" t="s">
        <v>1620</v>
      </c>
      <c r="BK482" s="283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>
        <v>0.3215277777777778</v>
      </c>
      <c r="AS483" s="242">
        <v>0.3576388888888889</v>
      </c>
      <c r="AT483" s="242">
        <v>0.39930555555555558</v>
      </c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83" t="s">
        <v>1622</v>
      </c>
      <c r="BK483" s="283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>
        <v>0.34513888888888888</v>
      </c>
      <c r="AS484" s="242">
        <v>0</v>
      </c>
      <c r="AT484" s="242">
        <v>0</v>
      </c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83" t="s">
        <v>1625</v>
      </c>
      <c r="BK484" s="283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83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>
        <v>0.31180555555555556</v>
      </c>
      <c r="AS485" s="242">
        <v>0</v>
      </c>
      <c r="AT485" s="242">
        <v>0</v>
      </c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83" t="s">
        <v>1628</v>
      </c>
      <c r="BK485" s="283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83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>
        <v>0</v>
      </c>
      <c r="AS486" s="242">
        <v>0</v>
      </c>
      <c r="AT486" s="242">
        <v>0</v>
      </c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83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>
        <v>0.45833333333333331</v>
      </c>
      <c r="AS487" s="242">
        <v>0</v>
      </c>
      <c r="AT487" s="242">
        <v>6.25E-2</v>
      </c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83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92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61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9" t="str">
        <f>IF(BS_CONTROLE[[#This Row],[Local - Partida]]=0, "-", BS_CONTROLE[[#This Row],[Local - Partida]])</f>
        <v>ZPT1051</v>
      </c>
      <c r="AL489" s="279" t="str">
        <f>IF(BS_CONTROLE[[#This Row],[Local - Encerramento]]=0, "-", BS_CONTROLE[[#This Row],[Local - Encerramento]])</f>
        <v>ZEM1</v>
      </c>
      <c r="AM489" s="279" t="str">
        <f>IF(BS_CONTROLE[[#This Row],[Entre - Estações]]=0, "-", BS_CONTROLE[[#This Row],[Entre - Estações]])</f>
        <v>ZPT-ZEV</v>
      </c>
      <c r="AN489" s="279" t="str">
        <f>IF(BS_CONTROLE[[#This Row],[SB]]=0, "-", BS_CONTROLE[[#This Row],[SB]])</f>
        <v>ZPTZEV</v>
      </c>
      <c r="AO489" s="259">
        <f>IF(BS_CONTROLE[[#This Row],[SUB]]=0, "-", BS_CONTROLE[[#This Row],[SUB]])</f>
        <v>54</v>
      </c>
      <c r="AP489" s="260">
        <f>IF(BS_CONTROLE[[#This Row],[KM - Inicio]]=0, "-", BS_CONTROLE[[#This Row],[KM - Inicio]])</f>
        <v>105</v>
      </c>
      <c r="AQ489" s="260">
        <f>IF(BS_CONTROLE[[#This Row],[KM - Fim]]=0, "-", BS_CONTROLE[[#This Row],[KM - Fim]])</f>
        <v>65</v>
      </c>
      <c r="AR489" s="242"/>
      <c r="AS489" s="242"/>
      <c r="AT489" s="242"/>
      <c r="AU489" s="242"/>
      <c r="AV489" s="242"/>
      <c r="AW489" s="242"/>
      <c r="AX489" s="39"/>
      <c r="AY489" s="12">
        <f>IF(D489="","*",IFERROR(IF(ISODD(COUNT(AS489:AX489)),"ERRO",SUM((AT489-AS489),(AV489-AU489),(AX489-AW489))),"ERRO"))</f>
        <v>0</v>
      </c>
      <c r="AZ489" s="14"/>
      <c r="BA489" s="72"/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61" t="str">
        <f>IF(BS_CONTROLE[[#This Row],[Responsavel pelo boletim]]=0, "-", BS_CONTROLE[[#This Row],[Responsavel pelo boletim]])</f>
        <v>John / Andressa</v>
      </c>
      <c r="BG489" s="16"/>
      <c r="BH489" s="17"/>
      <c r="BI489" s="17"/>
      <c r="BJ489" s="283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Produção e Intervalo</v>
      </c>
      <c r="BR489" s="19">
        <f>IF(OR(B489="",F489=""),"*",AY489/P489)</f>
        <v>0</v>
      </c>
      <c r="BS489" s="19">
        <f>IF(OR(B489="",F489=""),"*",BA489/Q489)</f>
        <v>0</v>
      </c>
      <c r="BT489" s="225" t="str">
        <f t="shared" si="53"/>
        <v/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92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61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9" t="str">
        <f>IF(BS_CONTROLE[[#This Row],[Local - Partida]]=0, "-", BS_CONTROLE[[#This Row],[Local - Partida]])</f>
        <v>109ZPT2</v>
      </c>
      <c r="AL490" s="279" t="str">
        <f>IF(BS_CONTROLE[[#This Row],[Local - Encerramento]]=0, "-", BS_CONTROLE[[#This Row],[Local - Encerramento]])</f>
        <v>ZPTZDR</v>
      </c>
      <c r="AM490" s="279" t="str">
        <f>IF(BS_CONTROLE[[#This Row],[Entre - Estações]]=0, "-", BS_CONTROLE[[#This Row],[Entre - Estações]])</f>
        <v>ZGM-109</v>
      </c>
      <c r="AN490" s="279" t="str">
        <f>IF(BS_CONTROLE[[#This Row],[SB]]=0, "-", BS_CONTROLE[[#This Row],[SB]])</f>
        <v>ZGM2</v>
      </c>
      <c r="AO490" s="259">
        <f>IF(BS_CONTROLE[[#This Row],[SUB]]=0, "-", BS_CONTROLE[[#This Row],[SUB]])</f>
        <v>53</v>
      </c>
      <c r="AP490" s="260">
        <f>IF(BS_CONTROLE[[#This Row],[KM - Inicio]]=0, "-", BS_CONTROLE[[#This Row],[KM - Inicio]])</f>
        <v>114.3</v>
      </c>
      <c r="AQ490" s="260">
        <f>IF(BS_CONTROLE[[#This Row],[KM - Fim]]=0, "-", BS_CONTROLE[[#This Row],[KM - Fim]])</f>
        <v>115</v>
      </c>
      <c r="AR490" s="242"/>
      <c r="AS490" s="242"/>
      <c r="AT490" s="242"/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/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61" t="str">
        <f>IF(BS_CONTROLE[[#This Row],[Responsavel pelo boletim]]=0, "-", BS_CONTROLE[[#This Row],[Responsavel pelo boletim]])</f>
        <v>Saulo</v>
      </c>
      <c r="BG490" s="16"/>
      <c r="BH490" s="17"/>
      <c r="BI490" s="17"/>
      <c r="BJ490" s="283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/>
      </c>
    </row>
    <row r="491" spans="1:72" hidden="1">
      <c r="A491" s="167" t="str">
        <f t="shared" si="51"/>
        <v/>
      </c>
      <c r="B491" s="168"/>
      <c r="C491" s="8"/>
      <c r="D491" s="52"/>
      <c r="E491" s="292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61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9" t="str">
        <f>IF(BS_CONTROLE[[#This Row],[Local - Partida]]=0, "-", BS_CONTROLE[[#This Row],[Local - Partida]])</f>
        <v>-</v>
      </c>
      <c r="AL491" s="279" t="str">
        <f>IF(BS_CONTROLE[[#This Row],[Local - Encerramento]]=0, "-", BS_CONTROLE[[#This Row],[Local - Encerramento]])</f>
        <v>-</v>
      </c>
      <c r="AM491" s="279" t="str">
        <f>IF(BS_CONTROLE[[#This Row],[Entre - Estações]]=0, "-", BS_CONTROLE[[#This Row],[Entre - Estações]])</f>
        <v>-</v>
      </c>
      <c r="AN491" s="279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92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74" t="s">
        <v>925</v>
      </c>
      <c r="W492" s="261" t="s">
        <v>1549</v>
      </c>
      <c r="X492" s="218" t="s">
        <v>667</v>
      </c>
      <c r="Y492" s="158"/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9" t="str">
        <f>IF(BS_CONTROLE[[#This Row],[Local - Partida]]=0, "-", BS_CONTROLE[[#This Row],[Local - Partida]])</f>
        <v>ZQBZBL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ZQB-ZBV</v>
      </c>
      <c r="AN492" s="279" t="str">
        <f>IF(BS_CONTROLE[[#This Row],[SB]]=0, "-", BS_CONTROLE[[#This Row],[SB]])</f>
        <v>ZQBZBL</v>
      </c>
      <c r="AO492" s="259">
        <f>IF(BS_CONTROLE[[#This Row],[SUB]]=0, "-", BS_CONTROLE[[#This Row],[SUB]])</f>
        <v>56</v>
      </c>
      <c r="AP492" s="260">
        <f>IF(BS_CONTROLE[[#This Row],[KM - Inicio]]=0, "-", BS_CONTROLE[[#This Row],[KM - Inicio]])</f>
        <v>253.9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>
        <f>IF(D492="","*",IFERROR(IF(ISODD(COUNT(AS492:AX492)),"ERRO",SUM((AT492-AS492),(AV492-AU492),(AX492-AW492))),"ERRO"))</f>
        <v>0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61" t="str">
        <f>IF(BS_CONTROLE[[#This Row],[Responsavel pelo boletim]]=0, "-", BS_CONTROLE[[#This Row],[Responsavel pelo boletim]])</f>
        <v>Jonas</v>
      </c>
      <c r="BG492" s="16"/>
      <c r="BH492" s="17"/>
      <c r="BI492" s="17"/>
      <c r="BJ492" s="283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/>
      </c>
    </row>
    <row r="493" spans="1:72" hidden="1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/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/>
      <c r="BI493" s="17"/>
      <c r="BJ493" s="283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/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ZYU1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/>
      <c r="BI494" s="17"/>
      <c r="BJ494" s="283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/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198ZYU1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/>
      <c r="BI495" s="17"/>
      <c r="BJ495" s="283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1633</v>
      </c>
      <c r="X496" s="218" t="s">
        <v>667</v>
      </c>
      <c r="Y496" s="158"/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/>
      <c r="BI496" s="17"/>
      <c r="BJ496" s="283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218" t="s">
        <v>667</v>
      </c>
      <c r="Y497" s="158"/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ZER169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/>
      <c r="BI497" s="17"/>
      <c r="BJ497" s="283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/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ZGA1541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/>
      <c r="BI498" s="17"/>
      <c r="BJ498" s="283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1634</v>
      </c>
      <c r="X500" s="218" t="s">
        <v>662</v>
      </c>
      <c r="Y500" s="158"/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/>
      <c r="BI500" s="17"/>
      <c r="BJ500" s="283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1635</v>
      </c>
      <c r="W501" s="173" t="s">
        <v>1112</v>
      </c>
      <c r="X501" s="218" t="s">
        <v>662</v>
      </c>
      <c r="Y501" s="158"/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/>
      <c r="BI501" s="17"/>
      <c r="BJ501" s="283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1636</v>
      </c>
      <c r="W502" s="173" t="s">
        <v>1112</v>
      </c>
      <c r="X502" s="218" t="s">
        <v>662</v>
      </c>
      <c r="Y502" s="158"/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/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1637</v>
      </c>
      <c r="W503" s="173" t="s">
        <v>1112</v>
      </c>
      <c r="X503" s="218" t="s">
        <v>662</v>
      </c>
      <c r="Y503" s="158"/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/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1638</v>
      </c>
      <c r="W504" s="173" t="s">
        <v>1112</v>
      </c>
      <c r="X504" s="218" t="s">
        <v>662</v>
      </c>
      <c r="Y504" s="158"/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/>
      <c r="BI504" s="17"/>
      <c r="BJ504" s="283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1639</v>
      </c>
      <c r="W505" s="173" t="s">
        <v>1112</v>
      </c>
      <c r="X505" s="218" t="s">
        <v>662</v>
      </c>
      <c r="Y505" s="158"/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/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/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/>
      <c r="BI507" s="17"/>
      <c r="BJ507" s="283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/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/>
      <c r="BI508" s="17"/>
      <c r="BJ508" s="283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2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173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-</v>
      </c>
      <c r="AN509" s="279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3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1640</v>
      </c>
      <c r="X510" s="218" t="s">
        <v>667</v>
      </c>
      <c r="Y510" s="158"/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/>
      <c r="BI510" s="17"/>
      <c r="BJ510" s="283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1641</v>
      </c>
      <c r="N512" s="204" t="s">
        <v>1642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1643</v>
      </c>
      <c r="W512" s="173" t="s">
        <v>1644</v>
      </c>
      <c r="X512" s="52" t="s">
        <v>662</v>
      </c>
      <c r="Y512" s="158"/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102ZKW2</v>
      </c>
      <c r="AL512" s="279" t="str">
        <f>IF(BS_CONTROLE[[#This Row],[Local - Encerramento]]=0, "-", BS_CONTROLE[[#This Row],[Local - Encerramento]])</f>
        <v>ZEV2</v>
      </c>
      <c r="AM512" s="279" t="str">
        <f>IF(BS_CONTROLE[[#This Row],[Entre - Estações]]=0, "-", BS_CONTROLE[[#This Row],[Entre - Estações]])</f>
        <v>ZKW-ZEV</v>
      </c>
      <c r="AN512" s="279" t="str">
        <f>IF(BS_CONTROLE[[#This Row],[SB]]=0, "-", BS_CONTROLE[[#This Row],[SB]])</f>
        <v>ZKWZEV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102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/>
      <c r="BI512" s="17"/>
      <c r="BJ512" s="283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1645</v>
      </c>
      <c r="X513" s="218" t="s">
        <v>667</v>
      </c>
      <c r="Y513" s="158"/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/>
      <c r="BI513" s="17"/>
      <c r="BJ513" s="283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1646</v>
      </c>
      <c r="W514" s="173" t="s">
        <v>1130</v>
      </c>
      <c r="X514" s="218" t="s">
        <v>667</v>
      </c>
      <c r="Y514" s="158"/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/>
      <c r="BI514" s="17"/>
      <c r="BJ514" s="283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1647</v>
      </c>
      <c r="W515" s="173" t="s">
        <v>1648</v>
      </c>
      <c r="X515" s="218" t="s">
        <v>667</v>
      </c>
      <c r="Y515" s="158"/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/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/>
      <c r="BI515" s="17"/>
      <c r="BJ515" s="283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/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/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/>
      <c r="BI516" s="17"/>
      <c r="BJ516" s="283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/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/>
      <c r="BI517" s="17"/>
      <c r="BJ517" s="283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/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/>
      <c r="AS518" s="242"/>
      <c r="AT518" s="242"/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/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/>
      <c r="BI518" s="17"/>
      <c r="BJ518" s="283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/>
      </c>
    </row>
    <row r="519" spans="1:72" hidden="1">
      <c r="A519" s="167" t="str">
        <f t="shared" ref="A519:A553" si="54">D519&amp;B519</f>
        <v>DIEGO (TF-42)46013</v>
      </c>
      <c r="B519" s="168">
        <v>46013</v>
      </c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Produção e Intervalo</v>
      </c>
      <c r="BR519" s="19">
        <f>IF(OR(B519="",F519=""),"*",AY519/P519)</f>
        <v>0</v>
      </c>
      <c r="BS519" s="19">
        <f>IF(OR(B519="",F519=""),"*",BA519/Q519)</f>
        <v>0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Y496 V500:Y500 W501:X505 W507:X508 X510 X516:Y518 V519:W519 X513:X515 X493:Y493 X492 W489 X490:Y49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40" operator="equal">
      <formula>"ERRO"</formula>
    </cfRule>
  </conditionalFormatting>
  <conditionalFormatting sqref="X4 Y1:Z157 Y159:Z474 Y483:Y484 Y481:Z483 Y487:Y489 Y492 Y498:Y499 Y500:Z500 Y520:Y551 Y501:Y515 Y516:Z519 Y493:Z497 Z475 Y475:Y481 Y485:Z487 Y489:Z491">
    <cfRule type="cellIs" dxfId="140" priority="18529" operator="equal">
      <formula>"OPORTUNIDADE"</formula>
    </cfRule>
  </conditionalFormatting>
  <conditionalFormatting sqref="AZ6:AZ523">
    <cfRule type="expression" dxfId="139" priority="18524">
      <formula>$BU6=1</formula>
    </cfRule>
  </conditionalFormatting>
  <conditionalFormatting sqref="BQ6:BQ600">
    <cfRule type="cellIs" dxfId="138" priority="18535" operator="equal">
      <formula>"Produção e Intervalo"</formula>
    </cfRule>
    <cfRule type="cellIs" dxfId="137" priority="18536" operator="equal">
      <formula>"Aderente"</formula>
    </cfRule>
    <cfRule type="cellIs" dxfId="136" priority="18537" operator="equal">
      <formula>"Intervalo"</formula>
    </cfRule>
    <cfRule type="cellIs" dxfId="135" priority="18538" operator="equal">
      <formula>"Produção"</formula>
    </cfRule>
    <cfRule type="cellIs" dxfId="134" priority="18539" operator="equal">
      <formula>"ERRO"</formula>
    </cfRule>
  </conditionalFormatting>
  <conditionalFormatting sqref="BR6:BS553">
    <cfRule type="cellIs" dxfId="133" priority="18517" operator="equal">
      <formula>"*"</formula>
    </cfRule>
    <cfRule type="cellIs" dxfId="132" priority="18518" operator="greaterThanOrEqual">
      <formula>1</formula>
    </cfRule>
    <cfRule type="cellIs" dxfId="131" priority="18519" operator="lessThan">
      <formula>1</formula>
    </cfRule>
  </conditionalFormatting>
  <conditionalFormatting sqref="X478 Y6:Z157 Y159:Z474 X480 X483 Y483:Y484 Y481:Z483 X488:X489 Y487:Y489 Y492 X499 Y498:Y499 X506 Y500:Z500 X509 X511:X512 Y520:Y551 X517 Y501:Y515 X520:X523 Y516:Z519 Y493:Z497 Z475 Y475:Y481 Y485:Z487 Y489:Z491">
    <cfRule type="cellIs" dxfId="130" priority="18465" operator="equal">
      <formula>"NÃO"</formula>
    </cfRule>
    <cfRule type="cellIs" dxfId="129" priority="18466" operator="equal">
      <formula>"SIM"</formula>
    </cfRule>
  </conditionalFormatting>
  <conditionalFormatting sqref="X478 X480 X483 X488:X489 X499 X506 X509 X511:X512 X517 X520:X523">
    <cfRule type="cellIs" dxfId="128" priority="18464" operator="equal">
      <formula>"OPORTUNIDADE"</formula>
    </cfRule>
  </conditionalFormatting>
  <conditionalFormatting sqref="Z476:Z480 Z487:Z489 Z483:Z484 Z492 Z496:Z499 Z517 Z501:Z515 Z519:Z523">
    <cfRule type="cellIs" dxfId="127" priority="18462" operator="equal">
      <formula>"NÃO"</formula>
    </cfRule>
    <cfRule type="cellIs" dxfId="126" priority="18463" operator="equal">
      <formula>"SIM"</formula>
    </cfRule>
  </conditionalFormatting>
  <conditionalFormatting sqref="Z476:Z480 Z487:Z489 Z483:Z484 Z492 Z496:Z499 Z517 Z501:Z515 Z519:Z523">
    <cfRule type="cellIs" dxfId="125" priority="18461" operator="equal">
      <formula>"OPORTUNIDADE"</formula>
    </cfRule>
  </conditionalFormatting>
  <conditionalFormatting sqref="Y1048576">
    <cfRule type="cellIs" dxfId="124" priority="18346" operator="equal">
      <formula>"OPORTUNIDADE"</formula>
    </cfRule>
  </conditionalFormatting>
  <conditionalFormatting sqref="Y1048576">
    <cfRule type="cellIs" dxfId="123" priority="18344" operator="equal">
      <formula>"NÃO"</formula>
    </cfRule>
    <cfRule type="cellIs" dxfId="122" priority="18345" operator="equal">
      <formula>"SIM"</formula>
    </cfRule>
  </conditionalFormatting>
  <conditionalFormatting sqref="Z524:Z549">
    <cfRule type="cellIs" dxfId="121" priority="18081" operator="equal">
      <formula>"OPORTUNIDADE"</formula>
    </cfRule>
  </conditionalFormatting>
  <conditionalFormatting sqref="Z524:Z549">
    <cfRule type="cellIs" dxfId="120" priority="18079" operator="equal">
      <formula>"NÃO"</formula>
    </cfRule>
    <cfRule type="cellIs" dxfId="119" priority="18080" operator="equal">
      <formula>"SIM"</formula>
    </cfRule>
  </conditionalFormatting>
  <conditionalFormatting sqref="X550">
    <cfRule type="cellIs" dxfId="118" priority="18067" operator="equal">
      <formula>"NÃO"</formula>
    </cfRule>
    <cfRule type="cellIs" dxfId="117" priority="18068" operator="equal">
      <formula>"SIM"</formula>
    </cfRule>
  </conditionalFormatting>
  <conditionalFormatting sqref="X550">
    <cfRule type="cellIs" dxfId="116" priority="18066" operator="equal">
      <formula>"OPORTUNIDADE"</formula>
    </cfRule>
  </conditionalFormatting>
  <conditionalFormatting sqref="Z550">
    <cfRule type="cellIs" dxfId="115" priority="18064" operator="equal">
      <formula>"NÃO"</formula>
    </cfRule>
    <cfRule type="cellIs" dxfId="114" priority="18065" operator="equal">
      <formula>"SIM"</formula>
    </cfRule>
  </conditionalFormatting>
  <conditionalFormatting sqref="Z550">
    <cfRule type="cellIs" dxfId="113" priority="18063" operator="equal">
      <formula>"OPORTUNIDADE"</formula>
    </cfRule>
  </conditionalFormatting>
  <conditionalFormatting sqref="BI550">
    <cfRule type="iconSet" priority="1807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73">
      <iconSet showValue="0">
        <cfvo type="percent" val="0"/>
        <cfvo type="num" val="1"/>
        <cfvo type="num" val="1" gte="0"/>
      </iconSet>
    </cfRule>
    <cfRule type="iconSet" priority="1807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7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83">
      <formula>$BU493=1</formula>
    </cfRule>
  </conditionalFormatting>
  <conditionalFormatting sqref="AZ526:AZ550">
    <cfRule type="expression" dxfId="111" priority="18843">
      <formula>$BU498=1</formula>
    </cfRule>
  </conditionalFormatting>
  <conditionalFormatting sqref="BI524:BI549">
    <cfRule type="iconSet" priority="1884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46">
      <iconSet showValue="0">
        <cfvo type="percent" val="0"/>
        <cfvo type="num" val="1"/>
        <cfvo type="num" val="1" gte="0"/>
      </iconSet>
    </cfRule>
    <cfRule type="iconSet" priority="1884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5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78" operator="equal">
      <formula>"*"</formula>
    </cfRule>
    <cfRule type="cellIs" dxfId="109" priority="13479" operator="greaterThanOrEqual">
      <formula>1</formula>
    </cfRule>
    <cfRule type="cellIs" dxfId="108" priority="13480" operator="lessThan">
      <formula>1</formula>
    </cfRule>
  </conditionalFormatting>
  <conditionalFormatting sqref="BJ2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16" operator="equal">
      <formula>"OPORTUNIDADE"</formula>
    </cfRule>
  </conditionalFormatting>
  <conditionalFormatting sqref="Y158">
    <cfRule type="cellIs" dxfId="106" priority="114" operator="equal">
      <formula>"NÃO"</formula>
    </cfRule>
    <cfRule type="cellIs" dxfId="105" priority="115" operator="equal">
      <formula>"SIM"</formula>
    </cfRule>
  </conditionalFormatting>
  <conditionalFormatting sqref="BO6:BO208 BO210:BO600">
    <cfRule type="iconSet" priority="1891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1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16">
      <iconSet showValue="0">
        <cfvo type="percent" val="0"/>
        <cfvo type="num" val="1"/>
        <cfvo type="num" val="1" gte="0"/>
      </iconSet>
    </cfRule>
    <cfRule type="iconSet" priority="1891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600 BK476:BK481">
    <cfRule type="iconSet" priority="1892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600 BP482:BP483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1649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29" t="s">
        <v>1650</v>
      </c>
      <c r="C4" s="329" t="s">
        <v>1651</v>
      </c>
      <c r="D4" s="329" t="s">
        <v>1652</v>
      </c>
      <c r="E4" s="329" t="s">
        <v>1653</v>
      </c>
      <c r="F4" s="329" t="s">
        <v>8</v>
      </c>
      <c r="G4" s="329" t="s">
        <v>1654</v>
      </c>
    </row>
    <row r="5" spans="2:8">
      <c r="B5" s="332" t="s">
        <v>1153</v>
      </c>
      <c r="C5" s="332">
        <v>314978</v>
      </c>
      <c r="D5" s="332" t="s">
        <v>1655</v>
      </c>
      <c r="E5" s="332" t="s">
        <v>541</v>
      </c>
      <c r="F5" s="332" t="s">
        <v>101</v>
      </c>
      <c r="G5" s="333">
        <v>46143</v>
      </c>
    </row>
    <row r="6" spans="2:8">
      <c r="B6" s="332" t="s">
        <v>1656</v>
      </c>
      <c r="C6" s="332">
        <v>256790</v>
      </c>
      <c r="D6" s="332" t="s">
        <v>1657</v>
      </c>
      <c r="E6" s="332" t="s">
        <v>541</v>
      </c>
      <c r="F6" s="332" t="s">
        <v>1658</v>
      </c>
      <c r="G6" s="333">
        <v>45992</v>
      </c>
    </row>
    <row r="7" spans="2:8">
      <c r="B7" s="332" t="s">
        <v>1659</v>
      </c>
      <c r="C7" s="332">
        <v>265193</v>
      </c>
      <c r="D7" s="332" t="s">
        <v>1660</v>
      </c>
      <c r="E7" s="332" t="s">
        <v>542</v>
      </c>
      <c r="F7" s="332" t="s">
        <v>1500</v>
      </c>
      <c r="G7" s="332" t="s">
        <v>1661</v>
      </c>
    </row>
    <row r="8" spans="2:8">
      <c r="B8" s="332" t="s">
        <v>1662</v>
      </c>
      <c r="C8" s="332">
        <v>293716</v>
      </c>
      <c r="D8" s="332" t="s">
        <v>1663</v>
      </c>
      <c r="E8" s="332" t="s">
        <v>542</v>
      </c>
      <c r="F8" s="332" t="s">
        <v>1500</v>
      </c>
      <c r="G8" s="333">
        <v>46204</v>
      </c>
    </row>
    <row r="9" spans="2:8">
      <c r="B9" s="332" t="s">
        <v>1664</v>
      </c>
      <c r="C9" s="332">
        <v>257258</v>
      </c>
      <c r="D9" s="332" t="s">
        <v>1665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1666</v>
      </c>
      <c r="C10" s="332">
        <v>371147</v>
      </c>
      <c r="D10" s="332" t="s">
        <v>1667</v>
      </c>
      <c r="E10" s="332" t="s">
        <v>543</v>
      </c>
      <c r="F10" s="332" t="s">
        <v>144</v>
      </c>
      <c r="G10" s="332" t="s">
        <v>1661</v>
      </c>
    </row>
    <row r="11" spans="2:8">
      <c r="B11" s="332" t="s">
        <v>1668</v>
      </c>
      <c r="C11" s="332">
        <v>259230</v>
      </c>
      <c r="D11" s="332" t="s">
        <v>1669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1670</v>
      </c>
      <c r="C12" s="332">
        <v>370705</v>
      </c>
      <c r="D12" s="332"/>
      <c r="E12" s="332" t="s">
        <v>543</v>
      </c>
      <c r="F12" s="332" t="s">
        <v>144</v>
      </c>
      <c r="G12" s="332" t="s">
        <v>1661</v>
      </c>
    </row>
    <row r="13" spans="2:8">
      <c r="B13" s="332" t="s">
        <v>1671</v>
      </c>
      <c r="C13" s="332">
        <v>258542</v>
      </c>
      <c r="D13" s="332" t="s">
        <v>1672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1673</v>
      </c>
      <c r="C14" s="332">
        <v>257050</v>
      </c>
      <c r="D14" s="332" t="s">
        <v>1674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1675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4" t="s">
        <v>409</v>
      </c>
      <c r="D3" s="324" t="s">
        <v>1676</v>
      </c>
      <c r="E3" s="324" t="s">
        <v>1677</v>
      </c>
      <c r="F3" s="324" t="s">
        <v>1678</v>
      </c>
      <c r="G3" s="329" t="s">
        <v>1679</v>
      </c>
      <c r="H3" s="324" t="s">
        <v>1680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1681</v>
      </c>
      <c r="H4" s="327"/>
    </row>
    <row r="5" spans="3:8" ht="29.25">
      <c r="C5" s="325" t="s">
        <v>541</v>
      </c>
      <c r="D5" s="325" t="s">
        <v>1682</v>
      </c>
      <c r="E5" s="326">
        <v>46000</v>
      </c>
      <c r="F5" s="325">
        <v>9000</v>
      </c>
      <c r="G5" s="330" t="s">
        <v>1683</v>
      </c>
      <c r="H5" s="325"/>
    </row>
    <row r="6" spans="3:8">
      <c r="C6" s="325" t="s">
        <v>542</v>
      </c>
      <c r="D6" s="325">
        <v>7694</v>
      </c>
      <c r="E6" s="326">
        <v>46006</v>
      </c>
      <c r="F6" s="325">
        <v>7750</v>
      </c>
      <c r="G6" s="330" t="s">
        <v>1684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1685</v>
      </c>
      <c r="G7" s="331" t="s">
        <v>1686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1687</v>
      </c>
      <c r="G8" s="330" t="s">
        <v>1688</v>
      </c>
      <c r="H8" s="325" t="s">
        <v>1689</v>
      </c>
    </row>
    <row r="9" spans="3:8">
      <c r="C9" s="325" t="s">
        <v>463</v>
      </c>
      <c r="D9" s="325" t="s">
        <v>1690</v>
      </c>
      <c r="E9" s="326">
        <v>45993</v>
      </c>
      <c r="F9" s="325">
        <v>12000</v>
      </c>
      <c r="G9" s="330" t="s">
        <v>1691</v>
      </c>
      <c r="H9" s="325"/>
    </row>
    <row r="10" spans="3:8" ht="29.25">
      <c r="C10" s="325" t="s">
        <v>463</v>
      </c>
      <c r="D10" s="325" t="s">
        <v>1692</v>
      </c>
      <c r="E10" s="326">
        <v>45993</v>
      </c>
      <c r="F10" s="325">
        <v>9000</v>
      </c>
      <c r="G10" s="330" t="s">
        <v>1693</v>
      </c>
      <c r="H10" s="325"/>
    </row>
    <row r="11" spans="3:8" ht="29.25">
      <c r="C11" s="325" t="s">
        <v>463</v>
      </c>
      <c r="D11" s="325" t="s">
        <v>1694</v>
      </c>
      <c r="E11" s="326">
        <v>45993</v>
      </c>
      <c r="F11" s="325">
        <v>10000</v>
      </c>
      <c r="G11" s="330" t="s">
        <v>1693</v>
      </c>
      <c r="H11" s="325"/>
    </row>
    <row r="12" spans="3:8">
      <c r="C12" s="325" t="s">
        <v>544</v>
      </c>
      <c r="D12" s="325">
        <v>9038</v>
      </c>
      <c r="E12" s="326">
        <v>46006</v>
      </c>
      <c r="F12" s="325">
        <v>6817</v>
      </c>
      <c r="G12" s="330" t="s">
        <v>1695</v>
      </c>
      <c r="H12" s="325" t="s">
        <v>1696</v>
      </c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487" sqref="B487:U48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5"/>
      <c r="M1" s="124"/>
      <c r="N1" s="268"/>
      <c r="O1" s="268"/>
      <c r="P1" s="170"/>
      <c r="Q1" s="395" t="s">
        <v>922</v>
      </c>
      <c r="R1" s="396"/>
      <c r="U1" s="102"/>
      <c r="V1" s="397" t="s">
        <v>1697</v>
      </c>
      <c r="W1" s="397"/>
      <c r="X1" s="397"/>
      <c r="Y1" s="104"/>
    </row>
    <row r="2" spans="1:25" s="101" customFormat="1" ht="11.25" customHeight="1">
      <c r="A2" s="105" t="s">
        <v>1698</v>
      </c>
      <c r="B2" s="105" t="s">
        <v>1699</v>
      </c>
      <c r="C2" s="105" t="s">
        <v>313</v>
      </c>
      <c r="D2" s="106" t="s">
        <v>874</v>
      </c>
      <c r="E2" s="106" t="s">
        <v>875</v>
      </c>
      <c r="F2" s="106" t="s">
        <v>1700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1701</v>
      </c>
      <c r="U2" s="108" t="s">
        <v>877</v>
      </c>
      <c r="V2" s="103">
        <f ca="1">TODAY()-1</f>
        <v>46010</v>
      </c>
      <c r="W2" s="103">
        <f ca="1">V2-1</f>
        <v>46009</v>
      </c>
      <c r="X2" s="103">
        <f ca="1">W2-1</f>
        <v>46008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2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1430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944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30</v>
      </c>
      <c r="W8" s="112">
        <f ca="1">_xlfn.XLOOKUP(G8&amp;$W$2,BS_CONTROLE[CHAVE],BS_CONTROLE[Quantidade_11],"-")</f>
        <v>40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1500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1700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2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1430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944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30</v>
      </c>
      <c r="W33" s="112">
        <f ca="1">_xlfn.XLOOKUP(G33&amp;$W$2,BS_CONTROLE[CHAVE],BS_CONTROLE[Quantidade_11],"-")</f>
        <v>40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15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2380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24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720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0.56000000000000005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1500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1700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2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1430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944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30</v>
      </c>
      <c r="W58" s="112">
        <f ca="1">_xlfn.XLOOKUP(G58&amp;$W$2,BS_CONTROLE[CHAVE],BS_CONTROLE[Quantidade_11],"-")</f>
        <v>40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15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12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720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1500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1700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1430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944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30</v>
      </c>
      <c r="W81" s="112">
        <f ca="1">_xlfn.XLOOKUP(G81&amp;$W$2,BS_CONTROLE[CHAVE],BS_CONTROLE[Quantidade_11],"-")</f>
        <v>40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15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720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1500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1700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1430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30</v>
      </c>
      <c r="W107" s="112">
        <f ca="1">_xlfn.XLOOKUP(G107&amp;$W$2,BS_CONTROLE[CHAVE],BS_CONTROLE[Quantidade_11],"-")</f>
        <v>40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944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15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2380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24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0.56000000000000005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1500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1700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30</v>
      </c>
      <c r="W130" s="112">
        <f ca="1">_xlfn.XLOOKUP(G130&amp;$W$2,BS_CONTROLE[CHAVE],BS_CONTROLE[Quantidade_11],"-")</f>
        <v>40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944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15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720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1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1500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1700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1500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1700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2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1430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30</v>
      </c>
      <c r="W159" s="112">
        <f ca="1">_xlfn.XLOOKUP(G159&amp;$W$2,BS_CONTROLE[CHAVE],BS_CONTROLE[Quantidade_11],"-")</f>
        <v>40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944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15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720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1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1500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1700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1430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30</v>
      </c>
      <c r="W188" s="112">
        <f ca="1">_xlfn.XLOOKUP(G188&amp;$W$2,BS_CONTROLE[CHAVE],BS_CONTROLE[Quantidade_11],"-")</f>
        <v>40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944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15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0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720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1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1500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1700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2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1430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30</v>
      </c>
      <c r="W219" s="112">
        <f ca="1">_xlfn.XLOOKUP(G219&amp;$W$2,BS_CONTROLE[CHAVE],BS_CONTROLE[Quantidade_11],"-")</f>
        <v>40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15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15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2380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720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1500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1700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24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2380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0.56000000000000005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1500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1700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2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1430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30</v>
      </c>
      <c r="W252" s="112">
        <f ca="1">_xlfn.XLOOKUP(G252&amp;$W$2,BS_CONTROLE[CHAVE],BS_CONTROLE[Quantidade_11],"-")</f>
        <v>40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944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15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15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0.56000000000000005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720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1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1500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1700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30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1430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30</v>
      </c>
      <c r="W282" s="112">
        <f ca="1">_xlfn.XLOOKUP(G282&amp;$W$2,BS_CONTROLE[CHAVE],BS_CONTROLE[Quantidade_11],"-")</f>
        <v>40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944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15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15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944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1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30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1500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1700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30</v>
      </c>
      <c r="W310" s="112">
        <f ca="1">_xlfn.XLOOKUP(G310&amp;$W$2,BS_CONTROLE[CHAVE],BS_CONTROLE[Quantidade_11],"-")</f>
        <v>40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944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15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944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720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1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1500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1700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1500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1700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1430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30</v>
      </c>
      <c r="W336" s="112">
        <f ca="1">_xlfn.XLOOKUP(G336&amp;$W$2,BS_CONTROLE[CHAVE],BS_CONTROLE[Quantidade_11],"-")</f>
        <v>40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944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15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2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720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1500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1700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50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1430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30</v>
      </c>
      <c r="W363" s="112">
        <f ca="1">_xlfn.XLOOKUP(G363&amp;$W$2,BS_CONTROLE[CHAVE],BS_CONTROLE[Quantidade_11],"-")</f>
        <v>40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944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15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2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12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1500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1700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2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1430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30</v>
      </c>
      <c r="W392" s="112">
        <f ca="1">_xlfn.XLOOKUP(G392&amp;$W$2,BS_CONTROLE[CHAVE],BS_CONTROLE[Quantidade_11],"-")</f>
        <v>40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944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15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>
        <f ca="1">_xlfn.XLOOKUP(G395&amp;$W$2,BS_CONTROLE[CHAVE],BS_CONTROLE[Quantidade_11],"-")</f>
        <v>0</v>
      </c>
      <c r="X395" s="112">
        <f ca="1">_xlfn.XLOOKUP(G395&amp;$X$2,BS_CONTROLE[CHAVE],BS_CONTROLE[Quantidade_11],"-")</f>
        <v>0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0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1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0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2380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0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24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0.56000000000000005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1500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1700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30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12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2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1430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30</v>
      </c>
      <c r="W415" s="112">
        <f ca="1">_xlfn.XLOOKUP(G415&amp;$W$2,BS_CONTROLE[CHAVE],BS_CONTROLE[Quantidade_11],"-")</f>
        <v>40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944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15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>
        <f ca="1">_xlfn.XLOOKUP(G418&amp;$W$2,BS_CONTROLE[CHAVE],BS_CONTROLE[Quantidade_11],"-")</f>
        <v>0</v>
      </c>
      <c r="X418" s="112">
        <f ca="1">_xlfn.XLOOKUP(G418&amp;$X$2,BS_CONTROLE[CHAVE],BS_CONTROLE[Quantidade_11],"-")</f>
        <v>0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944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50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720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1500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1700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1430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30</v>
      </c>
      <c r="W447" s="112">
        <f ca="1">_xlfn.XLOOKUP(G447&amp;$W$2,BS_CONTROLE[CHAVE],BS_CONTROLE[Quantidade_11],"-")</f>
        <v>40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15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2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944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>
        <f ca="1">_xlfn.XLOOKUP(G452&amp;$W$2,BS_CONTROLE[CHAVE],BS_CONTROLE[Quantidade_11],"-")</f>
        <v>0</v>
      </c>
      <c r="X452" s="112">
        <f ca="1">_xlfn.XLOOKUP(G452&amp;$X$2,BS_CONTROLE[CHAVE],BS_CONTROLE[Quantidade_11],"-")</f>
        <v>0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>
        <f ca="1">_xlfn.XLOOKUP(G453&amp;$W$2,BS_CONTROLE[CHAVE],BS_CONTROLE[Quantidade_11],"-")</f>
        <v>0</v>
      </c>
      <c r="X453" s="112">
        <f ca="1">_xlfn.XLOOKUP(G453&amp;$X$2,BS_CONTROLE[CHAVE],BS_CONTROLE[Quantidade_11],"-")</f>
        <v>0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>
        <f ca="1">_xlfn.XLOOKUP(G456&amp;$V$2,BS_CONTROLE[CHAVE],BS_CONTROLE[Quantidade_11],"-")</f>
        <v>0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1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0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2380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0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24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>
        <f ca="1">_xlfn.XLOOKUP(G463&amp;$V$2,BS_CONTROLE[CHAVE],BS_CONTROLE[Quantidade_11],"-")</f>
        <v>0.56000000000000005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1500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1700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40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720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>
        <f ca="1">_xlfn.XLOOKUP(G468&amp;$V$2,BS_CONTROLE[CHAVE],BS_CONTROLE[Quantidade_11],"-")</f>
        <v>1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>
        <f ca="1">_xlfn.XLOOKUP(G469&amp;$W$2,BS_CONTROLE[CHAVE],BS_CONTROLE[Quantidade_11],"-")</f>
        <v>0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30</v>
      </c>
      <c r="W472" s="112">
        <f ca="1">_xlfn.XLOOKUP(G472&amp;$W$2,BS_CONTROLE[CHAVE],BS_CONTROLE[Quantidade_11],"-")</f>
        <v>40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944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720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30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1500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1700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>
        <f ca="1">_xlfn.XLOOKUP(G485&amp;$V$2,BS_CONTROLE[CHAVE],BS_CONTROLE[Quantidade_11],"-")</f>
        <v>0</v>
      </c>
      <c r="W485" s="112">
        <f ca="1">_xlfn.XLOOKUP(G485&amp;$W$2,BS_CONTROLE[CHAVE],BS_CONTROLE[Quantidade_11],"-")</f>
        <v>0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7" t="str">
        <f>IF(SP_SUL!N489="","*",SP_SUL!N489)</f>
        <v>ZPTZEV</v>
      </c>
      <c r="M487" s="111">
        <f>IF(SP_SUL!J489="","*",SP_SUL!J489)</f>
        <v>54</v>
      </c>
      <c r="N487" s="270">
        <f>IF(SP_SUL!K489="","*",SP_SUL!K489)</f>
        <v>105</v>
      </c>
      <c r="O487" s="270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30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7" t="str">
        <f>IF(SP_SUL!N490="","*",SP_SUL!N490)</f>
        <v>ZGM2</v>
      </c>
      <c r="M488" s="111">
        <f>IF(SP_SUL!J490="","*",SP_SUL!J490)</f>
        <v>53</v>
      </c>
      <c r="N488" s="270">
        <f>IF(SP_SUL!K490="","*",SP_SUL!K490)</f>
        <v>114.3</v>
      </c>
      <c r="O488" s="270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1500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1700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7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7" t="str">
        <f>IF(SP_SUL!N492="","*",SP_SUL!N492)</f>
        <v>ZQBZBL</v>
      </c>
      <c r="M490" s="111">
        <f>IF(SP_SUL!J492="","*",SP_SUL!J492)</f>
        <v>56</v>
      </c>
      <c r="N490" s="270">
        <f>IF(SP_SUL!K492="","*",SP_SUL!K492)</f>
        <v>253.9</v>
      </c>
      <c r="O490" s="270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>
        <f ca="1">_xlfn.XLOOKUP(G490&amp;$W$2,BS_CONTROLE[CHAVE],BS_CONTROLE[Quantidade_11],"-")</f>
        <v>0</v>
      </c>
      <c r="X490" s="112">
        <f ca="1">_xlfn.XLOOKUP(G490&amp;$X$2,BS_CONTROLE[CHAVE],BS_CONTROLE[Quantidade_11],"-")</f>
        <v>0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1430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30</v>
      </c>
      <c r="W492" s="112">
        <f ca="1">_xlfn.XLOOKUP(G492&amp;$W$2,BS_CONTROLE[CHAVE],BS_CONTROLE[Quantidade_11],"-")</f>
        <v>40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944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2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7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7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7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7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7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7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7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7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7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7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7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7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7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7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7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7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7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7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7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7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7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7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7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7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7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7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7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7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7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7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7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7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7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7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7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7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1702</v>
      </c>
    </row>
  </sheetData>
  <autoFilter ref="A2:Y3000" xr:uid="{D1126E52-FA3F-4EAC-A720-DDE9797BEFF6}">
    <filterColumn colId="5">
      <filters>
        <dateGroupItem year="2025" month="12" day="2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453" sqref="A453:Q46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1703</v>
      </c>
      <c r="D5" s="399"/>
      <c r="E5" s="399"/>
      <c r="F5" s="399"/>
      <c r="G5" s="399"/>
      <c r="H5" s="399"/>
      <c r="I5" s="399"/>
      <c r="J5" s="400"/>
      <c r="K5" s="401" t="s">
        <v>1704</v>
      </c>
      <c r="L5" s="402"/>
      <c r="M5" s="402"/>
      <c r="N5" s="402"/>
      <c r="O5" s="403" t="s">
        <v>1705</v>
      </c>
      <c r="P5" s="404"/>
      <c r="Q5" s="405"/>
    </row>
    <row r="6" spans="1:17" s="94" customFormat="1" ht="15.75" customHeight="1">
      <c r="A6" s="88" t="s">
        <v>1700</v>
      </c>
      <c r="B6" s="95" t="s">
        <v>1699</v>
      </c>
      <c r="C6" s="96" t="s">
        <v>874</v>
      </c>
      <c r="D6" s="97" t="s">
        <v>875</v>
      </c>
      <c r="E6" s="96" t="s">
        <v>1706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1707</v>
      </c>
      <c r="M6" s="139" t="s">
        <v>335</v>
      </c>
      <c r="N6" s="140" t="s">
        <v>869</v>
      </c>
      <c r="O6" s="246" t="s">
        <v>912</v>
      </c>
      <c r="P6" s="157"/>
      <c r="Q6" s="193" t="s">
        <v>1708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>
        <f>IF(SP_SUL!B519="","*",SP_SUL!B519)</f>
        <v>46013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abSelected="1" workbookViewId="0">
      <selection activeCell="E3051" sqref="A3044:E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1709</v>
      </c>
      <c r="C2" s="96" t="s">
        <v>859</v>
      </c>
      <c r="D2" s="96" t="s">
        <v>861</v>
      </c>
      <c r="E2" s="96" t="s">
        <v>1710</v>
      </c>
      <c r="F2" s="96" t="s">
        <v>1711</v>
      </c>
      <c r="G2" s="96" t="s">
        <v>1712</v>
      </c>
      <c r="H2" s="96" t="s">
        <v>1713</v>
      </c>
      <c r="I2" s="96" t="s">
        <v>1714</v>
      </c>
      <c r="J2" s="96" t="s">
        <v>1715</v>
      </c>
      <c r="K2" s="131" t="s">
        <v>1716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*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*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*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 hidden="1">
      <c r="B472" s="120" t="str">
        <f>IF(SP_SUL!Y496="","*",SP_SUL!Y496)</f>
        <v>*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*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*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*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*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*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*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*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*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 hidden="1">
      <c r="B489" s="120" t="str">
        <f>IF(SP_SUL!Y513="","*",SP_SUL!Y513)</f>
        <v>*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*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*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*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*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*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>
        <f>IF(SP_SUL!B519="","*",SP_SUL!B519)</f>
        <v>46013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1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2025-12-20T16:45:08Z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