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25" documentId="8_{B6337239-1A00-434D-AAD0-422EA1FEB5AE}" xr6:coauthVersionLast="47" xr6:coauthVersionMax="47" xr10:uidLastSave="{9CA839A5-E87A-4542-952C-270F8E67551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K175" i="16"/>
  <c r="L175" i="16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<sst xmlns="http://schemas.openxmlformats.org/spreadsheetml/2006/main" count="6138" uniqueCount="1626">
  <si>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</si>
  <si>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</si>
  <si>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</si>
  <si>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</si>
  <si>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</si>
  <si>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</si>
  <si>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</si>
  <si>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</si>
  <si>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</si>
  <si>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</si>
  <si>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</si>
  <si>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</si>
  <si>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</si>
  <si>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</si>
  <si>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</si>
  <si>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</si>
  <si>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</si>
  <si>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</si>
  <si>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</si>
  <si>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</si>
  <si>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</si>
  <si>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</si>
  <si>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</si>
  <si>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</si>
  <si>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</si>
  <si>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</si>
  <si>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</si>
  <si>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</si>
  <si>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</si>
  <si>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</si>
  <si>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</si>
  <si>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</si>
  <si>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</si>
  <si>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</si>
  <si>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</si>
  <si>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</si>
  <si>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</si>
  <si>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</si>
  <si>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</si>
  <si>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</si>
  <si>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</si>
  <si>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</si>
  <si>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</si>
  <si>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</si>
  <si>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</si>
  <si>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</si>
  <si>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</si>
  <si>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</si>
  <si>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</si>
  <si>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</si>
  <si>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</si>
  <si>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</si>
  <si>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</si>
  <si>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</si>
  <si>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</si>
  <si>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</si>
  <si>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</si>
  <si>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</si>
  <si>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</si>
  <si>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</si>
  <si>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</si>
  <si>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</si>
  <si>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</si>
  <si>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</si>
  <si>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</si>
  <si>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</si>
  <si>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</si>
  <si>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</si>
  <si>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</si>
  <si>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</si>
  <si>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</si>
  <si>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</si>
  <si>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</si>
  <si>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</si>
  <si>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</si>
  <si>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</si>
  <si>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</si>
  <si>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</si>
  <si>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</si>
  <si>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</si>
  <si>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</si>
  <si>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</si>
  <si>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</si>
  <si>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</si>
  <si>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</si>
  <si>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</si>
  <si>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</si>
  <si>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</si>
  <si>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</si>
  <si>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</si>
  <si>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</si>
  <si>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</si>
  <si>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</si>
  <si>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</si>
  <si>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</si>
  <si>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</si>
  <si>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</si>
  <si>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</si>
  <si>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</si>
  <si>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</si>
  <si>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</si>
  <si>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</si>
  <si>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</si>
  <si>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</si>
  <si>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</si>
  <si>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</si>
  <si>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</si>
  <si>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</si>
  <si>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</si>
  <si>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</si>
  <si>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</si>
  <si>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</si>
  <si>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</si>
  <si>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</si>
  <si>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</si>
  <si>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</si>
  <si>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</si>
  <si>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</si>
  <si>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</si>
  <si>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</si>
  <si>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</si>
  <si>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</si>
  <si>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</si>
  <si>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</si>
  <si>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</si>
  <si>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</si>
  <si>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</si>
  <si>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</si>
  <si>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</si>
  <si>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</si>
  <si>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</si>
  <si>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</si>
  <si>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</si>
  <si>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</si>
  <si>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</si>
  <si>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</si>
  <si>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</si>
  <si>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</si>
  <si>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</si>
  <si>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</si>
  <si>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</si>
  <si>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</si>
  <si>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</si>
  <si>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</si>
  <si>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</si>
  <si>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</si>
  <si>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</si>
  <si>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</si>
  <si>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</si>
  <si>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</si>
  <si>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</si>
  <si>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</si>
  <si>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</si>
  <si>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</si>
  <si>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</si>
  <si>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</si>
  <si>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</si>
  <si>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</si>
  <si>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</si>
  <si>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</si>
  <si>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</si>
  <si>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</si>
  <si>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</si>
  <si>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</si>
  <si>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</si>
  <si>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</si>
  <si>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</si>
  <si>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</si>
  <si>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</si>
  <si>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</si>
  <si>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</si>
  <si>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</si>
  <si>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</si>
  <si>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</si>
  <si>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</si>
  <si>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</si>
  <si>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</si>
  <si>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</si>
  <si>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</si>
  <si>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</si>
  <si>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</si>
  <si>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</si>
  <si>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</si>
  <si>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</si>
  <si>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</si>
  <si>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</si>
  <si>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</si>
  <si>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</si>
  <si>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</si>
  <si>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</si>
  <si>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</si>
  <si>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</si>
  <si>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</si>
  <si>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</si>
  <si>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</si>
  <si>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</si>
  <si>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</si>
  <si>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</si>
  <si>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</si>
  <si>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</si>
  <si>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</si>
  <si>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</si>
  <si>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</si>
  <si>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</si>
  <si>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</si>
  <si>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</si>
  <si>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</si>
  <si>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</si>
  <si>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</si>
  <si>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</si>
  <si>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</si>
  <si>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</si>
  <si>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</si>
  <si>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</si>
  <si>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</si>
  <si>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</si>
  <si>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</si>
  <si>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</si>
  <si>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</si>
  <si>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</si>
  <si>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</si>
  <si>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</si>
  <si>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</si>
  <si>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</si>
  <si>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</si>
  <si>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</si>
  <si>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</si>
  <si>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</si>
  <si>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</si>
  <si>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</si>
  <si>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</si>
  <si>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</si>
  <si>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</si>
  <si>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</si>
  <si>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</si>
  <si>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</si>
  <si>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</si>
  <si>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</si>
  <si>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</si>
  <si>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</si>
  <si>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</si>
  <si>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</si>
  <si>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</si>
  <si>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</si>
  <si>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</si>
  <si>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</si>
  <si>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</si>
  <si>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</si>
  <si>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</si>
  <si>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</si>
  <si>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</si>
  <si>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</si>
  <si>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</si>
  <si>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</si>
  <si>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</si>
  <si>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</si>
  <si>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</si>
  <si>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</si>
  <si>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</si>
  <si>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</si>
  <si>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</si>
  <si>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</si>
  <si>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</si>
  <si>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</si>
  <si>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</si>
  <si>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</si>
  <si>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</si>
  <si>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</si>
  <si>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</si>
  <si>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</si>
  <si>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</si>
  <si>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</si>
  <si>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</si>
  <si>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</si>
  <si>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</si>
  <si>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</si>
  <si>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</si>
  <si>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</si>
  <si>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</si>
  <si>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</si>
  <si>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</si>
  <si>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</si>
  <si>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</si>
  <si>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</si>
  <si>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</si>
  <si>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</si>
  <si>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</si>
  <si>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</si>
  <si>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</si>
  <si>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</si>
  <si>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</si>
  <si>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</si>
  <si>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</si>
  <si>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</si>
  <si>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</si>
  <si>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</si>
  <si>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</si>
  <si>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</si>
  <si>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</si>
  <si>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</si>
  <si>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</si>
  <si>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</si>
  <si>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</si>
  <si>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</si>
  <si>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</si>
  <si>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</si>
  <si>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</si>
  <si>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</si>
  <si>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</si>
  <si>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</si>
  <si>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</si>
  <si>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</si>
  <si>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</si>
  <si>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</si>
  <si>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</si>
  <si>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</si>
  <si>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</si>
  <si>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</si>
  <si>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</si>
  <si>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</si>
  <si>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</si>
  <si>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</si>
  <si>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</si>
  <si>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</si>
  <si>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</si>
  <si>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</si>
  <si>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</si>
  <si>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</si>
  <si>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</si>
  <si>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</si>
  <si>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</si>
  <si>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</si>
  <si>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</si>
  <si>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</si>
  <si>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</si>
  <si>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</si>
  <si>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</si>
  <si>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</si>
  <si>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</si>
  <si>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</si>
  <si>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</si>
  <si>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</si>
  <si>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</si>
  <si>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</si>
  <si>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</si>
  <si>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</si>
  <si>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</si>
  <si>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</si>
  <si>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</si>
  <si>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</si>
  <si>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</si>
  <si>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</si>
  <si>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</si>
  <si>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</si>
  <si>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</si>
  <si>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</si>
  <si>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</si>
  <si>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</si>
  <si>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</si>
  <si>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</si>
  <si>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</si>
  <si>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</si>
  <si>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</si>
  <si>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</si>
  <si>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</si>
  <si>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</si>
  <si>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</si>
  <si>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</si>
  <si>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</si>
  <si>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</si>
  <si>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</si>
  <si>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</si>
  <si>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</si>
  <si>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</si>
  <si>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</si>
  <si>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</si>
  <si>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</si>
  <si>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</si>
  <si>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</si>
  <si>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</si>
  <si>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</si>
  <si>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</si>
  <si>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</si>
  <si>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</si>
  <si>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</si>
  <si>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</si>
  <si>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</si>
  <si>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</si>
  <si>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</si>
  <si>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</si>
  <si>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</si>
  <si>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</si>
  <si>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</si>
  <si>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</si>
  <si>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</si>
  <si>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</si>
  <si>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</si>
  <si>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</si>
  <si>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</si>
  <si>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</si>
  <si>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</si>
  <si>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</si>
  <si>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</si>
  <si>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</si>
  <si>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</si>
  <si>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</si>
  <si>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</si>
  <si>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</si>
  <si>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</si>
  <si>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</si>
  <si>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</si>
  <si>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</si>
  <si>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</si>
  <si>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</si>
  <si>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</si>
  <si>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</si>
  <si>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</si>
  <si>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</si>
  <si>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</si>
  <si>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</si>
  <si>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</si>
  <si>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</si>
  <si>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</si>
  <si>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</si>
  <si>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</si>
  <si>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</si>
  <si>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</si>
  <si>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</si>
  <si>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</si>
  <si>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</si>
  <si>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</si>
  <si>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</si>
  <si>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</si>
  <si>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</si>
  <si>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</si>
  <si>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</si>
  <si>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</si>
  <si>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</si>
  <si>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</si>
  <si>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</si>
  <si>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</si>
  <si>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</si>
  <si>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</si>
  <si>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</si>
  <si>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</si>
  <si>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</si>
  <si>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</si>
  <si>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</si>
  <si>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</si>
  <si>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</si>
  <si>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</si>
  <si>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</si>
  <si>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</si>
  <si>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</si>
  <si>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</si>
  <si>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</si>
  <si>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</si>
  <si>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</si>
  <si>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</si>
  <si>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</si>
  <si>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</si>
  <si>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</si>
  <si>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</si>
  <si>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</si>
  <si>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</si>
  <si>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</si>
  <si>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</si>
  <si>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</si>
  <si>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</si>
  <si>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</si>
  <si>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</si>
  <si>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</si>
  <si>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</si>
  <si>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</si>
  <si>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</si>
  <si>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</si>
  <si>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</si>
  <si>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</si>
  <si>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</si>
  <si>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</si>
  <si>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</si>
  <si>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</si>
  <si>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</si>
  <si>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</si>
  <si>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</si>
  <si>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</si>
  <si>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</si>
  <si>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</si>
  <si>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</si>
  <si>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</si>
  <si>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</si>
  <si>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</si>
  <si>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</si>
  <si>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</si>
  <si>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</si>
  <si>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</si>
  <si>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</si>
  <si>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</si>
  <si>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</si>
  <si>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</si>
  <si>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</si>
  <si>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</si>
  <si>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</si>
  <si>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</si>
  <si>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</si>
  <si>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</si>
  <si>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</si>
  <si>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</si>
  <si>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</si>
  <si>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</si>
  <si>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</si>
  <si>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</si>
  <si>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</si>
  <si>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</si>
  <si>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</si>
  <si>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</si>
  <si>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</si>
  <si>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</si>
  <si>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</si>
  <si>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</si>
  <si>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</si>
  <si>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</si>
  <si>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</si>
  <si>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</si>
  <si>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</si>
  <si>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</si>
  <si>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</si>
  <si>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</si>
  <si>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</si>
  <si>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</si>
  <si>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</si>
  <si>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</si>
  <si>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</si>
  <si>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</si>
  <si>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</si>
  <si>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</si>
  <si>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</si>
  <si>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</si>
  <si>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</si>
  <si>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</si>
  <si>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</si>
  <si>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</si>
  <si>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</si>
  <si>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</si>
  <si>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</si>
  <si>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</si>
  <si>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</si>
  <si>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</si>
  <si>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</si>
  <si>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</si>
  <si>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</si>
  <si>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</si>
  <si>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</si>
  <si>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</si>
  <si>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</si>
  <si>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</si>
  <si>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</si>
  <si>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</si>
  <si>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</si>
  <si>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</si>
  <si>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</si>
  <si>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</si>
  <si>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</si>
  <si>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</si>
  <si>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</si>
  <si>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</si>
  <si>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</si>
  <si>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</si>
  <si>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</si>
  <si>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</si>
  <si>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</si>
  <si>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</si>
  <si>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</si>
  <si>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</si>
  <si>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</si>
  <si>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</si>
  <si>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</si>
  <si>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</si>
  <si>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</si>
  <si>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</si>
  <si>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</si>
  <si>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</si>
  <si>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</si>
  <si>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</si>
  <si>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</si>
  <si>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</si>
  <si>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</si>
  <si>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</si>
  <si>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</si>
  <si>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</si>
  <si>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</si>
  <si>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</si>
  <si>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</si>
  <si>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</si>
  <si>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</si>
  <si>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</si>
  <si>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</si>
  <si>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</si>
  <si>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</si>
  <si>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</si>
  <si>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</si>
  <si>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</si>
  <si>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</si>
  <si>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</si>
  <si>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</si>
  <si>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</si>
  <si>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</si>
  <si>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</si>
  <si>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</si>
  <si>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</si>
  <si>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</si>
  <si>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</si>
  <si>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</si>
  <si>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</si>
  <si>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</si>
  <si>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</si>
  <si>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</si>
  <si>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</si>
  <si>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</si>
  <si>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</si>
  <si>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</si>
  <si>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</si>
  <si>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</si>
  <si>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</si>
  <si>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</si>
  <si>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</si>
  <si>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</si>
  <si>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</si>
  <si>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</si>
  <si>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</si>
  <si>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</si>
  <si>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</si>
  <si>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</si>
  <si>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</si>
  <si>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</si>
  <si>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</si>
  <si>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</si>
  <si>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</si>
  <si>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</si>
  <si>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</si>
  <si>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</si>
  <si>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</si>
  <si>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</si>
  <si>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</si>
  <si>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</si>
  <si>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</si>
  <si>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</si>
  <si>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</si>
  <si>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</si>
  <si>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</si>
  <si>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</si>
  <si>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</si>
  <si>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</si>
  <si>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</si>
  <si>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</si>
  <si>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</si>
  <si>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</si>
  <si>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</si>
  <si>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</si>
  <si>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</si>
  <si>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</si>
  <si>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</si>
  <si>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</si>
  <si>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</si>
  <si>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</si>
  <si>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</si>
  <si>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</si>
  <si>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</si>
  <si>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</si>
  <si>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</si>
  <si>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</si>
  <si>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</si>
  <si>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</si>
  <si>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</si>
  <si>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</si>
  <si>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</si>
  <si>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</si>
  <si>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</si>
  <si>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</si>
  <si>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</si>
  <si>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</si>
  <si>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</si>
  <si>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</si>
  <si>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</si>
  <si>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</si>
  <si>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</si>
  <si>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</si>
  <si>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</si>
  <si>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</si>
  <si>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</si>
  <si>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</si>
  <si>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</si>
  <si>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</si>
  <si>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</si>
  <si>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</si>
  <si>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</si>
  <si>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</si>
  <si>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</si>
  <si>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</si>
  <si>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</si>
  <si>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</si>
  <si>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</si>
  <si>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</si>
  <si>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</si>
  <si>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</si>
  <si>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</si>
  <si>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</si>
  <si>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</si>
  <si>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</si>
  <si>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</si>
  <si>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</si>
  <si>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</si>
  <si>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</si>
  <si>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</si>
  <si>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</si>
  <si>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</si>
  <si>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</si>
  <si>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</si>
  <si>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</si>
  <si>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</si>
  <si>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</si>
  <si>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</si>
  <si>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</si>
  <si>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</si>
  <si>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</si>
  <si>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</si>
  <si>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</si>
  <si>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</si>
  <si>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</si>
  <si>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</si>
  <si>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</si>
  <si>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</si>
  <si>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</si>
  <si>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</si>
  <si>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</si>
  <si>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</si>
  <si>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</si>
  <si>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</si>
  <si>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</si>
  <si>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</si>
  <si>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</si>
  <si>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</si>
  <si>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</si>
  <si>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</si>
  <si>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</si>
  <si>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</si>
  <si>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</si>
  <si>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</si>
  <si>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</si>
  <si>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</si>
  <si>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</si>
  <si>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</si>
  <si>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</si>
  <si>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</si>
  <si>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</si>
  <si>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</si>
  <si>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</si>
  <si>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</si>
  <si>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</si>
  <si>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</si>
  <si>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</si>
  <si>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</si>
  <si>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</si>
  <si>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</si>
  <si>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</si>
  <si>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</si>
  <si>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</si>
  <si>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</si>
  <si>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</si>
  <si>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</si>
  <si>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</si>
  <si>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</si>
  <si>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</si>
  <si>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</si>
  <si>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</si>
  <si>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</si>
  <si>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</si>
  <si>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</si>
  <si>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</si>
  <si>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</si>
  <si>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</si>
  <si>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</si>
  <si>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</si>
  <si>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</si>
  <si>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</si>
  <si>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</si>
  <si>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</si>
  <si>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</si>
  <si>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</si>
  <si>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</si>
  <si>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</si>
  <si>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</si>
  <si>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</si>
  <si>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</si>
  <si>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</si>
  <si>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</si>
  <si>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</si>
  <si>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</si>
  <si>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</si>
  <si>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</si>
  <si>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</si>
  <si>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</si>
  <si>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</si>
  <si>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</si>
  <si>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</si>
  <si>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</si>
  <si>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</si>
  <si>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</si>
  <si>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</si>
  <si>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</si>
  <si>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</si>
  <si>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</si>
  <si>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</si>
  <si>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</si>
  <si>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</si>
  <si>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</si>
  <si>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</si>
  <si>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</si>
  <si>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</si>
  <si>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</si>
  <si>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</si>
  <si>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</si>
  <si>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</si>
  <si>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</si>
  <si>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</si>
  <si>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</si>
  <si>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</si>
  <si>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</si>
  <si>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</si>
  <si>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</si>
  <si>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</si>
  <si>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</si>
  <si>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</si>
  <si>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</si>
  <si>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</si>
  <si>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</si>
  <si>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</si>
  <si>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</si>
  <si>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</si>
  <si>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</si>
  <si>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</si>
  <si>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</si>
  <si>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</si>
  <si>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</si>
  <si>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</si>
  <si>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</si>
  <si>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</si>
  <si>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</si>
  <si>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</si>
  <si>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</si>
  <si>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</si>
  <si>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</si>
  <si>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</si>
  <si>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</si>
  <si>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</si>
  <si>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</si>
  <si>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</si>
  <si>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</si>
  <si>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</si>
  <si>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</si>
  <si>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</si>
  <si>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</si>
  <si>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</si>
  <si>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</si>
  <si>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</si>
  <si>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</si>
  <si>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</si>
  <si>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</si>
  <si>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</si>
  <si>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</si>
  <si>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</si>
  <si>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</si>
  <si>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</si>
  <si>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</si>
  <si>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</si>
  <si>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</si>
  <si>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</si>
  <si>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</si>
  <si>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</si>
  <si>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</si>
  <si>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</si>
  <si>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</si>
  <si>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</si>
  <si>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</si>
  <si>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</si>
  <si>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</si>
  <si>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</si>
  <si>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</si>
  <si>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</si>
  <si>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</si>
  <si>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</si>
  <si>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</si>
  <si>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</si>
  <si>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</si>
  <si>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</si>
  <si>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</si>
  <si>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</si>
  <si>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</si>
  <si>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</si>
  <si>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</si>
  <si>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</si>
  <si>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</si>
  <si>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</si>
  <si>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</si>
  <si>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</si>
  <si>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</si>
  <si>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</si>
  <si>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</si>
  <si>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</si>
  <si>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</si>
  <si>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</si>
  <si>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</si>
  <si>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</si>
  <si>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</si>
  <si>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</si>
  <si>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</si>
  <si>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</si>
  <si>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</si>
  <si>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</si>
  <si>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</si>
  <si>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</si>
  <si>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</si>
  <si>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</si>
  <si>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</si>
  <si>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</si>
  <si>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</si>
  <si>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</si>
  <si>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</si>
  <si>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</si>
  <si>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</si>
  <si>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</si>
  <si>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</si>
  <si>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</si>
  <si>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</si>
  <si>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</si>
  <si>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</si>
  <si>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</si>
  <si>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</si>
  <si>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</si>
  <si>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</si>
  <si>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</si>
  <si>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</si>
  <si>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</si>
  <si>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</si>
  <si>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</si>
  <si>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</si>
  <si>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</si>
  <si>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</si>
  <si>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</si>
  <si>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</si>
  <si>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</si>
  <si>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</si>
  <si>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</si>
  <si>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</si>
  <si>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</si>
  <si>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</si>
  <si>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</si>
  <si>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</si>
  <si>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</si>
  <si>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</si>
  <si>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</si>
  <si>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</si>
  <si>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</si>
  <si>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</si>
  <si>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</si>
  <si>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</si>
  <si>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</si>
  <si>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</si>
  <si>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</si>
  <si>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</si>
  <si>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</si>
  <si>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</si>
  <si>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</si>
  <si>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</si>
  <si>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</si>
  <si>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</si>
  <si>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</si>
  <si>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</si>
  <si>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</si>
  <si>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</si>
  <si>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</si>
  <si>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</si>
  <si>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</si>
  <si>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</si>
  <si>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</si>
  <si>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</si>
  <si>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</si>
  <si>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</si>
  <si>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</si>
  <si>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</si>
  <si>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</si>
  <si>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</si>
  <si>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</si>
  <si>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</si>
  <si>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</si>
  <si>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</si>
  <si>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</si>
  <si>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</si>
  <si>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</si>
  <si>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</si>
  <si>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</si>
  <si>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</si>
  <si>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</si>
  <si>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</si>
  <si>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</si>
  <si>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</si>
  <si>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</si>
  <si>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</si>
  <si>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</si>
  <si>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</si>
  <si>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</si>
  <si>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</si>
  <si>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</si>
  <si>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</si>
  <si>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</si>
  <si>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</si>
  <si>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</si>
  <si>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</si>
  <si>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</si>
  <si>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</si>
  <si>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</si>
  <si>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</si>
  <si>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</si>
  <si>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</si>
  <si>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</si>
  <si>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</si>
  <si>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</si>
  <si>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</si>
  <si>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</si>
  <si>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</si>
  <si>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</si>
  <si>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</si>
  <si>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</si>
  <si>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</si>
  <si>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</si>
  <si>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</si>
  <si>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</si>
  <si>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</si>
  <si>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</si>
  <si>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</si>
  <si>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</si>
  <si>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</si>
  <si>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</si>
  <si>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</si>
  <si>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</si>
  <si>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</si>
  <si>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</si>
  <si>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</si>
  <si>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</si>
  <si>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</si>
  <si>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</si>
  <si>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</si>
  <si>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</si>
  <si>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</si>
  <si>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</si>
  <si>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</si>
  <si>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</si>
  <si>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</si>
  <si>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</si>
  <si>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</si>
  <si>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</si>
  <si>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</si>
  <si>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</si>
  <si>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</si>
  <si>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</si>
  <si>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</si>
  <si>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</si>
  <si>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</si>
  <si>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</si>
  <si>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</si>
  <si>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</si>
  <si>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</si>
  <si>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</si>
  <si>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</si>
  <si>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</si>
  <si>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</si>
  <si>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</si>
  <si>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</si>
  <si>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</si>
  <si>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</si>
  <si>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</si>
  <si>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</si>
  <si>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</si>
  <si>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</si>
  <si>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</si>
  <si>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</si>
  <si>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</si>
  <si>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</si>
  <si>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</si>
  <si>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</si>
  <si>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</si>
  <si>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</si>
  <si>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</si>
  <si>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</si>
  <si>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</si>
  <si>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</si>
  <si>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</si>
  <si>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</si>
  <si>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</si>
  <si>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</si>
  <si>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</si>
  <si>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</si>
  <si>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</si>
  <si>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</si>
  <si>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</si>
  <si>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</si>
  <si>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</si>
  <si>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</si>
  <si>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</si>
  <si>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</si>
  <si>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</si>
  <si>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</si>
  <si>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</si>
  <si>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</si>
  <si>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</si>
  <si>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</si>
  <si>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</si>
  <si>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</si>
  <si>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</si>
  <si>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</si>
  <si>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</si>
  <si>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</si>
  <si>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</si>
  <si>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</si>
  <si>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</si>
  <si>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</si>
  <si>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</si>
  <si>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</si>
  <si>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</si>
  <si>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</si>
  <si>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</si>
  <si>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</si>
  <si>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</si>
  <si>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</si>
  <si>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</si>
  <si>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</si>
  <si>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</si>
  <si>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</si>
  <si>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</si>
  <si>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</si>
  <si>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</si>
  <si>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</si>
  <si>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</si>
  <si>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</si>
  <si>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</si>
  <si>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</si>
  <si>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</si>
  <si>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</si>
  <si>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</si>
  <si>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</si>
  <si>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</si>
  <si>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</si>
  <si>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</si>
  <si>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</si>
  <si>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</si>
  <si>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</si>
  <si>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</si>
  <si>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</si>
  <si>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</si>
  <si>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</si>
  <si>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</si>
  <si>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</si>
  <si>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</si>
  <si>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</si>
  <si>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</si>
  <si>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</si>
  <si>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</si>
  <si>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</si>
  <si>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</si>
  <si>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</si>
  <si>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</si>
  <si>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</si>
  <si>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</si>
  <si>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</si>
  <si>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</si>
  <si>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</si>
  <si>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</si>
  <si>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</si>
  <si>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</si>
  <si>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</si>
  <si>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</si>
  <si>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</si>
  <si>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</si>
  <si>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</si>
  <si>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</si>
  <si>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</si>
  <si>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</si>
  <si>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</si>
  <si>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</si>
  <si>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</si>
  <si>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</si>
  <si>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</si>
  <si>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</si>
  <si>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</si>
  <si>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</si>
  <si>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</si>
  <si>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</si>
  <si>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</si>
  <si>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</si>
  <si>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</si>
  <si>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</si>
  <si>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</si>
  <si>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</si>
  <si>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</si>
  <si>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</si>
  <si>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</si>
  <si>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</si>
  <si>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</si>
  <si>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</si>
  <si>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</si>
  <si>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</si>
  <si>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</si>
  <si>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</si>
  <si>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</si>
  <si>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</si>
  <si>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</si>
  <si>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</si>
  <si>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</si>
  <si>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</si>
  <si>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</si>
  <si>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</si>
  <si>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</si>
  <si>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</si>
  <si>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</si>
  <si>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</si>
  <si>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</si>
  <si>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</si>
  <si>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</si>
  <si>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</si>
  <si>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</si>
  <si>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</si>
  <si>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</si>
  <si>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</si>
  <si>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</si>
  <si>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</si>
  <si>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</si>
  <si>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</si>
  <si>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</si>
  <si>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</si>
  <si>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</si>
  <si>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</si>
  <si>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</si>
  <si>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</si>
  <si>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</si>
  <si>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</si>
  <si>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</si>
  <si>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</si>
  <si>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</si>
  <si>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</si>
  <si>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</si>
  <si>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</si>
  <si>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</si>
  <si>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</si>
  <si>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</si>
  <si>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</si>
  <si>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</si>
  <si>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</si>
  <si>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</si>
  <si>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</si>
  <si>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</si>
  <si>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</si>
  <si>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</si>
  <si>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</si>
  <si>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</si>
  <si>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</si>
  <si>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</si>
  <si>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</si>
  <si>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</si>
  <si>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</si>
  <si>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</si>
  <si>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</si>
  <si>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</si>
  <si>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</si>
  <si>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</si>
  <si>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</si>
  <si>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</si>
  <si>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</si>
  <si>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</si>
  <si>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</si>
  <si>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</si>
  <si>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</si>
  <si>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</si>
  <si>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</si>
  <si>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</si>
  <si>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</si>
  <si>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</si>
  <si>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</si>
  <si>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</si>
  <si>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</si>
  <si>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</si>
  <si>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</si>
  <si>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</si>
  <si>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</si>
  <si>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</si>
  <si>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</si>
  <si>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</si>
  <si>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</si>
  <si>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</si>
  <si>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</si>
  <si>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</si>
  <si>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</si>
  <si>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</si>
  <si>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</si>
  <si>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</si>
  <si>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</si>
  <si>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</si>
  <si>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</si>
  <si>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</si>
  <si>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</si>
  <si>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</si>
  <si>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</si>
  <si>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</si>
  <si>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</si>
  <si>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</si>
  <si>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</si>
  <si>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</si>
  <si>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</si>
  <si>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</si>
  <si>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</si>
  <si>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</si>
  <si>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</si>
  <si>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</si>
  <si>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</si>
  <si>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</si>
  <si>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</si>
  <si>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</si>
  <si>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</si>
  <si>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</si>
  <si>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</si>
  <si>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</si>
  <si>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</si>
  <si>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</si>
  <si>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</si>
  <si>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</si>
  <si>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</si>
  <si>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</si>
  <si>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</si>
  <si>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</si>
  <si>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</si>
  <si>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</si>
  <si>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</si>
  <si>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</si>
  <si>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</si>
  <si>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</si>
  <si>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</si>
  <si>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</si>
  <si>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</si>
  <si>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</si>
  <si>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</si>
  <si>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</si>
  <si>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</si>
  <si>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</si>
  <si>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</si>
  <si>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</si>
  <si>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</si>
  <si>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</si>
  <si>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</si>
  <si>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</si>
  <si>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</si>
  <si>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</si>
  <si>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</si>
  <si>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</si>
  <si>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</si>
  <si>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</si>
  <si>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</si>
  <si>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</si>
  <si>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</si>
  <si>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</si>
  <si>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</si>
  <si>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</si>
  <si>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</si>
  <si>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</si>
  <si>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</si>
  <si>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</si>
  <si>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</si>
  <si>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</si>
  <si>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</si>
  <si>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</si>
  <si>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</si>
  <si>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</si>
  <si>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</si>
  <si>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</si>
  <si>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</si>
  <si>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</si>
  <si>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</si>
  <si>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</si>
  <si>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</si>
  <si>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</si>
  <si>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</si>
  <si>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</si>
  <si>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</si>
  <si>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</si>
  <si>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</si>
  <si>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</si>
  <si>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</si>
  <si>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</si>
  <si>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</si>
  <si>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</si>
  <si>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</si>
  <si>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</si>
  <si>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</si>
  <si>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</si>
  <si>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</si>
  <si>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</si>
  <si>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</si>
  <si>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</si>
  <si>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</si>
  <si>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</si>
  <si>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</si>
  <si>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</si>
  <si>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</si>
  <si>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</si>
  <si>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</si>
  <si>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</si>
  <si>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</si>
  <si>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</si>
  <si>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</si>
  <si>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</si>
  <si>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</si>
  <si>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</si>
  <si>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</si>
  <si>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</si>
  <si>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</si>
  <si>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</si>
  <si>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</si>
  <si>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</si>
  <si>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</si>
  <si>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</si>
  <si>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</si>
  <si>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</si>
  <si>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</si>
  <si>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</si>
  <si>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</si>
  <si>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</si>
  <si>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</si>
  <si>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</si>
  <si>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</si>
  <si>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</si>
  <si>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</si>
  <si>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</si>
  <si>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</si>
  <si>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</si>
  <si>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</si>
  <si>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</si>
  <si>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</si>
  <si>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</si>
  <si>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</si>
  <si>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</si>
  <si>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</si>
  <si>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</si>
  <si>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</si>
  <si>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</si>
  <si>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</si>
  <si>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</si>
  <si>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</si>
  <si>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</si>
  <si>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</si>
  <si>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</si>
  <si>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</si>
  <si>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</si>
  <si>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</si>
  <si>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</si>
  <si>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</si>
  <si>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</si>
  <si>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</si>
  <si>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</si>
  <si>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</si>
  <si>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</si>
  <si>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</si>
  <si>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</si>
  <si>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</si>
  <si>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</si>
  <si>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</si>
  <si>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</si>
  <si>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</si>
  <si>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</si>
  <si>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</si>
  <si>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</si>
  <si>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</si>
  <si>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</si>
  <si>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</si>
  <si>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</si>
  <si>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</si>
  <si>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</si>
  <si>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</si>
  <si>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</si>
  <si>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</si>
  <si>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</si>
  <si>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</si>
  <si>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</si>
  <si>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</si>
  <si>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</si>
  <si>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</si>
  <si>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</si>
  <si>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</si>
  <si>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</si>
  <si>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</si>
  <si>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</si>
  <si>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</si>
  <si>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</si>
  <si>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</si>
  <si>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</si>
  <si>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</si>
  <si>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</si>
  <si>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</si>
  <si>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</si>
  <si>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</si>
  <si>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</si>
  <si>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</si>
  <si>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</si>
  <si>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</si>
  <si>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</si>
  <si>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</si>
  <si>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</si>
  <si>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</si>
  <si>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</si>
  <si>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</si>
  <si>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</si>
  <si>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</si>
  <si>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</si>
  <si>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</si>
  <si>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</si>
  <si>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</si>
  <si>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</si>
  <si>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</si>
  <si>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</si>
  <si>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</si>
  <si>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</si>
  <si>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</si>
  <si>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</si>
  <si>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</si>
  <si>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</si>
  <si>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</si>
  <si>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</si>
  <si>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</si>
  <si>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</si>
  <si>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</si>
  <si>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</si>
  <si>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</si>
  <si>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</si>
  <si>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</si>
  <si>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</si>
  <si>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</si>
  <si>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</si>
  <si>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</si>
  <si>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</si>
  <si>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</si>
  <si>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</si>
  <si>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</si>
  <si>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</si>
  <si>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</si>
  <si>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</si>
  <si>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</si>
  <si>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</si>
  <si>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</si>
  <si>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</si>
  <si>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</si>
  <si>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</si>
  <si>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</si>
  <si>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</si>
  <si>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</si>
  <si>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</si>
  <si>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</si>
  <si>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</si>
  <si>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</si>
  <si>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</si>
  <si>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TAP-TIN</t>
  </si>
  <si>
    <t>TAPTIN</t>
  </si>
  <si>
    <t xml:space="preserve">Deslocamento  </t>
  </si>
  <si>
    <t>Deslocamento ok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</si>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</sst>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3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G172" activePane="topRight" state="frozen"/>
      <selection pane="topRight" activeCell="Y188" sqref="Y18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1400</v>
      </c>
      <c r="BK80" s="14" t="s">
        <v>1400</v>
      </c>
      <c r="BL80" s="13"/>
      <c r="BM80" s="12" t="s">
        <v>403</v>
      </c>
      <c r="BN80" s="12" t="s">
        <v>403</v>
      </c>
      <c r="BO80" s="12" t="s">
        <v>403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1506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1507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1508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1509</v>
      </c>
      <c r="BK142" s="14" t="s">
        <v>1509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1507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1510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1511</v>
      </c>
      <c r="BK143" s="14" t="s">
        <v>1509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1513</v>
      </c>
      <c r="BK144" s="14" t="s">
        <v>1514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1514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1515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1516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1517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1518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1519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1520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1521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1521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1522</v>
      </c>
      <c r="BK148" s="14" t="s">
        <v>1523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1524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1525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1526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1527</v>
      </c>
      <c r="BK150" s="14" t="s">
        <v>1528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1529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1530</v>
      </c>
      <c r="N151" s="149" t="s">
        <v>1531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1532</v>
      </c>
      <c r="BK151" s="14" t="s">
        <v>1533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1534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1535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1536</v>
      </c>
      <c r="BK155" s="218" t="s">
        <v>1536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1537</v>
      </c>
      <c r="BK156" s="14" t="s">
        <v>1538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1538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1539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1539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1540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1541</v>
      </c>
      <c r="BJ158" s="14" t="s">
        <v>1541</v>
      </c>
      <c r="BK158" s="14" t="s">
        <v>1541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1542</v>
      </c>
      <c r="BK161" s="14" t="s">
        <v>1542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1515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1543</v>
      </c>
      <c r="BK162" s="14" t="s">
        <v>1543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1540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1544</v>
      </c>
      <c r="BK163" s="14" t="s">
        <v>1545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1546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1526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1547</v>
      </c>
      <c r="BK166" s="14" t="s">
        <v>1548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1546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1549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1550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1534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1551</v>
      </c>
      <c r="BK170" s="14" t="s">
        <v>1552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1553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1540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1554</v>
      </c>
      <c r="BK171" s="14" t="s">
        <v>1554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1555</v>
      </c>
      <c r="BK172" s="14" t="s">
        <v>1555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1556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1557</v>
      </c>
      <c r="BK173" s="14" t="s">
        <v>1557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1556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1558</v>
      </c>
      <c r="W174" s="135" t="s">
        <v>1559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1560</v>
      </c>
      <c r="BK174" s="14" t="s">
        <v>1560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1517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1540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1561</v>
      </c>
      <c r="BK175" s="14" t="s">
        <v>1562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1563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 hidden="1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1564</v>
      </c>
      <c r="BK176" s="14" t="s">
        <v>1564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1526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1565</v>
      </c>
      <c r="BK177" s="14" t="s">
        <v>1565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1563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 hidden="1">
      <c r="A178" s="44" t="str">
        <f t="shared" si="6"/>
        <v>E1446093</v>
      </c>
      <c r="B178" s="133">
        <v>46093</v>
      </c>
      <c r="C178" s="7">
        <f>IF(BS_CONTROLE[[#This Row],[DATA]]="","",WEEKNUM(BS_CONTROLE[[#This Row],[DATA]]))</f>
        <v>11</v>
      </c>
      <c r="D178" s="45" t="s">
        <v>149</v>
      </c>
      <c r="E178" s="185">
        <v>192</v>
      </c>
      <c r="F178" s="134" t="s">
        <v>25</v>
      </c>
      <c r="G178" s="8" t="str">
        <f>IF(D178="","*",VLOOKUP(F178,BS_ATIVIDADE[#All],3,FALSE))</f>
        <v>OUTROS</v>
      </c>
      <c r="H178" s="135" t="s">
        <v>578</v>
      </c>
      <c r="I178" s="135" t="s">
        <v>600</v>
      </c>
      <c r="J178" s="151">
        <v>74</v>
      </c>
      <c r="K178" s="151">
        <v>24</v>
      </c>
      <c r="L178" s="71" t="s">
        <v>11</v>
      </c>
      <c r="M178" s="149" t="s">
        <v>1566</v>
      </c>
      <c r="N178" s="149" t="s">
        <v>1567</v>
      </c>
      <c r="O178" s="135">
        <v>0.99930555555555556</v>
      </c>
      <c r="P178" s="135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199" t="str">
        <f>IFERROR(_xlfn.XLOOKUP(J178, BASE_MAPA!$B$2:$B$408, BASE_MAPA!$G$2:$G$408), "ERRO")</f>
        <v>MARCO INICIAL - ALTO ARAGUAIA</v>
      </c>
      <c r="V178" s="143" t="s">
        <v>1239</v>
      </c>
      <c r="W178" s="135" t="s">
        <v>1568</v>
      </c>
      <c r="X178" s="152" t="s">
        <v>383</v>
      </c>
      <c r="Y178" s="129"/>
      <c r="Z178" s="129"/>
      <c r="AA178" s="71">
        <v>1</v>
      </c>
      <c r="AB178" s="59" t="s">
        <v>371</v>
      </c>
      <c r="AC178" s="59" t="s">
        <v>366</v>
      </c>
      <c r="AD178" s="135">
        <v>0.91666666666666663</v>
      </c>
      <c r="AE178" s="71">
        <v>6245</v>
      </c>
      <c r="AF178" s="71">
        <v>6246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75" t="str">
        <f>IF(BS_CONTROLE[[#This Row],[Local - Partida]]=0, "-", BS_CONTROLE[[#This Row],[Local - Partida]])</f>
        <v>TAP2</v>
      </c>
      <c r="AL178" s="175" t="str">
        <f>IF(BS_CONTROLE[[#This Row],[Local - Encerramento]]=0, "-", BS_CONTROLE[[#This Row],[Local - Encerramento]])</f>
        <v>TIN2</v>
      </c>
      <c r="AM178" s="175" t="str">
        <f>IF(BS_CONTROLE[[#This Row],[Entre - Estações]]=0, "-", BS_CONTROLE[[#This Row],[Entre - Estações]])</f>
        <v>TAP-TIN</v>
      </c>
      <c r="AN178" s="175" t="str">
        <f>IF(BS_CONTROLE[[#This Row],[SB]]=0, "-", BS_CONTROLE[[#This Row],[SB]])</f>
        <v>TAPTIN</v>
      </c>
      <c r="AO178" s="176">
        <f>IF(BS_CONTROLE[[#This Row],[SUB]]=0, "-", BS_CONTROLE[[#This Row],[SUB]])</f>
        <v>74</v>
      </c>
      <c r="AP178" s="177">
        <f>IF(BS_CONTROLE[[#This Row],[KM - Inicio]]=0, "-", BS_CONTROLE[[#This Row],[KM - Inicio]])</f>
        <v>24</v>
      </c>
      <c r="AQ178" s="177" t="str">
        <f>IF(BS_CONTROLE[[#This Row],[KM - Fim]]=0, "-", BS_CONTROLE[[#This Row],[KM - Fim]])</f>
        <v>-</v>
      </c>
      <c r="AR178" s="32">
        <v>4.8611111111111112E-3</v>
      </c>
      <c r="AS178" s="32">
        <v>9.0277777777777769E-3</v>
      </c>
      <c r="AT178" s="32">
        <v>5.0694444444444445E-2</v>
      </c>
      <c r="AU178" s="32"/>
      <c r="AV178" s="32"/>
      <c r="AW178" s="32"/>
      <c r="AX178" s="32"/>
      <c r="AY178" s="184">
        <f>IF(D178="","*",IFERROR(IF(ISODD(COUNT(AS178:AX178)),"ERRO",SUM((AT178-AS178),(AV178-AU178),(AX178-AW178))),"ERRO"))</f>
        <v>4.1666666666666671E-2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200" t="str">
        <f>IFERROR(_xlfn.XLOOKUP(AO178, BASE_MAPA!$B$2:$B$408, BASE_MAPA!$G$2:$G$408), "ERRO")</f>
        <v>MARCO INICIAL - ALTO ARAGUAIA</v>
      </c>
      <c r="BF178" s="178" t="str">
        <f>IF(BS_CONTROLE[[#This Row],[Responsavel pelo boletim]]=0, "-", BS_CONTROLE[[#This Row],[Responsavel pelo boletim]])</f>
        <v>Fernanda</v>
      </c>
      <c r="BG178" s="13"/>
      <c r="BH178" s="14">
        <v>2</v>
      </c>
      <c r="BI178" s="14"/>
      <c r="BJ178" s="14" t="s">
        <v>1569</v>
      </c>
      <c r="BK178" s="14" t="s">
        <v>1569</v>
      </c>
      <c r="BL178" s="13"/>
      <c r="BM178" s="12" t="s">
        <v>403</v>
      </c>
      <c r="BN178" s="12" t="s">
        <v>403</v>
      </c>
      <c r="BO178" s="130" t="s">
        <v>403</v>
      </c>
      <c r="BP178" s="14" t="s">
        <v>11</v>
      </c>
      <c r="BQ178" s="10" t="str">
        <f t="shared" si="7"/>
        <v>Aderente</v>
      </c>
      <c r="BR178" s="15">
        <f t="shared" si="8"/>
        <v>1.0000000000000002</v>
      </c>
      <c r="BS178" s="15">
        <f t="shared" si="9"/>
        <v>1</v>
      </c>
      <c r="BT178" s="157" t="str">
        <f t="shared" si="5"/>
        <v>OKOK</v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1534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1570</v>
      </c>
      <c r="X181" s="152" t="s">
        <v>379</v>
      </c>
      <c r="Y181" s="129" t="s">
        <v>382</v>
      </c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1571</v>
      </c>
      <c r="X182" s="152" t="s">
        <v>379</v>
      </c>
      <c r="Y182" s="129" t="s">
        <v>382</v>
      </c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1508</v>
      </c>
      <c r="X183" s="152" t="s">
        <v>374</v>
      </c>
      <c r="Y183" s="129" t="s">
        <v>373</v>
      </c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379</v>
      </c>
      <c r="Y184" s="129" t="s">
        <v>382</v>
      </c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 t="s">
        <v>382</v>
      </c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1572</v>
      </c>
      <c r="X186" s="152" t="s">
        <v>379</v>
      </c>
      <c r="Y186" s="129" t="s">
        <v>382</v>
      </c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1526</v>
      </c>
      <c r="W187" s="135" t="s">
        <v>1282</v>
      </c>
      <c r="X187" s="152" t="s">
        <v>379</v>
      </c>
      <c r="Y187" s="129" t="s">
        <v>382</v>
      </c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1573</v>
      </c>
      <c r="W188" s="135" t="s">
        <v>1574</v>
      </c>
      <c r="X188" s="152" t="s">
        <v>379</v>
      </c>
      <c r="Y188" s="129" t="s">
        <v>382</v>
      </c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1575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8" operator="equal">
      <formula>"ERRO"</formula>
    </cfRule>
  </conditionalFormatting>
  <conditionalFormatting sqref="X4 Y1:Z782">
    <cfRule type="cellIs" dxfId="120" priority="18547" operator="equal">
      <formula>"OPORTUNIDADE"</formula>
    </cfRule>
  </conditionalFormatting>
  <conditionalFormatting sqref="AZ6:AZ782">
    <cfRule type="expression" dxfId="119" priority="18542">
      <formula>$BU6=1</formula>
    </cfRule>
  </conditionalFormatting>
  <conditionalFormatting sqref="BQ6:BQ782">
    <cfRule type="cellIs" dxfId="118" priority="18553" operator="equal">
      <formula>"Produção e Intervalo"</formula>
    </cfRule>
    <cfRule type="cellIs" dxfId="117" priority="18554" operator="equal">
      <formula>"Aderente"</formula>
    </cfRule>
    <cfRule type="cellIs" dxfId="116" priority="18555" operator="equal">
      <formula>"Intervalo"</formula>
    </cfRule>
    <cfRule type="cellIs" dxfId="115" priority="18556" operator="equal">
      <formula>"Produção"</formula>
    </cfRule>
    <cfRule type="cellIs" dxfId="114" priority="18557" operator="equal">
      <formula>"ERRO"</formula>
    </cfRule>
  </conditionalFormatting>
  <conditionalFormatting sqref="BR6:BS782">
    <cfRule type="cellIs" dxfId="113" priority="18535" operator="equal">
      <formula>"*"</formula>
    </cfRule>
    <cfRule type="cellIs" dxfId="112" priority="18536" operator="greaterThanOrEqual">
      <formula>1</formula>
    </cfRule>
    <cfRule type="cellIs" dxfId="111" priority="18537" operator="lessThan">
      <formula>1</formula>
    </cfRule>
  </conditionalFormatting>
  <conditionalFormatting sqref="Y6:Z782">
    <cfRule type="cellIs" dxfId="110" priority="18483" operator="equal">
      <formula>"NÃO"</formula>
    </cfRule>
    <cfRule type="cellIs" dxfId="109" priority="18484" operator="equal">
      <formula>"SIM"</formula>
    </cfRule>
  </conditionalFormatting>
  <conditionalFormatting sqref="Y1047845:Y1048576">
    <cfRule type="cellIs" dxfId="108" priority="18364" operator="equal">
      <formula>"OPORTUNIDADE"</formula>
    </cfRule>
  </conditionalFormatting>
  <conditionalFormatting sqref="Y1047845:Y1048576">
    <cfRule type="cellIs" dxfId="107" priority="18362" operator="equal">
      <formula>"NÃO"</formula>
    </cfRule>
    <cfRule type="cellIs" dxfId="106" priority="18363" operator="equal">
      <formula>"SIM"</formula>
    </cfRule>
  </conditionalFormatting>
  <conditionalFormatting sqref="BK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9 BK181:BK782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5">
      <iconSet showValue="0">
        <cfvo type="percent" val="0"/>
        <cfvo type="num" val="1"/>
        <cfvo type="num" val="1" gte="0"/>
      </iconSet>
    </cfRule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1576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1577</v>
      </c>
      <c r="E3" s="186" t="s">
        <v>1578</v>
      </c>
      <c r="F3" s="186" t="s">
        <v>1579</v>
      </c>
      <c r="G3" s="186" t="s">
        <v>1580</v>
      </c>
      <c r="H3" s="186" t="s">
        <v>1581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1582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1583</v>
      </c>
      <c r="D13" s="187">
        <v>9049</v>
      </c>
      <c r="E13" s="188">
        <v>46044</v>
      </c>
      <c r="F13" s="190" t="s">
        <v>1584</v>
      </c>
      <c r="G13" s="187" t="s">
        <v>1585</v>
      </c>
      <c r="H13" s="187"/>
    </row>
    <row r="14" spans="3:8">
      <c r="C14" s="187" t="s">
        <v>1583</v>
      </c>
      <c r="D14" s="187">
        <v>9044</v>
      </c>
      <c r="E14" s="188">
        <v>46044</v>
      </c>
      <c r="F14" s="190" t="s">
        <v>1586</v>
      </c>
      <c r="G14" s="187" t="s">
        <v>1587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1589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1590</v>
      </c>
      <c r="C4" s="191" t="s">
        <v>1591</v>
      </c>
      <c r="D4" s="191" t="s">
        <v>1592</v>
      </c>
      <c r="E4" s="191" t="s">
        <v>1593</v>
      </c>
      <c r="F4" s="191" t="s">
        <v>548</v>
      </c>
      <c r="G4" s="191" t="s">
        <v>1594</v>
      </c>
    </row>
    <row r="5" spans="2:7">
      <c r="B5" s="192" t="s">
        <v>1595</v>
      </c>
      <c r="C5" s="192">
        <v>309525</v>
      </c>
      <c r="D5" s="192" t="s">
        <v>1596</v>
      </c>
      <c r="E5" s="192" t="s">
        <v>249</v>
      </c>
      <c r="F5" s="192" t="s">
        <v>1597</v>
      </c>
      <c r="G5" s="193">
        <v>46296</v>
      </c>
    </row>
    <row r="6" spans="2:7">
      <c r="B6" s="192" t="s">
        <v>1598</v>
      </c>
      <c r="C6" s="192">
        <v>257410</v>
      </c>
      <c r="D6" s="192" t="s">
        <v>1599</v>
      </c>
      <c r="E6" s="192" t="s">
        <v>249</v>
      </c>
      <c r="F6" s="192" t="s">
        <v>1597</v>
      </c>
      <c r="G6" s="193"/>
    </row>
    <row r="7" spans="2:7">
      <c r="B7" s="192" t="s">
        <v>1260</v>
      </c>
      <c r="C7" s="192">
        <v>256875</v>
      </c>
      <c r="D7" s="192" t="s">
        <v>1600</v>
      </c>
      <c r="E7" s="192" t="s">
        <v>249</v>
      </c>
      <c r="F7" s="192" t="s">
        <v>1597</v>
      </c>
      <c r="G7" s="193">
        <v>46296</v>
      </c>
    </row>
    <row r="8" spans="2:7">
      <c r="B8" s="192" t="s">
        <v>1601</v>
      </c>
      <c r="C8" s="192">
        <v>257278</v>
      </c>
      <c r="D8" s="192" t="s">
        <v>1602</v>
      </c>
      <c r="E8" s="192" t="s">
        <v>240</v>
      </c>
      <c r="F8" s="192" t="s">
        <v>1603</v>
      </c>
      <c r="G8" s="193">
        <v>46235</v>
      </c>
    </row>
    <row r="9" spans="2:7">
      <c r="B9" s="192" t="s">
        <v>1604</v>
      </c>
      <c r="C9" s="192">
        <v>257033</v>
      </c>
      <c r="D9" s="192" t="s">
        <v>1605</v>
      </c>
      <c r="E9" s="192" t="s">
        <v>240</v>
      </c>
      <c r="F9" s="192" t="s">
        <v>565</v>
      </c>
      <c r="G9" s="192" t="s">
        <v>1606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A178" sqref="A178:T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1608</v>
      </c>
      <c r="B2" s="91" t="s">
        <v>1609</v>
      </c>
      <c r="C2" s="91" t="s">
        <v>7</v>
      </c>
      <c r="D2" s="92" t="s">
        <v>1176</v>
      </c>
      <c r="E2" s="92" t="s">
        <v>548</v>
      </c>
      <c r="F2" s="92" t="s">
        <v>1610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1611</v>
      </c>
      <c r="T2" s="94" t="s">
        <v>1179</v>
      </c>
      <c r="U2" s="90">
        <f ca="1">TODAY()-1</f>
        <v>46093</v>
      </c>
      <c r="V2" s="90">
        <f ca="1">U2-1</f>
        <v>46092</v>
      </c>
      <c r="W2" s="90">
        <f ca="1">V2-1</f>
        <v>46091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1293</v>
      </c>
      <c r="W4" s="98">
        <f ca="1">_xlfn.XLOOKUP(G4&amp;$W$2,BS_CONTROLE[CHAVE],BS_CONTROLE[Quantidade_11],"-")</f>
        <v>1800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10000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1293</v>
      </c>
      <c r="W11" s="98">
        <f ca="1">_xlfn.XLOOKUP(G11&amp;$W$2,BS_CONTROLE[CHAVE],BS_CONTROLE[Quantidade_11],"-")</f>
        <v>1800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16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105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1241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</v>
      </c>
      <c r="V20" s="98">
        <f ca="1">_xlfn.XLOOKUP(G20&amp;$V$2,BS_CONTROLE[CHAVE],BS_CONTROLE[Quantidade_11],"-")</f>
        <v>10000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1248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1293</v>
      </c>
      <c r="W25" s="98">
        <f ca="1">_xlfn.XLOOKUP(G25&amp;$W$2,BS_CONTROLE[CHAVE],BS_CONTROLE[Quantidade_11],"-")</f>
        <v>1800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16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1241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10000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1293</v>
      </c>
      <c r="W49" s="98">
        <f ca="1">_xlfn.XLOOKUP(G49&amp;$W$2,BS_CONTROLE[CHAVE],BS_CONTROLE[Quantidade_11],"-")</f>
        <v>1800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16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2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1241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105</v>
      </c>
      <c r="V58" s="98">
        <f ca="1">_xlfn.XLOOKUP(G58&amp;$V$2,BS_CONTROLE[CHAVE],BS_CONTROLE[Quantidade_11],"-")</f>
        <v>210</v>
      </c>
      <c r="W58" s="98">
        <f ca="1">_xlfn.XLOOKUP(G58&amp;$W$2,BS_CONTROLE[CHAVE],BS_CONTROLE[Quantidade_11],"-")</f>
        <v>210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10000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105</v>
      </c>
      <c r="V62" s="98">
        <f ca="1">_xlfn.XLOOKUP(G62&amp;$V$2,BS_CONTROLE[CHAVE],BS_CONTROLE[Quantidade_11],"-")</f>
        <v>210</v>
      </c>
      <c r="W62" s="98">
        <f ca="1">_xlfn.XLOOKUP(G62&amp;$W$2,BS_CONTROLE[CHAVE],BS_CONTROLE[Quantidade_11],"-")</f>
        <v>210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1293</v>
      </c>
      <c r="W63" s="98">
        <f ca="1">_xlfn.XLOOKUP(G63&amp;$W$2,BS_CONTROLE[CHAVE],BS_CONTROLE[Quantidade_11],"-")</f>
        <v>1800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16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1</v>
      </c>
      <c r="V66" s="98">
        <f ca="1">_xlfn.XLOOKUP(G66&amp;$V$2,BS_CONTROLE[CHAVE],BS_CONTROLE[Quantidade_11],"-")</f>
        <v>2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105</v>
      </c>
      <c r="V67" s="98">
        <f ca="1">_xlfn.XLOOKUP(G67&amp;$V$2,BS_CONTROLE[CHAVE],BS_CONTROLE[Quantidade_11],"-")</f>
        <v>210</v>
      </c>
      <c r="W67" s="98">
        <f ca="1">_xlfn.XLOOKUP(G67&amp;$W$2,BS_CONTROLE[CHAVE],BS_CONTROLE[Quantidade_11],"-")</f>
        <v>210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10000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1293</v>
      </c>
      <c r="W82" s="98">
        <f ca="1">_xlfn.XLOOKUP(G82&amp;$W$2,BS_CONTROLE[CHAVE],BS_CONTROLE[Quantidade_11],"-")</f>
        <v>1800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16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1</v>
      </c>
      <c r="V86" s="98">
        <f ca="1">_xlfn.XLOOKUP(G86&amp;$V$2,BS_CONTROLE[CHAVE],BS_CONTROLE[Quantidade_11],"-")</f>
        <v>2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1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1248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</v>
      </c>
      <c r="V93" s="98">
        <f ca="1">_xlfn.XLOOKUP(G93&amp;$V$2,BS_CONTROLE[CHAVE],BS_CONTROLE[Quantidade_11],"-")</f>
        <v>10000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1293</v>
      </c>
      <c r="W99" s="98">
        <f ca="1">_xlfn.XLOOKUP(G99&amp;$W$2,BS_CONTROLE[CHAVE],BS_CONTROLE[Quantidade_11],"-")</f>
        <v>1800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1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 t="str">
        <f ca="1">_xlfn.XLOOKUP(G104&amp;$U$2,BS_CONTROLE[CHAVE],BS_CONTROLE[Quantidade_11],"-")</f>
        <v>-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1248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</v>
      </c>
      <c r="V107" s="98">
        <f ca="1">_xlfn.XLOOKUP(G107&amp;$V$2,BS_CONTROLE[CHAVE],BS_CONTROLE[Quantidade_11],"-")</f>
        <v>10000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1293</v>
      </c>
      <c r="W109" s="98">
        <f ca="1">_xlfn.XLOOKUP(G109&amp;$W$2,BS_CONTROLE[CHAVE],BS_CONTROLE[Quantidade_11],"-")</f>
        <v>1800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 t="str">
        <f ca="1">_xlfn.XLOOKUP(G110&amp;$U$2,BS_CONTROLE[CHAVE],BS_CONTROLE[Quantidade_11],"-")</f>
        <v>-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</v>
      </c>
      <c r="V113" s="98">
        <f ca="1">_xlfn.XLOOKUP(G113&amp;$V$2,BS_CONTROLE[CHAVE],BS_CONTROLE[Quantidade_11],"-")</f>
        <v>10000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1293</v>
      </c>
      <c r="W117" s="98">
        <f ca="1">_xlfn.XLOOKUP(G117&amp;$W$2,BS_CONTROLE[CHAVE],BS_CONTROLE[Quantidade_11],"-")</f>
        <v>1800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16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 t="str">
        <f ca="1">_xlfn.XLOOKUP(G120&amp;$U$2,BS_CONTROLE[CHAVE],BS_CONTROLE[Quantidade_11],"-")</f>
        <v>-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1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1248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</v>
      </c>
      <c r="V127" s="98">
        <f ca="1">_xlfn.XLOOKUP(G127&amp;$V$2,BS_CONTROLE[CHAVE],BS_CONTROLE[Quantidade_11],"-")</f>
        <v>10000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>
        <f ca="1">_xlfn.XLOOKUP(G130&amp;$W$2,BS_CONTROLE[CHAVE],BS_CONTROLE[Quantidade_11],"-")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>
        <f ca="1">_xlfn.XLOOKUP(G131&amp;$W$2,BS_CONTROLE[CHAVE],BS_CONTROLE[Quantidade_11],"-")</f>
        <v>1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1293</v>
      </c>
      <c r="W132" s="98">
        <f ca="1">_xlfn.XLOOKUP(G132&amp;$W$2,BS_CONTROLE[CHAVE],BS_CONTROLE[Quantidade_11],"-")</f>
        <v>1800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 t="str">
        <f ca="1">_xlfn.XLOOKUP(G133&amp;$U$2,BS_CONTROLE[CHAVE],BS_CONTROLE[Quantidade_11],"-")</f>
        <v>-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16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1</v>
      </c>
      <c r="V135" s="98">
        <f ca="1">_xlfn.XLOOKUP(G135&amp;$V$2,BS_CONTROLE[CHAVE],BS_CONTROLE[Quantidade_11],"-")</f>
        <v>2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105</v>
      </c>
      <c r="V136" s="98">
        <f ca="1">_xlfn.XLOOKUP(G136&amp;$V$2,BS_CONTROLE[CHAVE],BS_CONTROLE[Quantidade_11],"-")</f>
        <v>210</v>
      </c>
      <c r="W136" s="98">
        <f ca="1">_xlfn.XLOOKUP(G136&amp;$W$2,BS_CONTROLE[CHAVE],BS_CONTROLE[Quantidade_11],"-")</f>
        <v>210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>
        <f ca="1">_xlfn.XLOOKUP(G139&amp;$W$2,BS_CONTROLE[CHAVE],BS_CONTROLE[Quantidade_11],"-")</f>
        <v>1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1241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1248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>
        <f ca="1">_xlfn.XLOOKUP(G145&amp;$W$2,BS_CONTROLE[CHAVE],BS_CONTROLE[Quantidade_11],"-")</f>
        <v>0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>
        <f ca="1">_xlfn.XLOOKUP(G148&amp;$W$2,BS_CONTROLE[CHAVE],BS_CONTROLE[Quantidade_11],"-")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1293</v>
      </c>
      <c r="W151" s="98">
        <f ca="1">_xlfn.XLOOKUP(G151&amp;$W$2,BS_CONTROLE[CHAVE],BS_CONTROLE[Quantidade_11],"-")</f>
        <v>1800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 t="str">
        <f ca="1">_xlfn.XLOOKUP(G152&amp;$U$2,BS_CONTROLE[CHAVE],BS_CONTROLE[Quantidade_11],"-")</f>
        <v>-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16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1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105</v>
      </c>
      <c r="V158" s="98">
        <f ca="1">_xlfn.XLOOKUP(G158&amp;$V$2,BS_CONTROLE[CHAVE],BS_CONTROLE[Quantidade_11],"-")</f>
        <v>210</v>
      </c>
      <c r="W158" s="98">
        <f ca="1">_xlfn.XLOOKUP(G158&amp;$W$2,BS_CONTROLE[CHAVE],BS_CONTROLE[Quantidade_11],"-")</f>
        <v>210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</v>
      </c>
      <c r="V164" s="98">
        <f ca="1">_xlfn.XLOOKUP(G164&amp;$V$2,BS_CONTROLE[CHAVE],BS_CONTROLE[Quantidade_11],"-")</f>
        <v>10000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0</v>
      </c>
      <c r="V166" s="98">
        <f ca="1">_xlfn.XLOOKUP(G166&amp;$V$2,BS_CONTROLE[CHAVE],BS_CONTROLE[Quantidade_11],"-")</f>
        <v>1293</v>
      </c>
      <c r="W166" s="98">
        <f ca="1">_xlfn.XLOOKUP(G166&amp;$W$2,BS_CONTROLE[CHAVE],BS_CONTROLE[Quantidade_11],"-")</f>
        <v>1800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16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1</v>
      </c>
      <c r="V168" s="98">
        <f ca="1">_xlfn.XLOOKUP(G168&amp;$V$2,BS_CONTROLE[CHAVE],BS_CONTROLE[Quantidade_11],"-")</f>
        <v>2</v>
      </c>
      <c r="W168" s="98">
        <f ca="1">_xlfn.XLOOKUP(G168&amp;$W$2,BS_CONTROLE[CHAVE],BS_CONTROLE[Quantidade_11],"-")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>
        <f ca="1">_xlfn.XLOOKUP(G170&amp;$V$2,BS_CONTROLE[CHAVE],BS_CONTROLE[Quantidade_11],"-")</f>
        <v>0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>
        <f ca="1">_xlfn.XLOOKUP(G171&amp;$U$2,BS_CONTROLE[CHAVE],BS_CONTROLE[Quantidade_11],"-")</f>
        <v>0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0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105</v>
      </c>
      <c r="V173" s="98">
        <f ca="1">_xlfn.XLOOKUP(G173&amp;$V$2,BS_CONTROLE[CHAVE],BS_CONTROLE[Quantidade_11],"-")</f>
        <v>210</v>
      </c>
      <c r="W173" s="98">
        <f ca="1">_xlfn.XLOOKUP(G173&amp;$W$2,BS_CONTROLE[CHAVE],BS_CONTROLE[Quantidade_11],"-")</f>
        <v>210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Extra</v>
      </c>
      <c r="C175" s="95" t="str">
        <f>IF(FN_MC!Z178="","*",FN_MC!Z178)</f>
        <v>*</v>
      </c>
      <c r="D175" s="96" t="str">
        <f>IF(FN_MC!S178="","*",FN_MC!S178)</f>
        <v>FERRONORTE</v>
      </c>
      <c r="E175" s="96" t="str">
        <f>IF(FN_MC!T178="","*",FN_MC!T178)</f>
        <v>TMI-TCS</v>
      </c>
      <c r="F175" s="96">
        <f>IF(FN_MC!B178="","*",FN_MC!B178)</f>
        <v>46093</v>
      </c>
      <c r="G175" s="96" t="str">
        <f>IF(FN_MC!D178="","*",FN_MC!D178)</f>
        <v>E14</v>
      </c>
      <c r="H175" s="96" t="str">
        <f>IF(FN_MC!F178="","*",FN_MC!F178)</f>
        <v>DESLOCAMENTO</v>
      </c>
      <c r="I175" s="96" t="str">
        <f>IF(FN_MC!H178="","*",FN_MC!H178)</f>
        <v>TAP2</v>
      </c>
      <c r="J175" s="96" t="str">
        <f>IF(FN_MC!I178="","*",FN_MC!I178)</f>
        <v>TIN2</v>
      </c>
      <c r="K175" s="96" t="str">
        <f>IF(FN_MC!M178="","*",FN_MC!M178)</f>
        <v>TAP-TIN</v>
      </c>
      <c r="L175" s="196" t="str">
        <f>IF(FN_MC!N178="","*",FN_MC!N178)</f>
        <v>TAPTIN</v>
      </c>
      <c r="M175" s="97">
        <f>IF(FN_MC!J178="","*",FN_MC!J178)</f>
        <v>74</v>
      </c>
      <c r="N175" s="183">
        <f>IF(FN_MC!K178="","*",FN_MC!K178)</f>
        <v>24</v>
      </c>
      <c r="O175" s="183" t="str">
        <f>IF(FN_MC!L178="","*",FN_MC!L178)</f>
        <v>-</v>
      </c>
      <c r="P175" s="107">
        <f>IF(FN_MC!O178="","*",FN_MC!O178)</f>
        <v>0.99930555555555556</v>
      </c>
      <c r="Q175" s="107">
        <f>IF(FN_MC!P178="","*",FN_MC!P178)</f>
        <v>4.1666666666666664E-2</v>
      </c>
      <c r="R175" s="96" t="str">
        <f>IF(FN_MC!Q178="","*",CONCATENATE(FN_MC!Q178," ",FN_MC!R178))</f>
        <v>1 BINÁRIO</v>
      </c>
      <c r="S175" s="96" t="str">
        <f>IF(FN_MC!V178="","*",FN_MC!V178)</f>
        <v>Fernanda</v>
      </c>
      <c r="T175" s="96" t="str">
        <f>IF(FN_MC!W178="","*",FN_MC!W178)</f>
        <v xml:space="preserve">Deslocamento  </v>
      </c>
      <c r="U175" s="98">
        <f ca="1">_xlfn.XLOOKUP(G175&amp;$U$2,BS_CONTROLE[CHAVE],BS_CONTROLE[Quantidade_11],"-")</f>
        <v>1</v>
      </c>
      <c r="V175" s="98">
        <f ca="1">_xlfn.XLOOKUP(G175&amp;$V$2,BS_CONTROLE[CHAVE],BS_CONTROLE[Quantidade_11],"-")</f>
        <v>10000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0</v>
      </c>
      <c r="V177" s="98">
        <f ca="1">_xlfn.XLOOKUP(G177&amp;$V$2,BS_CONTROLE[CHAVE],BS_CONTROLE[Quantidade_11],"-")</f>
        <v>1293</v>
      </c>
      <c r="W177" s="98">
        <f ca="1">_xlfn.XLOOKUP(G177&amp;$W$2,BS_CONTROLE[CHAVE],BS_CONTROLE[Quantidade_11],"-")</f>
        <v>1800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IF(FN_MC!Y181="","*",FN_MC!Y181)</f>
        <v>OPORTUNIDADE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1</v>
      </c>
      <c r="V178" s="98">
        <f ca="1">_xlfn.XLOOKUP(G178&amp;$V$2,BS_CONTROLE[CHAVE],BS_CONTROLE[Quantidade_11],"-")</f>
        <v>2</v>
      </c>
      <c r="W178" s="98">
        <f ca="1">_xlfn.XLOOKUP(G178&amp;$W$2,BS_CONTROLE[CHAVE],BS_CONTROLE[Quantidade_11],"-")</f>
        <v>0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IF(FN_MC!Y182="","*",FN_MC!Y182)</f>
        <v>OPORTUNIDADE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16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>
        <f ca="1">_xlfn.XLOOKUP(G180&amp;$W$2,BS_CONTROLE[CHAVE],BS_CONTROLE[Quantidade_11],"-")</f>
        <v>1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>
        <f ca="1">_xlfn.XLOOKUP(G181&amp;$U$2,BS_CONTROLE[CHAVE],BS_CONTROLE[Quantidade_11],"-")</f>
        <v>0</v>
      </c>
      <c r="V181" s="98" t="str">
        <f ca="1">_xlfn.XLOOKUP(G181&amp;$V$2,BS_CONTROLE[CHAVE],BS_CONTROLE[Quantidade_11],"-")</f>
        <v>-</v>
      </c>
      <c r="W181" s="98">
        <f ca="1">_xlfn.XLOOKUP(G181&amp;$W$2,BS_CONTROLE[CHAVE],BS_CONTROLE[Quantidade_11],"-")</f>
        <v>0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IF(FN_MC!Y185="","*",FN_MC!Y185)</f>
        <v>OPORTUNIDADE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>
        <f ca="1">_xlfn.XLOOKUP(G182&amp;$V$2,BS_CONTROLE[CHAVE],BS_CONTROLE[Quantidade_11],"-")</f>
        <v>0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0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IF(FN_MC!Y188="","*",FN_MC!Y188)</f>
        <v>OPORTUNIDADE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1612</v>
      </c>
      <c r="D5" s="247"/>
      <c r="E5" s="247"/>
      <c r="F5" s="247"/>
      <c r="G5" s="247"/>
      <c r="H5" s="247"/>
      <c r="I5" s="247"/>
      <c r="J5" s="248"/>
      <c r="K5" s="249" t="s">
        <v>1613</v>
      </c>
      <c r="L5" s="250"/>
      <c r="M5" s="250"/>
      <c r="N5" s="250"/>
      <c r="O5" s="251" t="s">
        <v>1614</v>
      </c>
      <c r="P5" s="252"/>
      <c r="Q5" s="253"/>
    </row>
    <row r="6" spans="1:17" s="81" customFormat="1" ht="15.75" customHeight="1">
      <c r="A6" s="75" t="s">
        <v>1610</v>
      </c>
      <c r="B6" s="82" t="s">
        <v>1609</v>
      </c>
      <c r="C6" s="83" t="s">
        <v>1176</v>
      </c>
      <c r="D6" s="84" t="s">
        <v>1177</v>
      </c>
      <c r="E6" s="83" t="s">
        <v>1615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1616</v>
      </c>
      <c r="M6" s="116" t="s">
        <v>29</v>
      </c>
      <c r="N6" s="117" t="s">
        <v>1171</v>
      </c>
      <c r="O6" s="165" t="s">
        <v>1214</v>
      </c>
      <c r="P6" s="128"/>
      <c r="Q6" s="139" t="s">
        <v>1617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>
        <f>IF(FN_MC!B178="","*",FN_MC!B178)</f>
        <v>46093</v>
      </c>
      <c r="B198" s="86" t="str">
        <f>IF(FN_MC!X178="","*",FN_MC!X178)</f>
        <v>Extra</v>
      </c>
      <c r="C198" s="87" t="str">
        <f>IF(FN_MC!S178="","*",FN_MC!S178)</f>
        <v>FERRONORTE</v>
      </c>
      <c r="D198" s="87" t="str">
        <f>IF(FN_MC!T178="","*",FN_MC!T178)</f>
        <v>TMI-TCS</v>
      </c>
      <c r="E198" s="87" t="str">
        <f>IF(FN_MC!D178="","*",FN_MC!D178)</f>
        <v>E14</v>
      </c>
      <c r="F198" s="87" t="str">
        <f>IF(FN_MC!H178="","*",FN_MC!H178)</f>
        <v>TAP2</v>
      </c>
      <c r="G198" s="87" t="str">
        <f>IF(FN_MC!M178="","*",FN_MC!M178)</f>
        <v>TAP-TIN</v>
      </c>
      <c r="H198" s="125">
        <f>IF(FN_MC!K178="","*",FN_MC!K178)</f>
        <v>24</v>
      </c>
      <c r="I198" s="110">
        <f>IF(FN_MC!O178="","*",FN_MC!O178)</f>
        <v>0.99930555555555556</v>
      </c>
      <c r="J198" s="110">
        <f>IF(FN_MC!P178="","*",FN_MC!P178)</f>
        <v>4.1666666666666664E-2</v>
      </c>
      <c r="K198" s="118" t="str">
        <f>IF(FN_MC!AK178="","*",FN_MC!AK178)</f>
        <v>TAP2</v>
      </c>
      <c r="L198" s="118" t="str">
        <f>IF(FN_MC!AM178="","*",FN_MC!AM178)</f>
        <v>TAP-TIN</v>
      </c>
      <c r="M198" s="118">
        <f>IF(FN_MC!AP178="","*",FN_MC!AP178)</f>
        <v>24</v>
      </c>
      <c r="N198" s="118" t="str">
        <f>IF(FN_MC!AM178="","*",FN_MC!AM178)</f>
        <v>TAP-TIN</v>
      </c>
      <c r="O198" s="136">
        <f>FN_MC!BH178</f>
        <v>2</v>
      </c>
      <c r="P198" s="78"/>
      <c r="Q198" s="120" t="str">
        <f>IF($A$2=1,IF(FN_MC!BJ178="","*",FN_MC!BJ178),IF(FN_MC!BK178="","*",FN_MC!BK178))</f>
        <v>Deslocamento ok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Oportunidade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61" sqref="G96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1618</v>
      </c>
      <c r="C2" s="83" t="s">
        <v>1161</v>
      </c>
      <c r="D2" s="83" t="s">
        <v>1163</v>
      </c>
      <c r="E2" s="83" t="s">
        <v>1619</v>
      </c>
      <c r="F2" s="83" t="s">
        <v>1620</v>
      </c>
      <c r="G2" s="83" t="s">
        <v>1621</v>
      </c>
      <c r="H2" s="83" t="s">
        <v>1622</v>
      </c>
      <c r="I2" s="83" t="s">
        <v>1623</v>
      </c>
      <c r="J2" s="83" t="s">
        <v>1624</v>
      </c>
      <c r="K2" s="109" t="s">
        <v>1625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>
        <f>IF(FN_MC!B178="","*",FN_MC!B178)</f>
        <v>46093</v>
      </c>
      <c r="D194" s="101" t="str">
        <f>IF(FN_MC!D178="","*",FN_MC!D178)</f>
        <v>E14</v>
      </c>
      <c r="E194" s="101" t="str">
        <f>IF(FN_MC!H178="","*",FN_MC!H178)</f>
        <v>TAP2</v>
      </c>
      <c r="F194" s="114" t="str">
        <f>IF(FN_MC!M178="","*",FN_MC!M178)</f>
        <v>TAP-TIN</v>
      </c>
      <c r="G194" s="101" t="str">
        <f>IF(FN_MC!I178="","*",FN_MC!I178)</f>
        <v>TIN2</v>
      </c>
      <c r="H194" s="101" t="str">
        <f>IF(FN_MC!AB178="","*",FN_MC!AB178)</f>
        <v>FIXO</v>
      </c>
      <c r="I194" s="101" t="str">
        <f>IF(FN_MC!AC178="","*",FN_MC!AC178)</f>
        <v>ACIONAMENTO</v>
      </c>
      <c r="J194" s="102">
        <f>IF(FN_MC!AA178="","*",FN_MC!AA178)</f>
        <v>1</v>
      </c>
      <c r="K194" s="112">
        <f>IF(FN_MC!AD178="","*",FN_MC!AD178)</f>
        <v>0.91666666666666663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>
      <c r="B197" s="100" t="str">
        <f>IF(FN_MC!Y181="","*",FN_MC!Y181)</f>
        <v>OPORTUNIDADE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>
      <c r="B198" s="100" t="str">
        <f>IF(FN_MC!Y182="","*",FN_MC!Y182)</f>
        <v>OPORTUNIDADE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>
      <c r="B199" s="100" t="str">
        <f>IF(FN_MC!Y184="","*",FN_MC!Y184)</f>
        <v>OPORTUNIDADE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>
      <c r="B200" s="100" t="str">
        <f>IF(FN_MC!Y185="","*",FN_MC!Y185)</f>
        <v>OPORTUNIDADE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>
      <c r="B201" s="100" t="str">
        <f>IF(FN_MC!Y186="","*",FN_MC!Y186)</f>
        <v>OPORTUNIDADE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>
      <c r="B202" s="100" t="str">
        <f>IF(FN_MC!Y187="","*",FN_MC!Y187)</f>
        <v>OPORTUNIDADE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>
      <c r="B203" s="100" t="str">
        <f>IF(FN_MC!Y188="","*",FN_MC!Y188)</f>
        <v>OPORTUNIDADE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2026-03-13T10:07:23Z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